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ationalenergyso.sharepoint.com/sites/GRP-INT-UK-Finance-Controllership-Electricity-System-Operator/Shared Documents/Regulatory Finance/NESO FM Publications/2026/Changes Consultation/"/>
    </mc:Choice>
  </mc:AlternateContent>
  <xr:revisionPtr revIDLastSave="80" documentId="8_{C087D105-B082-4B01-A9BD-FCA25DF75DE8}" xr6:coauthVersionLast="47" xr6:coauthVersionMax="47" xr10:uidLastSave="{9E741AFC-0410-4E16-BEF5-D1CF113C652B}"/>
  <bookViews>
    <workbookView xWindow="-28920" yWindow="-120" windowWidth="29040" windowHeight="15720" tabRatio="778" activeTab="1" xr2:uid="{00000000-000D-0000-FFFF-FFFF00000000}"/>
  </bookViews>
  <sheets>
    <sheet name="Front Sheet" sheetId="62" r:id="rId1"/>
    <sheet name="Inputs" sheetId="145" r:id="rId2"/>
    <sheet name="Indexation" sheetId="146" r:id="rId3"/>
    <sheet name="RAV" sheetId="127" r:id="rId4"/>
    <sheet name="Tax" sheetId="137" r:id="rId5"/>
    <sheet name="Elec" sheetId="41" r:id="rId6"/>
    <sheet name="Gas" sheetId="128" r:id="rId7"/>
    <sheet name="Live results" sheetId="130" r:id="rId8"/>
    <sheet name="Saved results" sheetId="148" r:id="rId9"/>
    <sheet name="Control" sheetId="69" r:id="rId10"/>
    <sheet name="Change log" sheetId="150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Check">Control!$F$33</definedName>
    <definedName name="Model_Status">Control!$H$12</definedName>
    <definedName name="Project_Name">Control!$H$9</definedName>
    <definedName name="Publication_Date">Control!$H$13</definedName>
    <definedName name="Tolerance">Control!$F$20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145" l="1"/>
  <c r="T50" i="128" l="1"/>
  <c r="W50" i="128"/>
  <c r="X50" i="128"/>
  <c r="Y50" i="128"/>
  <c r="Z50" i="128"/>
  <c r="AA50" i="128"/>
  <c r="U50" i="128"/>
  <c r="V49" i="128"/>
  <c r="W49" i="128"/>
  <c r="X49" i="128"/>
  <c r="Y49" i="128"/>
  <c r="Z49" i="128"/>
  <c r="AA49" i="128"/>
  <c r="T49" i="128"/>
  <c r="G50" i="128"/>
  <c r="F62" i="148"/>
  <c r="C62" i="148"/>
  <c r="AA74" i="148"/>
  <c r="Z74" i="148"/>
  <c r="Y74" i="148"/>
  <c r="X74" i="148"/>
  <c r="W74" i="148"/>
  <c r="V74" i="148"/>
  <c r="U74" i="148"/>
  <c r="K74" i="148" s="1"/>
  <c r="Z72" i="148"/>
  <c r="Y72" i="148"/>
  <c r="X72" i="148"/>
  <c r="W72" i="148"/>
  <c r="V72" i="148"/>
  <c r="U72" i="148"/>
  <c r="U49" i="128" s="1"/>
  <c r="C72" i="148"/>
  <c r="K70" i="148"/>
  <c r="K69" i="148"/>
  <c r="K68" i="148"/>
  <c r="K67" i="148"/>
  <c r="K66" i="148"/>
  <c r="I66" i="148"/>
  <c r="I67" i="148" s="1"/>
  <c r="I68" i="148" s="1"/>
  <c r="I69" i="148" s="1"/>
  <c r="I70" i="148" s="1"/>
  <c r="K65" i="148"/>
  <c r="C64" i="148"/>
  <c r="V80" i="145" l="1"/>
  <c r="U80" i="145"/>
  <c r="V33" i="145"/>
  <c r="U33" i="145"/>
  <c r="V32" i="145"/>
  <c r="U32" i="145"/>
  <c r="V31" i="145"/>
  <c r="U31" i="145"/>
  <c r="V30" i="145"/>
  <c r="U30" i="145"/>
  <c r="V28" i="145"/>
  <c r="U28" i="145"/>
  <c r="V27" i="145"/>
  <c r="U27" i="145"/>
  <c r="V26" i="145"/>
  <c r="U26" i="145"/>
  <c r="V29" i="145"/>
  <c r="E22" i="145" a="1"/>
  <c r="E22" i="145" s="1"/>
  <c r="U29" i="145"/>
  <c r="T80" i="145" l="1"/>
  <c r="T69" i="145"/>
  <c r="T68" i="145"/>
  <c r="T67" i="145"/>
  <c r="T65" i="145"/>
  <c r="T33" i="145"/>
  <c r="T32" i="145"/>
  <c r="T31" i="145"/>
  <c r="T30" i="145"/>
  <c r="T29" i="145"/>
  <c r="T28" i="145"/>
  <c r="T27" i="145"/>
  <c r="T26" i="145"/>
  <c r="V34" i="145"/>
  <c r="I150" i="145"/>
  <c r="I149" i="145"/>
  <c r="I148" i="145"/>
  <c r="I147" i="145"/>
  <c r="I144" i="145"/>
  <c r="I142" i="145"/>
  <c r="I141" i="145"/>
  <c r="I138" i="145"/>
  <c r="I133" i="145" l="1"/>
  <c r="I130" i="145"/>
  <c r="I129" i="145"/>
  <c r="I128" i="145"/>
  <c r="I127" i="145"/>
  <c r="S89" i="145"/>
  <c r="I90" i="145"/>
  <c r="I51" i="145" l="1"/>
  <c r="I17" i="146" l="1"/>
  <c r="I28" i="148" l="1"/>
  <c r="I47" i="148"/>
  <c r="I48" i="148" s="1"/>
  <c r="F24" i="148"/>
  <c r="B5" i="150" l="1"/>
  <c r="B1" i="150" a="1"/>
  <c r="B1" i="150" s="1"/>
  <c r="I69" i="137"/>
  <c r="I70" i="137"/>
  <c r="T157" i="145"/>
  <c r="T65" i="137" s="1"/>
  <c r="U157" i="145"/>
  <c r="V157" i="145"/>
  <c r="W157" i="145"/>
  <c r="X157" i="145"/>
  <c r="Y157" i="145"/>
  <c r="Z157" i="145"/>
  <c r="AA157" i="145"/>
  <c r="C64" i="137"/>
  <c r="I32" i="137"/>
  <c r="K157" i="145" l="1"/>
  <c r="D40" i="137" l="1"/>
  <c r="D39" i="137"/>
  <c r="D38" i="137"/>
  <c r="D37" i="137"/>
  <c r="C28" i="137"/>
  <c r="G28" i="137"/>
  <c r="D32" i="137"/>
  <c r="G32" i="137"/>
  <c r="I34" i="137"/>
  <c r="G34" i="137"/>
  <c r="D34" i="137"/>
  <c r="G33" i="137"/>
  <c r="D33" i="137"/>
  <c r="I31" i="137"/>
  <c r="G31" i="137"/>
  <c r="D31" i="137"/>
  <c r="C30" i="137"/>
  <c r="I26" i="137"/>
  <c r="G26" i="137"/>
  <c r="D26" i="137"/>
  <c r="I25" i="137"/>
  <c r="G25" i="137"/>
  <c r="D25" i="137"/>
  <c r="I24" i="137"/>
  <c r="G24" i="137"/>
  <c r="D24" i="137"/>
  <c r="I23" i="137"/>
  <c r="G23" i="137"/>
  <c r="D23" i="137"/>
  <c r="C22" i="137"/>
  <c r="AA39" i="41" l="1"/>
  <c r="Z39" i="41"/>
  <c r="Y39" i="41"/>
  <c r="X39" i="41"/>
  <c r="W39" i="41"/>
  <c r="V39" i="41"/>
  <c r="U39" i="41"/>
  <c r="C111" i="127" l="1"/>
  <c r="C110" i="127"/>
  <c r="G111" i="127"/>
  <c r="G110" i="127"/>
  <c r="G17" i="127"/>
  <c r="G18" i="127" s="1"/>
  <c r="C17" i="127"/>
  <c r="C21" i="127"/>
  <c r="G35" i="127"/>
  <c r="D54" i="127" l="1"/>
  <c r="D53" i="127"/>
  <c r="AA35" i="128" l="1"/>
  <c r="Z35" i="128"/>
  <c r="Y35" i="128"/>
  <c r="X35" i="128"/>
  <c r="W35" i="128"/>
  <c r="V35" i="128"/>
  <c r="U35" i="128"/>
  <c r="T35" i="128"/>
  <c r="G35" i="128"/>
  <c r="C35" i="128"/>
  <c r="G21" i="130"/>
  <c r="D52" i="128"/>
  <c r="C21" i="130" s="1"/>
  <c r="G49" i="128"/>
  <c r="G62" i="148" s="1"/>
  <c r="D66" i="137"/>
  <c r="D65" i="137"/>
  <c r="G66" i="137"/>
  <c r="G65" i="137"/>
  <c r="AA65" i="137"/>
  <c r="AA71" i="137" s="1"/>
  <c r="Z65" i="137"/>
  <c r="Y65" i="137"/>
  <c r="X65" i="137"/>
  <c r="W65" i="137"/>
  <c r="V65" i="137"/>
  <c r="U65" i="137"/>
  <c r="C42" i="137"/>
  <c r="D46" i="137"/>
  <c r="D45" i="137"/>
  <c r="D44" i="137"/>
  <c r="D43" i="137"/>
  <c r="G46" i="137"/>
  <c r="G45" i="137"/>
  <c r="G44" i="137"/>
  <c r="G43" i="137"/>
  <c r="I46" i="137"/>
  <c r="I45" i="137"/>
  <c r="I44" i="137"/>
  <c r="I43" i="137"/>
  <c r="G20" i="137"/>
  <c r="G19" i="137"/>
  <c r="G18" i="137"/>
  <c r="G17" i="137"/>
  <c r="D20" i="137"/>
  <c r="D19" i="137"/>
  <c r="D18" i="137"/>
  <c r="D17" i="137"/>
  <c r="C16" i="137"/>
  <c r="I48" i="137"/>
  <c r="G48" i="137"/>
  <c r="C48" i="137"/>
  <c r="U125" i="137"/>
  <c r="V125" i="137"/>
  <c r="W125" i="137"/>
  <c r="X125" i="137"/>
  <c r="Y125" i="137"/>
  <c r="Z125" i="137"/>
  <c r="AA125" i="137"/>
  <c r="G125" i="137"/>
  <c r="F125" i="137"/>
  <c r="D124" i="137"/>
  <c r="F123" i="137"/>
  <c r="G123" i="137"/>
  <c r="X71" i="137" l="1"/>
  <c r="Y71" i="137"/>
  <c r="Z71" i="137"/>
  <c r="U71" i="137"/>
  <c r="T71" i="137"/>
  <c r="V71" i="137"/>
  <c r="W71" i="137"/>
  <c r="K74" i="137"/>
  <c r="I68" i="146"/>
  <c r="I69" i="146" s="1"/>
  <c r="I70" i="146" s="1"/>
  <c r="I71" i="146" s="1"/>
  <c r="I72" i="146" s="1"/>
  <c r="I73" i="146" s="1"/>
  <c r="I74" i="146" s="1"/>
  <c r="I75" i="146" s="1"/>
  <c r="I65" i="146"/>
  <c r="I66" i="146" s="1"/>
  <c r="C17" i="146"/>
  <c r="F17" i="146"/>
  <c r="S89" i="146"/>
  <c r="G90" i="145"/>
  <c r="G17" i="146" s="1"/>
  <c r="S16" i="146"/>
  <c r="S91" i="146" s="1"/>
  <c r="F20" i="146" l="1"/>
  <c r="F21" i="146"/>
  <c r="F22" i="146"/>
  <c r="F23" i="146"/>
  <c r="F24" i="146"/>
  <c r="F25" i="146"/>
  <c r="F26" i="146"/>
  <c r="F27" i="146"/>
  <c r="F28" i="146"/>
  <c r="F29" i="146"/>
  <c r="F30" i="146"/>
  <c r="F31" i="146"/>
  <c r="F16" i="146"/>
  <c r="F91" i="146" s="1"/>
  <c r="G107" i="41"/>
  <c r="F30" i="69"/>
  <c r="H10" i="69"/>
  <c r="H14" i="69" s="1"/>
  <c r="B13" i="62" s="1"/>
  <c r="AA55" i="148"/>
  <c r="Z55" i="148"/>
  <c r="Y55" i="148"/>
  <c r="X55" i="148"/>
  <c r="W55" i="148"/>
  <c r="V55" i="148"/>
  <c r="U55" i="148"/>
  <c r="AA36" i="148"/>
  <c r="Z36" i="148"/>
  <c r="Y36" i="148"/>
  <c r="X36" i="148"/>
  <c r="W36" i="148"/>
  <c r="V36" i="148"/>
  <c r="U36" i="148"/>
  <c r="T26" i="128"/>
  <c r="C26" i="128"/>
  <c r="G26" i="128"/>
  <c r="U26" i="128"/>
  <c r="V26" i="128"/>
  <c r="W26" i="128"/>
  <c r="X26" i="128"/>
  <c r="Y26" i="128"/>
  <c r="Z26" i="128"/>
  <c r="D40" i="128"/>
  <c r="G40" i="128"/>
  <c r="F130" i="41"/>
  <c r="G130" i="41"/>
  <c r="G90" i="41"/>
  <c r="G89" i="41"/>
  <c r="F88" i="41"/>
  <c r="G88" i="41"/>
  <c r="D91" i="41"/>
  <c r="F129" i="41"/>
  <c r="G129" i="41"/>
  <c r="G55" i="41"/>
  <c r="G54" i="41"/>
  <c r="F54" i="41"/>
  <c r="D57" i="41"/>
  <c r="D129" i="41" s="1"/>
  <c r="G119" i="41"/>
  <c r="K55" i="148" l="1"/>
  <c r="K36" i="148"/>
  <c r="D130" i="41"/>
  <c r="D123" i="137"/>
  <c r="E118" i="145"/>
  <c r="E117" i="145"/>
  <c r="E116" i="145"/>
  <c r="E115" i="145"/>
  <c r="E114" i="145"/>
  <c r="E113" i="145"/>
  <c r="E112" i="145"/>
  <c r="E111" i="145"/>
  <c r="E106" i="145"/>
  <c r="E105" i="145"/>
  <c r="E104" i="145"/>
  <c r="E103" i="145"/>
  <c r="E102" i="145"/>
  <c r="E101" i="145"/>
  <c r="E100" i="145"/>
  <c r="E99" i="145"/>
  <c r="E98" i="145"/>
  <c r="E97" i="145"/>
  <c r="E96" i="145"/>
  <c r="E95" i="145"/>
  <c r="G113" i="41"/>
  <c r="D115" i="41"/>
  <c r="I21" i="41"/>
  <c r="G21" i="41"/>
  <c r="C21" i="41"/>
  <c r="D120" i="41"/>
  <c r="D131" i="41" s="1"/>
  <c r="D107" i="41"/>
  <c r="D110" i="41"/>
  <c r="D118" i="41"/>
  <c r="G118" i="41"/>
  <c r="G103" i="41"/>
  <c r="G102" i="41"/>
  <c r="G101" i="41"/>
  <c r="D102" i="41"/>
  <c r="I49" i="148"/>
  <c r="I50" i="148" s="1"/>
  <c r="I51" i="148" s="1"/>
  <c r="G43" i="148"/>
  <c r="F43" i="148"/>
  <c r="C24" i="148"/>
  <c r="C43" i="148"/>
  <c r="Z53" i="148"/>
  <c r="Y53" i="148"/>
  <c r="X53" i="148"/>
  <c r="W53" i="148"/>
  <c r="V53" i="148"/>
  <c r="U53" i="148"/>
  <c r="G24" i="148"/>
  <c r="Z34" i="148"/>
  <c r="Y34" i="148"/>
  <c r="X34" i="148"/>
  <c r="W34" i="148"/>
  <c r="V34" i="148"/>
  <c r="U34" i="148"/>
  <c r="I29" i="148"/>
  <c r="W31" i="41"/>
  <c r="D68" i="41" l="1"/>
  <c r="D141" i="127" l="1"/>
  <c r="G125" i="127"/>
  <c r="G68" i="41" s="1"/>
  <c r="G124" i="127"/>
  <c r="G123" i="127"/>
  <c r="I114" i="127"/>
  <c r="W124" i="127" s="1"/>
  <c r="W125" i="127" s="1"/>
  <c r="W68" i="41" s="1"/>
  <c r="G42" i="145"/>
  <c r="G113" i="127" s="1"/>
  <c r="C113" i="127"/>
  <c r="C114" i="127"/>
  <c r="D103" i="41"/>
  <c r="D101" i="41"/>
  <c r="C53" i="148"/>
  <c r="I30" i="148"/>
  <c r="I31" i="148" s="1"/>
  <c r="I32" i="148" s="1"/>
  <c r="I16" i="41"/>
  <c r="G16" i="41"/>
  <c r="C16" i="41"/>
  <c r="C61" i="137"/>
  <c r="G61" i="137"/>
  <c r="I61" i="137"/>
  <c r="T23" i="146"/>
  <c r="I65" i="127"/>
  <c r="G65" i="127"/>
  <c r="C65" i="127"/>
  <c r="U129" i="137"/>
  <c r="U130" i="137" s="1"/>
  <c r="B1" i="69" a="1"/>
  <c r="B1" i="69" s="1"/>
  <c r="B1" i="148" a="1"/>
  <c r="B1" i="148" s="1"/>
  <c r="D29" i="69" s="1"/>
  <c r="B1" i="130" a="1"/>
  <c r="B1" i="130" s="1"/>
  <c r="B1" i="41" a="1"/>
  <c r="B1" i="41" s="1"/>
  <c r="B1" i="137" a="1"/>
  <c r="B1" i="137" s="1"/>
  <c r="B1" i="127" a="1"/>
  <c r="B1" i="127" s="1"/>
  <c r="B1" i="146" a="1"/>
  <c r="B1" i="146" s="1"/>
  <c r="B1" i="145" a="1"/>
  <c r="B1" i="145" s="1"/>
  <c r="B1" i="128" a="1"/>
  <c r="B1" i="128" s="1"/>
  <c r="V129" i="137"/>
  <c r="V130" i="137" s="1"/>
  <c r="AA129" i="137"/>
  <c r="AA130" i="137" s="1"/>
  <c r="Z129" i="137"/>
  <c r="Z130" i="137" s="1"/>
  <c r="Y129" i="137"/>
  <c r="Y130" i="137" s="1"/>
  <c r="X129" i="137"/>
  <c r="X130" i="137" s="1"/>
  <c r="W129" i="137"/>
  <c r="W130" i="137" s="1"/>
  <c r="T129" i="137"/>
  <c r="T130" i="137" s="1"/>
  <c r="G129" i="137"/>
  <c r="C129" i="137"/>
  <c r="I16" i="128"/>
  <c r="G16" i="128"/>
  <c r="C16" i="128"/>
  <c r="I17" i="148"/>
  <c r="G17" i="148"/>
  <c r="C17" i="148"/>
  <c r="B10" i="148"/>
  <c r="G7" i="148"/>
  <c r="G6" i="148"/>
  <c r="C6" i="148"/>
  <c r="G5" i="148"/>
  <c r="C5" i="148"/>
  <c r="G4" i="148"/>
  <c r="C4" i="148"/>
  <c r="K27" i="148" l="1"/>
  <c r="K28" i="148"/>
  <c r="K51" i="148"/>
  <c r="K50" i="148"/>
  <c r="K49" i="148"/>
  <c r="K48" i="148"/>
  <c r="K46" i="148"/>
  <c r="K47" i="148"/>
  <c r="K32" i="148"/>
  <c r="K31" i="148"/>
  <c r="K30" i="148"/>
  <c r="K29" i="148"/>
  <c r="I22" i="41"/>
  <c r="X124" i="127"/>
  <c r="X125" i="127" s="1"/>
  <c r="X68" i="41" s="1"/>
  <c r="Z124" i="127"/>
  <c r="Z125" i="127" s="1"/>
  <c r="Z68" i="41" s="1"/>
  <c r="AA124" i="127"/>
  <c r="AA125" i="127" s="1"/>
  <c r="AA68" i="41" s="1"/>
  <c r="V124" i="127"/>
  <c r="V125" i="127" s="1"/>
  <c r="V68" i="41" s="1"/>
  <c r="Y124" i="127"/>
  <c r="Y125" i="127" s="1"/>
  <c r="Y68" i="41" s="1"/>
  <c r="U129" i="127"/>
  <c r="U130" i="127" s="1"/>
  <c r="V129" i="127"/>
  <c r="V130" i="127" s="1"/>
  <c r="Z129" i="127"/>
  <c r="Z130" i="127" s="1"/>
  <c r="AA129" i="127"/>
  <c r="AA130" i="127" s="1"/>
  <c r="W129" i="127"/>
  <c r="W130" i="127" s="1"/>
  <c r="X129" i="127"/>
  <c r="X130" i="127" s="1"/>
  <c r="Y129" i="127"/>
  <c r="Y130" i="127" s="1"/>
  <c r="U124" i="127"/>
  <c r="U125" i="127" s="1"/>
  <c r="U68" i="41" s="1"/>
  <c r="C45" i="148"/>
  <c r="G24" i="127" l="1"/>
  <c r="P24" i="127"/>
  <c r="O24" i="127"/>
  <c r="N24" i="127"/>
  <c r="M24" i="127"/>
  <c r="C19" i="127"/>
  <c r="G105" i="146"/>
  <c r="G101" i="146"/>
  <c r="C101" i="146"/>
  <c r="I101" i="146"/>
  <c r="I45" i="146"/>
  <c r="G45" i="146"/>
  <c r="I44" i="146"/>
  <c r="G44" i="146"/>
  <c r="I43" i="146"/>
  <c r="G43" i="146"/>
  <c r="I42" i="146"/>
  <c r="G42" i="146"/>
  <c r="I41" i="146"/>
  <c r="I53" i="146" s="1"/>
  <c r="G41" i="146"/>
  <c r="I40" i="146"/>
  <c r="I52" i="146" s="1"/>
  <c r="G40" i="146"/>
  <c r="I39" i="146"/>
  <c r="I51" i="146" s="1"/>
  <c r="G39" i="146"/>
  <c r="I38" i="146"/>
  <c r="I50" i="146" s="1"/>
  <c r="G38" i="146"/>
  <c r="D38" i="146"/>
  <c r="D50" i="146" s="1"/>
  <c r="C37" i="146"/>
  <c r="D112" i="145"/>
  <c r="D113" i="145" s="1"/>
  <c r="D114" i="145" s="1"/>
  <c r="D115" i="145" s="1"/>
  <c r="D116" i="145" s="1"/>
  <c r="D117" i="145" s="1"/>
  <c r="D118" i="145" s="1"/>
  <c r="D45" i="146" s="1"/>
  <c r="D57" i="146" s="1"/>
  <c r="I47" i="146"/>
  <c r="I57" i="146" l="1"/>
  <c r="D39" i="146"/>
  <c r="D51" i="146" s="1"/>
  <c r="D40" i="146"/>
  <c r="D52" i="146" s="1"/>
  <c r="D41" i="146"/>
  <c r="D53" i="146" s="1"/>
  <c r="D42" i="146"/>
  <c r="D54" i="146" s="1"/>
  <c r="D43" i="146"/>
  <c r="D55" i="146" s="1"/>
  <c r="D44" i="146"/>
  <c r="D56" i="146" s="1"/>
  <c r="I56" i="146"/>
  <c r="I54" i="146"/>
  <c r="I55" i="146"/>
  <c r="D72" i="137" l="1"/>
  <c r="D71" i="137"/>
  <c r="T125" i="137"/>
  <c r="D125" i="137" l="1"/>
  <c r="C128" i="137"/>
  <c r="G128" i="137"/>
  <c r="T128" i="137"/>
  <c r="U128" i="137"/>
  <c r="V128" i="137"/>
  <c r="W128" i="137"/>
  <c r="X128" i="137"/>
  <c r="Y128" i="137"/>
  <c r="Z128" i="137"/>
  <c r="AA128" i="137"/>
  <c r="G32" i="41"/>
  <c r="D32" i="41"/>
  <c r="G70" i="137" l="1"/>
  <c r="D70" i="137"/>
  <c r="G69" i="137"/>
  <c r="D69" i="137"/>
  <c r="C23" i="130"/>
  <c r="D30" i="41"/>
  <c r="D31" i="41"/>
  <c r="D33" i="41"/>
  <c r="D34" i="41"/>
  <c r="D35" i="41"/>
  <c r="D36" i="41"/>
  <c r="D37" i="41"/>
  <c r="D38" i="41"/>
  <c r="D39" i="41"/>
  <c r="G39" i="41"/>
  <c r="G38" i="41"/>
  <c r="G37" i="41"/>
  <c r="G36" i="41"/>
  <c r="G35" i="41"/>
  <c r="G34" i="41"/>
  <c r="G33" i="41"/>
  <c r="G31" i="41"/>
  <c r="G30" i="41"/>
  <c r="AA33" i="41"/>
  <c r="Z33" i="41"/>
  <c r="Y33" i="41"/>
  <c r="X33" i="41"/>
  <c r="W33" i="41"/>
  <c r="D23" i="69"/>
  <c r="C16" i="146"/>
  <c r="G16" i="146"/>
  <c r="G91" i="146" s="1"/>
  <c r="M16" i="146"/>
  <c r="M91" i="146" s="1"/>
  <c r="N16" i="146"/>
  <c r="N91" i="146" s="1"/>
  <c r="T76" i="41" s="1"/>
  <c r="O16" i="146"/>
  <c r="O91" i="146" s="1"/>
  <c r="P16" i="146"/>
  <c r="P91" i="146" s="1"/>
  <c r="Q16" i="146"/>
  <c r="Q91" i="146" s="1"/>
  <c r="R16" i="146"/>
  <c r="R91" i="146" s="1"/>
  <c r="C19" i="146"/>
  <c r="D20" i="146"/>
  <c r="D78" i="146" s="1"/>
  <c r="G20" i="146"/>
  <c r="T20" i="146"/>
  <c r="U20" i="146"/>
  <c r="V20" i="146"/>
  <c r="W20" i="146"/>
  <c r="X20" i="146"/>
  <c r="Y20" i="146"/>
  <c r="Z20" i="146"/>
  <c r="AA20" i="146"/>
  <c r="D21" i="146"/>
  <c r="D79" i="146" s="1"/>
  <c r="G21" i="146"/>
  <c r="T21" i="146"/>
  <c r="U21" i="146"/>
  <c r="V21" i="146"/>
  <c r="W21" i="146"/>
  <c r="X21" i="146"/>
  <c r="Y21" i="146"/>
  <c r="Z21" i="146"/>
  <c r="AA21" i="146"/>
  <c r="D22" i="146"/>
  <c r="D80" i="146" s="1"/>
  <c r="G22" i="146"/>
  <c r="T22" i="146"/>
  <c r="U22" i="146"/>
  <c r="V22" i="146"/>
  <c r="W22" i="146"/>
  <c r="X22" i="146"/>
  <c r="Y22" i="146"/>
  <c r="Z22" i="146"/>
  <c r="AA22" i="146"/>
  <c r="D23" i="146"/>
  <c r="D81" i="146" s="1"/>
  <c r="G23" i="146"/>
  <c r="U23" i="146"/>
  <c r="V23" i="146"/>
  <c r="W23" i="146"/>
  <c r="X23" i="146"/>
  <c r="Y23" i="146"/>
  <c r="Z23" i="146"/>
  <c r="AA23" i="146"/>
  <c r="D24" i="146"/>
  <c r="D82" i="146" s="1"/>
  <c r="G24" i="146"/>
  <c r="T24" i="146"/>
  <c r="U24" i="146"/>
  <c r="V24" i="146"/>
  <c r="W24" i="146"/>
  <c r="X24" i="146"/>
  <c r="Y24" i="146"/>
  <c r="Z24" i="146"/>
  <c r="AA24" i="146"/>
  <c r="D25" i="146"/>
  <c r="D83" i="146" s="1"/>
  <c r="G25" i="146"/>
  <c r="T25" i="146"/>
  <c r="U25" i="146"/>
  <c r="V25" i="146"/>
  <c r="W25" i="146"/>
  <c r="X25" i="146"/>
  <c r="Y25" i="146"/>
  <c r="Z25" i="146"/>
  <c r="AA25" i="146"/>
  <c r="D26" i="146"/>
  <c r="D84" i="146" s="1"/>
  <c r="G26" i="146"/>
  <c r="T26" i="146"/>
  <c r="U26" i="146"/>
  <c r="V26" i="146"/>
  <c r="W26" i="146"/>
  <c r="X26" i="146"/>
  <c r="Y26" i="146"/>
  <c r="Z26" i="146"/>
  <c r="AA26" i="146"/>
  <c r="D27" i="146"/>
  <c r="D85" i="146" s="1"/>
  <c r="G27" i="146"/>
  <c r="T27" i="146"/>
  <c r="U27" i="146"/>
  <c r="V27" i="146"/>
  <c r="W27" i="146"/>
  <c r="X27" i="146"/>
  <c r="Y27" i="146"/>
  <c r="Z27" i="146"/>
  <c r="AA27" i="146"/>
  <c r="D28" i="146"/>
  <c r="D86" i="146" s="1"/>
  <c r="G28" i="146"/>
  <c r="T28" i="146"/>
  <c r="U28" i="146"/>
  <c r="V28" i="146"/>
  <c r="W28" i="146"/>
  <c r="X28" i="146"/>
  <c r="Y28" i="146"/>
  <c r="Z28" i="146"/>
  <c r="AA28" i="146"/>
  <c r="D29" i="146"/>
  <c r="D87" i="146" s="1"/>
  <c r="G29" i="146"/>
  <c r="T29" i="146"/>
  <c r="U29" i="146"/>
  <c r="V29" i="146"/>
  <c r="W29" i="146"/>
  <c r="X29" i="146"/>
  <c r="Y29" i="146"/>
  <c r="Z29" i="146"/>
  <c r="AA29" i="146"/>
  <c r="D30" i="146"/>
  <c r="D88" i="146" s="1"/>
  <c r="G30" i="146"/>
  <c r="T30" i="146"/>
  <c r="U30" i="146"/>
  <c r="V30" i="146"/>
  <c r="W30" i="146"/>
  <c r="X30" i="146"/>
  <c r="Y30" i="146"/>
  <c r="Z30" i="146"/>
  <c r="AA30" i="146"/>
  <c r="D31" i="146"/>
  <c r="D89" i="146" s="1"/>
  <c r="G31" i="146"/>
  <c r="S31" i="146"/>
  <c r="T31" i="146"/>
  <c r="U31" i="146"/>
  <c r="V31" i="146"/>
  <c r="W31" i="146"/>
  <c r="X31" i="146"/>
  <c r="Y31" i="146"/>
  <c r="Z31" i="146"/>
  <c r="AA31" i="146"/>
  <c r="C47" i="146"/>
  <c r="G47" i="146"/>
  <c r="B10" i="146"/>
  <c r="G7" i="146"/>
  <c r="G6" i="146"/>
  <c r="C6" i="146"/>
  <c r="G5" i="146"/>
  <c r="C5" i="146"/>
  <c r="G4" i="146"/>
  <c r="C4" i="146"/>
  <c r="G19" i="127"/>
  <c r="I99" i="146" l="1"/>
  <c r="T66" i="146" a="1"/>
  <c r="T66" i="146" s="1"/>
  <c r="T65" i="146" a="1"/>
  <c r="T65" i="146" s="1"/>
  <c r="T64" i="146" a="1"/>
  <c r="T64" i="146" s="1"/>
  <c r="T78" i="146" s="1"/>
  <c r="U109" i="146"/>
  <c r="AA109" i="146"/>
  <c r="Y109" i="146"/>
  <c r="W109" i="146"/>
  <c r="Z109" i="146"/>
  <c r="X109" i="146"/>
  <c r="V109" i="146"/>
  <c r="D75" i="146"/>
  <c r="D74" i="146"/>
  <c r="D73" i="146"/>
  <c r="D72" i="146"/>
  <c r="D71" i="146"/>
  <c r="D70" i="146"/>
  <c r="D69" i="146"/>
  <c r="D68" i="146"/>
  <c r="D67" i="146"/>
  <c r="D66" i="146"/>
  <c r="D65" i="146"/>
  <c r="D64" i="146"/>
  <c r="G25" i="127"/>
  <c r="M4" i="145"/>
  <c r="B10" i="145"/>
  <c r="T79" i="146" l="1"/>
  <c r="T80" i="146" s="1"/>
  <c r="M5" i="145"/>
  <c r="M4" i="148"/>
  <c r="M4" i="130"/>
  <c r="M4" i="128"/>
  <c r="M4" i="41"/>
  <c r="M4" i="137"/>
  <c r="M4" i="127"/>
  <c r="M4" i="146"/>
  <c r="N4" i="145"/>
  <c r="O4" i="145" s="1"/>
  <c r="O4" i="148" l="1"/>
  <c r="O4" i="130"/>
  <c r="O4" i="128"/>
  <c r="O4" i="41"/>
  <c r="O4" i="137"/>
  <c r="O4" i="127"/>
  <c r="O4" i="146"/>
  <c r="N4" i="148"/>
  <c r="N4" i="130"/>
  <c r="N4" i="128"/>
  <c r="N4" i="41"/>
  <c r="N4" i="137"/>
  <c r="N4" i="127"/>
  <c r="N4" i="146"/>
  <c r="M6" i="145"/>
  <c r="N5" i="145" s="1"/>
  <c r="M5" i="148"/>
  <c r="M5" i="130"/>
  <c r="M5" i="128"/>
  <c r="M5" i="41"/>
  <c r="M5" i="137"/>
  <c r="M5" i="127"/>
  <c r="M5" i="146"/>
  <c r="P4" i="145"/>
  <c r="N6" i="145" l="1"/>
  <c r="N7" i="145" s="1"/>
  <c r="M7" i="145"/>
  <c r="M7" i="148" s="1"/>
  <c r="M6" i="148"/>
  <c r="M6" i="146"/>
  <c r="M6" i="127"/>
  <c r="M6" i="137"/>
  <c r="M6" i="41"/>
  <c r="M6" i="128"/>
  <c r="M6" i="130"/>
  <c r="P4" i="148"/>
  <c r="P4" i="130"/>
  <c r="P4" i="128"/>
  <c r="P4" i="41"/>
  <c r="P4" i="137"/>
  <c r="P4" i="127"/>
  <c r="P4" i="146"/>
  <c r="N5" i="148"/>
  <c r="N5" i="41"/>
  <c r="N5" i="137"/>
  <c r="N5" i="130"/>
  <c r="N5" i="128"/>
  <c r="N5" i="146"/>
  <c r="N5" i="127"/>
  <c r="Q4" i="145"/>
  <c r="O5" i="145" l="1"/>
  <c r="M7" i="127"/>
  <c r="M7" i="41"/>
  <c r="M7" i="130"/>
  <c r="M7" i="146"/>
  <c r="M7" i="137"/>
  <c r="M7" i="128"/>
  <c r="Q4" i="148"/>
  <c r="Q4" i="130"/>
  <c r="Q4" i="128"/>
  <c r="Q4" i="41"/>
  <c r="Q4" i="137"/>
  <c r="Q4" i="127"/>
  <c r="Q4" i="146"/>
  <c r="N6" i="148"/>
  <c r="N6" i="130"/>
  <c r="N6" i="128"/>
  <c r="N6" i="41"/>
  <c r="N6" i="137"/>
  <c r="N6" i="127"/>
  <c r="N6" i="146"/>
  <c r="R4" i="145"/>
  <c r="O6" i="145" l="1"/>
  <c r="P5" i="145" s="1"/>
  <c r="R4" i="148"/>
  <c r="R4" i="130"/>
  <c r="R4" i="128"/>
  <c r="R4" i="41"/>
  <c r="R4" i="137"/>
  <c r="R4" i="127"/>
  <c r="R4" i="146"/>
  <c r="N7" i="148"/>
  <c r="N7" i="130"/>
  <c r="N7" i="128"/>
  <c r="N7" i="41"/>
  <c r="N7" i="137"/>
  <c r="N7" i="146"/>
  <c r="N7" i="127"/>
  <c r="O5" i="148"/>
  <c r="O5" i="130"/>
  <c r="O5" i="128"/>
  <c r="O5" i="146"/>
  <c r="O5" i="41"/>
  <c r="O5" i="137"/>
  <c r="O5" i="127"/>
  <c r="S4" i="145"/>
  <c r="O6" i="130" l="1"/>
  <c r="O6" i="128"/>
  <c r="O6" i="146"/>
  <c r="O6" i="137"/>
  <c r="O6" i="127"/>
  <c r="O6" i="148"/>
  <c r="O6" i="41"/>
  <c r="O7" i="145"/>
  <c r="O7" i="137" s="1"/>
  <c r="P6" i="145"/>
  <c r="Q5" i="145" s="1"/>
  <c r="S4" i="148"/>
  <c r="S4" i="130"/>
  <c r="S4" i="128"/>
  <c r="S4" i="41"/>
  <c r="S4" i="137"/>
  <c r="S4" i="127"/>
  <c r="S4" i="146"/>
  <c r="P5" i="148"/>
  <c r="P5" i="130"/>
  <c r="P5" i="128"/>
  <c r="P5" i="41"/>
  <c r="P5" i="137"/>
  <c r="P5" i="146"/>
  <c r="P5" i="127"/>
  <c r="T4" i="145"/>
  <c r="O7" i="128" l="1"/>
  <c r="O7" i="41"/>
  <c r="O7" i="130"/>
  <c r="P6" i="146"/>
  <c r="O7" i="148"/>
  <c r="P6" i="127"/>
  <c r="P6" i="137"/>
  <c r="P7" i="145"/>
  <c r="P7" i="146" s="1"/>
  <c r="P6" i="41"/>
  <c r="P6" i="128"/>
  <c r="P6" i="130"/>
  <c r="Q6" i="145"/>
  <c r="R5" i="145" s="1"/>
  <c r="O7" i="146"/>
  <c r="O7" i="127"/>
  <c r="P6" i="148"/>
  <c r="T4" i="148"/>
  <c r="T4" i="130"/>
  <c r="T4" i="128"/>
  <c r="T4" i="41"/>
  <c r="T4" i="137"/>
  <c r="T4" i="127"/>
  <c r="T4" i="146"/>
  <c r="Q5" i="148"/>
  <c r="Q5" i="130"/>
  <c r="Q5" i="128"/>
  <c r="Q5" i="41"/>
  <c r="Q5" i="137"/>
  <c r="Q5" i="127"/>
  <c r="Q5" i="146"/>
  <c r="U4" i="145"/>
  <c r="P7" i="130" l="1"/>
  <c r="P7" i="148"/>
  <c r="Q6" i="127"/>
  <c r="P7" i="41"/>
  <c r="P7" i="128"/>
  <c r="Q7" i="145"/>
  <c r="Q7" i="146" s="1"/>
  <c r="Q6" i="130"/>
  <c r="Q6" i="137"/>
  <c r="Q6" i="128"/>
  <c r="P7" i="127"/>
  <c r="Q6" i="146"/>
  <c r="Q6" i="41"/>
  <c r="P7" i="137"/>
  <c r="R6" i="145"/>
  <c r="S5" i="145" s="1"/>
  <c r="Q6" i="148"/>
  <c r="U4" i="148"/>
  <c r="U4" i="130"/>
  <c r="U4" i="128"/>
  <c r="U4" i="41"/>
  <c r="U4" i="137"/>
  <c r="U4" i="127"/>
  <c r="U4" i="146"/>
  <c r="R5" i="148"/>
  <c r="R5" i="41"/>
  <c r="R5" i="137"/>
  <c r="R5" i="127"/>
  <c r="R5" i="130"/>
  <c r="R5" i="128"/>
  <c r="R5" i="146"/>
  <c r="V4" i="145"/>
  <c r="Q7" i="41" l="1"/>
  <c r="Q7" i="128"/>
  <c r="Q7" i="148"/>
  <c r="Q7" i="130"/>
  <c r="R6" i="128"/>
  <c r="Q7" i="127"/>
  <c r="Q7" i="137"/>
  <c r="R6" i="146"/>
  <c r="R6" i="137"/>
  <c r="R6" i="130"/>
  <c r="R6" i="127"/>
  <c r="R6" i="41"/>
  <c r="R6" i="148"/>
  <c r="R7" i="145"/>
  <c r="R7" i="130" s="1"/>
  <c r="S6" i="145"/>
  <c r="T5" i="145" s="1"/>
  <c r="V4" i="148"/>
  <c r="V4" i="130"/>
  <c r="V4" i="128"/>
  <c r="V4" i="41"/>
  <c r="V4" i="137"/>
  <c r="V4" i="127"/>
  <c r="V4" i="146"/>
  <c r="S5" i="148"/>
  <c r="S5" i="130"/>
  <c r="S5" i="128"/>
  <c r="S5" i="146"/>
  <c r="S5" i="41"/>
  <c r="S5" i="137"/>
  <c r="S5" i="127"/>
  <c r="W4" i="145"/>
  <c r="D22" i="69"/>
  <c r="S7" i="145" l="1"/>
  <c r="S7" i="127" s="1"/>
  <c r="S6" i="137"/>
  <c r="S6" i="148"/>
  <c r="R7" i="146"/>
  <c r="R7" i="41"/>
  <c r="R7" i="127"/>
  <c r="R7" i="137"/>
  <c r="R7" i="128"/>
  <c r="R7" i="148"/>
  <c r="S6" i="41"/>
  <c r="S6" i="128"/>
  <c r="S6" i="130"/>
  <c r="S6" i="146"/>
  <c r="T6" i="145"/>
  <c r="U5" i="145" s="1"/>
  <c r="S6" i="127"/>
  <c r="W4" i="148"/>
  <c r="W4" i="130"/>
  <c r="W4" i="128"/>
  <c r="W4" i="41"/>
  <c r="W4" i="137"/>
  <c r="W4" i="127"/>
  <c r="W4" i="146"/>
  <c r="T5" i="148"/>
  <c r="T5" i="130"/>
  <c r="T5" i="128"/>
  <c r="T5" i="41"/>
  <c r="T5" i="137"/>
  <c r="I49" i="137" s="1"/>
  <c r="T5" i="146"/>
  <c r="I102" i="146" s="1"/>
  <c r="T5" i="127"/>
  <c r="I64" i="127" s="1"/>
  <c r="I67" i="127" s="1"/>
  <c r="I110" i="127" s="1"/>
  <c r="X4" i="145"/>
  <c r="T6" i="41" l="1"/>
  <c r="T17" i="41" s="1"/>
  <c r="I68" i="127"/>
  <c r="I111" i="127" s="1"/>
  <c r="I118" i="127" s="1"/>
  <c r="T123" i="127" s="1"/>
  <c r="T6" i="148"/>
  <c r="S7" i="137"/>
  <c r="S7" i="128"/>
  <c r="S7" i="41"/>
  <c r="S7" i="146"/>
  <c r="S7" i="148"/>
  <c r="S7" i="130"/>
  <c r="T6" i="128"/>
  <c r="T56" i="128" s="1"/>
  <c r="T6" i="130"/>
  <c r="T7" i="145"/>
  <c r="T7" i="146" s="1"/>
  <c r="T6" i="137"/>
  <c r="T6" i="146"/>
  <c r="T6" i="127"/>
  <c r="U6" i="145"/>
  <c r="V5" i="145" s="1"/>
  <c r="X4" i="148"/>
  <c r="X4" i="130"/>
  <c r="X4" i="128"/>
  <c r="X4" i="41"/>
  <c r="X4" i="137"/>
  <c r="X4" i="127"/>
  <c r="X4" i="146"/>
  <c r="U5" i="148"/>
  <c r="U5" i="130"/>
  <c r="U5" i="128"/>
  <c r="U5" i="41"/>
  <c r="U5" i="146"/>
  <c r="U5" i="137"/>
  <c r="U5" i="127"/>
  <c r="Y4" i="145"/>
  <c r="T23" i="41" l="1"/>
  <c r="T113" i="41" s="1"/>
  <c r="T115" i="41" s="1"/>
  <c r="T119" i="41" s="1"/>
  <c r="T67" i="146" a="1"/>
  <c r="T67" i="146" s="1"/>
  <c r="T81" i="146" s="1"/>
  <c r="T69" i="146" a="1"/>
  <c r="T69" i="146" s="1"/>
  <c r="T75" i="146" a="1"/>
  <c r="T75" i="146" s="1"/>
  <c r="T72" i="146" a="1"/>
  <c r="T72" i="146" s="1"/>
  <c r="T71" i="146" a="1"/>
  <c r="T71" i="146" s="1"/>
  <c r="T73" i="146" a="1"/>
  <c r="T73" i="146" s="1"/>
  <c r="T74" i="146" a="1"/>
  <c r="T74" i="146" s="1"/>
  <c r="T70" i="146" a="1"/>
  <c r="T70" i="146" s="1"/>
  <c r="T68" i="146" a="1"/>
  <c r="T68" i="146" s="1"/>
  <c r="T7" i="127"/>
  <c r="T7" i="128"/>
  <c r="T7" i="41"/>
  <c r="U7" i="145"/>
  <c r="U7" i="130" s="1"/>
  <c r="U6" i="127"/>
  <c r="T7" i="130"/>
  <c r="T7" i="148"/>
  <c r="U6" i="146"/>
  <c r="U6" i="137"/>
  <c r="U6" i="41"/>
  <c r="U18" i="41" s="1"/>
  <c r="T7" i="137"/>
  <c r="U6" i="130"/>
  <c r="U6" i="128"/>
  <c r="U18" i="128" s="1"/>
  <c r="U6" i="148"/>
  <c r="V6" i="145"/>
  <c r="W5" i="145" s="1"/>
  <c r="Y4" i="148"/>
  <c r="Y4" i="130"/>
  <c r="Y4" i="128"/>
  <c r="Y4" i="41"/>
  <c r="Y4" i="137"/>
  <c r="Y4" i="127"/>
  <c r="Y4" i="146"/>
  <c r="V5" i="148"/>
  <c r="V5" i="137"/>
  <c r="V5" i="127"/>
  <c r="V5" i="130"/>
  <c r="V5" i="128"/>
  <c r="V5" i="41"/>
  <c r="V5" i="146"/>
  <c r="Z4" i="145"/>
  <c r="T102" i="41" l="1"/>
  <c r="T103" i="41"/>
  <c r="T101" i="41"/>
  <c r="U74" i="146" a="1"/>
  <c r="U74" i="146" s="1"/>
  <c r="U70" i="146" a="1"/>
  <c r="U70" i="146" s="1"/>
  <c r="U73" i="146" a="1"/>
  <c r="U73" i="146" s="1"/>
  <c r="U68" i="146" a="1"/>
  <c r="U68" i="146" s="1"/>
  <c r="U67" i="146" a="1"/>
  <c r="U67" i="146" s="1"/>
  <c r="U65" i="146" a="1"/>
  <c r="U65" i="146" s="1"/>
  <c r="U75" i="146" a="1"/>
  <c r="U75" i="146" s="1"/>
  <c r="U66" i="146" a="1"/>
  <c r="U66" i="146" s="1"/>
  <c r="U69" i="146" a="1"/>
  <c r="U69" i="146" s="1"/>
  <c r="U72" i="146" a="1"/>
  <c r="U72" i="146" s="1"/>
  <c r="U64" i="146" a="1"/>
  <c r="U64" i="146" s="1"/>
  <c r="U71" i="146" a="1"/>
  <c r="U71" i="146" s="1"/>
  <c r="T82" i="146"/>
  <c r="T83" i="146" s="1"/>
  <c r="T84" i="146" s="1"/>
  <c r="T85" i="146" s="1"/>
  <c r="T86" i="146" s="1"/>
  <c r="T87" i="146" s="1"/>
  <c r="T88" i="146" s="1"/>
  <c r="T89" i="146" s="1"/>
  <c r="U7" i="146"/>
  <c r="U7" i="127"/>
  <c r="U7" i="148"/>
  <c r="U7" i="137"/>
  <c r="U7" i="41"/>
  <c r="U7" i="128"/>
  <c r="U111" i="146" a="1"/>
  <c r="U111" i="146" s="1"/>
  <c r="T125" i="127"/>
  <c r="T68" i="41" s="1"/>
  <c r="U23" i="41"/>
  <c r="V6" i="146"/>
  <c r="V6" i="127"/>
  <c r="V6" i="137"/>
  <c r="U17" i="41"/>
  <c r="V6" i="41"/>
  <c r="V6" i="148"/>
  <c r="V6" i="128"/>
  <c r="V18" i="128" s="1"/>
  <c r="V6" i="130"/>
  <c r="V7" i="145"/>
  <c r="V7" i="148" s="1"/>
  <c r="W6" i="145"/>
  <c r="X5" i="145" s="1"/>
  <c r="Z4" i="148"/>
  <c r="Z4" i="130"/>
  <c r="Z4" i="128"/>
  <c r="Z4" i="41"/>
  <c r="Z4" i="137"/>
  <c r="Z4" i="127"/>
  <c r="Z4" i="146"/>
  <c r="W5" i="148"/>
  <c r="W5" i="130"/>
  <c r="W5" i="128"/>
  <c r="W5" i="41"/>
  <c r="W5" i="146"/>
  <c r="W5" i="137"/>
  <c r="W5" i="127"/>
  <c r="AA4" i="145"/>
  <c r="T104" i="41" l="1"/>
  <c r="V19" i="128"/>
  <c r="V51" i="128" s="1"/>
  <c r="I103" i="146"/>
  <c r="I105" i="146" s="1"/>
  <c r="V64" i="146" a="1"/>
  <c r="V64" i="146" s="1"/>
  <c r="V69" i="146" a="1"/>
  <c r="V69" i="146" s="1"/>
  <c r="V65" i="146" a="1"/>
  <c r="V65" i="146" s="1"/>
  <c r="V68" i="146" a="1"/>
  <c r="V68" i="146" s="1"/>
  <c r="V70" i="146" a="1"/>
  <c r="V70" i="146" s="1"/>
  <c r="V67" i="146" a="1"/>
  <c r="V67" i="146" s="1"/>
  <c r="V73" i="146" a="1"/>
  <c r="V73" i="146" s="1"/>
  <c r="V66" i="146" a="1"/>
  <c r="V66" i="146" s="1"/>
  <c r="V74" i="146" a="1"/>
  <c r="V74" i="146" s="1"/>
  <c r="V75" i="146" a="1"/>
  <c r="V75" i="146" s="1"/>
  <c r="V72" i="146" a="1"/>
  <c r="V72" i="146" s="1"/>
  <c r="V71" i="146" a="1"/>
  <c r="V71" i="146" s="1"/>
  <c r="W7" i="145"/>
  <c r="W7" i="41" s="1"/>
  <c r="W6" i="128"/>
  <c r="W18" i="128" s="1"/>
  <c r="W6" i="130"/>
  <c r="V7" i="41"/>
  <c r="W6" i="137"/>
  <c r="V7" i="137"/>
  <c r="V111" i="146" a="1"/>
  <c r="V111" i="146" s="1"/>
  <c r="V7" i="146"/>
  <c r="W6" i="148"/>
  <c r="V7" i="127"/>
  <c r="U101" i="41"/>
  <c r="U103" i="41"/>
  <c r="U102" i="41"/>
  <c r="V23" i="41"/>
  <c r="V19" i="41"/>
  <c r="V17" i="41"/>
  <c r="V18" i="41"/>
  <c r="U76" i="41"/>
  <c r="U88" i="41" s="1"/>
  <c r="U109" i="41" s="1"/>
  <c r="U42" i="41"/>
  <c r="U54" i="41" s="1"/>
  <c r="V7" i="128"/>
  <c r="V7" i="130"/>
  <c r="W6" i="146"/>
  <c r="W6" i="127"/>
  <c r="W6" i="41"/>
  <c r="X6" i="145"/>
  <c r="Y5" i="145" s="1"/>
  <c r="AA4" i="148"/>
  <c r="AA4" i="130"/>
  <c r="AA4" i="128"/>
  <c r="AA4" i="41"/>
  <c r="AA4" i="137"/>
  <c r="AA4" i="127"/>
  <c r="AA4" i="146"/>
  <c r="X5" i="148"/>
  <c r="X5" i="130"/>
  <c r="X5" i="128"/>
  <c r="X5" i="41"/>
  <c r="X5" i="137"/>
  <c r="X5" i="146"/>
  <c r="X5" i="127"/>
  <c r="T118" i="41" l="1"/>
  <c r="W19" i="128"/>
  <c r="W51" i="128" s="1"/>
  <c r="W7" i="127"/>
  <c r="W7" i="128"/>
  <c r="W7" i="130"/>
  <c r="W111" i="146" a="1"/>
  <c r="W111" i="146" s="1"/>
  <c r="W65" i="146" a="1"/>
  <c r="W65" i="146" s="1"/>
  <c r="W68" i="146" a="1"/>
  <c r="W68" i="146" s="1"/>
  <c r="W69" i="146" a="1"/>
  <c r="W69" i="146" s="1"/>
  <c r="W75" i="146" a="1"/>
  <c r="W75" i="146" s="1"/>
  <c r="W73" i="146" a="1"/>
  <c r="W73" i="146" s="1"/>
  <c r="W72" i="146" a="1"/>
  <c r="W72" i="146" s="1"/>
  <c r="W67" i="146" a="1"/>
  <c r="W67" i="146" s="1"/>
  <c r="W66" i="146" a="1"/>
  <c r="W66" i="146" s="1"/>
  <c r="W74" i="146" a="1"/>
  <c r="W74" i="146" s="1"/>
  <c r="W71" i="146" a="1"/>
  <c r="W71" i="146" s="1"/>
  <c r="W70" i="146" a="1"/>
  <c r="W70" i="146" s="1"/>
  <c r="W64" i="146" a="1"/>
  <c r="W64" i="146" s="1"/>
  <c r="W7" i="148"/>
  <c r="W7" i="137"/>
  <c r="W7" i="146"/>
  <c r="X7" i="145"/>
  <c r="X7" i="146" s="1"/>
  <c r="X6" i="146"/>
  <c r="X6" i="127"/>
  <c r="U108" i="41"/>
  <c r="V101" i="41"/>
  <c r="V103" i="41"/>
  <c r="V102" i="41"/>
  <c r="U104" i="41"/>
  <c r="W23" i="41"/>
  <c r="W101" i="41" s="1"/>
  <c r="W19" i="41"/>
  <c r="V42" i="41"/>
  <c r="V54" i="41" s="1"/>
  <c r="V108" i="41" s="1"/>
  <c r="V76" i="41"/>
  <c r="V88" i="41" s="1"/>
  <c r="W17" i="41"/>
  <c r="W18" i="41"/>
  <c r="X6" i="137"/>
  <c r="X6" i="41"/>
  <c r="X6" i="128"/>
  <c r="X18" i="128" s="1"/>
  <c r="X6" i="130"/>
  <c r="X6" i="148"/>
  <c r="Y6" i="145"/>
  <c r="Z5" i="145" s="1"/>
  <c r="Y5" i="148"/>
  <c r="Y5" i="130"/>
  <c r="Y5" i="128"/>
  <c r="Y5" i="41"/>
  <c r="Y5" i="146"/>
  <c r="Y5" i="137"/>
  <c r="Y5" i="127"/>
  <c r="U118" i="41" l="1"/>
  <c r="Y6" i="146"/>
  <c r="Y65" i="146" s="1" a="1"/>
  <c r="Y65" i="146" s="1"/>
  <c r="Y6" i="137"/>
  <c r="X19" i="128"/>
  <c r="X51" i="128" s="1"/>
  <c r="X74" i="146" a="1"/>
  <c r="X74" i="146" s="1"/>
  <c r="X67" i="146" a="1"/>
  <c r="X67" i="146" s="1"/>
  <c r="X75" i="146" a="1"/>
  <c r="X75" i="146" s="1"/>
  <c r="X71" i="146" a="1"/>
  <c r="X71" i="146" s="1"/>
  <c r="X64" i="146" a="1"/>
  <c r="X64" i="146" s="1"/>
  <c r="X70" i="146" a="1"/>
  <c r="X70" i="146" s="1"/>
  <c r="X73" i="146" a="1"/>
  <c r="X73" i="146" s="1"/>
  <c r="X66" i="146" a="1"/>
  <c r="X66" i="146" s="1"/>
  <c r="X69" i="146" a="1"/>
  <c r="X69" i="146" s="1"/>
  <c r="X65" i="146" a="1"/>
  <c r="X65" i="146" s="1"/>
  <c r="X72" i="146" a="1"/>
  <c r="X72" i="146" s="1"/>
  <c r="X68" i="146" a="1"/>
  <c r="X68" i="146" s="1"/>
  <c r="U78" i="146"/>
  <c r="U79" i="146" s="1"/>
  <c r="U80" i="146" s="1"/>
  <c r="V109" i="41"/>
  <c r="X7" i="127"/>
  <c r="X7" i="137"/>
  <c r="X7" i="41"/>
  <c r="X7" i="128"/>
  <c r="X7" i="148"/>
  <c r="X7" i="130"/>
  <c r="X111" i="146" a="1"/>
  <c r="X111" i="146" s="1"/>
  <c r="V104" i="41"/>
  <c r="W102" i="41"/>
  <c r="W103" i="41"/>
  <c r="X23" i="41"/>
  <c r="X19" i="41"/>
  <c r="W76" i="41"/>
  <c r="W88" i="41" s="1"/>
  <c r="W42" i="41"/>
  <c r="W54" i="41" s="1"/>
  <c r="W108" i="41" s="1"/>
  <c r="X17" i="41"/>
  <c r="X18" i="41"/>
  <c r="Y6" i="127"/>
  <c r="Y6" i="128"/>
  <c r="Y18" i="128" s="1"/>
  <c r="Y6" i="130"/>
  <c r="Y6" i="41"/>
  <c r="Y6" i="148"/>
  <c r="Y7" i="145"/>
  <c r="Y7" i="137" s="1"/>
  <c r="Z6" i="145"/>
  <c r="AA5" i="145" s="1"/>
  <c r="Z5" i="148"/>
  <c r="Z5" i="127"/>
  <c r="Z5" i="130"/>
  <c r="Z5" i="128"/>
  <c r="Z5" i="41"/>
  <c r="Z5" i="146"/>
  <c r="Z5" i="137"/>
  <c r="Y68" i="146" l="1" a="1"/>
  <c r="Y68" i="146" s="1"/>
  <c r="V118" i="41"/>
  <c r="Y69" i="146" a="1"/>
  <c r="Y69" i="146" s="1"/>
  <c r="Y66" i="146" a="1"/>
  <c r="Y66" i="146" s="1"/>
  <c r="Y67" i="146" a="1"/>
  <c r="Y67" i="146" s="1"/>
  <c r="Y70" i="146" a="1"/>
  <c r="Y70" i="146" s="1"/>
  <c r="Y71" i="146" a="1"/>
  <c r="Y71" i="146" s="1"/>
  <c r="Y111" i="146" a="1"/>
  <c r="Y111" i="146" s="1"/>
  <c r="Y73" i="146" a="1"/>
  <c r="Y73" i="146" s="1"/>
  <c r="Y64" i="146" a="1"/>
  <c r="Y64" i="146" s="1"/>
  <c r="Y74" i="146" a="1"/>
  <c r="Y74" i="146" s="1"/>
  <c r="Y75" i="146" a="1"/>
  <c r="Y75" i="146" s="1"/>
  <c r="Y72" i="146" a="1"/>
  <c r="Y72" i="146" s="1"/>
  <c r="Y19" i="128"/>
  <c r="Y51" i="128" s="1"/>
  <c r="U81" i="146"/>
  <c r="U82" i="146" s="1"/>
  <c r="U83" i="146" s="1"/>
  <c r="U84" i="146" s="1"/>
  <c r="U85" i="146" s="1"/>
  <c r="U86" i="146" s="1"/>
  <c r="U87" i="146" s="1"/>
  <c r="U88" i="146" s="1"/>
  <c r="U89" i="146" s="1"/>
  <c r="U110" i="146"/>
  <c r="U112" i="146" s="1"/>
  <c r="T91" i="146"/>
  <c r="T93" i="146" s="1"/>
  <c r="K114" i="146" s="1"/>
  <c r="W109" i="41"/>
  <c r="W104" i="41"/>
  <c r="Y7" i="146"/>
  <c r="Y7" i="41"/>
  <c r="Y7" i="128"/>
  <c r="Y7" i="130"/>
  <c r="Y7" i="148"/>
  <c r="Z7" i="145"/>
  <c r="Z7" i="41" s="1"/>
  <c r="X103" i="41"/>
  <c r="X102" i="41"/>
  <c r="X101" i="41"/>
  <c r="Y23" i="41"/>
  <c r="Y19" i="41"/>
  <c r="X76" i="41"/>
  <c r="X88" i="41" s="1"/>
  <c r="Y17" i="41"/>
  <c r="X42" i="41"/>
  <c r="X54" i="41" s="1"/>
  <c r="X108" i="41" s="1"/>
  <c r="Y18" i="41"/>
  <c r="Z6" i="127"/>
  <c r="Z6" i="41"/>
  <c r="Z6" i="130"/>
  <c r="Z6" i="146"/>
  <c r="Z6" i="137"/>
  <c r="Y7" i="127"/>
  <c r="Z6" i="128"/>
  <c r="Z18" i="128" s="1"/>
  <c r="Z6" i="148"/>
  <c r="AA6" i="145"/>
  <c r="AA6" i="41" s="1"/>
  <c r="AA5" i="148"/>
  <c r="AA5" i="130"/>
  <c r="AA5" i="128"/>
  <c r="AA5" i="41"/>
  <c r="AA5" i="146"/>
  <c r="AA5" i="137"/>
  <c r="AA5" i="127"/>
  <c r="H11" i="69"/>
  <c r="W118" i="41" l="1"/>
  <c r="Z19" i="128"/>
  <c r="Z51" i="128" s="1"/>
  <c r="Z111" i="146" a="1"/>
  <c r="Z111" i="146" s="1"/>
  <c r="Z72" i="146" a="1"/>
  <c r="Z72" i="146" s="1"/>
  <c r="Z64" i="146" a="1"/>
  <c r="Z64" i="146" s="1"/>
  <c r="Z71" i="146" a="1"/>
  <c r="Z71" i="146" s="1"/>
  <c r="Z75" i="146" a="1"/>
  <c r="Z75" i="146" s="1"/>
  <c r="Z66" i="146" a="1"/>
  <c r="Z66" i="146" s="1"/>
  <c r="Z70" i="146" a="1"/>
  <c r="Z70" i="146" s="1"/>
  <c r="Z69" i="146" a="1"/>
  <c r="Z69" i="146" s="1"/>
  <c r="Z74" i="146" a="1"/>
  <c r="Z74" i="146" s="1"/>
  <c r="Z65" i="146" a="1"/>
  <c r="Z65" i="146" s="1"/>
  <c r="Z67" i="146" a="1"/>
  <c r="Z67" i="146" s="1"/>
  <c r="Z73" i="146" a="1"/>
  <c r="Z73" i="146" s="1"/>
  <c r="Z68" i="146" a="1"/>
  <c r="Z68" i="146" s="1"/>
  <c r="V78" i="146"/>
  <c r="V79" i="146" s="1"/>
  <c r="V80" i="146" s="1"/>
  <c r="X109" i="41"/>
  <c r="Z7" i="130"/>
  <c r="Z7" i="128"/>
  <c r="Y102" i="41"/>
  <c r="Z7" i="148"/>
  <c r="Z7" i="146"/>
  <c r="Z7" i="127"/>
  <c r="Z7" i="137"/>
  <c r="Y101" i="41"/>
  <c r="X104" i="41"/>
  <c r="Y103" i="41"/>
  <c r="AA23" i="41"/>
  <c r="AA103" i="41" s="1"/>
  <c r="AA19" i="41"/>
  <c r="Z23" i="41"/>
  <c r="Z19" i="41"/>
  <c r="Y76" i="41"/>
  <c r="Y88" i="41" s="1"/>
  <c r="Z18" i="41"/>
  <c r="Y42" i="41"/>
  <c r="Y54" i="41" s="1"/>
  <c r="Z17" i="41"/>
  <c r="AA6" i="146"/>
  <c r="AA6" i="148"/>
  <c r="AA6" i="128"/>
  <c r="AA18" i="128" s="1"/>
  <c r="AA6" i="130"/>
  <c r="AA7" i="145"/>
  <c r="AA7" i="148" s="1"/>
  <c r="AA6" i="127"/>
  <c r="AA6" i="137"/>
  <c r="AA18" i="41"/>
  <c r="X118" i="41" l="1"/>
  <c r="AA19" i="128"/>
  <c r="AA51" i="128" s="1"/>
  <c r="V81" i="146"/>
  <c r="V82" i="146" s="1"/>
  <c r="V83" i="146" s="1"/>
  <c r="V84" i="146" s="1"/>
  <c r="V85" i="146" s="1"/>
  <c r="V86" i="146" s="1"/>
  <c r="V87" i="146" s="1"/>
  <c r="V88" i="146" s="1"/>
  <c r="V89" i="146" s="1"/>
  <c r="W78" i="146" s="1"/>
  <c r="W79" i="146" s="1"/>
  <c r="W80" i="146" s="1"/>
  <c r="V110" i="146"/>
  <c r="V112" i="146" s="1"/>
  <c r="AA111" i="146" a="1"/>
  <c r="AA111" i="146" s="1"/>
  <c r="AA64" i="146" a="1"/>
  <c r="AA64" i="146" s="1"/>
  <c r="AA71" i="146" a="1"/>
  <c r="AA71" i="146" s="1"/>
  <c r="AA73" i="146" a="1"/>
  <c r="AA73" i="146" s="1"/>
  <c r="AA72" i="146" a="1"/>
  <c r="AA72" i="146" s="1"/>
  <c r="AA70" i="146" a="1"/>
  <c r="AA70" i="146" s="1"/>
  <c r="AA67" i="146" a="1"/>
  <c r="AA67" i="146" s="1"/>
  <c r="AA66" i="146" a="1"/>
  <c r="AA66" i="146" s="1"/>
  <c r="AA65" i="146" a="1"/>
  <c r="AA65" i="146" s="1"/>
  <c r="AA75" i="146" a="1"/>
  <c r="AA75" i="146" s="1"/>
  <c r="AA74" i="146" a="1"/>
  <c r="AA74" i="146" s="1"/>
  <c r="AA69" i="146" a="1"/>
  <c r="AA69" i="146" s="1"/>
  <c r="AA68" i="146" a="1"/>
  <c r="AA68" i="146" s="1"/>
  <c r="U91" i="146"/>
  <c r="U93" i="146" s="1"/>
  <c r="Y109" i="41"/>
  <c r="Y104" i="41"/>
  <c r="AA101" i="41"/>
  <c r="AA102" i="41"/>
  <c r="Y108" i="41"/>
  <c r="Z102" i="41"/>
  <c r="AA109" i="41"/>
  <c r="AA108" i="41"/>
  <c r="Z103" i="41"/>
  <c r="Z101" i="41"/>
  <c r="Z76" i="41"/>
  <c r="Z88" i="41" s="1"/>
  <c r="Z42" i="41"/>
  <c r="Z54" i="41" s="1"/>
  <c r="Z108" i="41" s="1"/>
  <c r="AA7" i="146"/>
  <c r="AA7" i="127"/>
  <c r="AA7" i="137"/>
  <c r="AA7" i="130"/>
  <c r="AA7" i="128"/>
  <c r="AA7" i="41"/>
  <c r="Y118" i="41" l="1"/>
  <c r="W81" i="146"/>
  <c r="W82" i="146" s="1"/>
  <c r="W83" i="146" s="1"/>
  <c r="W84" i="146" s="1"/>
  <c r="W85" i="146" s="1"/>
  <c r="W86" i="146" s="1"/>
  <c r="W87" i="146" s="1"/>
  <c r="W88" i="146" s="1"/>
  <c r="W89" i="146" s="1"/>
  <c r="W110" i="146"/>
  <c r="W112" i="146" s="1"/>
  <c r="V91" i="146"/>
  <c r="V93" i="146" s="1"/>
  <c r="Z109" i="41"/>
  <c r="AA104" i="41"/>
  <c r="Z104" i="41"/>
  <c r="Z118" i="41" l="1"/>
  <c r="AA118" i="41"/>
  <c r="X78" i="146"/>
  <c r="X79" i="146" s="1"/>
  <c r="X80" i="146" s="1"/>
  <c r="B10" i="137"/>
  <c r="G7" i="137"/>
  <c r="G6" i="137"/>
  <c r="C6" i="137"/>
  <c r="G5" i="137"/>
  <c r="C5" i="137"/>
  <c r="G4" i="137"/>
  <c r="C4" i="137"/>
  <c r="G7" i="130"/>
  <c r="G7" i="128"/>
  <c r="G7" i="41"/>
  <c r="G7" i="127"/>
  <c r="D28" i="69"/>
  <c r="D27" i="69"/>
  <c r="D26" i="69"/>
  <c r="D24" i="69"/>
  <c r="G140" i="127"/>
  <c r="D140" i="127"/>
  <c r="D78" i="127"/>
  <c r="G78" i="127"/>
  <c r="X81" i="146" l="1"/>
  <c r="X82" i="146" s="1"/>
  <c r="X83" i="146" s="1"/>
  <c r="X84" i="146" s="1"/>
  <c r="X85" i="146" s="1"/>
  <c r="X86" i="146" s="1"/>
  <c r="X87" i="146" s="1"/>
  <c r="X88" i="146" s="1"/>
  <c r="X89" i="146" s="1"/>
  <c r="X110" i="146"/>
  <c r="X112" i="146" s="1"/>
  <c r="W91" i="146"/>
  <c r="W93" i="146" s="1"/>
  <c r="Y78" i="146" l="1"/>
  <c r="Y79" i="146" s="1"/>
  <c r="Y80" i="146" s="1"/>
  <c r="U62" i="137"/>
  <c r="U69" i="137" l="1"/>
  <c r="U70" i="137"/>
  <c r="Y81" i="146"/>
  <c r="Y82" i="146" s="1"/>
  <c r="Y83" i="146" s="1"/>
  <c r="Y84" i="146" s="1"/>
  <c r="Y85" i="146" s="1"/>
  <c r="Y86" i="146" s="1"/>
  <c r="Y87" i="146" s="1"/>
  <c r="Y88" i="146" s="1"/>
  <c r="Y89" i="146" s="1"/>
  <c r="Y110" i="146"/>
  <c r="Y112" i="146" s="1"/>
  <c r="X91" i="146"/>
  <c r="X93" i="146" s="1"/>
  <c r="T62" i="137"/>
  <c r="V62" i="137"/>
  <c r="V69" i="137" l="1"/>
  <c r="V70" i="137"/>
  <c r="T69" i="137"/>
  <c r="T70" i="137"/>
  <c r="Z78" i="146"/>
  <c r="Z79" i="146" s="1"/>
  <c r="Z80" i="146" s="1"/>
  <c r="W62" i="137"/>
  <c r="W69" i="137" l="1"/>
  <c r="W70" i="137"/>
  <c r="Z81" i="146"/>
  <c r="Z82" i="146" s="1"/>
  <c r="Z83" i="146" s="1"/>
  <c r="Z84" i="146" s="1"/>
  <c r="Z85" i="146" s="1"/>
  <c r="Z86" i="146" s="1"/>
  <c r="Z87" i="146" s="1"/>
  <c r="Z88" i="146" s="1"/>
  <c r="Z89" i="146" s="1"/>
  <c r="Z110" i="146"/>
  <c r="Y91" i="146"/>
  <c r="Y93" i="146" s="1"/>
  <c r="X62" i="137"/>
  <c r="X69" i="137" l="1"/>
  <c r="X70" i="137"/>
  <c r="Z112" i="146"/>
  <c r="Y62" i="137"/>
  <c r="Y69" i="137" l="1"/>
  <c r="Y70" i="137"/>
  <c r="Z62" i="137"/>
  <c r="Z70" i="137" l="1"/>
  <c r="Z69" i="137"/>
  <c r="AA78" i="146"/>
  <c r="AA79" i="146" s="1"/>
  <c r="AA80" i="146" s="1"/>
  <c r="AA62" i="137"/>
  <c r="AA70" i="137" l="1"/>
  <c r="AA69" i="137"/>
  <c r="AA81" i="146"/>
  <c r="AA82" i="146" s="1"/>
  <c r="AA83" i="146" s="1"/>
  <c r="AA84" i="146" s="1"/>
  <c r="AA85" i="146" s="1"/>
  <c r="AA86" i="146" s="1"/>
  <c r="AA87" i="146" s="1"/>
  <c r="AA88" i="146" s="1"/>
  <c r="AA89" i="146" s="1"/>
  <c r="AA110" i="146"/>
  <c r="AA112" i="146" s="1"/>
  <c r="K112" i="146" s="1"/>
  <c r="Z91" i="146"/>
  <c r="Z93" i="146" s="1"/>
  <c r="K116" i="146" l="1"/>
  <c r="F23" i="69" s="1"/>
  <c r="AA91" i="146"/>
  <c r="AA93" i="146" s="1"/>
  <c r="G114" i="127"/>
  <c r="I50" i="127" l="1"/>
  <c r="D50" i="127"/>
  <c r="I49" i="127"/>
  <c r="D49" i="127"/>
  <c r="C48" i="127"/>
  <c r="C35" i="127"/>
  <c r="I35" i="127"/>
  <c r="G95" i="127"/>
  <c r="G93" i="127"/>
  <c r="G101" i="127"/>
  <c r="G100" i="127"/>
  <c r="G23" i="130"/>
  <c r="I28" i="127"/>
  <c r="G28" i="127"/>
  <c r="C28" i="127"/>
  <c r="G94" i="127"/>
  <c r="C19" i="130"/>
  <c r="G19" i="130"/>
  <c r="B10" i="130"/>
  <c r="C6" i="130"/>
  <c r="C5" i="130"/>
  <c r="C4" i="130"/>
  <c r="G18" i="130"/>
  <c r="G17" i="130"/>
  <c r="G16" i="130"/>
  <c r="G73" i="41"/>
  <c r="G72" i="41"/>
  <c r="G67" i="41"/>
  <c r="D67" i="41"/>
  <c r="D93" i="127"/>
  <c r="I27" i="128"/>
  <c r="G27" i="128"/>
  <c r="C27" i="128"/>
  <c r="B10" i="128"/>
  <c r="C6" i="128"/>
  <c r="C5" i="128"/>
  <c r="C4" i="128"/>
  <c r="B10" i="127"/>
  <c r="C6" i="127"/>
  <c r="C5" i="127"/>
  <c r="C4" i="127"/>
  <c r="W30" i="41"/>
  <c r="X30" i="41"/>
  <c r="Y30" i="41"/>
  <c r="Z30" i="41"/>
  <c r="AA30" i="41"/>
  <c r="X31" i="41"/>
  <c r="Y31" i="41"/>
  <c r="Z31" i="41"/>
  <c r="AA31" i="41"/>
  <c r="W34" i="41"/>
  <c r="X34" i="41"/>
  <c r="Y34" i="41"/>
  <c r="Z34" i="41"/>
  <c r="AA34" i="41"/>
  <c r="W35" i="41"/>
  <c r="X35" i="41"/>
  <c r="Y35" i="41"/>
  <c r="Z35" i="41"/>
  <c r="AA35" i="41"/>
  <c r="W36" i="41"/>
  <c r="X36" i="41"/>
  <c r="Y36" i="41"/>
  <c r="Z36" i="41"/>
  <c r="AA36" i="41"/>
  <c r="W37" i="41"/>
  <c r="X37" i="41"/>
  <c r="Y37" i="41"/>
  <c r="Z37" i="41"/>
  <c r="AA37" i="41"/>
  <c r="W38" i="41"/>
  <c r="X38" i="41"/>
  <c r="Y38" i="41"/>
  <c r="Z38" i="41"/>
  <c r="AA38" i="41"/>
  <c r="N26" i="127" l="1"/>
  <c r="T53" i="127"/>
  <c r="T55" i="127" s="1"/>
  <c r="Q53" i="127"/>
  <c r="R53" i="127"/>
  <c r="S53" i="127"/>
  <c r="O26" i="127"/>
  <c r="P26" i="127"/>
  <c r="M26" i="127"/>
  <c r="Z54" i="127" l="1"/>
  <c r="Z55" i="127" s="1"/>
  <c r="Y54" i="127"/>
  <c r="Y55" i="127" s="1"/>
  <c r="W54" i="127"/>
  <c r="W55" i="127" s="1"/>
  <c r="S55" i="127"/>
  <c r="X54" i="127"/>
  <c r="X55" i="127" s="1"/>
  <c r="U54" i="127"/>
  <c r="U55" i="127" s="1"/>
  <c r="V54" i="127"/>
  <c r="V55" i="127" s="1"/>
  <c r="AA54" i="127"/>
  <c r="AA55" i="127" s="1"/>
  <c r="Q55" i="127"/>
  <c r="R55" i="127"/>
  <c r="I89" i="127" l="1"/>
  <c r="K58" i="127"/>
  <c r="V38" i="41" l="1"/>
  <c r="V35" i="41"/>
  <c r="U35" i="41"/>
  <c r="T35" i="41"/>
  <c r="V34" i="41"/>
  <c r="D72" i="41"/>
  <c r="C17" i="130"/>
  <c r="C18" i="130"/>
  <c r="C16" i="130"/>
  <c r="D73" i="41"/>
  <c r="C6" i="41" l="1"/>
  <c r="C5" i="41"/>
  <c r="C4" i="41"/>
  <c r="B10" i="41" l="1"/>
  <c r="B5" i="69"/>
  <c r="G4" i="41" l="1"/>
  <c r="G4" i="128"/>
  <c r="G4" i="130"/>
  <c r="G4" i="127"/>
  <c r="G5" i="41"/>
  <c r="G5" i="128"/>
  <c r="G5" i="130"/>
  <c r="G5" i="127"/>
  <c r="G6" i="41"/>
  <c r="G6" i="127"/>
  <c r="G6" i="130"/>
  <c r="G6" i="128"/>
  <c r="T17" i="128" l="1"/>
  <c r="T40" i="128" l="1"/>
  <c r="T29" i="128"/>
  <c r="U17" i="128"/>
  <c r="U37" i="128" s="1"/>
  <c r="U40" i="128" l="1"/>
  <c r="T42" i="128"/>
  <c r="U29" i="128"/>
  <c r="V17" i="128"/>
  <c r="V37" i="128" s="1"/>
  <c r="V40" i="128" l="1"/>
  <c r="U41" i="128"/>
  <c r="U44" i="128"/>
  <c r="V29" i="128"/>
  <c r="U56" i="128" l="1"/>
  <c r="U46" i="128"/>
  <c r="U62" i="148" s="1"/>
  <c r="T52" i="128"/>
  <c r="W17" i="128"/>
  <c r="W37" i="128" s="1"/>
  <c r="W40" i="128" l="1"/>
  <c r="T21" i="130"/>
  <c r="T57" i="128"/>
  <c r="W29" i="128"/>
  <c r="X17" i="128" l="1"/>
  <c r="X37" i="128" s="1"/>
  <c r="X40" i="128" l="1"/>
  <c r="X29" i="128"/>
  <c r="Y17" i="128" l="1"/>
  <c r="Y37" i="128" s="1"/>
  <c r="Y40" i="128" l="1"/>
  <c r="Y29" i="128"/>
  <c r="Z17" i="128" l="1"/>
  <c r="Z37" i="128" s="1"/>
  <c r="Z40" i="128" l="1"/>
  <c r="Z29" i="128"/>
  <c r="I19" i="127" l="1"/>
  <c r="T78" i="127"/>
  <c r="T140" i="127"/>
  <c r="U140" i="127" l="1"/>
  <c r="U78" i="127"/>
  <c r="V140" i="127" l="1"/>
  <c r="V78" i="127"/>
  <c r="W140" i="127" l="1"/>
  <c r="W78" i="127"/>
  <c r="X140" i="127" l="1"/>
  <c r="X78" i="127"/>
  <c r="U42" i="128" l="1"/>
  <c r="Y140" i="127"/>
  <c r="Y78" i="127"/>
  <c r="V41" i="128" l="1"/>
  <c r="V44" i="128"/>
  <c r="V46" i="128" s="1"/>
  <c r="Z140" i="127"/>
  <c r="Z78" i="127"/>
  <c r="AA140" i="127"/>
  <c r="AA78" i="127"/>
  <c r="V62" i="148" l="1"/>
  <c r="V50" i="128"/>
  <c r="V56" i="128"/>
  <c r="U52" i="128"/>
  <c r="V42" i="128"/>
  <c r="U21" i="130" l="1"/>
  <c r="U57" i="128"/>
  <c r="K78" i="148" l="1"/>
  <c r="W41" i="128" l="1"/>
  <c r="W42" i="128" s="1"/>
  <c r="V52" i="128"/>
  <c r="V57" i="128" s="1"/>
  <c r="W44" i="128" l="1"/>
  <c r="W46" i="128" s="1"/>
  <c r="W62" i="148" s="1"/>
  <c r="V21" i="130"/>
  <c r="X44" i="128"/>
  <c r="X46" i="128" s="1"/>
  <c r="X62" i="148" s="1"/>
  <c r="X41" i="128"/>
  <c r="X42" i="128" s="1"/>
  <c r="W56" i="128" l="1"/>
  <c r="Y44" i="128"/>
  <c r="Y46" i="128" s="1"/>
  <c r="Y62" i="148" s="1"/>
  <c r="Y41" i="128"/>
  <c r="Y42" i="128" s="1"/>
  <c r="X56" i="128"/>
  <c r="W52" i="128"/>
  <c r="X52" i="128" l="1"/>
  <c r="Z44" i="128"/>
  <c r="Z46" i="128" s="1"/>
  <c r="Z62" i="148" s="1"/>
  <c r="Z41" i="128"/>
  <c r="Z42" i="128" s="1"/>
  <c r="AA44" i="128" s="1"/>
  <c r="AA46" i="128" s="1"/>
  <c r="W21" i="130"/>
  <c r="W57" i="128"/>
  <c r="Y56" i="128"/>
  <c r="Z56" i="128" l="1"/>
  <c r="Y52" i="128"/>
  <c r="X57" i="128"/>
  <c r="X21" i="130"/>
  <c r="AA56" i="128"/>
  <c r="K56" i="128" l="1"/>
  <c r="Z52" i="128"/>
  <c r="Z21" i="130" s="1"/>
  <c r="Y57" i="128"/>
  <c r="Y21" i="130"/>
  <c r="AA52" i="128"/>
  <c r="Z57" i="128" l="1"/>
  <c r="AA21" i="130"/>
  <c r="AA57" i="128"/>
  <c r="K57" i="128" l="1"/>
  <c r="K58" i="128" s="1"/>
  <c r="F27" i="69" s="1"/>
  <c r="T107" i="41" l="1"/>
  <c r="W107" i="41" l="1"/>
  <c r="W110" i="41" s="1"/>
  <c r="Y107" i="41" l="1"/>
  <c r="Y110" i="41" s="1"/>
  <c r="Z107" i="41" l="1"/>
  <c r="Z110" i="41" s="1"/>
  <c r="T120" i="41" l="1"/>
  <c r="T122" i="41" l="1"/>
  <c r="T131" i="41"/>
  <c r="T18" i="130" l="1"/>
  <c r="F29" i="69" l="1"/>
  <c r="AA107" i="41"/>
  <c r="AA110" i="41" s="1"/>
  <c r="X107" i="41"/>
  <c r="X110" i="41" s="1"/>
  <c r="V107" i="41"/>
  <c r="V110" i="41" s="1"/>
  <c r="U107" i="41"/>
  <c r="U110" i="41" s="1"/>
  <c r="T93" i="41"/>
  <c r="T42" i="41"/>
  <c r="T54" i="41" s="1"/>
  <c r="T88" i="41"/>
  <c r="T109" i="41" s="1"/>
  <c r="T91" i="41" l="1"/>
  <c r="T123" i="137" s="1"/>
  <c r="T59" i="41"/>
  <c r="T108" i="41"/>
  <c r="T110" i="41" s="1"/>
  <c r="U114" i="41" s="1"/>
  <c r="U115" i="41" s="1"/>
  <c r="U119" i="41" s="1"/>
  <c r="U120" i="41" s="1"/>
  <c r="V114" i="41" s="1"/>
  <c r="V115" i="41" s="1"/>
  <c r="V119" i="41" s="1"/>
  <c r="V120" i="41" s="1"/>
  <c r="T57" i="41"/>
  <c r="T129" i="41" s="1"/>
  <c r="T16" i="130" s="1"/>
  <c r="T130" i="41" l="1"/>
  <c r="T17" i="130" s="1"/>
  <c r="U122" i="41"/>
  <c r="U131" i="41"/>
  <c r="U18" i="130" s="1"/>
  <c r="V122" i="41"/>
  <c r="V131" i="41"/>
  <c r="V18" i="130" s="1"/>
  <c r="W114" i="41"/>
  <c r="W115" i="41" s="1"/>
  <c r="W119" i="41" s="1"/>
  <c r="W120" i="41" s="1"/>
  <c r="T132" i="41" l="1"/>
  <c r="T19" i="130" s="1"/>
  <c r="W131" i="41"/>
  <c r="W18" i="130" s="1"/>
  <c r="X114" i="41"/>
  <c r="X115" i="41" s="1"/>
  <c r="X119" i="41" s="1"/>
  <c r="X120" i="41" s="1"/>
  <c r="W122" i="41"/>
  <c r="T134" i="41" l="1"/>
  <c r="X131" i="41"/>
  <c r="X18" i="130" s="1"/>
  <c r="X122" i="41"/>
  <c r="Y114" i="41"/>
  <c r="Y115" i="41" s="1"/>
  <c r="Y119" i="41" s="1"/>
  <c r="Y120" i="41" s="1"/>
  <c r="Z114" i="41" l="1"/>
  <c r="Z115" i="41" s="1"/>
  <c r="Z119" i="41" s="1"/>
  <c r="Z120" i="41" s="1"/>
  <c r="Y122" i="41"/>
  <c r="Y131" i="41"/>
  <c r="Y18" i="130" s="1"/>
  <c r="Z131" i="41" l="1"/>
  <c r="Z18" i="130" s="1"/>
  <c r="AA114" i="41"/>
  <c r="AA115" i="41" s="1"/>
  <c r="AA119" i="41" s="1"/>
  <c r="AA120" i="41" s="1"/>
  <c r="Z122" i="41"/>
  <c r="AA131" i="41" l="1"/>
  <c r="AA18" i="130" s="1"/>
  <c r="AA122" i="41"/>
  <c r="K122" i="41" s="1"/>
  <c r="I113" i="127" l="1"/>
  <c r="I117" i="127" s="1"/>
  <c r="I120" i="127" s="1"/>
  <c r="T128" i="127" s="1"/>
  <c r="T130" i="127" s="1"/>
  <c r="U38" i="41" l="1"/>
  <c r="T38" i="41"/>
  <c r="T37" i="41"/>
  <c r="U34" i="41" l="1"/>
  <c r="T34" i="41"/>
  <c r="T33" i="41"/>
  <c r="T30" i="41"/>
  <c r="Q24" i="127" l="1"/>
  <c r="Q26" i="127" s="1"/>
  <c r="R24" i="127" l="1"/>
  <c r="R26" i="127" s="1"/>
  <c r="I17" i="137" l="1"/>
  <c r="I18" i="137"/>
  <c r="I20" i="137"/>
  <c r="I19" i="137"/>
  <c r="I28" i="137" l="1"/>
  <c r="I40" i="137" l="1"/>
  <c r="I55" i="137" s="1"/>
  <c r="T106" i="137" s="1"/>
  <c r="T109" i="137" s="1"/>
  <c r="I37" i="137"/>
  <c r="I52" i="137" s="1"/>
  <c r="T82" i="137" s="1"/>
  <c r="T85" i="137" s="1"/>
  <c r="T86" i="137" s="1"/>
  <c r="T87" i="137" s="1"/>
  <c r="U82" i="137" s="1"/>
  <c r="U85" i="137" s="1"/>
  <c r="I38" i="137"/>
  <c r="I53" i="137" s="1"/>
  <c r="T90" i="137" s="1"/>
  <c r="T93" i="137" s="1"/>
  <c r="T94" i="137" s="1"/>
  <c r="T95" i="137" s="1"/>
  <c r="U90" i="137" s="1"/>
  <c r="U93" i="137" s="1"/>
  <c r="U94" i="137" s="1"/>
  <c r="U95" i="137" s="1"/>
  <c r="V90" i="137" s="1"/>
  <c r="V93" i="137" s="1"/>
  <c r="V94" i="137" s="1"/>
  <c r="V95" i="137" s="1"/>
  <c r="W90" i="137" s="1"/>
  <c r="W93" i="137" s="1"/>
  <c r="W94" i="137" s="1"/>
  <c r="W95" i="137" s="1"/>
  <c r="X90" i="137" s="1"/>
  <c r="X93" i="137" s="1"/>
  <c r="X94" i="137" s="1"/>
  <c r="X95" i="137" s="1"/>
  <c r="Y90" i="137" s="1"/>
  <c r="Y93" i="137" s="1"/>
  <c r="Y94" i="137" s="1"/>
  <c r="Y95" i="137" s="1"/>
  <c r="Z90" i="137" s="1"/>
  <c r="Z93" i="137" s="1"/>
  <c r="Z94" i="137" s="1"/>
  <c r="Z95" i="137" s="1"/>
  <c r="AA90" i="137" s="1"/>
  <c r="AA93" i="137" s="1"/>
  <c r="AA94" i="137" s="1"/>
  <c r="AA95" i="137" s="1"/>
  <c r="U86" i="137" l="1"/>
  <c r="U87" i="137" s="1"/>
  <c r="V82" i="137" s="1"/>
  <c r="V85" i="137" s="1"/>
  <c r="V86" i="137" l="1"/>
  <c r="V87" i="137" s="1"/>
  <c r="W82" i="137" s="1"/>
  <c r="W85" i="137" s="1"/>
  <c r="W86" i="137" l="1"/>
  <c r="W87" i="137" s="1"/>
  <c r="X82" i="137" s="1"/>
  <c r="X85" i="137" s="1"/>
  <c r="X86" i="137" l="1"/>
  <c r="X87" i="137" s="1"/>
  <c r="Y82" i="137" s="1"/>
  <c r="Y85" i="137" s="1"/>
  <c r="Y86" i="137" s="1"/>
  <c r="Y87" i="137" s="1"/>
  <c r="Z82" i="137" s="1"/>
  <c r="Z85" i="137" s="1"/>
  <c r="Z86" i="137" l="1"/>
  <c r="Z87" i="137" s="1"/>
  <c r="AA82" i="137" s="1"/>
  <c r="AA85" i="137" s="1"/>
  <c r="AA86" i="137" s="1"/>
  <c r="AA87" i="137" s="1"/>
  <c r="I17" i="127" l="1"/>
  <c r="I18" i="127" s="1"/>
  <c r="I21" i="127" s="1"/>
  <c r="T25" i="127" s="1"/>
  <c r="T26" i="127" s="1"/>
  <c r="I143" i="145" l="1"/>
  <c r="I33" i="137" s="1"/>
  <c r="I39" i="137" s="1"/>
  <c r="I54" i="137" s="1"/>
  <c r="T98" i="137" s="1"/>
  <c r="T101" i="137" s="1"/>
  <c r="T102" i="137" s="1"/>
  <c r="T103" i="137" l="1"/>
  <c r="U98" i="137" s="1"/>
  <c r="U101" i="137" s="1"/>
  <c r="U102" i="137" s="1"/>
  <c r="S53" i="145"/>
  <c r="S24" i="127" s="1"/>
  <c r="S26" i="127" s="1"/>
  <c r="I38" i="127" s="1" a="1"/>
  <c r="I40" i="127" l="1"/>
  <c r="I42" i="127"/>
  <c r="I45" i="127"/>
  <c r="I39" i="127"/>
  <c r="I43" i="127"/>
  <c r="I41" i="127"/>
  <c r="I44" i="127"/>
  <c r="T44" i="127" s="1"/>
  <c r="U44" i="127" s="1"/>
  <c r="V44" i="127" s="1"/>
  <c r="W44" i="127" s="1"/>
  <c r="X44" i="127" s="1"/>
  <c r="Y44" i="127" s="1"/>
  <c r="Z44" i="127" s="1"/>
  <c r="AA44" i="127" s="1"/>
  <c r="K44" i="127" s="1"/>
  <c r="I38" i="127"/>
  <c r="U103" i="137"/>
  <c r="V98" i="137" s="1"/>
  <c r="V101" i="137" s="1"/>
  <c r="V102" i="137" s="1"/>
  <c r="Q41" i="127" l="1"/>
  <c r="R41" i="127" s="1"/>
  <c r="S41" i="127" s="1"/>
  <c r="S43" i="127"/>
  <c r="T43" i="127" s="1"/>
  <c r="U43" i="127" s="1"/>
  <c r="V43" i="127" s="1"/>
  <c r="W43" i="127" s="1"/>
  <c r="X43" i="127" s="1"/>
  <c r="N38" i="127"/>
  <c r="N46" i="127" s="1"/>
  <c r="O39" i="127"/>
  <c r="P39" i="127" s="1"/>
  <c r="Q39" i="127" s="1"/>
  <c r="R39" i="127" s="1"/>
  <c r="S39" i="127" s="1"/>
  <c r="T39" i="127" s="1"/>
  <c r="U39" i="127" s="1"/>
  <c r="V39" i="127" s="1"/>
  <c r="W39" i="127" s="1"/>
  <c r="X39" i="127" s="1"/>
  <c r="Y39" i="127" s="1"/>
  <c r="U45" i="127"/>
  <c r="V45" i="127" s="1"/>
  <c r="W45" i="127" s="1"/>
  <c r="X45" i="127" s="1"/>
  <c r="I94" i="127"/>
  <c r="R42" i="127"/>
  <c r="S42" i="127" s="1"/>
  <c r="T42" i="127" s="1"/>
  <c r="V103" i="137"/>
  <c r="W98" i="137" s="1"/>
  <c r="W101" i="137" s="1"/>
  <c r="W102" i="137" s="1"/>
  <c r="P40" i="127"/>
  <c r="Q40" i="127" s="1"/>
  <c r="R40" i="127" s="1"/>
  <c r="U42" i="127" l="1"/>
  <c r="Y43" i="127"/>
  <c r="W103" i="137"/>
  <c r="X98" i="137" s="1"/>
  <c r="X101" i="137" s="1"/>
  <c r="X102" i="137" s="1"/>
  <c r="Y45" i="127"/>
  <c r="Z45" i="127" s="1"/>
  <c r="AA45" i="127" s="1"/>
  <c r="K45" i="127" s="1"/>
  <c r="S40" i="127"/>
  <c r="T40" i="127" s="1"/>
  <c r="U40" i="127" s="1"/>
  <c r="V40" i="127" s="1"/>
  <c r="O38" i="127"/>
  <c r="T41" i="127"/>
  <c r="Z39" i="127"/>
  <c r="AA39" i="127" s="1"/>
  <c r="K39" i="127" s="1"/>
  <c r="Z43" i="127" l="1"/>
  <c r="AA43" i="127" s="1"/>
  <c r="V42" i="127"/>
  <c r="W42" i="127" s="1"/>
  <c r="X42" i="127" s="1"/>
  <c r="Y42" i="127" s="1"/>
  <c r="Z42" i="127" s="1"/>
  <c r="AA42" i="127" s="1"/>
  <c r="K42" i="127" s="1"/>
  <c r="W40" i="127"/>
  <c r="X40" i="127" s="1"/>
  <c r="Y40" i="127" s="1"/>
  <c r="Z40" i="127" s="1"/>
  <c r="AA40" i="127" s="1"/>
  <c r="K40" i="127" s="1"/>
  <c r="O46" i="127"/>
  <c r="P38" i="127"/>
  <c r="X103" i="137"/>
  <c r="Y98" i="137" s="1"/>
  <c r="Y101" i="137" s="1"/>
  <c r="Y102" i="137" s="1"/>
  <c r="U41" i="127"/>
  <c r="K43" i="127" l="1"/>
  <c r="Y103" i="137"/>
  <c r="Z98" i="137" s="1"/>
  <c r="Z101" i="137" s="1"/>
  <c r="Z102" i="137" s="1"/>
  <c r="Z103" i="137" s="1"/>
  <c r="AA98" i="137" s="1"/>
  <c r="AA101" i="137" s="1"/>
  <c r="AA102" i="137" s="1"/>
  <c r="AA103" i="137" s="1"/>
  <c r="K115" i="137" s="1"/>
  <c r="P46" i="127"/>
  <c r="Q38" i="127"/>
  <c r="V41" i="127"/>
  <c r="W41" i="127" s="1"/>
  <c r="X41" i="127" s="1"/>
  <c r="Y41" i="127" s="1"/>
  <c r="Z41" i="127" s="1"/>
  <c r="AA41" i="127" s="1"/>
  <c r="K41" i="127" s="1"/>
  <c r="R38" i="127" l="1"/>
  <c r="Q46" i="127"/>
  <c r="R46" i="127" l="1"/>
  <c r="S38" i="127"/>
  <c r="T38" i="127" s="1"/>
  <c r="T46" i="127" s="1"/>
  <c r="U38" i="127" l="1"/>
  <c r="U46" i="127" s="1"/>
  <c r="U76" i="127" s="1"/>
  <c r="U77" i="127" s="1"/>
  <c r="I72" i="127"/>
  <c r="T75" i="127" s="1"/>
  <c r="T77" i="127" s="1"/>
  <c r="I71" i="127"/>
  <c r="S46" i="127"/>
  <c r="I88" i="127" s="1"/>
  <c r="I90" i="127" s="1"/>
  <c r="V38" i="127" l="1"/>
  <c r="V46" i="127" s="1"/>
  <c r="V76" i="127" s="1"/>
  <c r="V77" i="127" s="1"/>
  <c r="I93" i="127"/>
  <c r="K81" i="127"/>
  <c r="I95" i="127"/>
  <c r="I96" i="127" s="1"/>
  <c r="T99" i="127" s="1"/>
  <c r="T101" i="127"/>
  <c r="T79" i="127"/>
  <c r="U101" i="127"/>
  <c r="U79" i="127"/>
  <c r="W38" i="127" l="1"/>
  <c r="T102" i="127"/>
  <c r="W46" i="127"/>
  <c r="W76" i="127" s="1"/>
  <c r="W77" i="127" s="1"/>
  <c r="X38" i="127"/>
  <c r="X46" i="127" s="1"/>
  <c r="X76" i="127" s="1"/>
  <c r="X77" i="127" s="1"/>
  <c r="T72" i="41"/>
  <c r="V101" i="127"/>
  <c r="V79" i="127"/>
  <c r="U72" i="41"/>
  <c r="X79" i="127" l="1"/>
  <c r="X101" i="127"/>
  <c r="W79" i="127"/>
  <c r="W101" i="127"/>
  <c r="V72" i="41"/>
  <c r="Y38" i="127"/>
  <c r="T23" i="130"/>
  <c r="U99" i="127"/>
  <c r="U102" i="127" s="1"/>
  <c r="T137" i="127"/>
  <c r="T139" i="127" s="1"/>
  <c r="T141" i="127" s="1"/>
  <c r="T67" i="41" s="1"/>
  <c r="T69" i="41" s="1"/>
  <c r="T73" i="41" s="1"/>
  <c r="T74" i="41" s="1"/>
  <c r="T79" i="41" s="1"/>
  <c r="T81" i="41" s="1"/>
  <c r="U83" i="41" l="1"/>
  <c r="U80" i="41"/>
  <c r="W72" i="41"/>
  <c r="X72" i="41"/>
  <c r="U138" i="127"/>
  <c r="U139" i="127" s="1"/>
  <c r="U141" i="127" s="1"/>
  <c r="U67" i="41" s="1"/>
  <c r="U69" i="41" s="1"/>
  <c r="U73" i="41" s="1"/>
  <c r="U74" i="41" s="1"/>
  <c r="V99" i="127"/>
  <c r="U23" i="130"/>
  <c r="Y46" i="127"/>
  <c r="Y76" i="127" s="1"/>
  <c r="Y77" i="127" s="1"/>
  <c r="Z38" i="127"/>
  <c r="U85" i="41" l="1"/>
  <c r="U79" i="41"/>
  <c r="U81" i="41" s="1"/>
  <c r="Y79" i="127"/>
  <c r="Y101" i="127"/>
  <c r="Z46" i="127"/>
  <c r="Z76" i="127" s="1"/>
  <c r="Z77" i="127" s="1"/>
  <c r="AA38" i="127"/>
  <c r="V102" i="127"/>
  <c r="V138" i="127" s="1"/>
  <c r="V139" i="127" s="1"/>
  <c r="V141" i="127" s="1"/>
  <c r="V67" i="41" s="1"/>
  <c r="V69" i="41" s="1"/>
  <c r="V73" i="41" s="1"/>
  <c r="V74" i="41" s="1"/>
  <c r="V79" i="41" l="1"/>
  <c r="V90" i="41"/>
  <c r="Z101" i="127"/>
  <c r="Z79" i="127"/>
  <c r="Y72" i="41"/>
  <c r="W99" i="127"/>
  <c r="V23" i="130"/>
  <c r="AA46" i="127"/>
  <c r="AA76" i="127" s="1"/>
  <c r="AA77" i="127" s="1"/>
  <c r="K38" i="127"/>
  <c r="K57" i="127" s="1"/>
  <c r="V83" i="41"/>
  <c r="V94" i="41" s="1"/>
  <c r="V80" i="41"/>
  <c r="U89" i="41"/>
  <c r="U43" i="148"/>
  <c r="W102" i="127" l="1"/>
  <c r="W138" i="127" s="1"/>
  <c r="W139" i="127" s="1"/>
  <c r="W141" i="127" s="1"/>
  <c r="W67" i="41" s="1"/>
  <c r="W69" i="41" s="1"/>
  <c r="W73" i="41" s="1"/>
  <c r="W74" i="41" s="1"/>
  <c r="Z72" i="41"/>
  <c r="AA101" i="127"/>
  <c r="AA79" i="127"/>
  <c r="W158" i="145" s="1"/>
  <c r="W66" i="137" s="1"/>
  <c r="U93" i="41"/>
  <c r="U91" i="41"/>
  <c r="V85" i="41"/>
  <c r="V81" i="41"/>
  <c r="W79" i="41" l="1"/>
  <c r="W90" i="41"/>
  <c r="AA158" i="145"/>
  <c r="AA66" i="137" s="1"/>
  <c r="AA72" i="137" s="1"/>
  <c r="AA72" i="41"/>
  <c r="T158" i="145"/>
  <c r="U158" i="145"/>
  <c r="U66" i="137" s="1"/>
  <c r="X158" i="145"/>
  <c r="X66" i="137" s="1"/>
  <c r="Y158" i="145"/>
  <c r="Y66" i="137" s="1"/>
  <c r="V158" i="145"/>
  <c r="V66" i="137" s="1"/>
  <c r="Z158" i="145"/>
  <c r="Z66" i="137" s="1"/>
  <c r="W83" i="41"/>
  <c r="W94" i="41" s="1"/>
  <c r="W80" i="41"/>
  <c r="V43" i="148"/>
  <c r="V89" i="41"/>
  <c r="U123" i="137"/>
  <c r="U130" i="41"/>
  <c r="U17" i="130" s="1"/>
  <c r="W23" i="130"/>
  <c r="X99" i="127"/>
  <c r="X102" i="127" s="1"/>
  <c r="Y72" i="137" l="1"/>
  <c r="W72" i="137"/>
  <c r="Z72" i="137"/>
  <c r="X138" i="127"/>
  <c r="X139" i="127" s="1"/>
  <c r="X141" i="127" s="1"/>
  <c r="X67" i="41" s="1"/>
  <c r="X69" i="41" s="1"/>
  <c r="X73" i="41" s="1"/>
  <c r="X74" i="41" s="1"/>
  <c r="Y99" i="127"/>
  <c r="Y102" i="127" s="1"/>
  <c r="X23" i="130"/>
  <c r="V72" i="137"/>
  <c r="W85" i="41"/>
  <c r="K158" i="145"/>
  <c r="K166" i="145" s="1"/>
  <c r="F22" i="69" s="1"/>
  <c r="T66" i="137"/>
  <c r="X72" i="137"/>
  <c r="W81" i="41"/>
  <c r="V93" i="41"/>
  <c r="V91" i="41"/>
  <c r="U72" i="137"/>
  <c r="W89" i="41" l="1"/>
  <c r="W43" i="148"/>
  <c r="V123" i="137"/>
  <c r="V130" i="41"/>
  <c r="V17" i="130" s="1"/>
  <c r="Y138" i="127"/>
  <c r="Y139" i="127" s="1"/>
  <c r="Y141" i="127" s="1"/>
  <c r="Y67" i="41" s="1"/>
  <c r="Y69" i="41" s="1"/>
  <c r="Y73" i="41" s="1"/>
  <c r="Y74" i="41" s="1"/>
  <c r="Y23" i="130"/>
  <c r="Z99" i="127"/>
  <c r="X90" i="41"/>
  <c r="X79" i="41"/>
  <c r="X83" i="41"/>
  <c r="X94" i="41" s="1"/>
  <c r="X80" i="41"/>
  <c r="T72" i="137"/>
  <c r="T110" i="137" s="1"/>
  <c r="K75" i="137"/>
  <c r="X81" i="41" l="1"/>
  <c r="Y83" i="41" s="1"/>
  <c r="Y94" i="41" s="1"/>
  <c r="X85" i="41"/>
  <c r="T111" i="137"/>
  <c r="U106" i="137" s="1"/>
  <c r="U109" i="137" s="1"/>
  <c r="T113" i="137"/>
  <c r="T124" i="137" s="1"/>
  <c r="T126" i="137" s="1"/>
  <c r="T132" i="137" s="1"/>
  <c r="T32" i="41" s="1"/>
  <c r="Y80" i="41"/>
  <c r="Z102" i="127"/>
  <c r="Z138" i="127" s="1"/>
  <c r="Z139" i="127" s="1"/>
  <c r="Z141" i="127" s="1"/>
  <c r="Z67" i="41" s="1"/>
  <c r="Z69" i="41" s="1"/>
  <c r="Z73" i="41" s="1"/>
  <c r="Z74" i="41" s="1"/>
  <c r="Y79" i="41"/>
  <c r="Y90" i="41"/>
  <c r="W91" i="41"/>
  <c r="W93" i="41"/>
  <c r="X43" i="148" l="1"/>
  <c r="X89" i="41"/>
  <c r="Y81" i="41"/>
  <c r="Z83" i="41" s="1"/>
  <c r="Z94" i="41" s="1"/>
  <c r="Z79" i="41"/>
  <c r="Z90" i="41"/>
  <c r="AA99" i="127"/>
  <c r="AA102" i="127" s="1"/>
  <c r="Z23" i="130"/>
  <c r="W123" i="137"/>
  <c r="W130" i="41"/>
  <c r="W17" i="130" s="1"/>
  <c r="X91" i="41"/>
  <c r="X93" i="41"/>
  <c r="Y85" i="41"/>
  <c r="U110" i="137"/>
  <c r="U113" i="137" s="1"/>
  <c r="U124" i="137" s="1"/>
  <c r="U126" i="137" s="1"/>
  <c r="U132" i="137" s="1"/>
  <c r="U32" i="41" s="1"/>
  <c r="Z80" i="41" l="1"/>
  <c r="U111" i="137"/>
  <c r="V106" i="137" s="1"/>
  <c r="V109" i="137" s="1"/>
  <c r="V110" i="137" s="1"/>
  <c r="V113" i="137" s="1"/>
  <c r="V124" i="137" s="1"/>
  <c r="V126" i="137" s="1"/>
  <c r="V132" i="137" s="1"/>
  <c r="V32" i="41" s="1"/>
  <c r="Z81" i="41"/>
  <c r="AA83" i="41" s="1"/>
  <c r="AA94" i="41" s="1"/>
  <c r="K94" i="41" s="1"/>
  <c r="Y89" i="41"/>
  <c r="Y43" i="148"/>
  <c r="AA138" i="127"/>
  <c r="AA139" i="127" s="1"/>
  <c r="AA141" i="127" s="1"/>
  <c r="AA67" i="41" s="1"/>
  <c r="AA69" i="41" s="1"/>
  <c r="AA73" i="41" s="1"/>
  <c r="AA74" i="41" s="1"/>
  <c r="AA23" i="130"/>
  <c r="K104" i="127"/>
  <c r="K145" i="127" s="1"/>
  <c r="F24" i="69" s="1"/>
  <c r="X130" i="41"/>
  <c r="X17" i="130" s="1"/>
  <c r="X123" i="137"/>
  <c r="Z85" i="41"/>
  <c r="V111" i="137" l="1"/>
  <c r="W106" i="137" s="1"/>
  <c r="W109" i="137" s="1"/>
  <c r="W110" i="137" s="1"/>
  <c r="W113" i="137" s="1"/>
  <c r="W124" i="137" s="1"/>
  <c r="W126" i="137" s="1"/>
  <c r="W132" i="137" s="1"/>
  <c r="W32" i="41" s="1"/>
  <c r="W40" i="41" s="1"/>
  <c r="AA90" i="41"/>
  <c r="AA85" i="41"/>
  <c r="AA89" i="41" s="1"/>
  <c r="Z89" i="41"/>
  <c r="Z43" i="148"/>
  <c r="Y91" i="41"/>
  <c r="Y93" i="41"/>
  <c r="Y123" i="137" l="1"/>
  <c r="Y130" i="41"/>
  <c r="Y17" i="130" s="1"/>
  <c r="W56" i="41"/>
  <c r="W45" i="41"/>
  <c r="AA91" i="41"/>
  <c r="AA93" i="41"/>
  <c r="Z93" i="41"/>
  <c r="Z91" i="41"/>
  <c r="W111" i="137"/>
  <c r="X106" i="137" s="1"/>
  <c r="X109" i="137" s="1"/>
  <c r="AA130" i="41" l="1"/>
  <c r="AA17" i="130" s="1"/>
  <c r="AA123" i="137"/>
  <c r="K93" i="41"/>
  <c r="Z130" i="41"/>
  <c r="Z17" i="130" s="1"/>
  <c r="Z123" i="137"/>
  <c r="X110" i="137"/>
  <c r="X113" i="137" s="1"/>
  <c r="X124" i="137" s="1"/>
  <c r="X126" i="137" s="1"/>
  <c r="X132" i="137" s="1"/>
  <c r="X32" i="41" s="1"/>
  <c r="X40" i="41" s="1"/>
  <c r="X111" i="137" l="1"/>
  <c r="Y106" i="137" s="1"/>
  <c r="Y109" i="137" s="1"/>
  <c r="Y110" i="137" s="1"/>
  <c r="Y113" i="137" s="1"/>
  <c r="Y124" i="137" s="1"/>
  <c r="Y126" i="137" s="1"/>
  <c r="Y132" i="137" s="1"/>
  <c r="Y32" i="41" s="1"/>
  <c r="Y40" i="41" s="1"/>
  <c r="X45" i="41"/>
  <c r="X56" i="41"/>
  <c r="Y111" i="137" l="1"/>
  <c r="Z106" i="137" s="1"/>
  <c r="Z109" i="137" s="1"/>
  <c r="Z110" i="137" s="1"/>
  <c r="Z113" i="137" s="1"/>
  <c r="Z124" i="137" s="1"/>
  <c r="Z126" i="137" s="1"/>
  <c r="Z132" i="137" s="1"/>
  <c r="Z32" i="41" s="1"/>
  <c r="Z40" i="41" s="1"/>
  <c r="Y56" i="41"/>
  <c r="Y45" i="41"/>
  <c r="Z56" i="41" l="1"/>
  <c r="Z45" i="41"/>
  <c r="Z111" i="137"/>
  <c r="AA106" i="137" s="1"/>
  <c r="AA109" i="137" s="1"/>
  <c r="AA110" i="137" l="1"/>
  <c r="AA113" i="137" s="1"/>
  <c r="AA124" i="137" s="1"/>
  <c r="AA126" i="137" s="1"/>
  <c r="AA132" i="137" s="1"/>
  <c r="AA32" i="41" s="1"/>
  <c r="AA40" i="41" s="1"/>
  <c r="AA111" i="137" l="1"/>
  <c r="K116" i="137" s="1"/>
  <c r="K136" i="137" s="1"/>
  <c r="F25" i="69" s="1"/>
  <c r="AA56" i="41"/>
  <c r="T36" i="41" l="1"/>
  <c r="V36" i="41" l="1"/>
  <c r="U33" i="41" l="1"/>
  <c r="V33" i="41"/>
  <c r="V30" i="41" l="1"/>
  <c r="U30" i="41"/>
  <c r="T31" i="41" l="1"/>
  <c r="T34" i="145" l="1"/>
  <c r="T39" i="41" s="1"/>
  <c r="T40" i="41" s="1"/>
  <c r="T45" i="41" s="1"/>
  <c r="T47" i="41" s="1"/>
  <c r="U49" i="41" l="1"/>
  <c r="U46" i="41"/>
  <c r="V37" i="41" l="1"/>
  <c r="U37" i="41"/>
  <c r="V31" i="41" l="1"/>
  <c r="V40" i="41" s="1"/>
  <c r="U31" i="41"/>
  <c r="V56" i="41" l="1"/>
  <c r="V45" i="41"/>
  <c r="U36" i="41" l="1"/>
  <c r="U40" i="41" s="1"/>
  <c r="U51" i="41" l="1"/>
  <c r="U45" i="41"/>
  <c r="U47" i="41" s="1"/>
  <c r="V49" i="41" l="1"/>
  <c r="V46" i="41"/>
  <c r="V47" i="41" s="1"/>
  <c r="U55" i="41"/>
  <c r="U24" i="148"/>
  <c r="U59" i="41" l="1"/>
  <c r="U57" i="41"/>
  <c r="U129" i="41" s="1"/>
  <c r="W49" i="41"/>
  <c r="W46" i="41"/>
  <c r="W47" i="41" s="1"/>
  <c r="V51" i="41"/>
  <c r="V60" i="41"/>
  <c r="V24" i="148" l="1"/>
  <c r="V55" i="41"/>
  <c r="X46" i="41"/>
  <c r="X47" i="41" s="1"/>
  <c r="X49" i="41"/>
  <c r="U132" i="41"/>
  <c r="U16" i="130"/>
  <c r="W51" i="41"/>
  <c r="W60" i="41"/>
  <c r="U134" i="41" l="1"/>
  <c r="U19" i="130"/>
  <c r="V59" i="41"/>
  <c r="V57" i="41"/>
  <c r="V129" i="41" s="1"/>
  <c r="X51" i="41"/>
  <c r="X60" i="41"/>
  <c r="W24" i="148"/>
  <c r="W55" i="41"/>
  <c r="Y49" i="41"/>
  <c r="Y46" i="41"/>
  <c r="Y47" i="41" s="1"/>
  <c r="X55" i="41" l="1"/>
  <c r="X24" i="148"/>
  <c r="V16" i="130"/>
  <c r="V132" i="41"/>
  <c r="W59" i="41"/>
  <c r="W57" i="41"/>
  <c r="W129" i="41" s="1"/>
  <c r="Z46" i="41"/>
  <c r="Z47" i="41" s="1"/>
  <c r="AA49" i="41" s="1"/>
  <c r="Z49" i="41"/>
  <c r="Y51" i="41"/>
  <c r="Y60" i="41"/>
  <c r="Z51" i="41" l="1"/>
  <c r="Z60" i="41"/>
  <c r="AA51" i="41"/>
  <c r="AA55" i="41" s="1"/>
  <c r="AA60" i="41"/>
  <c r="V134" i="41"/>
  <c r="V19" i="130"/>
  <c r="Y55" i="41"/>
  <c r="Y24" i="148"/>
  <c r="W132" i="41"/>
  <c r="W16" i="130"/>
  <c r="X57" i="41"/>
  <c r="X129" i="41" s="1"/>
  <c r="X59" i="41"/>
  <c r="K60" i="41" l="1"/>
  <c r="Y59" i="41"/>
  <c r="Y57" i="41"/>
  <c r="Y129" i="41" s="1"/>
  <c r="X16" i="130"/>
  <c r="X132" i="41"/>
  <c r="AA57" i="41"/>
  <c r="AA129" i="41" s="1"/>
  <c r="AA59" i="41"/>
  <c r="W134" i="41"/>
  <c r="W19" i="130"/>
  <c r="Z55" i="41"/>
  <c r="Z24" i="148"/>
  <c r="AA16" i="130" l="1"/>
  <c r="AA132" i="41"/>
  <c r="X19" i="130"/>
  <c r="X134" i="41"/>
  <c r="Y132" i="41"/>
  <c r="Y16" i="130"/>
  <c r="Z59" i="41"/>
  <c r="K59" i="41" s="1"/>
  <c r="Z57" i="41"/>
  <c r="Z129" i="41" s="1"/>
  <c r="Y19" i="130" l="1"/>
  <c r="Y134" i="41"/>
  <c r="Z132" i="41"/>
  <c r="Z16" i="130"/>
  <c r="AA134" i="41"/>
  <c r="AA19" i="130"/>
  <c r="Z19" i="130" l="1"/>
  <c r="K27" i="130" s="1" a="1"/>
  <c r="K27" i="130" s="1"/>
  <c r="F28" i="69" s="1"/>
  <c r="Z134" i="41"/>
  <c r="K134" i="41" s="1"/>
  <c r="K138" i="41" s="1"/>
  <c r="F26" i="69" s="1"/>
  <c r="F32" i="69" l="1"/>
  <c r="F33" i="69" s="1"/>
  <c r="B8" i="145" l="1"/>
  <c r="B8" i="130"/>
  <c r="B8" i="146"/>
  <c r="B8" i="137"/>
  <c r="B3" i="150" a="1"/>
  <c r="B3" i="150" s="1"/>
  <c r="B3" i="69"/>
  <c r="B8" i="148"/>
  <c r="B8" i="128"/>
  <c r="B8" i="127"/>
  <c r="B8" i="4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<sst xmlns="http://schemas.openxmlformats.org/spreadsheetml/2006/main" count="1036" uniqueCount="423">
  <si>
    <t>Financial Model</t>
  </si>
  <si>
    <t>Source</t>
  </si>
  <si>
    <t>Term</t>
  </si>
  <si>
    <t>Units</t>
  </si>
  <si>
    <t>Constants</t>
  </si>
  <si>
    <t>Checks</t>
  </si>
  <si>
    <t>Model Year Count</t>
  </si>
  <si>
    <t>Count</t>
  </si>
  <si>
    <t>Period start</t>
  </si>
  <si>
    <t>Date</t>
  </si>
  <si>
    <t>Period end</t>
  </si>
  <si>
    <t>Regulatory year</t>
  </si>
  <si>
    <t>Fin Year</t>
  </si>
  <si>
    <t>►</t>
  </si>
  <si>
    <t>Time</t>
  </si>
  <si>
    <t xml:space="preserve">This section contains the key timing assumptions for this model. Year t is a user-selected value. The other values must not be changed. Before changing 'year t', certain values </t>
  </si>
  <si>
    <t>calculated for 'year t' must be recorded on the 'Saved results' sheet for adjustment terms to work correctly in later years. Follow instructions on the 'Saved results' sheet.</t>
  </si>
  <si>
    <t xml:space="preserve">Year t </t>
  </si>
  <si>
    <t>t</t>
  </si>
  <si>
    <t>12 months ending</t>
  </si>
  <si>
    <t>'Day 1' date</t>
  </si>
  <si>
    <t>Model start date</t>
  </si>
  <si>
    <t>Months per period</t>
  </si>
  <si>
    <t>Months</t>
  </si>
  <si>
    <t>Internal BSUoS Income inputs</t>
  </si>
  <si>
    <t>This section contains the latest values available for NESO Internal Expenditure.</t>
  </si>
  <si>
    <t>Controllable Expenditure</t>
  </si>
  <si>
    <t>RRP</t>
  </si>
  <si>
    <t>ETEₜ , F1.18</t>
  </si>
  <si>
    <t>£m nominal</t>
  </si>
  <si>
    <t>Network Innovation Allowance Expenditure</t>
  </si>
  <si>
    <t>NIAEₜ, F1.19 and F2</t>
  </si>
  <si>
    <t>Bad Debt Allowance</t>
  </si>
  <si>
    <t xml:space="preserve">SOBDₜ, F1.20 </t>
  </si>
  <si>
    <t>FSO Transition Payments</t>
  </si>
  <si>
    <t>FSONGₜ, F1.19 and F10</t>
  </si>
  <si>
    <t>Fines and Penalties</t>
  </si>
  <si>
    <t>FPENₜ, F1.15</t>
  </si>
  <si>
    <t>Interest costs</t>
  </si>
  <si>
    <t>ESOIₜ F1.15</t>
  </si>
  <si>
    <t>Other Net Revenues</t>
  </si>
  <si>
    <t>ORₜ, F1.18</t>
  </si>
  <si>
    <t>Other Adjustments</t>
  </si>
  <si>
    <t>OAₜ, F1.18</t>
  </si>
  <si>
    <t>Legacy Revenue Adjustments</t>
  </si>
  <si>
    <t>Legacy Closeout Model</t>
  </si>
  <si>
    <t>LEGₜ, F1.18</t>
  </si>
  <si>
    <t>Allowed Revenue, as published for 2024-25 charge setting</t>
  </si>
  <si>
    <t xml:space="preserve">Pre Day 1 2023 AIP PCFM </t>
  </si>
  <si>
    <t>SOIAR₂₀₂₄₋₂₅</t>
  </si>
  <si>
    <t>Return BSUoS Income inputs</t>
  </si>
  <si>
    <t>This section contains values relating to the Regulatory Asset Value (RAV) and Return calculations.</t>
  </si>
  <si>
    <t>Discount Rate for 2024-25 before Day 1</t>
  </si>
  <si>
    <t xml:space="preserve">Updated 2023 AIP PCFM </t>
  </si>
  <si>
    <t>Discount Rate from Day 1</t>
  </si>
  <si>
    <t>Licence</t>
  </si>
  <si>
    <t>F1.27</t>
  </si>
  <si>
    <t>% annual, real</t>
  </si>
  <si>
    <t>Main RAV asset life</t>
  </si>
  <si>
    <t>Years</t>
  </si>
  <si>
    <t>Wokingham asset life</t>
  </si>
  <si>
    <t>To end 2024-25</t>
  </si>
  <si>
    <t>From 2025-26</t>
  </si>
  <si>
    <t>Handbook</t>
  </si>
  <si>
    <t>Legacy Revenue Adjustment (Controllable expenditure)</t>
  </si>
  <si>
    <t>LEGETE</t>
  </si>
  <si>
    <t>Net RAV additions (excl. Wokingham) to end 2023/24</t>
  </si>
  <si>
    <t>£m 2018-19 prices</t>
  </si>
  <si>
    <t>&gt;</t>
  </si>
  <si>
    <t>Wokingham RAV asset addition</t>
  </si>
  <si>
    <t>PCFM RAV depreciation, as published for 2024-25 charge setting</t>
  </si>
  <si>
    <t>PCFM Return, as published for 2024-25 charge setting</t>
  </si>
  <si>
    <t>External BSUoS Income inputs</t>
  </si>
  <si>
    <t>This section contains the latest values available for NESO External Expenditure.</t>
  </si>
  <si>
    <t>External BSUoS Income reporting delay from year t</t>
  </si>
  <si>
    <t>Total revenue collected through Balancing Services Charges</t>
  </si>
  <si>
    <t>F1.25</t>
  </si>
  <si>
    <t>Balancing Services</t>
  </si>
  <si>
    <t>BSₜ, F1.23</t>
  </si>
  <si>
    <t>User System Agreement Charges</t>
  </si>
  <si>
    <t>OMₜ, F1.23</t>
  </si>
  <si>
    <t>SO-TO Operational Payments</t>
  </si>
  <si>
    <t>SOTOₜ, F1.23</t>
  </si>
  <si>
    <t>External Expenditure Adjustment for 2024-25</t>
  </si>
  <si>
    <t>EXTK₂₀₂₄₋₂₅</t>
  </si>
  <si>
    <t>Gas System Planner inputs</t>
  </si>
  <si>
    <t>This section contains inputs required for the gas revenue calculations specified in Condition F1 of the Gas System Planner Licence.</t>
  </si>
  <si>
    <t>Correction term margin</t>
  </si>
  <si>
    <t>F1.17</t>
  </si>
  <si>
    <t>%</t>
  </si>
  <si>
    <t>Reference Variable Rate</t>
  </si>
  <si>
    <t>BoE Bank Rate</t>
  </si>
  <si>
    <t>Iₜ, F1.17</t>
  </si>
  <si>
    <t>Gas Licence Expenditure</t>
  </si>
  <si>
    <t>GLEₜ, F1.16</t>
  </si>
  <si>
    <t>Gas Revenue Collected</t>
  </si>
  <si>
    <r>
      <t>RGSP</t>
    </r>
    <r>
      <rPr>
        <vertAlign val="subscript"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, F1.17</t>
    </r>
  </si>
  <si>
    <t>Indexation</t>
  </si>
  <si>
    <t>This section includes inputs to implement RAV indexation and convert nominal RAV additions to real terms.</t>
  </si>
  <si>
    <t>Legacy Combined RPI-CPIH price index (2024-25)</t>
  </si>
  <si>
    <t>PI*₂₀₂₄₋₂₅</t>
  </si>
  <si>
    <t>1987 = 100</t>
  </si>
  <si>
    <t>Legacy Combined RPI-CPIH price index (regulatory year average)</t>
  </si>
  <si>
    <t>PIₜ</t>
  </si>
  <si>
    <t>Legacy Combined RPI-CPIH price index (March 2024)</t>
  </si>
  <si>
    <t>PI₀₃₋₂₀₂₄</t>
  </si>
  <si>
    <t>ONS CPIH release date</t>
  </si>
  <si>
    <t>Mmm YYYY</t>
  </si>
  <si>
    <t>CPIH INDEX 00: ALL ITEMS, by month</t>
  </si>
  <si>
    <t>Apr</t>
  </si>
  <si>
    <t>CPIHₘ</t>
  </si>
  <si>
    <t>2015 = 100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</si>
  <si>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</si>
  <si>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</si>
  <si>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</si>
  <si>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</si>
  <si>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</si>
  <si>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</si>
  <si>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</si>
  <si>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</si>
  <si>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</si>
  <si>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</si>
  <si>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</si>
  <si>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OBR CPI estimate source date</t>
  </si>
  <si>
    <t>OBR CPI estimates, by calendar year ending</t>
  </si>
  <si>
    <t>pp</t>
  </si>
  <si>
    <t>Long term CPIH inflation forecast</t>
  </si>
  <si>
    <t>Annual %</t>
  </si>
  <si>
    <t>Tax</t>
  </si>
  <si>
    <t>This section includes inputs required to calculate notional corporation tax.</t>
  </si>
  <si>
    <t>PCFM tax book value brought forward (01 Apr 2024)</t>
  </si>
  <si>
    <t>General pool</t>
  </si>
  <si>
    <t>Special rates pool</t>
  </si>
  <si>
    <t>Deferred revenue pool</t>
  </si>
  <si>
    <t>Intangible assets pool</t>
  </si>
  <si>
    <t>PCFM tax book value revisions (01 Apr 2024)</t>
  </si>
  <si>
    <t>Actual totex (2024-25 before Day 1)</t>
  </si>
  <si>
    <t>Capital allowance pool allocations (2024-25 before Day 1)</t>
  </si>
  <si>
    <t>PCFM full-year capital allowance rate (2024-25)</t>
  </si>
  <si>
    <t>Capital allowance rate (from Day 1)</t>
  </si>
  <si>
    <t>Tax depreciation profile as share of Day 1 opening balance</t>
  </si>
  <si>
    <t>Check sum to 100%</t>
  </si>
  <si>
    <t xml:space="preserve">Deferred revenue </t>
  </si>
  <si>
    <t>Intangible assets</t>
  </si>
  <si>
    <t>Tax permanent differences recovery</t>
  </si>
  <si>
    <t>TAXPₜ</t>
  </si>
  <si>
    <t>Corporation tax rate</t>
  </si>
  <si>
    <t>HMRC and Handbook</t>
  </si>
  <si>
    <t>NESO CT Exempt flag</t>
  </si>
  <si>
    <t>Flag (1 = Exempt; 0 = Not exempt)</t>
  </si>
  <si>
    <t>Check: Sum of checks</t>
  </si>
  <si>
    <t>Check</t>
  </si>
  <si>
    <t>End</t>
  </si>
  <si>
    <t>Historic data</t>
  </si>
  <si>
    <t>This section draws in the historic input values used for the indexation calculations on this sheet.</t>
  </si>
  <si>
    <t>Forecast assumptions</t>
  </si>
  <si>
    <t>This section sets out inflation assumptions for periods where outturn inflation does not apply.</t>
  </si>
  <si>
    <t>CPIH forecast, by calendar year ending</t>
  </si>
  <si>
    <t>Full-year indexation</t>
  </si>
  <si>
    <t>This section sets out indexation calculations by regulatory year. These values are used to convert RAV and depreciation values expressed in 2018-19 prices in nominal terms.</t>
  </si>
  <si>
    <t>Monthly inflation uplift</t>
  </si>
  <si>
    <t>Month offset</t>
  </si>
  <si>
    <t>CPIHₘ/CPIHₘ₋₁</t>
  </si>
  <si>
    <t>Monthly %</t>
  </si>
  <si>
    <t>Combined RPI-CPIH price index, actual and forecast by month</t>
  </si>
  <si>
    <t>PIₘ</t>
  </si>
  <si>
    <t>Combined RPI-CPIH price index (regulatory year average)</t>
  </si>
  <si>
    <t>Real 2018-19 prices to nominal conversion factor (regulatory year)</t>
  </si>
  <si>
    <t>2018-19 = 1</t>
  </si>
  <si>
    <t>Partial-year indexation</t>
  </si>
  <si>
    <t>This section sets out indexation calculations for 2024-25 before 'Day 1'. This is used to convert nominal RAV additions into 2018-19 prices.</t>
  </si>
  <si>
    <t>Combined RPI-CPIH price index for 2018-19</t>
  </si>
  <si>
    <t>Months of 2024-25 before Day 1</t>
  </si>
  <si>
    <t>Average Combined RPI-CPIH price index for 2024-25 before Day 1</t>
  </si>
  <si>
    <t>Real 2018-19 prices to nominal conversion factor (2024-25 before Day 1)</t>
  </si>
  <si>
    <t>Jun-Jun in forecast period</t>
  </si>
  <si>
    <t>Flag</t>
  </si>
  <si>
    <t>Jun-Jun forecast inflation</t>
  </si>
  <si>
    <t>CPI forecast based on calendar years</t>
  </si>
  <si>
    <t>Check: Forecast uplift consistent with assumptions</t>
  </si>
  <si>
    <t>Check: Partial year uplift less than full year 2024-25 uplift</t>
  </si>
  <si>
    <t>RAV additions</t>
  </si>
  <si>
    <t xml:space="preserve">This section brings together values added to the NESO RAV. It only includes RAV additions that are not fully depreciated by the end of 2023/24. The calculations in this section </t>
  </si>
  <si>
    <t>assume that net RAV additions for 2024-25 before Day 1 are equal to the absolute value of the Legacy adjustment for Controllable expenditure.</t>
  </si>
  <si>
    <t>Net RAV additions 2024-25 before Day 1</t>
  </si>
  <si>
    <t>Net RAV additions (excl. Wokingham)</t>
  </si>
  <si>
    <t>To end 2023/24</t>
  </si>
  <si>
    <t>2024-25 before Day 1</t>
  </si>
  <si>
    <t>Total (excl. Wokingham)</t>
  </si>
  <si>
    <t>Full-year RAV depreciation</t>
  </si>
  <si>
    <t xml:space="preserve">This section calculations for the RAV, including a different approach applied for the Wokingham asset. Calculations are shown on a full-year basis, without making any distinction </t>
  </si>
  <si>
    <t>between values before/after Day 1.</t>
  </si>
  <si>
    <t>Depreciation of RAV additions from year ending</t>
  </si>
  <si>
    <t>Net additions</t>
  </si>
  <si>
    <t>Check full depreciation</t>
  </si>
  <si>
    <t>RAV depreciation (excl. Wokingham)</t>
  </si>
  <si>
    <t>Wokingham asset depreciation</t>
  </si>
  <si>
    <t>Wokingham RAV depreciation</t>
  </si>
  <si>
    <t>Check full depreciation of RAV additions (excl. Wokingham)</t>
  </si>
  <si>
    <t>Check full depreciation of Wokingham asset</t>
  </si>
  <si>
    <t>RAV depreciation</t>
  </si>
  <si>
    <t>This section converts the RAV depreciation for 2024-25 before Day 1 to real terms and builds up the RAV depreciation value from Day 1 onwards in nominal terms.</t>
  </si>
  <si>
    <t>2024-25 first day</t>
  </si>
  <si>
    <t>Share of 2024-25 before Day 1</t>
  </si>
  <si>
    <t>Share of 2024-25 from Day 1</t>
  </si>
  <si>
    <t>Regulatory depreciation (2024-25)</t>
  </si>
  <si>
    <t>Before Day 1</t>
  </si>
  <si>
    <t>From Day 1</t>
  </si>
  <si>
    <t>Regulatory depreciation from Day 1</t>
  </si>
  <si>
    <t>2024-25 from Day 1</t>
  </si>
  <si>
    <t>2025-26 onwards</t>
  </si>
  <si>
    <t>Regulatory Depreciation</t>
  </si>
  <si>
    <t>DPNₜ, F1.27 and Handbook</t>
  </si>
  <si>
    <t>Check: 2024-25 full RAV depreciation allocated between periods before and after Day 1</t>
  </si>
  <si>
    <t>RAV balance</t>
  </si>
  <si>
    <t>This section contains calculations of the RAV on a real basis, building it up from RAV additions and subtracting depreciation.</t>
  </si>
  <si>
    <t>2024-25 Opening RAV balance</t>
  </si>
  <si>
    <t>RIIO excl. Wokingham</t>
  </si>
  <si>
    <t>Wokingham</t>
  </si>
  <si>
    <t>Total</t>
  </si>
  <si>
    <t>Day 1 Opening RAV balance</t>
  </si>
  <si>
    <t>RAV additions (2024-25 before Day 1)</t>
  </si>
  <si>
    <t>Less RAV depreciation (2024-25 before Day 1)</t>
  </si>
  <si>
    <t>Opening RAV balance</t>
  </si>
  <si>
    <t>RAV from Day 1</t>
  </si>
  <si>
    <t>Opening balance</t>
  </si>
  <si>
    <t>Depreciation</t>
  </si>
  <si>
    <t>Closing RAV balance</t>
  </si>
  <si>
    <t>Check: Closing RAV is zero on 31st March 2032</t>
  </si>
  <si>
    <t>Discount rate</t>
  </si>
  <si>
    <t>This section includes adjustments to the Discount Rate for the first half-year period and to implement NPV-neutral adjustments to the RAV balance.</t>
  </si>
  <si>
    <t>Discount rate for Return on RAV (2024-25)</t>
  </si>
  <si>
    <t>Blended discount rate for 2024-25</t>
  </si>
  <si>
    <t>Discount rate for Return on RAV</t>
  </si>
  <si>
    <t>Discount factor for NPV neutral RAV closing balance</t>
  </si>
  <si>
    <t>2024-25</t>
  </si>
  <si>
    <t>Scalar</t>
  </si>
  <si>
    <t>Discount factor for Return on RAV</t>
  </si>
  <si>
    <t>RAV return base</t>
  </si>
  <si>
    <t>This section contains calculations to set the RAV on a nominal discounted basis for the purpose of calculating the return on RAV (RTNOₜ).</t>
  </si>
  <si>
    <t>Regulatory Asset Value (for RTNOₜ)</t>
  </si>
  <si>
    <t>-</t>
  </si>
  <si>
    <t>RAVₜ, F1.27 and Handbook</t>
  </si>
  <si>
    <t>Day 1 Tax pool opening balances</t>
  </si>
  <si>
    <t>This section builds up the 'Day 1' tax pool opening balances.</t>
  </si>
  <si>
    <t>Capital allowance pool additions (2024-25 before Day 1)</t>
  </si>
  <si>
    <t>Share of 2024-25 before 'Day 1'</t>
  </si>
  <si>
    <t>Tax pool opening balance (Day 1)</t>
  </si>
  <si>
    <t>Capital allowance rates</t>
  </si>
  <si>
    <t>This section calculates the capital allowances for calculating taxable profit from 'Day 1'.</t>
  </si>
  <si>
    <t>Percentage of full year from Day 1 onwards</t>
  </si>
  <si>
    <t>Capital allowance rate (from 'Day 1')</t>
  </si>
  <si>
    <t>Full year rate</t>
  </si>
  <si>
    <t>Check: Deferred revenue tax depreciation profile sums to 100%</t>
  </si>
  <si>
    <t>Check: Intangible asset tax depreciation profile sums to 100%</t>
  </si>
  <si>
    <t>Capital allowances</t>
  </si>
  <si>
    <t>This section builds up the capital allowances for calculating taxable profit.</t>
  </si>
  <si>
    <t>Opening balance brought forward</t>
  </si>
  <si>
    <t>Revisions</t>
  </si>
  <si>
    <t>Additions</t>
  </si>
  <si>
    <t>Tax book value pre-depreciation</t>
  </si>
  <si>
    <t>Capital allowance</t>
  </si>
  <si>
    <t>Closing balance carried forward</t>
  </si>
  <si>
    <t>Special Rates pool</t>
  </si>
  <si>
    <t>Deferred revenue</t>
  </si>
  <si>
    <t>Total Capital Allowances</t>
  </si>
  <si>
    <t>Check: Deferred revenue closing balance zero at 31 March 2032</t>
  </si>
  <si>
    <t>Check: Intangible asset closing balance zero at 31 March 2032</t>
  </si>
  <si>
    <t>This section includes the calculation of the notional NESO corporation tax.</t>
  </si>
  <si>
    <t>Taxable profit</t>
  </si>
  <si>
    <t>Taxable profit/(loss)</t>
  </si>
  <si>
    <t>Calculate tax flag</t>
  </si>
  <si>
    <t>TAXₜ, F1.19 and Handbook</t>
  </si>
  <si>
    <t xml:space="preserve"> </t>
  </si>
  <si>
    <t>Timing</t>
  </si>
  <si>
    <t>This section contains timing calculations used on this sheet.</t>
  </si>
  <si>
    <t>Year before t flag</t>
  </si>
  <si>
    <t>Year t flag</t>
  </si>
  <si>
    <t>Year after t flag</t>
  </si>
  <si>
    <t>Most recent year External Expenditure reported</t>
  </si>
  <si>
    <t>External Expenditure reported flag</t>
  </si>
  <si>
    <t>Internal BSUoS Income</t>
  </si>
  <si>
    <t xml:space="preserve"> Internal BSUoS Income remunerates the costs of running the NESO's business. </t>
  </si>
  <si>
    <t>Internal Expenditure (live Financial Model inputs)</t>
  </si>
  <si>
    <t>ETEₜ</t>
  </si>
  <si>
    <t>OSCₜ (NIAEₜ)</t>
  </si>
  <si>
    <t>OSCₜ (TAXₜ)</t>
  </si>
  <si>
    <t>OSCₜ (SOBDₜ)</t>
  </si>
  <si>
    <t>OSCₜ (FSONGₜ)</t>
  </si>
  <si>
    <t>OSCₜ (FPENₜ)</t>
  </si>
  <si>
    <t>OSCₜ (ESOIₜ)</t>
  </si>
  <si>
    <t>- ORₜ</t>
  </si>
  <si>
    <t>OAₜ</t>
  </si>
  <si>
    <t>LEGₜ</t>
  </si>
  <si>
    <t>Internal Expenditure incurred</t>
  </si>
  <si>
    <t>INTEₜ, F1.18</t>
  </si>
  <si>
    <t>Internal BSUoS Income published for years before t</t>
  </si>
  <si>
    <t>INT*ₜ</t>
  </si>
  <si>
    <t>Internal BSUoS Income (recalculated for years before t)</t>
  </si>
  <si>
    <t>INTEₜ</t>
  </si>
  <si>
    <t>Internal Expenditure Adjustment</t>
  </si>
  <si>
    <t>INTADJₜ</t>
  </si>
  <si>
    <t>INTₜ</t>
  </si>
  <si>
    <t>Internal Expenditure Adjustment (year t)</t>
  </si>
  <si>
    <t>INTADJₜ, F1.21</t>
  </si>
  <si>
    <t>Internal BSUoS Income (year t)</t>
  </si>
  <si>
    <t>INTₜ, F1.17</t>
  </si>
  <si>
    <t>Internal BSUoS Income (published and forecast)</t>
  </si>
  <si>
    <t>Years before t</t>
  </si>
  <si>
    <t>Year t</t>
  </si>
  <si>
    <t>Forecast after year t</t>
  </si>
  <si>
    <t>Check: No more than one published/forecast value for year</t>
  </si>
  <si>
    <t>Check: No adjustment term for future years</t>
  </si>
  <si>
    <t>Return BSUoS Income</t>
  </si>
  <si>
    <t>NESO is remunerated for depreciation and return on its RAV.</t>
  </si>
  <si>
    <t>Return on RAV</t>
  </si>
  <si>
    <t>RAVₜ,</t>
  </si>
  <si>
    <t>DRₜ</t>
  </si>
  <si>
    <t>RAVₜ x DRₜ, F1.27</t>
  </si>
  <si>
    <t>RAV Returns</t>
  </si>
  <si>
    <t>DPNₜ</t>
  </si>
  <si>
    <t>RAVₜ x DRₜ</t>
  </si>
  <si>
    <t>RTNOₜ, F1.27</t>
  </si>
  <si>
    <t>Return BSUoS Income published for years before t</t>
  </si>
  <si>
    <t>RTN*ₜ</t>
  </si>
  <si>
    <t>RAV Returns (recalculated for years before t)</t>
  </si>
  <si>
    <t>RTNOₜ</t>
  </si>
  <si>
    <t>RAV Returns Adjustment</t>
  </si>
  <si>
    <t>RTNADJₜ</t>
  </si>
  <si>
    <t>RAV Returns Allowed Revenue</t>
  </si>
  <si>
    <t>RTNₜ</t>
  </si>
  <si>
    <t>RAV Returns Adjustment (year t)</t>
  </si>
  <si>
    <t>Return BSUoS Income (year t)</t>
  </si>
  <si>
    <t>RTNₜ, F1.17</t>
  </si>
  <si>
    <t>Return BSUoS Income (published and forecast)</t>
  </si>
  <si>
    <t>External BSUoS Income</t>
  </si>
  <si>
    <t>External BSUoS Income remunerates the costs NESO incurs to pay electricity market participants and network operators for services to operate the electricity system.</t>
  </si>
  <si>
    <t>External Expenditure</t>
  </si>
  <si>
    <t>BSₜ</t>
  </si>
  <si>
    <t>- OMₜ</t>
  </si>
  <si>
    <t>SOTOₜ</t>
  </si>
  <si>
    <t>EXTEₜ, F1.23</t>
  </si>
  <si>
    <t>.</t>
  </si>
  <si>
    <t>Revenue collected after INT*ₜ and RTN*ₜ</t>
  </si>
  <si>
    <t>Less INT*ₜ</t>
  </si>
  <si>
    <t>- INT*ₜ</t>
  </si>
  <si>
    <t>Less RTN*ₜ</t>
  </si>
  <si>
    <t>- RTN*ₜ</t>
  </si>
  <si>
    <t>REVCₜ</t>
  </si>
  <si>
    <t>External Expenditure Adjustment</t>
  </si>
  <si>
    <t>EXTKₜ</t>
  </si>
  <si>
    <t>EXTKₜ, F1.25</t>
  </si>
  <si>
    <t>EXTEₜ</t>
  </si>
  <si>
    <t>EXTₜ, F1.22</t>
  </si>
  <si>
    <t>Check: Values only shown for years reported</t>
  </si>
  <si>
    <t>Allowed Revenue</t>
  </si>
  <si>
    <t>The NESO's Allowed Revenue is the sum of internal and external expenditure, plus a return.</t>
  </si>
  <si>
    <t>ESO Allowed Revenue</t>
  </si>
  <si>
    <t>EXTₜ</t>
  </si>
  <si>
    <t>ESOARₜ</t>
  </si>
  <si>
    <t>Check: No error terms in ESO Allowed Revenue</t>
  </si>
  <si>
    <t>Time value of money</t>
  </si>
  <si>
    <t xml:space="preserve">This section calculates the time value of money uplifts for prior year true-ups. The uplifts are used to compensate for the delay in adjusting for any such variations. The uplifts here </t>
  </si>
  <si>
    <t>are specified for a single year but become compounded for multi-year delays in the correction term.</t>
  </si>
  <si>
    <t>Iₜ</t>
  </si>
  <si>
    <t>Single-year time value of money scalar</t>
  </si>
  <si>
    <t>1 + Iₜ + 1.15%</t>
  </si>
  <si>
    <t>Gas Revenue Provision</t>
  </si>
  <si>
    <t>This section contains the gas revenue calculations specified in Condition F1 of the Gas System Planner Licence.</t>
  </si>
  <si>
    <t>GLEₜ</t>
  </si>
  <si>
    <t>Gas Revenue Collected (amount notified to National Gas)</t>
  </si>
  <si>
    <r>
      <t>RGSP</t>
    </r>
    <r>
      <rPr>
        <vertAlign val="subscript"/>
        <sz val="11"/>
        <color theme="1"/>
        <rFont val="Arial"/>
        <family val="2"/>
      </rPr>
      <t>t-1</t>
    </r>
    <r>
      <rPr>
        <sz val="11"/>
        <color theme="1"/>
        <rFont val="Arial"/>
        <family val="2"/>
      </rPr>
      <t>, F1.17</t>
    </r>
  </si>
  <si>
    <t>Gas Revenue Provision  (recalculated for years before t)</t>
  </si>
  <si>
    <t>Gas System Planner Licence correction</t>
  </si>
  <si>
    <t>GSPADJₜ</t>
  </si>
  <si>
    <t>ARGSPₜ</t>
  </si>
  <si>
    <t>Gas System Planner Licence correction (year t)</t>
  </si>
  <si>
    <t>GSPADJₜ, F1.17</t>
  </si>
  <si>
    <t>Gas Revenue Provision (year t)</t>
  </si>
  <si>
    <t>ARGSPₜ, F1.16</t>
  </si>
  <si>
    <t>Gas Revenue Provision (published and forecast)</t>
  </si>
  <si>
    <t>Check: No correction term for years after t</t>
  </si>
  <si>
    <t>Check: No error terms in Gas Revenue Provision</t>
  </si>
  <si>
    <t>Headline outputs</t>
  </si>
  <si>
    <t>This section contains the overall headline results from this model. Only the values provided for year t are required by the NESO licences. Other values are for information only.</t>
  </si>
  <si>
    <t>Check: No error terms in output values</t>
  </si>
  <si>
    <t xml:space="preserve">This section contains timing assumptions used on this sheet. Year t is used as part of the 'missing value' checks, which highlight if values from previous years' Financial Models </t>
  </si>
  <si>
    <t>have not been recorded.</t>
  </si>
  <si>
    <t xml:space="preserve">Internal BSUoS Income is recorded for each published model as the live model only calculates the value for year t. These values are needed to calculate the adjustment term in </t>
  </si>
  <si>
    <t>future years. Only the value for year t needs to be saved.</t>
  </si>
  <si>
    <t>Internal BSUoS Income (in Financial Model for year ending)</t>
  </si>
  <si>
    <t>Years to record</t>
  </si>
  <si>
    <t>Missing values</t>
  </si>
  <si>
    <t>Internal BSUoS Income (as published for corresponding year t)</t>
  </si>
  <si>
    <t>Check: No more than one value recorded for each year</t>
  </si>
  <si>
    <t xml:space="preserve">Return BSUoS Income is recorded for each published model as the live model only calculates the value for year t. These values are needed to calculate the adjustment term in </t>
  </si>
  <si>
    <t>Project Data</t>
  </si>
  <si>
    <t>Project Name</t>
  </si>
  <si>
    <t>NESO Financial Model</t>
  </si>
  <si>
    <t>File path</t>
  </si>
  <si>
    <t>Current file name</t>
  </si>
  <si>
    <t>Model status</t>
  </si>
  <si>
    <t>Publication date</t>
  </si>
  <si>
    <t>Draft version</t>
  </si>
  <si>
    <t>Check date added for published model</t>
  </si>
  <si>
    <t>Error Checks</t>
  </si>
  <si>
    <t>Model Tolerance</t>
  </si>
  <si>
    <t>Control</t>
  </si>
  <si>
    <t>Total Check</t>
  </si>
  <si>
    <t>Overall Check</t>
  </si>
  <si>
    <t>Change log</t>
  </si>
  <si>
    <t>Change No.</t>
  </si>
  <si>
    <t>Model version</t>
  </si>
  <si>
    <t>Sheet name</t>
  </si>
  <si>
    <t>Changes made</t>
  </si>
  <si>
    <t>Change made by</t>
  </si>
  <si>
    <t>POPULATED FOR REVIEW</t>
  </si>
  <si>
    <t xml:space="preserve">The Gas Revenue Provision is recorded for each published model as the live model only calculates the value for year t. These values are not needed to calculate the adjustment </t>
  </si>
  <si>
    <t>term in later periods but they do help to show a time series of the provision as originally set for each year. Only the value for year t needs to be saved.</t>
  </si>
  <si>
    <t>ARGSP*ₜ</t>
  </si>
  <si>
    <t>As published in years before t</t>
  </si>
  <si>
    <t>As calculated for year t</t>
  </si>
  <si>
    <t>MSI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</si>
</sst>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* #,##0.00_);_(* \(#,##0.00\);_(* &quot;-&quot;??_);_(@_)"/>
    <numFmt numFmtId="165" formatCode="#,##0_);\(#,##0\);&quot;-  &quot;;&quot; &quot;@"/>
    <numFmt numFmtId="166" formatCode="_(* #,##0_);_(* \(#,##0\);_(* &quot;-&quot;??_);_(@_)"/>
    <numFmt numFmtId="167" formatCode="#,##0.0_);\(#,##0.0\);&quot;-  &quot;;&quot; &quot;@"/>
    <numFmt numFmtId="168" formatCode="#,##0_);\(#,##0\);&quot;-  &quot;;&quot; &quot;@&quot; &quot;"/>
    <numFmt numFmtId="169" formatCode="0.00%;\-0.00%_);&quot;-  &quot;;&quot; &quot;@&quot; &quot;"/>
    <numFmt numFmtId="170" formatCode="#,##0.0000;\(#,##0.0000\);&quot;-  &quot;;&quot; &quot;@&quot; &quot;"/>
    <numFmt numFmtId="171" formatCode="dd\ mmm\ yyyy_);\(###0\);&quot;-  &quot;;&quot; &quot;@&quot; &quot;"/>
    <numFmt numFmtId="172" formatCode="dd\ mmm\ yy_);\(###0\);&quot;-  &quot;;&quot; &quot;@&quot; &quot;"/>
    <numFmt numFmtId="173" formatCode="###0_);\(###0\);&quot;-  &quot;;&quot; &quot;@&quot; &quot;"/>
    <numFmt numFmtId="174" formatCode="dd\-mmm\-yy_);\(###0\);&quot;-  &quot;;&quot; &quot;@&quot; &quot;"/>
    <numFmt numFmtId="175" formatCode="#,##0_);[Red]\(#,##0\);\-_)"/>
    <numFmt numFmtId="176" formatCode="#,##0.0_);\(#,##0.0\);&quot;-  &quot;;&quot; &quot;@&quot; &quot;"/>
    <numFmt numFmtId="177" formatCode="_(* #,##0.0_);_(* \(#,##0.0\);_(* &quot;-&quot;??_);_(@_)"/>
    <numFmt numFmtId="178" formatCode="#,##0.0_);\(#,##0.0\);\-_)"/>
    <numFmt numFmtId="179" formatCode="#,##0.000_);\(#,##0.000\);&quot;-  &quot;;&quot; &quot;@&quot; &quot;"/>
    <numFmt numFmtId="180" formatCode="_(* #,##0_);_(* \(#,##0\);_(@_)"/>
    <numFmt numFmtId="181" formatCode="_(* #,##0.000_);_(* \(#,##0.000\);_(* &quot;-&quot;??_);_(@_)"/>
    <numFmt numFmtId="182" formatCode="dd\ mmm\ yyyy"/>
    <numFmt numFmtId="183" formatCode="mmm\ yyyy"/>
    <numFmt numFmtId="184" formatCode="#,##0.00_);\(#,##0.00\);&quot;-  &quot;;&quot; &quot;@&quot; &quot;"/>
    <numFmt numFmtId="185" formatCode="_(* #,##0.00000_);_(* \(#,##0.00000\);_(* &quot;-&quot;??_);_(@_)"/>
  </numFmts>
  <fonts count="42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sz val="14"/>
      <color indexed="9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0"/>
      <name val="Arial"/>
      <family val="2"/>
    </font>
    <font>
      <sz val="8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indexed="9"/>
      <name val="Calibri"/>
      <family val="2"/>
    </font>
    <font>
      <sz val="11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b/>
      <sz val="18"/>
      <name val="Arial"/>
      <family val="2"/>
      <scheme val="minor"/>
    </font>
    <font>
      <sz val="10"/>
      <color indexed="62"/>
      <name val="Arial"/>
      <family val="2"/>
    </font>
    <font>
      <sz val="9"/>
      <color rgb="FF000000"/>
      <name val="Arial"/>
      <family val="2"/>
    </font>
    <font>
      <i/>
      <sz val="11"/>
      <color rgb="FF7F7F7F"/>
      <name val="Arial"/>
      <family val="2"/>
      <scheme val="minor"/>
    </font>
    <font>
      <sz val="10"/>
      <color theme="1"/>
      <name val="Verdana"/>
      <family val="2"/>
    </font>
    <font>
      <sz val="10"/>
      <color theme="0" tint="-4.9989318521683403E-2"/>
      <name val="Gill Sans MT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sz val="11"/>
      <color rgb="FF0070C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7F7F7F"/>
      <name val="Arial"/>
      <family val="2"/>
    </font>
    <font>
      <u/>
      <sz val="11"/>
      <color theme="10"/>
      <name val="Arial"/>
      <family val="2"/>
    </font>
    <font>
      <sz val="11"/>
      <color rgb="FFFF0000"/>
      <name val="Arial"/>
      <family val="2"/>
    </font>
    <font>
      <sz val="11"/>
      <color theme="5" tint="-0.249977111117893"/>
      <name val="Arial"/>
      <family val="2"/>
    </font>
    <font>
      <b/>
      <sz val="11"/>
      <color theme="0"/>
      <name val="Arial"/>
      <family val="2"/>
    </font>
    <font>
      <b/>
      <sz val="11"/>
      <color rgb="FF000000"/>
      <name val="Arial"/>
      <family val="2"/>
    </font>
    <font>
      <sz val="14"/>
      <color indexed="9"/>
      <name val="Arial"/>
      <family val="2"/>
    </font>
    <font>
      <b/>
      <sz val="22"/>
      <color indexed="9"/>
      <name val="Arial"/>
      <family val="2"/>
    </font>
    <font>
      <b/>
      <sz val="18"/>
      <color indexed="9"/>
      <name val="Arial"/>
      <family val="2"/>
    </font>
    <font>
      <sz val="14"/>
      <color theme="1"/>
      <name val="Arial"/>
      <family val="2"/>
    </font>
    <font>
      <i/>
      <sz val="11"/>
      <color rgb="FF505050"/>
      <name val="Arial"/>
      <family val="2"/>
    </font>
    <font>
      <vertAlign val="subscript"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5A6CB6"/>
        <bgColor indexed="64"/>
      </patternFill>
    </fill>
    <fill>
      <patternFill patternType="gray125">
        <fgColor theme="0" tint="-0.14996795556505021"/>
        <bgColor indexed="65"/>
      </patternFill>
    </fill>
    <fill>
      <patternFill patternType="solid">
        <fgColor rgb="FFFF6600"/>
        <bgColor indexed="64"/>
      </patternFill>
    </fill>
    <fill>
      <patternFill patternType="lightUp"/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DF2BD"/>
        <bgColor indexed="64"/>
      </patternFill>
    </fill>
  </fills>
  <borders count="81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medium">
        <color rgb="FFFF6600"/>
      </top>
      <bottom style="medium">
        <color rgb="FFFF66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auto="1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auto="1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auto="1"/>
      </right>
      <top style="thin">
        <color indexed="64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46">
    <xf numFmtId="168" fontId="0" fillId="0" borderId="0" applyNumberFormat="0" applyFont="0" applyFill="0" applyBorder="0" applyProtection="0">
      <alignment vertical="top"/>
    </xf>
    <xf numFmtId="0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1" fillId="0" borderId="0" applyFont="0" applyFill="0" applyBorder="0" applyProtection="0">
      <alignment vertical="top"/>
    </xf>
    <xf numFmtId="0" fontId="3" fillId="0" borderId="0"/>
    <xf numFmtId="0" fontId="1" fillId="0" borderId="0"/>
    <xf numFmtId="0" fontId="9" fillId="0" borderId="0" applyNumberFormat="0" applyFill="0" applyBorder="0" applyAlignment="0" applyProtection="0"/>
    <xf numFmtId="0" fontId="10" fillId="3" borderId="0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5" borderId="1" applyNumberFormat="0" applyAlignment="0"/>
    <xf numFmtId="0" fontId="12" fillId="4" borderId="2" applyNumberFormat="0" applyAlignment="0"/>
    <xf numFmtId="0" fontId="14" fillId="5" borderId="0" applyNumberFormat="0" applyAlignment="0"/>
    <xf numFmtId="170" fontId="1" fillId="0" borderId="0" applyFont="0" applyFill="0" applyBorder="0" applyProtection="0">
      <alignment vertical="top"/>
    </xf>
    <xf numFmtId="171" fontId="1" fillId="0" borderId="0" applyFont="0" applyFill="0" applyBorder="0" applyProtection="0">
      <alignment vertical="top"/>
    </xf>
    <xf numFmtId="172" fontId="1" fillId="0" borderId="0" applyFont="0" applyFill="0" applyBorder="0" applyProtection="0">
      <alignment vertical="top"/>
    </xf>
    <xf numFmtId="173" fontId="1" fillId="0" borderId="0" applyFont="0" applyFill="0" applyBorder="0" applyProtection="0">
      <alignment vertical="top"/>
    </xf>
    <xf numFmtId="0" fontId="1" fillId="0" borderId="0"/>
    <xf numFmtId="0" fontId="1" fillId="0" borderId="0"/>
    <xf numFmtId="175" fontId="15" fillId="0" borderId="0">
      <alignment vertical="top"/>
    </xf>
    <xf numFmtId="0" fontId="3" fillId="0" borderId="0"/>
    <xf numFmtId="175" fontId="15" fillId="0" borderId="0">
      <alignment vertical="top"/>
    </xf>
    <xf numFmtId="0" fontId="9" fillId="0" borderId="0" applyNumberFormat="0" applyFill="0" applyBorder="0" applyAlignment="0" applyProtection="0"/>
    <xf numFmtId="0" fontId="16" fillId="0" borderId="0" applyNumberFormat="0" applyProtection="0"/>
    <xf numFmtId="0" fontId="17" fillId="0" borderId="0" applyNumberFormat="0" applyFill="0" applyBorder="0" applyAlignment="0" applyProtection="0"/>
    <xf numFmtId="0" fontId="18" fillId="0" borderId="0"/>
    <xf numFmtId="178" fontId="19" fillId="7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5" borderId="10" applyNumberFormat="0" applyAlignment="0"/>
    <xf numFmtId="0" fontId="1" fillId="0" borderId="0"/>
  </cellStyleXfs>
  <cellXfs count="486">
    <xf numFmtId="168" fontId="0" fillId="0" borderId="0" xfId="0">
      <alignment vertical="top"/>
    </xf>
    <xf numFmtId="0" fontId="4" fillId="2" borderId="0" xfId="1" applyFont="1" applyFill="1"/>
    <xf numFmtId="168" fontId="5" fillId="0" borderId="0" xfId="0" applyFont="1">
      <alignment vertical="top"/>
    </xf>
    <xf numFmtId="168" fontId="1" fillId="0" borderId="0" xfId="0" applyFont="1">
      <alignment vertical="top"/>
    </xf>
    <xf numFmtId="166" fontId="1" fillId="0" borderId="0" xfId="2" applyNumberFormat="1" applyFont="1" applyAlignment="1">
      <alignment horizontal="right"/>
    </xf>
    <xf numFmtId="168" fontId="0" fillId="0" borderId="0" xfId="0" applyAlignment="1">
      <alignment horizontal="right"/>
    </xf>
    <xf numFmtId="168" fontId="2" fillId="0" borderId="0" xfId="0" applyFont="1" applyAlignment="1">
      <alignment horizontal="left"/>
    </xf>
    <xf numFmtId="168" fontId="5" fillId="0" borderId="0" xfId="0" applyFont="1" applyProtection="1">
      <alignment vertical="top"/>
      <protection locked="0"/>
    </xf>
    <xf numFmtId="168" fontId="13" fillId="0" borderId="0" xfId="0" applyFont="1">
      <alignment vertical="top"/>
    </xf>
    <xf numFmtId="168" fontId="1" fillId="0" borderId="0" xfId="0" applyFont="1" applyAlignment="1">
      <alignment horizontal="right"/>
    </xf>
    <xf numFmtId="168" fontId="1" fillId="0" borderId="0" xfId="0" applyFont="1" applyFill="1">
      <alignment vertical="top"/>
    </xf>
    <xf numFmtId="0" fontId="14" fillId="5" borderId="0" xfId="21"/>
    <xf numFmtId="0" fontId="14" fillId="5" borderId="0" xfId="21" applyAlignment="1">
      <alignment horizontal="right"/>
    </xf>
    <xf numFmtId="168" fontId="11" fillId="0" borderId="0" xfId="0" applyFont="1">
      <alignment vertical="top"/>
    </xf>
    <xf numFmtId="168" fontId="11" fillId="0" borderId="0" xfId="0" applyFont="1" applyBorder="1">
      <alignment vertical="top"/>
    </xf>
    <xf numFmtId="168" fontId="6" fillId="5" borderId="1" xfId="19" applyNumberFormat="1" applyAlignment="1">
      <alignment vertical="top"/>
    </xf>
    <xf numFmtId="168" fontId="1" fillId="0" borderId="0" xfId="0" applyFont="1" applyBorder="1">
      <alignment vertical="top"/>
    </xf>
    <xf numFmtId="168" fontId="6" fillId="5" borderId="3" xfId="19" applyNumberFormat="1" applyBorder="1" applyAlignment="1">
      <alignment vertical="top"/>
    </xf>
    <xf numFmtId="168" fontId="0" fillId="0" borderId="0" xfId="0" applyBorder="1">
      <alignment vertical="top"/>
    </xf>
    <xf numFmtId="0" fontId="14" fillId="5" borderId="0" xfId="21" applyAlignment="1"/>
    <xf numFmtId="0" fontId="0" fillId="0" borderId="0" xfId="0" applyNumberFormat="1">
      <alignment vertical="top"/>
    </xf>
    <xf numFmtId="0" fontId="1" fillId="0" borderId="0" xfId="0" applyNumberFormat="1" applyFont="1">
      <alignment vertical="top"/>
    </xf>
    <xf numFmtId="168" fontId="0" fillId="0" borderId="0" xfId="0" applyFill="1">
      <alignment vertical="top"/>
    </xf>
    <xf numFmtId="168" fontId="1" fillId="0" borderId="0" xfId="0" applyFont="1" applyProtection="1">
      <alignment vertical="top"/>
    </xf>
    <xf numFmtId="168" fontId="20" fillId="0" borderId="0" xfId="0" applyFont="1">
      <alignment vertical="top"/>
    </xf>
    <xf numFmtId="168" fontId="21" fillId="0" borderId="0" xfId="0" applyFont="1">
      <alignment vertical="top"/>
    </xf>
    <xf numFmtId="168" fontId="20" fillId="0" borderId="0" xfId="0" applyFont="1" applyAlignment="1">
      <alignment horizontal="right"/>
    </xf>
    <xf numFmtId="0" fontId="24" fillId="9" borderId="0" xfId="21" applyFont="1" applyFill="1"/>
    <xf numFmtId="0" fontId="24" fillId="9" borderId="0" xfId="21" applyFont="1" applyFill="1" applyAlignment="1">
      <alignment horizontal="right"/>
    </xf>
    <xf numFmtId="0" fontId="25" fillId="9" borderId="10" xfId="44" applyFont="1" applyFill="1"/>
    <xf numFmtId="168" fontId="25" fillId="9" borderId="10" xfId="44" applyNumberFormat="1" applyFont="1" applyFill="1" applyAlignment="1">
      <alignment vertical="top"/>
    </xf>
    <xf numFmtId="0" fontId="23" fillId="10" borderId="9" xfId="2" applyNumberFormat="1" applyFont="1" applyFill="1" applyBorder="1"/>
    <xf numFmtId="0" fontId="23" fillId="10" borderId="5" xfId="2" applyNumberFormat="1" applyFont="1" applyFill="1" applyBorder="1"/>
    <xf numFmtId="0" fontId="23" fillId="10" borderId="14" xfId="2" applyNumberFormat="1" applyFont="1" applyFill="1" applyBorder="1"/>
    <xf numFmtId="165" fontId="21" fillId="0" borderId="0" xfId="2" applyFont="1"/>
    <xf numFmtId="165" fontId="21" fillId="0" borderId="0" xfId="2" applyFont="1" applyBorder="1"/>
    <xf numFmtId="165" fontId="21" fillId="0" borderId="0" xfId="2" quotePrefix="1" applyFont="1" applyFill="1" applyBorder="1"/>
    <xf numFmtId="166" fontId="7" fillId="0" borderId="0" xfId="2" applyNumberFormat="1" applyFont="1" applyAlignment="1"/>
    <xf numFmtId="166" fontId="20" fillId="0" borderId="0" xfId="2" applyNumberFormat="1" applyFont="1" applyAlignment="1"/>
    <xf numFmtId="0" fontId="3" fillId="0" borderId="0" xfId="1" applyFont="1" applyAlignment="1">
      <alignment horizontal="right"/>
    </xf>
    <xf numFmtId="166" fontId="20" fillId="0" borderId="0" xfId="2" applyNumberFormat="1" applyFont="1" applyAlignment="1">
      <alignment horizontal="right"/>
    </xf>
    <xf numFmtId="165" fontId="3" fillId="0" borderId="0" xfId="2" applyFont="1"/>
    <xf numFmtId="168" fontId="22" fillId="9" borderId="1" xfId="19" applyNumberFormat="1" applyFont="1" applyFill="1" applyAlignment="1">
      <alignment vertical="top"/>
    </xf>
    <xf numFmtId="0" fontId="25" fillId="9" borderId="1" xfId="19" applyFont="1" applyFill="1"/>
    <xf numFmtId="166" fontId="25" fillId="9" borderId="1" xfId="19" applyNumberFormat="1" applyFont="1" applyFill="1"/>
    <xf numFmtId="168" fontId="25" fillId="9" borderId="1" xfId="19" applyNumberFormat="1" applyFont="1" applyFill="1" applyAlignment="1">
      <alignment vertical="top"/>
    </xf>
    <xf numFmtId="0" fontId="24" fillId="9" borderId="0" xfId="21" applyNumberFormat="1" applyFont="1" applyFill="1" applyAlignment="1"/>
    <xf numFmtId="0" fontId="24" fillId="9" borderId="0" xfId="21" applyNumberFormat="1" applyFont="1" applyFill="1" applyAlignment="1">
      <alignment horizontal="right"/>
    </xf>
    <xf numFmtId="0" fontId="20" fillId="0" borderId="0" xfId="0" applyNumberFormat="1" applyFont="1">
      <alignment vertical="top"/>
    </xf>
    <xf numFmtId="0" fontId="21" fillId="0" borderId="0" xfId="0" applyNumberFormat="1" applyFont="1">
      <alignment vertical="top"/>
    </xf>
    <xf numFmtId="0" fontId="20" fillId="0" borderId="0" xfId="0" applyNumberFormat="1" applyFont="1" applyAlignment="1">
      <alignment horizontal="right"/>
    </xf>
    <xf numFmtId="0" fontId="28" fillId="0" borderId="0" xfId="0" applyNumberFormat="1" applyFont="1">
      <alignment vertical="top"/>
    </xf>
    <xf numFmtId="168" fontId="28" fillId="0" borderId="0" xfId="0" applyFont="1">
      <alignment vertical="top"/>
    </xf>
    <xf numFmtId="0" fontId="29" fillId="0" borderId="0" xfId="0" applyNumberFormat="1" applyFont="1">
      <alignment vertical="top"/>
    </xf>
    <xf numFmtId="168" fontId="29" fillId="0" borderId="0" xfId="0" applyFont="1">
      <alignment vertical="top"/>
    </xf>
    <xf numFmtId="166" fontId="29" fillId="0" borderId="0" xfId="0" applyNumberFormat="1" applyFont="1">
      <alignment vertical="top"/>
    </xf>
    <xf numFmtId="182" fontId="29" fillId="0" borderId="0" xfId="24" applyNumberFormat="1" applyFont="1">
      <alignment vertical="top"/>
    </xf>
    <xf numFmtId="168" fontId="29" fillId="0" borderId="0" xfId="24" applyNumberFormat="1" applyFont="1">
      <alignment vertical="top"/>
    </xf>
    <xf numFmtId="172" fontId="29" fillId="0" borderId="0" xfId="24" applyFont="1">
      <alignment vertical="top"/>
    </xf>
    <xf numFmtId="0" fontId="20" fillId="8" borderId="0" xfId="0" applyNumberFormat="1" applyFont="1" applyFill="1">
      <alignment vertical="top"/>
    </xf>
    <xf numFmtId="0" fontId="30" fillId="0" borderId="0" xfId="33" applyNumberFormat="1" applyFont="1" applyAlignment="1">
      <alignment vertical="top"/>
    </xf>
    <xf numFmtId="0" fontId="31" fillId="0" borderId="0" xfId="6" applyNumberFormat="1" applyFont="1" applyAlignment="1">
      <alignment vertical="top"/>
    </xf>
    <xf numFmtId="176" fontId="21" fillId="6" borderId="0" xfId="0" applyNumberFormat="1" applyFont="1" applyFill="1" applyBorder="1">
      <alignment vertical="top"/>
    </xf>
    <xf numFmtId="15" fontId="29" fillId="0" borderId="0" xfId="24" applyNumberFormat="1" applyFont="1" applyBorder="1" applyAlignment="1">
      <alignment horizontal="left" vertical="top"/>
    </xf>
    <xf numFmtId="0" fontId="20" fillId="0" borderId="0" xfId="0" applyNumberFormat="1" applyFont="1" applyBorder="1">
      <alignment vertical="top"/>
    </xf>
    <xf numFmtId="168" fontId="20" fillId="0" borderId="0" xfId="0" applyFont="1" applyBorder="1">
      <alignment vertical="top"/>
    </xf>
    <xf numFmtId="15" fontId="29" fillId="0" borderId="6" xfId="24" applyNumberFormat="1" applyFont="1" applyBorder="1" applyAlignment="1">
      <alignment horizontal="left" vertical="top"/>
    </xf>
    <xf numFmtId="0" fontId="20" fillId="0" borderId="6" xfId="0" applyNumberFormat="1" applyFont="1" applyBorder="1">
      <alignment vertical="top"/>
    </xf>
    <xf numFmtId="168" fontId="20" fillId="0" borderId="6" xfId="0" applyFont="1" applyBorder="1">
      <alignment vertical="top"/>
    </xf>
    <xf numFmtId="176" fontId="21" fillId="6" borderId="6" xfId="0" applyNumberFormat="1" applyFont="1" applyFill="1" applyBorder="1">
      <alignment vertical="top"/>
    </xf>
    <xf numFmtId="168" fontId="20" fillId="0" borderId="0" xfId="0" applyFont="1" applyProtection="1">
      <alignment vertical="top"/>
    </xf>
    <xf numFmtId="0" fontId="20" fillId="0" borderId="0" xfId="0" applyNumberFormat="1" applyFont="1" applyFill="1" applyBorder="1">
      <alignment vertical="top"/>
    </xf>
    <xf numFmtId="177" fontId="20" fillId="0" borderId="0" xfId="0" applyNumberFormat="1" applyFont="1">
      <alignment vertical="top"/>
    </xf>
    <xf numFmtId="168" fontId="28" fillId="0" borderId="0" xfId="0" applyFont="1" applyProtection="1">
      <alignment vertical="top"/>
    </xf>
    <xf numFmtId="0" fontId="25" fillId="9" borderId="1" xfId="19" applyNumberFormat="1" applyFont="1" applyFill="1" applyAlignment="1"/>
    <xf numFmtId="168" fontId="20" fillId="6" borderId="0" xfId="0" applyFont="1" applyFill="1" applyBorder="1">
      <alignment vertical="top"/>
    </xf>
    <xf numFmtId="177" fontId="33" fillId="0" borderId="0" xfId="0" applyNumberFormat="1" applyFont="1">
      <alignment vertical="top"/>
    </xf>
    <xf numFmtId="0" fontId="20" fillId="0" borderId="0" xfId="2" applyNumberFormat="1" applyFont="1" applyFill="1" applyBorder="1" applyAlignment="1">
      <alignment vertical="center"/>
    </xf>
    <xf numFmtId="0" fontId="31" fillId="0" borderId="0" xfId="6" applyNumberFormat="1" applyFont="1" applyFill="1" applyAlignment="1">
      <alignment vertical="top"/>
    </xf>
    <xf numFmtId="0" fontId="20" fillId="0" borderId="0" xfId="0" applyNumberFormat="1" applyFont="1" applyFill="1">
      <alignment vertical="top"/>
    </xf>
    <xf numFmtId="0" fontId="21" fillId="0" borderId="0" xfId="0" applyNumberFormat="1" applyFont="1" applyFill="1">
      <alignment vertical="top"/>
    </xf>
    <xf numFmtId="168" fontId="21" fillId="6" borderId="0" xfId="0" applyFont="1" applyFill="1" applyBorder="1">
      <alignment vertical="top"/>
    </xf>
    <xf numFmtId="174" fontId="26" fillId="0" borderId="0" xfId="3" applyNumberFormat="1" applyFont="1" applyFill="1" applyBorder="1">
      <alignment vertical="top"/>
    </xf>
    <xf numFmtId="0" fontId="21" fillId="0" borderId="0" xfId="0" applyNumberFormat="1" applyFont="1" applyFill="1" applyBorder="1">
      <alignment vertical="top"/>
    </xf>
    <xf numFmtId="10" fontId="20" fillId="0" borderId="0" xfId="0" applyNumberFormat="1" applyFont="1" applyBorder="1" applyAlignment="1">
      <alignment horizontal="left" vertical="top"/>
    </xf>
    <xf numFmtId="164" fontId="20" fillId="0" borderId="0" xfId="2" applyNumberFormat="1" applyFont="1" applyFill="1" applyBorder="1" applyAlignment="1">
      <alignment vertical="center"/>
    </xf>
    <xf numFmtId="0" fontId="21" fillId="0" borderId="0" xfId="2" applyNumberFormat="1" applyFont="1" applyFill="1" applyBorder="1" applyAlignment="1">
      <alignment vertical="center"/>
    </xf>
    <xf numFmtId="164" fontId="21" fillId="0" borderId="0" xfId="2" applyNumberFormat="1" applyFont="1" applyFill="1" applyBorder="1" applyAlignment="1">
      <alignment vertical="center"/>
    </xf>
    <xf numFmtId="0" fontId="21" fillId="0" borderId="0" xfId="0" applyNumberFormat="1" applyFont="1" applyBorder="1">
      <alignment vertical="top"/>
    </xf>
    <xf numFmtId="0" fontId="28" fillId="0" borderId="0" xfId="2" applyNumberFormat="1" applyFont="1" applyFill="1" applyBorder="1" applyAlignment="1">
      <alignment vertical="center"/>
    </xf>
    <xf numFmtId="166" fontId="20" fillId="0" borderId="0" xfId="2" applyNumberFormat="1" applyFont="1" applyFill="1" applyBorder="1" applyAlignment="1">
      <alignment vertical="center"/>
    </xf>
    <xf numFmtId="166" fontId="21" fillId="0" borderId="0" xfId="2" applyNumberFormat="1" applyFont="1" applyFill="1" applyBorder="1" applyAlignment="1">
      <alignment vertical="center"/>
    </xf>
    <xf numFmtId="169" fontId="21" fillId="0" borderId="0" xfId="3" applyFont="1" applyFill="1" applyBorder="1">
      <alignment vertical="top"/>
    </xf>
    <xf numFmtId="0" fontId="21" fillId="0" borderId="6" xfId="0" applyNumberFormat="1" applyFont="1" applyBorder="1">
      <alignment vertical="top"/>
    </xf>
    <xf numFmtId="168" fontId="21" fillId="6" borderId="6" xfId="0" applyFont="1" applyFill="1" applyBorder="1">
      <alignment vertical="top"/>
    </xf>
    <xf numFmtId="168" fontId="20" fillId="6" borderId="6" xfId="0" applyFont="1" applyFill="1" applyBorder="1">
      <alignment vertical="top"/>
    </xf>
    <xf numFmtId="0" fontId="24" fillId="9" borderId="0" xfId="21" applyFont="1" applyFill="1" applyAlignment="1"/>
    <xf numFmtId="0" fontId="25" fillId="9" borderId="1" xfId="19" applyNumberFormat="1" applyFont="1" applyFill="1"/>
    <xf numFmtId="0" fontId="20" fillId="0" borderId="0" xfId="0" quotePrefix="1" applyNumberFormat="1" applyFont="1" applyBorder="1">
      <alignment vertical="top"/>
    </xf>
    <xf numFmtId="177" fontId="21" fillId="6" borderId="0" xfId="0" applyNumberFormat="1" applyFont="1" applyFill="1" applyBorder="1">
      <alignment vertical="top"/>
    </xf>
    <xf numFmtId="177" fontId="21" fillId="0" borderId="5" xfId="2" applyNumberFormat="1" applyFont="1" applyFill="1" applyBorder="1" applyAlignment="1">
      <alignment vertical="center" wrapText="1"/>
    </xf>
    <xf numFmtId="168" fontId="20" fillId="6" borderId="0" xfId="0" applyFont="1" applyFill="1">
      <alignment vertical="top"/>
    </xf>
    <xf numFmtId="181" fontId="20" fillId="0" borderId="0" xfId="0" applyNumberFormat="1" applyFont="1">
      <alignment vertical="top"/>
    </xf>
    <xf numFmtId="168" fontId="20" fillId="0" borderId="0" xfId="0" applyFont="1" applyFill="1" applyBorder="1">
      <alignment vertical="top"/>
    </xf>
    <xf numFmtId="168" fontId="20" fillId="0" borderId="0" xfId="0" applyFont="1" applyFill="1">
      <alignment vertical="top"/>
    </xf>
    <xf numFmtId="0" fontId="20" fillId="0" borderId="0" xfId="0" quotePrefix="1" applyNumberFormat="1" applyFont="1" applyFill="1" applyBorder="1">
      <alignment vertical="top"/>
    </xf>
    <xf numFmtId="0" fontId="20" fillId="0" borderId="6" xfId="0" applyNumberFormat="1" applyFont="1" applyFill="1" applyBorder="1">
      <alignment vertical="top"/>
    </xf>
    <xf numFmtId="168" fontId="20" fillId="6" borderId="7" xfId="0" applyFont="1" applyFill="1" applyBorder="1">
      <alignment vertical="top"/>
    </xf>
    <xf numFmtId="166" fontId="20" fillId="0" borderId="0" xfId="0" applyNumberFormat="1" applyFont="1">
      <alignment vertical="top"/>
    </xf>
    <xf numFmtId="0" fontId="24" fillId="9" borderId="0" xfId="21" applyNumberFormat="1" applyFont="1" applyFill="1"/>
    <xf numFmtId="0" fontId="34" fillId="9" borderId="0" xfId="21" applyNumberFormat="1" applyFont="1" applyFill="1"/>
    <xf numFmtId="177" fontId="33" fillId="0" borderId="9" xfId="2" applyNumberFormat="1" applyFont="1" applyFill="1" applyBorder="1" applyAlignment="1">
      <alignment vertical="center" wrapText="1"/>
    </xf>
    <xf numFmtId="177" fontId="33" fillId="0" borderId="5" xfId="2" applyNumberFormat="1" applyFont="1" applyFill="1" applyBorder="1" applyAlignment="1">
      <alignment vertical="center" wrapText="1"/>
    </xf>
    <xf numFmtId="168" fontId="21" fillId="0" borderId="0" xfId="0" applyFont="1" applyFill="1">
      <alignment vertical="top"/>
    </xf>
    <xf numFmtId="177" fontId="20" fillId="0" borderId="0" xfId="0" applyNumberFormat="1" applyFont="1" applyFill="1">
      <alignment vertical="top"/>
    </xf>
    <xf numFmtId="177" fontId="21" fillId="0" borderId="0" xfId="0" applyNumberFormat="1" applyFont="1" applyFill="1">
      <alignment vertical="top"/>
    </xf>
    <xf numFmtId="164" fontId="26" fillId="0" borderId="0" xfId="2" applyNumberFormat="1" applyFont="1" applyFill="1" applyBorder="1" applyAlignment="1">
      <alignment vertical="center" wrapText="1"/>
    </xf>
    <xf numFmtId="176" fontId="21" fillId="0" borderId="0" xfId="0" applyNumberFormat="1" applyFont="1">
      <alignment vertical="top"/>
    </xf>
    <xf numFmtId="169" fontId="21" fillId="0" borderId="0" xfId="3" applyFont="1">
      <alignment vertical="top"/>
    </xf>
    <xf numFmtId="168" fontId="21" fillId="0" borderId="6" xfId="0" applyFont="1" applyBorder="1">
      <alignment vertical="top"/>
    </xf>
    <xf numFmtId="168" fontId="23" fillId="0" borderId="0" xfId="0" applyFont="1" applyAlignment="1">
      <alignment horizontal="right" vertical="top"/>
    </xf>
    <xf numFmtId="169" fontId="20" fillId="0" borderId="0" xfId="3" applyFont="1">
      <alignment vertical="top"/>
    </xf>
    <xf numFmtId="177" fontId="21" fillId="0" borderId="7" xfId="2" applyNumberFormat="1" applyFont="1" applyFill="1" applyBorder="1" applyAlignment="1">
      <alignment vertical="center" wrapText="1"/>
    </xf>
    <xf numFmtId="177" fontId="21" fillId="0" borderId="4" xfId="2" applyNumberFormat="1" applyFont="1" applyFill="1" applyBorder="1" applyAlignment="1">
      <alignment vertical="center" wrapText="1"/>
    </xf>
    <xf numFmtId="168" fontId="21" fillId="0" borderId="0" xfId="0" applyFont="1" applyBorder="1">
      <alignment vertical="top"/>
    </xf>
    <xf numFmtId="177" fontId="21" fillId="0" borderId="13" xfId="2" applyNumberFormat="1" applyFont="1" applyFill="1" applyBorder="1" applyAlignment="1">
      <alignment vertical="center" wrapText="1"/>
    </xf>
    <xf numFmtId="168" fontId="33" fillId="0" borderId="0" xfId="0" applyFont="1">
      <alignment vertical="top"/>
    </xf>
    <xf numFmtId="168" fontId="20" fillId="8" borderId="0" xfId="0" applyFont="1" applyFill="1" applyAlignment="1">
      <alignment horizontal="right"/>
    </xf>
    <xf numFmtId="177" fontId="20" fillId="6" borderId="0" xfId="0" applyNumberFormat="1" applyFont="1" applyFill="1" applyBorder="1">
      <alignment vertical="top"/>
    </xf>
    <xf numFmtId="177" fontId="20" fillId="6" borderId="6" xfId="0" applyNumberFormat="1" applyFont="1" applyFill="1" applyBorder="1">
      <alignment vertical="top"/>
    </xf>
    <xf numFmtId="177" fontId="20" fillId="6" borderId="8" xfId="0" applyNumberFormat="1" applyFont="1" applyFill="1" applyBorder="1">
      <alignment vertical="top"/>
    </xf>
    <xf numFmtId="177" fontId="20" fillId="0" borderId="12" xfId="2" applyNumberFormat="1" applyFont="1" applyFill="1" applyBorder="1" applyAlignment="1">
      <alignment vertical="center" wrapText="1"/>
    </xf>
    <xf numFmtId="177" fontId="20" fillId="0" borderId="0" xfId="2" applyNumberFormat="1" applyFont="1" applyFill="1" applyBorder="1" applyAlignment="1">
      <alignment vertical="center" wrapText="1"/>
    </xf>
    <xf numFmtId="166" fontId="20" fillId="0" borderId="0" xfId="2" applyNumberFormat="1" applyFont="1" applyFill="1" applyBorder="1" applyAlignment="1">
      <alignment vertical="center" wrapText="1"/>
    </xf>
    <xf numFmtId="0" fontId="29" fillId="0" borderId="0" xfId="24" applyNumberFormat="1" applyFont="1" applyAlignment="1">
      <alignment horizontal="left" vertical="top"/>
    </xf>
    <xf numFmtId="174" fontId="29" fillId="0" borderId="0" xfId="24" applyNumberFormat="1" applyFont="1" applyAlignment="1">
      <alignment horizontal="left" vertical="top"/>
    </xf>
    <xf numFmtId="177" fontId="29" fillId="0" borderId="0" xfId="24" applyNumberFormat="1" applyFont="1" applyAlignment="1">
      <alignment horizontal="left" vertical="top"/>
    </xf>
    <xf numFmtId="166" fontId="20" fillId="0" borderId="12" xfId="2" applyNumberFormat="1" applyFont="1" applyFill="1" applyBorder="1" applyAlignment="1">
      <alignment vertical="center" wrapText="1"/>
    </xf>
    <xf numFmtId="174" fontId="35" fillId="0" borderId="0" xfId="24" applyNumberFormat="1" applyFont="1" applyAlignment="1">
      <alignment horizontal="right" vertical="top"/>
    </xf>
    <xf numFmtId="0" fontId="29" fillId="0" borderId="6" xfId="24" applyNumberFormat="1" applyFont="1" applyBorder="1" applyAlignment="1">
      <alignment horizontal="left" vertical="top"/>
    </xf>
    <xf numFmtId="0" fontId="29" fillId="0" borderId="0" xfId="24" applyNumberFormat="1" applyFont="1" applyBorder="1" applyAlignment="1">
      <alignment horizontal="left" vertical="top"/>
    </xf>
    <xf numFmtId="174" fontId="29" fillId="0" borderId="0" xfId="24" applyNumberFormat="1" applyFont="1" applyBorder="1" applyAlignment="1">
      <alignment horizontal="left" vertical="top"/>
    </xf>
    <xf numFmtId="166" fontId="20" fillId="0" borderId="0" xfId="2" applyNumberFormat="1" applyFont="1" applyFill="1" applyBorder="1"/>
    <xf numFmtId="0" fontId="29" fillId="0" borderId="0" xfId="24" applyNumberFormat="1" applyFont="1" applyFill="1" applyBorder="1" applyAlignment="1">
      <alignment horizontal="left" vertical="top"/>
    </xf>
    <xf numFmtId="0" fontId="20" fillId="0" borderId="0" xfId="3" applyNumberFormat="1" applyFont="1" applyFill="1" applyBorder="1">
      <alignment vertical="top"/>
    </xf>
    <xf numFmtId="169" fontId="26" fillId="0" borderId="0" xfId="3" applyFont="1" applyFill="1" applyBorder="1">
      <alignment vertical="top"/>
    </xf>
    <xf numFmtId="0" fontId="28" fillId="0" borderId="0" xfId="3" applyNumberFormat="1" applyFont="1" applyFill="1" applyBorder="1">
      <alignment vertical="top"/>
    </xf>
    <xf numFmtId="0" fontId="20" fillId="0" borderId="6" xfId="3" applyNumberFormat="1" applyFont="1" applyFill="1" applyBorder="1">
      <alignment vertical="top"/>
    </xf>
    <xf numFmtId="169" fontId="26" fillId="0" borderId="6" xfId="3" applyFont="1" applyFill="1" applyBorder="1">
      <alignment vertical="top"/>
    </xf>
    <xf numFmtId="181" fontId="20" fillId="6" borderId="0" xfId="0" applyNumberFormat="1" applyFont="1" applyFill="1" applyBorder="1">
      <alignment vertical="top"/>
    </xf>
    <xf numFmtId="0" fontId="35" fillId="0" borderId="0" xfId="24" applyNumberFormat="1" applyFont="1" applyAlignment="1">
      <alignment horizontal="left" vertical="top"/>
    </xf>
    <xf numFmtId="176" fontId="20" fillId="0" borderId="0" xfId="0" applyNumberFormat="1" applyFont="1">
      <alignment vertical="top"/>
    </xf>
    <xf numFmtId="168" fontId="20" fillId="0" borderId="0" xfId="0" applyFont="1" applyAlignment="1" applyProtection="1">
      <alignment horizontal="right"/>
    </xf>
    <xf numFmtId="168" fontId="29" fillId="0" borderId="0" xfId="0" applyFont="1" applyProtection="1">
      <alignment vertical="top"/>
    </xf>
    <xf numFmtId="168" fontId="20" fillId="0" borderId="0" xfId="0" applyFont="1" applyBorder="1" applyProtection="1">
      <alignment vertical="top"/>
    </xf>
    <xf numFmtId="168" fontId="20" fillId="0" borderId="6" xfId="0" applyFont="1" applyBorder="1" applyProtection="1">
      <alignment vertical="top"/>
    </xf>
    <xf numFmtId="168" fontId="26" fillId="0" borderId="0" xfId="0" applyFont="1" applyFill="1">
      <alignment vertical="top"/>
    </xf>
    <xf numFmtId="15" fontId="29" fillId="0" borderId="0" xfId="24" applyNumberFormat="1" applyFont="1" applyFill="1" applyBorder="1" applyAlignment="1">
      <alignment horizontal="left" vertical="top"/>
    </xf>
    <xf numFmtId="15" fontId="29" fillId="0" borderId="6" xfId="24" applyNumberFormat="1" applyFont="1" applyFill="1" applyBorder="1" applyAlignment="1">
      <alignment horizontal="left" vertical="top"/>
    </xf>
    <xf numFmtId="185" fontId="21" fillId="0" borderId="5" xfId="2" applyNumberFormat="1" applyFont="1" applyFill="1" applyBorder="1"/>
    <xf numFmtId="177" fontId="21" fillId="0" borderId="12" xfId="2" applyNumberFormat="1" applyFont="1" applyFill="1" applyBorder="1"/>
    <xf numFmtId="177" fontId="21" fillId="0" borderId="5" xfId="2" applyNumberFormat="1" applyFont="1" applyFill="1" applyBorder="1"/>
    <xf numFmtId="184" fontId="20" fillId="0" borderId="0" xfId="0" applyNumberFormat="1" applyFont="1">
      <alignment vertical="top"/>
    </xf>
    <xf numFmtId="166" fontId="21" fillId="0" borderId="12" xfId="2" applyNumberFormat="1" applyFont="1" applyFill="1" applyBorder="1" applyAlignment="1">
      <alignment vertical="center" wrapText="1"/>
    </xf>
    <xf numFmtId="179" fontId="20" fillId="0" borderId="0" xfId="0" applyNumberFormat="1" applyFont="1">
      <alignment vertical="top"/>
    </xf>
    <xf numFmtId="168" fontId="20" fillId="0" borderId="0" xfId="0" applyFont="1" applyAlignment="1">
      <alignment horizontal="right" vertical="top"/>
    </xf>
    <xf numFmtId="0" fontId="29" fillId="0" borderId="0" xfId="2" applyNumberFormat="1" applyFont="1" applyFill="1" applyBorder="1"/>
    <xf numFmtId="0" fontId="29" fillId="0" borderId="0" xfId="0" applyNumberFormat="1" applyFont="1" applyBorder="1">
      <alignment vertical="top"/>
    </xf>
    <xf numFmtId="166" fontId="29" fillId="0" borderId="0" xfId="2" applyNumberFormat="1" applyFont="1" applyFill="1" applyBorder="1"/>
    <xf numFmtId="166" fontId="29" fillId="0" borderId="0" xfId="2" applyNumberFormat="1" applyFont="1" applyBorder="1"/>
    <xf numFmtId="168" fontId="29" fillId="0" borderId="0" xfId="0" applyFont="1" applyBorder="1">
      <alignment vertical="top"/>
    </xf>
    <xf numFmtId="0" fontId="20" fillId="0" borderId="0" xfId="2" applyNumberFormat="1" applyFont="1" applyFill="1" applyBorder="1"/>
    <xf numFmtId="166" fontId="20" fillId="0" borderId="0" xfId="2" applyNumberFormat="1" applyFont="1" applyBorder="1"/>
    <xf numFmtId="176" fontId="23" fillId="0" borderId="0" xfId="0" applyNumberFormat="1" applyFont="1">
      <alignment vertical="top"/>
    </xf>
    <xf numFmtId="177" fontId="21" fillId="0" borderId="0" xfId="0" applyNumberFormat="1" applyFont="1">
      <alignment vertical="top"/>
    </xf>
    <xf numFmtId="177" fontId="23" fillId="0" borderId="0" xfId="0" applyNumberFormat="1" applyFont="1">
      <alignment vertical="top"/>
    </xf>
    <xf numFmtId="177" fontId="21" fillId="0" borderId="0" xfId="2" applyNumberFormat="1" applyFont="1" applyFill="1" applyBorder="1" applyAlignment="1">
      <alignment vertical="center" wrapText="1"/>
    </xf>
    <xf numFmtId="174" fontId="21" fillId="0" borderId="0" xfId="24" applyNumberFormat="1" applyFont="1" applyAlignment="1">
      <alignment horizontal="left" vertical="top"/>
    </xf>
    <xf numFmtId="176" fontId="21" fillId="0" borderId="0" xfId="24" applyNumberFormat="1" applyFont="1" applyAlignment="1">
      <alignment horizontal="left" vertical="top"/>
    </xf>
    <xf numFmtId="0" fontId="32" fillId="0" borderId="0" xfId="0" applyNumberFormat="1" applyFont="1">
      <alignment vertical="top"/>
    </xf>
    <xf numFmtId="176" fontId="21" fillId="6" borderId="0" xfId="0" applyNumberFormat="1" applyFont="1" applyFill="1">
      <alignment vertical="top"/>
    </xf>
    <xf numFmtId="176" fontId="21" fillId="6" borderId="7" xfId="0" applyNumberFormat="1" applyFont="1" applyFill="1" applyBorder="1">
      <alignment vertical="top"/>
    </xf>
    <xf numFmtId="166" fontId="21" fillId="0" borderId="0" xfId="2" applyNumberFormat="1" applyFont="1" applyFill="1" applyBorder="1" applyAlignment="1">
      <alignment vertical="center" wrapText="1"/>
    </xf>
    <xf numFmtId="176" fontId="21" fillId="0" borderId="0" xfId="2" applyNumberFormat="1" applyFont="1" applyFill="1" applyBorder="1" applyAlignment="1">
      <alignment vertical="center" wrapText="1"/>
    </xf>
    <xf numFmtId="177" fontId="21" fillId="6" borderId="6" xfId="0" applyNumberFormat="1" applyFont="1" applyFill="1" applyBorder="1">
      <alignment vertical="top"/>
    </xf>
    <xf numFmtId="15" fontId="21" fillId="0" borderId="0" xfId="24" applyNumberFormat="1" applyFont="1" applyBorder="1" applyAlignment="1">
      <alignment horizontal="left" vertical="top"/>
    </xf>
    <xf numFmtId="15" fontId="21" fillId="0" borderId="6" xfId="24" applyNumberFormat="1" applyFont="1" applyBorder="1" applyAlignment="1">
      <alignment horizontal="left" vertical="top"/>
    </xf>
    <xf numFmtId="168" fontId="23" fillId="0" borderId="0" xfId="0" applyFont="1">
      <alignment vertical="top"/>
    </xf>
    <xf numFmtId="0" fontId="25" fillId="9" borderId="1" xfId="19" applyNumberFormat="1" applyFont="1" applyFill="1" applyAlignment="1">
      <alignment vertical="top"/>
    </xf>
    <xf numFmtId="176" fontId="25" fillId="9" borderId="1" xfId="19" applyNumberFormat="1" applyFont="1" applyFill="1" applyAlignment="1">
      <alignment vertical="top"/>
    </xf>
    <xf numFmtId="0" fontId="36" fillId="9" borderId="0" xfId="1" applyFont="1" applyFill="1"/>
    <xf numFmtId="0" fontId="37" fillId="9" borderId="0" xfId="1" applyFont="1" applyFill="1"/>
    <xf numFmtId="0" fontId="38" fillId="9" borderId="0" xfId="1" applyFont="1" applyFill="1"/>
    <xf numFmtId="168" fontId="22" fillId="0" borderId="0" xfId="0" applyFont="1">
      <alignment vertical="top"/>
    </xf>
    <xf numFmtId="168" fontId="39" fillId="0" borderId="0" xfId="0" applyFont="1">
      <alignment vertical="top"/>
    </xf>
    <xf numFmtId="0" fontId="20" fillId="0" borderId="15" xfId="0" applyNumberFormat="1" applyFont="1" applyBorder="1">
      <alignment vertical="top"/>
    </xf>
    <xf numFmtId="15" fontId="29" fillId="0" borderId="15" xfId="24" applyNumberFormat="1" applyFont="1" applyBorder="1" applyAlignment="1">
      <alignment horizontal="left" vertical="top"/>
    </xf>
    <xf numFmtId="168" fontId="20" fillId="0" borderId="15" xfId="0" applyFont="1" applyBorder="1">
      <alignment vertical="top"/>
    </xf>
    <xf numFmtId="177" fontId="20" fillId="6" borderId="15" xfId="0" applyNumberFormat="1" applyFont="1" applyFill="1" applyBorder="1">
      <alignment vertical="top"/>
    </xf>
    <xf numFmtId="166" fontId="20" fillId="0" borderId="15" xfId="2" applyNumberFormat="1" applyFont="1" applyFill="1" applyBorder="1"/>
    <xf numFmtId="0" fontId="20" fillId="0" borderId="15" xfId="3" applyNumberFormat="1" applyFont="1" applyFill="1" applyBorder="1">
      <alignment vertical="top"/>
    </xf>
    <xf numFmtId="181" fontId="20" fillId="6" borderId="15" xfId="0" applyNumberFormat="1" applyFont="1" applyFill="1" applyBorder="1">
      <alignment vertical="top"/>
    </xf>
    <xf numFmtId="168" fontId="20" fillId="6" borderId="15" xfId="0" applyFont="1" applyFill="1" applyBorder="1">
      <alignment vertical="top"/>
    </xf>
    <xf numFmtId="0" fontId="20" fillId="0" borderId="15" xfId="0" applyNumberFormat="1" applyFont="1" applyFill="1" applyBorder="1">
      <alignment vertical="top"/>
    </xf>
    <xf numFmtId="0" fontId="21" fillId="0" borderId="15" xfId="0" applyNumberFormat="1" applyFont="1" applyBorder="1">
      <alignment vertical="top"/>
    </xf>
    <xf numFmtId="168" fontId="21" fillId="6" borderId="15" xfId="0" applyFont="1" applyFill="1" applyBorder="1">
      <alignment vertical="top"/>
    </xf>
    <xf numFmtId="0" fontId="40" fillId="0" borderId="0" xfId="33" applyNumberFormat="1" applyFont="1" applyAlignment="1">
      <alignment vertical="top"/>
    </xf>
    <xf numFmtId="0" fontId="40" fillId="0" borderId="0" xfId="33" applyNumberFormat="1" applyFont="1" applyFill="1" applyAlignment="1">
      <alignment vertical="top"/>
    </xf>
    <xf numFmtId="15" fontId="20" fillId="11" borderId="11" xfId="0" quotePrefix="1" applyNumberFormat="1" applyFont="1" applyFill="1" applyBorder="1" applyAlignment="1" applyProtection="1">
      <alignment horizontal="left" vertical="top"/>
      <protection locked="0"/>
    </xf>
    <xf numFmtId="185" fontId="21" fillId="0" borderId="12" xfId="2" applyNumberFormat="1" applyFont="1" applyFill="1" applyBorder="1"/>
    <xf numFmtId="0" fontId="25" fillId="9" borderId="16" xfId="19" applyNumberFormat="1" applyFont="1" applyFill="1" applyBorder="1" applyAlignment="1">
      <alignment vertical="top"/>
    </xf>
    <xf numFmtId="168" fontId="25" fillId="9" borderId="16" xfId="19" applyNumberFormat="1" applyFont="1" applyFill="1" applyBorder="1" applyAlignment="1">
      <alignment vertical="top"/>
    </xf>
    <xf numFmtId="168" fontId="6" fillId="5" borderId="16" xfId="19" applyNumberFormat="1" applyBorder="1" applyAlignment="1">
      <alignment vertical="top"/>
    </xf>
    <xf numFmtId="168" fontId="21" fillId="6" borderId="0" xfId="0" applyFont="1" applyFill="1">
      <alignment vertical="top"/>
    </xf>
    <xf numFmtId="0" fontId="20" fillId="0" borderId="22" xfId="0" applyNumberFormat="1" applyFont="1" applyBorder="1">
      <alignment vertical="top"/>
    </xf>
    <xf numFmtId="168" fontId="20" fillId="0" borderId="22" xfId="0" applyFont="1" applyBorder="1">
      <alignment vertical="top"/>
    </xf>
    <xf numFmtId="177" fontId="32" fillId="0" borderId="20" xfId="2" applyNumberFormat="1" applyFont="1" applyFill="1" applyBorder="1" applyAlignment="1">
      <alignment vertical="center" wrapText="1"/>
    </xf>
    <xf numFmtId="0" fontId="25" fillId="9" borderId="23" xfId="19" applyNumberFormat="1" applyFont="1" applyFill="1" applyBorder="1" applyAlignment="1">
      <alignment vertical="top"/>
    </xf>
    <xf numFmtId="168" fontId="25" fillId="9" borderId="23" xfId="19" applyNumberFormat="1" applyFont="1" applyFill="1" applyBorder="1" applyAlignment="1">
      <alignment vertical="top"/>
    </xf>
    <xf numFmtId="177" fontId="33" fillId="0" borderId="21" xfId="2" applyNumberFormat="1" applyFont="1" applyFill="1" applyBorder="1" applyAlignment="1">
      <alignment vertical="center" wrapText="1"/>
    </xf>
    <xf numFmtId="177" fontId="33" fillId="0" borderId="17" xfId="2" applyNumberFormat="1" applyFont="1" applyFill="1" applyBorder="1" applyAlignment="1">
      <alignment vertical="center" wrapText="1"/>
    </xf>
    <xf numFmtId="166" fontId="32" fillId="0" borderId="21" xfId="2" applyNumberFormat="1" applyFont="1" applyFill="1" applyBorder="1" applyAlignment="1">
      <alignment vertical="center" wrapText="1"/>
    </xf>
    <xf numFmtId="182" fontId="33" fillId="0" borderId="21" xfId="3" applyNumberFormat="1" applyFont="1" applyFill="1" applyBorder="1">
      <alignment vertical="top"/>
    </xf>
    <xf numFmtId="166" fontId="20" fillId="11" borderId="17" xfId="2" applyNumberFormat="1" applyFont="1" applyFill="1" applyBorder="1" applyAlignment="1" applyProtection="1">
      <alignment vertical="center" wrapText="1"/>
    </xf>
    <xf numFmtId="166" fontId="21" fillId="0" borderId="17" xfId="2" applyNumberFormat="1" applyFont="1" applyFill="1" applyBorder="1" applyAlignment="1">
      <alignment vertical="center" wrapText="1"/>
    </xf>
    <xf numFmtId="177" fontId="20" fillId="11" borderId="17" xfId="2" applyNumberFormat="1" applyFont="1" applyFill="1" applyBorder="1" applyAlignment="1" applyProtection="1">
      <alignment vertical="center" wrapText="1"/>
      <protection locked="0"/>
    </xf>
    <xf numFmtId="166" fontId="21" fillId="0" borderId="21" xfId="2" applyNumberFormat="1" applyFont="1" applyFill="1" applyBorder="1" applyAlignment="1" applyProtection="1">
      <alignment vertical="center" wrapText="1"/>
    </xf>
    <xf numFmtId="166" fontId="21" fillId="0" borderId="21" xfId="2" applyNumberFormat="1" applyFont="1" applyFill="1" applyBorder="1" applyAlignment="1">
      <alignment vertical="center" wrapText="1"/>
    </xf>
    <xf numFmtId="177" fontId="20" fillId="11" borderId="21" xfId="2" applyNumberFormat="1" applyFont="1" applyFill="1" applyBorder="1" applyAlignment="1" applyProtection="1">
      <alignment vertical="center" wrapText="1"/>
      <protection locked="0"/>
    </xf>
    <xf numFmtId="166" fontId="21" fillId="0" borderId="25" xfId="2" applyNumberFormat="1" applyFont="1" applyFill="1" applyBorder="1" applyAlignment="1">
      <alignment vertical="center" wrapText="1"/>
    </xf>
    <xf numFmtId="177" fontId="20" fillId="11" borderId="25" xfId="2" applyNumberFormat="1" applyFont="1" applyFill="1" applyBorder="1" applyAlignment="1" applyProtection="1">
      <alignment vertical="center" wrapText="1"/>
      <protection locked="0"/>
    </xf>
    <xf numFmtId="176" fontId="21" fillId="0" borderId="0" xfId="0" applyNumberFormat="1" applyFont="1" applyFill="1">
      <alignment vertical="top"/>
    </xf>
    <xf numFmtId="182" fontId="20" fillId="11" borderId="21" xfId="2" applyNumberFormat="1" applyFont="1" applyFill="1" applyBorder="1" applyAlignment="1" applyProtection="1">
      <alignment vertical="center" wrapText="1"/>
      <protection locked="0"/>
    </xf>
    <xf numFmtId="166" fontId="20" fillId="11" borderId="21" xfId="2" applyNumberFormat="1" applyFont="1" applyFill="1" applyBorder="1" applyAlignment="1" applyProtection="1">
      <alignment vertical="center" wrapText="1"/>
      <protection locked="0"/>
    </xf>
    <xf numFmtId="169" fontId="20" fillId="11" borderId="21" xfId="3" applyFont="1" applyFill="1" applyBorder="1" applyProtection="1">
      <alignment vertical="top"/>
      <protection locked="0"/>
    </xf>
    <xf numFmtId="177" fontId="20" fillId="12" borderId="21" xfId="2" applyNumberFormat="1" applyFont="1" applyFill="1" applyBorder="1" applyAlignment="1" applyProtection="1">
      <alignment vertical="center" wrapText="1"/>
      <protection locked="0"/>
    </xf>
    <xf numFmtId="177" fontId="20" fillId="11" borderId="21" xfId="2" applyNumberFormat="1" applyFont="1" applyFill="1" applyBorder="1" applyAlignment="1">
      <alignment vertical="center" wrapText="1"/>
    </xf>
    <xf numFmtId="183" fontId="20" fillId="12" borderId="21" xfId="2" applyNumberFormat="1" applyFont="1" applyFill="1" applyBorder="1" applyAlignment="1" applyProtection="1">
      <alignment vertical="center" wrapText="1"/>
      <protection locked="0"/>
    </xf>
    <xf numFmtId="168" fontId="21" fillId="0" borderId="22" xfId="0" applyFont="1" applyBorder="1">
      <alignment vertical="top"/>
    </xf>
    <xf numFmtId="177" fontId="21" fillId="6" borderId="22" xfId="0" applyNumberFormat="1" applyFont="1" applyFill="1" applyBorder="1">
      <alignment vertical="top"/>
    </xf>
    <xf numFmtId="183" fontId="20" fillId="11" borderId="21" xfId="2" applyNumberFormat="1" applyFont="1" applyFill="1" applyBorder="1" applyAlignment="1" applyProtection="1">
      <alignment vertical="center" wrapText="1"/>
      <protection locked="0"/>
    </xf>
    <xf numFmtId="15" fontId="21" fillId="0" borderId="22" xfId="24" applyNumberFormat="1" applyFont="1" applyFill="1" applyBorder="1" applyAlignment="1">
      <alignment horizontal="left" vertical="top"/>
    </xf>
    <xf numFmtId="0" fontId="21" fillId="0" borderId="22" xfId="0" applyNumberFormat="1" applyFont="1" applyBorder="1">
      <alignment vertical="top"/>
    </xf>
    <xf numFmtId="164" fontId="20" fillId="11" borderId="21" xfId="2" applyNumberFormat="1" applyFont="1" applyFill="1" applyBorder="1" applyAlignment="1" applyProtection="1">
      <alignment vertical="center" wrapText="1"/>
      <protection locked="0"/>
    </xf>
    <xf numFmtId="164" fontId="20" fillId="11" borderId="25" xfId="2" applyNumberFormat="1" applyFont="1" applyFill="1" applyBorder="1" applyAlignment="1" applyProtection="1">
      <alignment vertical="center" wrapText="1"/>
      <protection locked="0"/>
    </xf>
    <xf numFmtId="0" fontId="20" fillId="0" borderId="22" xfId="0" applyNumberFormat="1" applyFont="1" applyFill="1" applyBorder="1">
      <alignment vertical="top"/>
    </xf>
    <xf numFmtId="169" fontId="21" fillId="11" borderId="17" xfId="3" applyFont="1" applyFill="1" applyBorder="1" applyProtection="1">
      <alignment vertical="top"/>
      <protection locked="0"/>
    </xf>
    <xf numFmtId="169" fontId="21" fillId="11" borderId="25" xfId="3" applyFont="1" applyFill="1" applyBorder="1" applyProtection="1">
      <alignment vertical="top"/>
      <protection locked="0"/>
    </xf>
    <xf numFmtId="168" fontId="21" fillId="6" borderId="22" xfId="0" applyFont="1" applyFill="1" applyBorder="1">
      <alignment vertical="top"/>
    </xf>
    <xf numFmtId="169" fontId="21" fillId="11" borderId="21" xfId="3" applyFont="1" applyFill="1" applyBorder="1" applyProtection="1">
      <alignment vertical="top"/>
      <protection locked="0"/>
    </xf>
    <xf numFmtId="180" fontId="20" fillId="11" borderId="21" xfId="2" applyNumberFormat="1" applyFont="1" applyFill="1" applyBorder="1" applyAlignment="1" applyProtection="1">
      <alignment vertical="center" wrapText="1"/>
      <protection locked="0"/>
    </xf>
    <xf numFmtId="164" fontId="33" fillId="0" borderId="21" xfId="2" applyNumberFormat="1" applyFont="1" applyFill="1" applyBorder="1" applyAlignment="1">
      <alignment vertical="center" wrapText="1"/>
    </xf>
    <xf numFmtId="177" fontId="33" fillId="0" borderId="21" xfId="2" applyNumberFormat="1" applyFont="1" applyFill="1" applyBorder="1" applyAlignment="1" applyProtection="1">
      <alignment vertical="center" wrapText="1"/>
    </xf>
    <xf numFmtId="168" fontId="20" fillId="0" borderId="22" xfId="0" applyFont="1" applyBorder="1" applyProtection="1">
      <alignment vertical="top"/>
    </xf>
    <xf numFmtId="177" fontId="20" fillId="6" borderId="22" xfId="0" applyNumberFormat="1" applyFont="1" applyFill="1" applyBorder="1">
      <alignment vertical="top"/>
    </xf>
    <xf numFmtId="177" fontId="33" fillId="0" borderId="17" xfId="2" applyNumberFormat="1" applyFont="1" applyFill="1" applyBorder="1"/>
    <xf numFmtId="177" fontId="33" fillId="0" borderId="21" xfId="2" applyNumberFormat="1" applyFont="1" applyFill="1" applyBorder="1"/>
    <xf numFmtId="177" fontId="33" fillId="0" borderId="25" xfId="2" applyNumberFormat="1" applyFont="1" applyFill="1" applyBorder="1"/>
    <xf numFmtId="15" fontId="29" fillId="0" borderId="22" xfId="24" applyNumberFormat="1" applyFont="1" applyFill="1" applyBorder="1" applyAlignment="1">
      <alignment horizontal="left" vertical="top"/>
    </xf>
    <xf numFmtId="177" fontId="33" fillId="0" borderId="17" xfId="2" applyNumberFormat="1" applyFont="1" applyFill="1" applyBorder="1" applyProtection="1"/>
    <xf numFmtId="177" fontId="33" fillId="0" borderId="21" xfId="2" applyNumberFormat="1" applyFont="1" applyFill="1" applyBorder="1" applyProtection="1"/>
    <xf numFmtId="177" fontId="33" fillId="0" borderId="25" xfId="2" applyNumberFormat="1" applyFont="1" applyFill="1" applyBorder="1" applyProtection="1"/>
    <xf numFmtId="169" fontId="33" fillId="0" borderId="21" xfId="3" applyFont="1" applyFill="1" applyBorder="1" applyProtection="1">
      <alignment vertical="top"/>
    </xf>
    <xf numFmtId="169" fontId="21" fillId="0" borderId="17" xfId="3" applyFont="1" applyFill="1" applyBorder="1" applyProtection="1">
      <alignment vertical="top"/>
    </xf>
    <xf numFmtId="169" fontId="21" fillId="0" borderId="21" xfId="3" applyFont="1" applyFill="1" applyBorder="1" applyProtection="1">
      <alignment vertical="top"/>
    </xf>
    <xf numFmtId="169" fontId="21" fillId="0" borderId="25" xfId="3" applyFont="1" applyFill="1" applyBorder="1" applyProtection="1">
      <alignment vertical="top"/>
    </xf>
    <xf numFmtId="166" fontId="20" fillId="0" borderId="21" xfId="2" applyNumberFormat="1" applyFont="1" applyFill="1" applyBorder="1" applyAlignment="1" applyProtection="1">
      <alignment vertical="center" wrapText="1"/>
    </xf>
    <xf numFmtId="185" fontId="21" fillId="0" borderId="21" xfId="2" applyNumberFormat="1" applyFont="1" applyFill="1" applyBorder="1"/>
    <xf numFmtId="166" fontId="20" fillId="11" borderId="21" xfId="2" applyNumberFormat="1" applyFont="1" applyFill="1" applyBorder="1" applyAlignment="1" applyProtection="1">
      <alignment vertical="center" wrapText="1"/>
    </xf>
    <xf numFmtId="166" fontId="20" fillId="0" borderId="25" xfId="2" applyNumberFormat="1" applyFont="1" applyFill="1" applyBorder="1" applyAlignment="1" applyProtection="1">
      <alignment vertical="center" wrapText="1"/>
    </xf>
    <xf numFmtId="185" fontId="21" fillId="0" borderId="25" xfId="2" applyNumberFormat="1" applyFont="1" applyFill="1" applyBorder="1"/>
    <xf numFmtId="177" fontId="21" fillId="0" borderId="21" xfId="2" applyNumberFormat="1" applyFont="1" applyFill="1" applyBorder="1"/>
    <xf numFmtId="177" fontId="21" fillId="0" borderId="26" xfId="2" applyNumberFormat="1" applyFont="1" applyFill="1" applyBorder="1"/>
    <xf numFmtId="177" fontId="21" fillId="0" borderId="25" xfId="2" applyNumberFormat="1" applyFont="1" applyFill="1" applyBorder="1"/>
    <xf numFmtId="164" fontId="32" fillId="0" borderId="21" xfId="2" applyNumberFormat="1" applyFont="1" applyFill="1" applyBorder="1" applyAlignment="1">
      <alignment vertical="center" wrapText="1"/>
    </xf>
    <xf numFmtId="164" fontId="21" fillId="0" borderId="21" xfId="2" applyNumberFormat="1" applyFont="1" applyFill="1" applyBorder="1" applyAlignment="1" applyProtection="1">
      <alignment vertical="center" wrapText="1"/>
    </xf>
    <xf numFmtId="182" fontId="33" fillId="0" borderId="21" xfId="2" applyNumberFormat="1" applyFont="1" applyFill="1" applyBorder="1" applyAlignment="1" applyProtection="1">
      <alignment vertical="center" wrapText="1"/>
    </xf>
    <xf numFmtId="164" fontId="32" fillId="0" borderId="21" xfId="2" applyNumberFormat="1" applyFont="1" applyFill="1" applyBorder="1" applyAlignment="1" applyProtection="1">
      <alignment vertical="center" wrapText="1"/>
    </xf>
    <xf numFmtId="169" fontId="21" fillId="0" borderId="21" xfId="3" applyFont="1" applyFill="1" applyBorder="1">
      <alignment vertical="top"/>
    </xf>
    <xf numFmtId="169" fontId="21" fillId="0" borderId="24" xfId="3" applyFont="1" applyFill="1" applyBorder="1">
      <alignment vertical="top"/>
    </xf>
    <xf numFmtId="177" fontId="21" fillId="0" borderId="21" xfId="2" applyNumberFormat="1" applyFont="1" applyFill="1" applyBorder="1" applyAlignment="1">
      <alignment vertical="center" wrapText="1"/>
    </xf>
    <xf numFmtId="177" fontId="21" fillId="0" borderId="25" xfId="2" applyNumberFormat="1" applyFont="1" applyFill="1" applyBorder="1" applyAlignment="1">
      <alignment vertical="center" wrapText="1"/>
    </xf>
    <xf numFmtId="0" fontId="20" fillId="0" borderId="16" xfId="0" applyNumberFormat="1" applyFont="1" applyBorder="1">
      <alignment vertical="top"/>
    </xf>
    <xf numFmtId="168" fontId="20" fillId="0" borderId="16" xfId="0" applyFont="1" applyBorder="1">
      <alignment vertical="top"/>
    </xf>
    <xf numFmtId="177" fontId="20" fillId="0" borderId="17" xfId="2" applyNumberFormat="1" applyFont="1" applyFill="1" applyBorder="1"/>
    <xf numFmtId="166" fontId="20" fillId="0" borderId="17" xfId="2" applyNumberFormat="1" applyFont="1" applyFill="1" applyBorder="1" applyAlignment="1">
      <alignment vertical="center" wrapText="1"/>
    </xf>
    <xf numFmtId="177" fontId="20" fillId="0" borderId="27" xfId="2" applyNumberFormat="1" applyFont="1" applyFill="1" applyBorder="1" applyAlignment="1">
      <alignment vertical="center" wrapText="1"/>
    </xf>
    <xf numFmtId="177" fontId="20" fillId="0" borderId="28" xfId="2" applyNumberFormat="1" applyFont="1" applyFill="1" applyBorder="1" applyAlignment="1">
      <alignment vertical="center" wrapText="1"/>
    </xf>
    <xf numFmtId="177" fontId="20" fillId="0" borderId="17" xfId="2" applyNumberFormat="1" applyFont="1" applyFill="1" applyBorder="1" applyAlignment="1">
      <alignment vertical="center" wrapText="1"/>
    </xf>
    <xf numFmtId="177" fontId="20" fillId="0" borderId="21" xfId="2" applyNumberFormat="1" applyFont="1" applyFill="1" applyBorder="1"/>
    <xf numFmtId="166" fontId="20" fillId="0" borderId="21" xfId="2" applyNumberFormat="1" applyFont="1" applyFill="1" applyBorder="1" applyAlignment="1">
      <alignment vertical="center" wrapText="1"/>
    </xf>
    <xf numFmtId="177" fontId="20" fillId="0" borderId="29" xfId="2" applyNumberFormat="1" applyFont="1" applyFill="1" applyBorder="1" applyAlignment="1">
      <alignment vertical="center" wrapText="1"/>
    </xf>
    <xf numFmtId="177" fontId="20" fillId="0" borderId="18" xfId="2" applyNumberFormat="1" applyFont="1" applyFill="1" applyBorder="1" applyAlignment="1">
      <alignment vertical="center" wrapText="1"/>
    </xf>
    <xf numFmtId="177" fontId="20" fillId="0" borderId="21" xfId="2" applyNumberFormat="1" applyFont="1" applyFill="1" applyBorder="1" applyAlignment="1">
      <alignment vertical="center" wrapText="1"/>
    </xf>
    <xf numFmtId="177" fontId="20" fillId="0" borderId="30" xfId="2" applyNumberFormat="1" applyFont="1" applyFill="1" applyBorder="1"/>
    <xf numFmtId="166" fontId="20" fillId="0" borderId="30" xfId="2" applyNumberFormat="1" applyFont="1" applyFill="1" applyBorder="1" applyAlignment="1">
      <alignment vertical="center" wrapText="1"/>
    </xf>
    <xf numFmtId="177" fontId="20" fillId="0" borderId="31" xfId="2" applyNumberFormat="1" applyFont="1" applyFill="1" applyBorder="1" applyAlignment="1">
      <alignment vertical="center" wrapText="1"/>
    </xf>
    <xf numFmtId="177" fontId="20" fillId="0" borderId="30" xfId="2" applyNumberFormat="1" applyFont="1" applyFill="1" applyBorder="1" applyAlignment="1">
      <alignment vertical="center" wrapText="1"/>
    </xf>
    <xf numFmtId="0" fontId="29" fillId="0" borderId="16" xfId="24" applyNumberFormat="1" applyFont="1" applyBorder="1" applyAlignment="1">
      <alignment horizontal="left" vertical="top"/>
    </xf>
    <xf numFmtId="166" fontId="20" fillId="0" borderId="16" xfId="2" applyNumberFormat="1" applyFont="1" applyFill="1" applyBorder="1"/>
    <xf numFmtId="177" fontId="20" fillId="6" borderId="16" xfId="0" applyNumberFormat="1" applyFont="1" applyFill="1" applyBorder="1">
      <alignment vertical="top"/>
    </xf>
    <xf numFmtId="0" fontId="29" fillId="0" borderId="22" xfId="24" applyNumberFormat="1" applyFont="1" applyBorder="1" applyAlignment="1">
      <alignment horizontal="left" vertical="top"/>
    </xf>
    <xf numFmtId="177" fontId="33" fillId="0" borderId="30" xfId="2" applyNumberFormat="1" applyFont="1" applyFill="1" applyBorder="1"/>
    <xf numFmtId="174" fontId="29" fillId="0" borderId="22" xfId="24" applyNumberFormat="1" applyFont="1" applyBorder="1" applyAlignment="1">
      <alignment horizontal="left" vertical="top"/>
    </xf>
    <xf numFmtId="177" fontId="20" fillId="0" borderId="24" xfId="2" applyNumberFormat="1" applyFont="1" applyFill="1" applyBorder="1" applyAlignment="1">
      <alignment vertical="center" wrapText="1"/>
    </xf>
    <xf numFmtId="174" fontId="29" fillId="0" borderId="16" xfId="24" applyNumberFormat="1" applyFont="1" applyBorder="1" applyAlignment="1">
      <alignment horizontal="left" vertical="top"/>
    </xf>
    <xf numFmtId="166" fontId="20" fillId="0" borderId="16" xfId="2" applyNumberFormat="1" applyFont="1" applyFill="1" applyBorder="1" applyAlignment="1">
      <alignment vertical="center" wrapText="1"/>
    </xf>
    <xf numFmtId="182" fontId="21" fillId="0" borderId="21" xfId="3" applyNumberFormat="1" applyFont="1" applyFill="1" applyBorder="1">
      <alignment vertical="top"/>
    </xf>
    <xf numFmtId="169" fontId="20" fillId="0" borderId="21" xfId="3" applyFont="1" applyFill="1" applyBorder="1">
      <alignment vertical="top"/>
    </xf>
    <xf numFmtId="177" fontId="20" fillId="0" borderId="25" xfId="2" applyNumberFormat="1" applyFont="1" applyFill="1" applyBorder="1" applyAlignment="1">
      <alignment vertical="center" wrapText="1"/>
    </xf>
    <xf numFmtId="177" fontId="20" fillId="0" borderId="19" xfId="2" applyNumberFormat="1" applyFont="1" applyFill="1" applyBorder="1" applyAlignment="1">
      <alignment vertical="center" wrapText="1"/>
    </xf>
    <xf numFmtId="164" fontId="33" fillId="0" borderId="32" xfId="2" applyNumberFormat="1" applyFont="1" applyFill="1" applyBorder="1" applyAlignment="1">
      <alignment vertical="center" wrapText="1"/>
    </xf>
    <xf numFmtId="164" fontId="33" fillId="0" borderId="33" xfId="2" applyNumberFormat="1" applyFont="1" applyFill="1" applyBorder="1" applyAlignment="1">
      <alignment vertical="center" wrapText="1"/>
    </xf>
    <xf numFmtId="177" fontId="21" fillId="0" borderId="20" xfId="2" applyNumberFormat="1" applyFont="1" applyFill="1" applyBorder="1" applyAlignment="1">
      <alignment vertical="center" wrapText="1"/>
    </xf>
    <xf numFmtId="169" fontId="33" fillId="0" borderId="21" xfId="3" applyFont="1" applyFill="1" applyBorder="1">
      <alignment vertical="top"/>
    </xf>
    <xf numFmtId="169" fontId="20" fillId="0" borderId="34" xfId="3" applyFont="1" applyFill="1" applyBorder="1">
      <alignment vertical="top"/>
    </xf>
    <xf numFmtId="169" fontId="20" fillId="0" borderId="35" xfId="3" applyFont="1" applyFill="1" applyBorder="1">
      <alignment vertical="top"/>
    </xf>
    <xf numFmtId="169" fontId="26" fillId="0" borderId="36" xfId="3" applyFont="1" applyFill="1" applyBorder="1">
      <alignment vertical="top"/>
    </xf>
    <xf numFmtId="169" fontId="21" fillId="0" borderId="34" xfId="3" applyFont="1" applyFill="1" applyBorder="1">
      <alignment vertical="top"/>
    </xf>
    <xf numFmtId="169" fontId="21" fillId="0" borderId="37" xfId="3" applyFont="1" applyFill="1" applyBorder="1">
      <alignment vertical="top"/>
    </xf>
    <xf numFmtId="169" fontId="32" fillId="0" borderId="38" xfId="3" applyFont="1" applyFill="1" applyBorder="1">
      <alignment vertical="top"/>
    </xf>
    <xf numFmtId="181" fontId="21" fillId="0" borderId="39" xfId="2" applyNumberFormat="1" applyFont="1" applyFill="1" applyBorder="1" applyAlignment="1">
      <alignment vertical="center" wrapText="1"/>
    </xf>
    <xf numFmtId="181" fontId="21" fillId="0" borderId="40" xfId="2" applyNumberFormat="1" applyFont="1" applyFill="1" applyBorder="1" applyAlignment="1">
      <alignment vertical="center" wrapText="1"/>
    </xf>
    <xf numFmtId="181" fontId="21" fillId="0" borderId="41" xfId="2" applyNumberFormat="1" applyFont="1" applyFill="1" applyBorder="1" applyAlignment="1">
      <alignment vertical="center" wrapText="1"/>
    </xf>
    <xf numFmtId="164" fontId="33" fillId="0" borderId="42" xfId="2" applyNumberFormat="1" applyFont="1" applyFill="1" applyBorder="1" applyAlignment="1">
      <alignment vertical="center" wrapText="1"/>
    </xf>
    <xf numFmtId="164" fontId="33" fillId="0" borderId="40" xfId="2" applyNumberFormat="1" applyFont="1" applyFill="1" applyBorder="1" applyAlignment="1">
      <alignment vertical="center" wrapText="1"/>
    </xf>
    <xf numFmtId="177" fontId="32" fillId="0" borderId="43" xfId="2" applyNumberFormat="1" applyFont="1" applyFill="1" applyBorder="1" applyAlignment="1">
      <alignment vertical="center" wrapText="1"/>
    </xf>
    <xf numFmtId="166" fontId="32" fillId="0" borderId="44" xfId="2" applyNumberFormat="1" applyFont="1" applyFill="1" applyBorder="1" applyAlignment="1">
      <alignment vertical="center" wrapText="1"/>
    </xf>
    <xf numFmtId="0" fontId="25" fillId="9" borderId="45" xfId="19" applyNumberFormat="1" applyFont="1" applyFill="1" applyBorder="1" applyAlignment="1">
      <alignment vertical="top"/>
    </xf>
    <xf numFmtId="168" fontId="25" fillId="9" borderId="45" xfId="19" applyNumberFormat="1" applyFont="1" applyFill="1" applyBorder="1" applyAlignment="1">
      <alignment vertical="top"/>
    </xf>
    <xf numFmtId="0" fontId="20" fillId="0" borderId="46" xfId="0" applyNumberFormat="1" applyFont="1" applyBorder="1">
      <alignment vertical="top"/>
    </xf>
    <xf numFmtId="0" fontId="20" fillId="0" borderId="46" xfId="0" applyNumberFormat="1" applyFont="1" applyFill="1" applyBorder="1">
      <alignment vertical="top"/>
    </xf>
    <xf numFmtId="177" fontId="26" fillId="0" borderId="39" xfId="2" applyNumberFormat="1" applyFont="1" applyFill="1" applyBorder="1" applyAlignment="1">
      <alignment vertical="center" wrapText="1"/>
    </xf>
    <xf numFmtId="177" fontId="26" fillId="0" borderId="44" xfId="2" applyNumberFormat="1" applyFont="1" applyFill="1" applyBorder="1" applyAlignment="1">
      <alignment vertical="center" wrapText="1"/>
    </xf>
    <xf numFmtId="177" fontId="26" fillId="0" borderId="47" xfId="2" applyNumberFormat="1" applyFont="1" applyFill="1" applyBorder="1" applyAlignment="1">
      <alignment vertical="center" wrapText="1"/>
    </xf>
    <xf numFmtId="169" fontId="26" fillId="0" borderId="39" xfId="3" applyFont="1" applyFill="1" applyBorder="1">
      <alignment vertical="top"/>
    </xf>
    <xf numFmtId="169" fontId="26" fillId="0" borderId="44" xfId="3" applyFont="1" applyFill="1" applyBorder="1">
      <alignment vertical="top"/>
    </xf>
    <xf numFmtId="169" fontId="26" fillId="0" borderId="47" xfId="3" applyFont="1" applyFill="1" applyBorder="1">
      <alignment vertical="top"/>
    </xf>
    <xf numFmtId="177" fontId="21" fillId="0" borderId="39" xfId="2" applyNumberFormat="1" applyFont="1" applyFill="1" applyBorder="1" applyAlignment="1">
      <alignment vertical="center" wrapText="1"/>
    </xf>
    <xf numFmtId="177" fontId="21" fillId="0" borderId="44" xfId="2" applyNumberFormat="1" applyFont="1" applyFill="1" applyBorder="1" applyAlignment="1">
      <alignment vertical="center" wrapText="1"/>
    </xf>
    <xf numFmtId="177" fontId="21" fillId="0" borderId="47" xfId="2" applyNumberFormat="1" applyFont="1" applyFill="1" applyBorder="1" applyAlignment="1">
      <alignment vertical="center" wrapText="1"/>
    </xf>
    <xf numFmtId="169" fontId="33" fillId="0" borderId="39" xfId="3" applyFont="1" applyFill="1" applyBorder="1">
      <alignment vertical="top"/>
    </xf>
    <xf numFmtId="169" fontId="33" fillId="0" borderId="44" xfId="3" applyFont="1" applyFill="1" applyBorder="1">
      <alignment vertical="top"/>
    </xf>
    <xf numFmtId="169" fontId="33" fillId="0" borderId="47" xfId="3" applyFont="1" applyFill="1" applyBorder="1">
      <alignment vertical="top"/>
    </xf>
    <xf numFmtId="182" fontId="33" fillId="0" borderId="44" xfId="3" applyNumberFormat="1" applyFont="1" applyFill="1" applyBorder="1">
      <alignment vertical="top"/>
    </xf>
    <xf numFmtId="169" fontId="21" fillId="0" borderId="44" xfId="3" applyFont="1" applyFill="1" applyBorder="1">
      <alignment vertical="top"/>
    </xf>
    <xf numFmtId="0" fontId="21" fillId="0" borderId="46" xfId="0" applyNumberFormat="1" applyFont="1" applyBorder="1">
      <alignment vertical="top"/>
    </xf>
    <xf numFmtId="168" fontId="21" fillId="0" borderId="46" xfId="0" applyFont="1" applyBorder="1">
      <alignment vertical="top"/>
    </xf>
    <xf numFmtId="168" fontId="21" fillId="6" borderId="46" xfId="0" applyFont="1" applyFill="1" applyBorder="1">
      <alignment vertical="top"/>
    </xf>
    <xf numFmtId="168" fontId="20" fillId="0" borderId="46" xfId="0" applyFont="1" applyBorder="1">
      <alignment vertical="top"/>
    </xf>
    <xf numFmtId="168" fontId="20" fillId="6" borderId="46" xfId="0" applyFont="1" applyFill="1" applyBorder="1">
      <alignment vertical="top"/>
    </xf>
    <xf numFmtId="169" fontId="20" fillId="0" borderId="39" xfId="3" applyFont="1" applyFill="1" applyBorder="1">
      <alignment vertical="top"/>
    </xf>
    <xf numFmtId="169" fontId="20" fillId="0" borderId="47" xfId="3" applyFont="1" applyFill="1" applyBorder="1">
      <alignment vertical="top"/>
    </xf>
    <xf numFmtId="169" fontId="20" fillId="0" borderId="41" xfId="3" applyFont="1" applyFill="1" applyBorder="1">
      <alignment vertical="top"/>
    </xf>
    <xf numFmtId="166" fontId="21" fillId="0" borderId="44" xfId="2" applyNumberFormat="1" applyFont="1" applyFill="1" applyBorder="1" applyAlignment="1">
      <alignment vertical="center" wrapText="1"/>
    </xf>
    <xf numFmtId="168" fontId="22" fillId="9" borderId="45" xfId="19" applyNumberFormat="1" applyFont="1" applyFill="1" applyBorder="1" applyAlignment="1">
      <alignment vertical="top"/>
    </xf>
    <xf numFmtId="177" fontId="21" fillId="0" borderId="48" xfId="2" applyNumberFormat="1" applyFont="1" applyFill="1" applyBorder="1" applyAlignment="1">
      <alignment vertical="center" wrapText="1"/>
    </xf>
    <xf numFmtId="177" fontId="21" fillId="0" borderId="49" xfId="2" applyNumberFormat="1" applyFont="1" applyFill="1" applyBorder="1" applyAlignment="1">
      <alignment vertical="center" wrapText="1"/>
    </xf>
    <xf numFmtId="177" fontId="21" fillId="0" borderId="50" xfId="2" applyNumberFormat="1" applyFont="1" applyFill="1" applyBorder="1" applyAlignment="1">
      <alignment vertical="center" wrapText="1"/>
    </xf>
    <xf numFmtId="177" fontId="21" fillId="0" borderId="38" xfId="2" applyNumberFormat="1" applyFont="1" applyFill="1" applyBorder="1" applyAlignment="1">
      <alignment vertical="center" wrapText="1"/>
    </xf>
    <xf numFmtId="177" fontId="21" fillId="0" borderId="51" xfId="2" applyNumberFormat="1" applyFont="1" applyFill="1" applyBorder="1" applyAlignment="1">
      <alignment vertical="center" wrapText="1"/>
    </xf>
    <xf numFmtId="177" fontId="33" fillId="0" borderId="52" xfId="2" applyNumberFormat="1" applyFont="1" applyFill="1" applyBorder="1" applyAlignment="1">
      <alignment vertical="center" wrapText="1"/>
    </xf>
    <xf numFmtId="177" fontId="33" fillId="0" borderId="49" xfId="2" applyNumberFormat="1" applyFont="1" applyFill="1" applyBorder="1" applyAlignment="1">
      <alignment vertical="center" wrapText="1"/>
    </xf>
    <xf numFmtId="177" fontId="21" fillId="0" borderId="53" xfId="2" applyNumberFormat="1" applyFont="1" applyFill="1" applyBorder="1" applyAlignment="1">
      <alignment vertical="center" wrapText="1"/>
    </xf>
    <xf numFmtId="177" fontId="21" fillId="0" borderId="42" xfId="2" applyNumberFormat="1" applyFont="1" applyFill="1" applyBorder="1" applyAlignment="1">
      <alignment vertical="center" wrapText="1"/>
    </xf>
    <xf numFmtId="177" fontId="26" fillId="0" borderId="54" xfId="2" applyNumberFormat="1" applyFont="1" applyFill="1" applyBorder="1"/>
    <xf numFmtId="177" fontId="26" fillId="0" borderId="55" xfId="2" applyNumberFormat="1" applyFont="1" applyFill="1" applyBorder="1"/>
    <xf numFmtId="180" fontId="33" fillId="0" borderId="44" xfId="2" applyNumberFormat="1" applyFont="1" applyFill="1" applyBorder="1" applyAlignment="1">
      <alignment vertical="center" wrapText="1"/>
    </xf>
    <xf numFmtId="180" fontId="21" fillId="0" borderId="44" xfId="2" applyNumberFormat="1" applyFont="1" applyFill="1" applyBorder="1" applyAlignment="1">
      <alignment vertical="center" wrapText="1"/>
    </xf>
    <xf numFmtId="177" fontId="32" fillId="0" borderId="44" xfId="2" applyNumberFormat="1" applyFont="1" applyFill="1" applyBorder="1" applyAlignment="1">
      <alignment vertical="center" wrapText="1"/>
    </xf>
    <xf numFmtId="168" fontId="6" fillId="5" borderId="45" xfId="19" applyNumberFormat="1" applyBorder="1" applyAlignment="1">
      <alignment vertical="top"/>
    </xf>
    <xf numFmtId="0" fontId="34" fillId="9" borderId="45" xfId="19" applyNumberFormat="1" applyFont="1" applyFill="1" applyBorder="1" applyAlignment="1">
      <alignment vertical="top"/>
    </xf>
    <xf numFmtId="166" fontId="21" fillId="0" borderId="44" xfId="2" applyNumberFormat="1" applyFont="1" applyFill="1" applyBorder="1" applyAlignment="1">
      <alignment vertical="center"/>
    </xf>
    <xf numFmtId="166" fontId="33" fillId="0" borderId="44" xfId="2" applyNumberFormat="1" applyFont="1" applyFill="1" applyBorder="1" applyAlignment="1">
      <alignment vertical="center" wrapText="1"/>
    </xf>
    <xf numFmtId="182" fontId="21" fillId="0" borderId="44" xfId="3" applyNumberFormat="1" applyFont="1" applyFill="1" applyBorder="1">
      <alignment vertical="top"/>
    </xf>
    <xf numFmtId="177" fontId="33" fillId="0" borderId="39" xfId="2" applyNumberFormat="1" applyFont="1" applyFill="1" applyBorder="1" applyAlignment="1">
      <alignment vertical="center" wrapText="1"/>
    </xf>
    <xf numFmtId="177" fontId="33" fillId="0" borderId="44" xfId="2" applyNumberFormat="1" applyFont="1" applyFill="1" applyBorder="1" applyAlignment="1">
      <alignment vertical="center" wrapText="1"/>
    </xf>
    <xf numFmtId="177" fontId="33" fillId="0" borderId="55" xfId="2" applyNumberFormat="1" applyFont="1" applyFill="1" applyBorder="1" applyAlignment="1">
      <alignment vertical="center" wrapText="1"/>
    </xf>
    <xf numFmtId="177" fontId="33" fillId="0" borderId="42" xfId="2" applyNumberFormat="1" applyFont="1" applyFill="1" applyBorder="1" applyAlignment="1">
      <alignment vertical="center" wrapText="1"/>
    </xf>
    <xf numFmtId="177" fontId="33" fillId="0" borderId="40" xfId="2" applyNumberFormat="1" applyFont="1" applyFill="1" applyBorder="1" applyAlignment="1">
      <alignment vertical="center" wrapText="1"/>
    </xf>
    <xf numFmtId="177" fontId="33" fillId="0" borderId="43" xfId="2" applyNumberFormat="1" applyFont="1" applyFill="1" applyBorder="1" applyAlignment="1">
      <alignment vertical="center" wrapText="1"/>
    </xf>
    <xf numFmtId="177" fontId="33" fillId="0" borderId="41" xfId="2" applyNumberFormat="1" applyFont="1" applyFill="1" applyBorder="1" applyAlignment="1">
      <alignment vertical="center" wrapText="1"/>
    </xf>
    <xf numFmtId="177" fontId="21" fillId="0" borderId="43" xfId="2" applyNumberFormat="1" applyFont="1" applyFill="1" applyBorder="1" applyAlignment="1">
      <alignment vertical="center" wrapText="1"/>
    </xf>
    <xf numFmtId="177" fontId="21" fillId="0" borderId="41" xfId="2" applyNumberFormat="1" applyFont="1" applyFill="1" applyBorder="1" applyAlignment="1">
      <alignment vertical="center" wrapText="1"/>
    </xf>
    <xf numFmtId="177" fontId="26" fillId="0" borderId="55" xfId="2" applyNumberFormat="1" applyFont="1" applyFill="1" applyBorder="1" applyAlignment="1">
      <alignment vertical="center" wrapText="1"/>
    </xf>
    <xf numFmtId="177" fontId="25" fillId="9" borderId="45" xfId="19" applyNumberFormat="1" applyFont="1" applyFill="1" applyBorder="1" applyAlignment="1">
      <alignment vertical="top"/>
    </xf>
    <xf numFmtId="177" fontId="26" fillId="0" borderId="49" xfId="2" applyNumberFormat="1" applyFont="1" applyFill="1" applyBorder="1" applyAlignment="1">
      <alignment vertical="center" wrapText="1"/>
    </xf>
    <xf numFmtId="169" fontId="26" fillId="0" borderId="42" xfId="3" applyFont="1" applyFill="1" applyBorder="1">
      <alignment vertical="top"/>
    </xf>
    <xf numFmtId="177" fontId="20" fillId="0" borderId="43" xfId="2" applyNumberFormat="1" applyFont="1" applyFill="1" applyBorder="1" applyAlignment="1">
      <alignment vertical="center" wrapText="1"/>
    </xf>
    <xf numFmtId="177" fontId="20" fillId="0" borderId="41" xfId="2" applyNumberFormat="1" applyFont="1" applyFill="1" applyBorder="1" applyAlignment="1">
      <alignment vertical="center" wrapText="1"/>
    </xf>
    <xf numFmtId="177" fontId="21" fillId="0" borderId="40" xfId="2" applyNumberFormat="1" applyFont="1" applyFill="1" applyBorder="1" applyAlignment="1">
      <alignment vertical="center" wrapText="1"/>
    </xf>
    <xf numFmtId="177" fontId="26" fillId="0" borderId="56" xfId="2" applyNumberFormat="1" applyFont="1" applyBorder="1" applyAlignment="1">
      <alignment vertical="center" wrapText="1"/>
    </xf>
    <xf numFmtId="177" fontId="32" fillId="0" borderId="54" xfId="2" applyNumberFormat="1" applyFont="1" applyFill="1" applyBorder="1" applyAlignment="1">
      <alignment vertical="center" wrapText="1"/>
    </xf>
    <xf numFmtId="177" fontId="21" fillId="0" borderId="54" xfId="2" applyNumberFormat="1" applyFont="1" applyFill="1" applyBorder="1" applyAlignment="1">
      <alignment vertical="center" wrapText="1"/>
    </xf>
    <xf numFmtId="177" fontId="32" fillId="0" borderId="41" xfId="2" applyNumberFormat="1" applyFont="1" applyFill="1" applyBorder="1" applyAlignment="1">
      <alignment vertical="center" wrapText="1"/>
    </xf>
    <xf numFmtId="177" fontId="26" fillId="0" borderId="57" xfId="2" applyNumberFormat="1" applyFont="1" applyFill="1" applyBorder="1" applyAlignment="1">
      <alignment vertical="center" wrapText="1"/>
    </xf>
    <xf numFmtId="177" fontId="26" fillId="0" borderId="58" xfId="2" applyNumberFormat="1" applyFont="1" applyFill="1" applyBorder="1" applyAlignment="1">
      <alignment vertical="center" wrapText="1"/>
    </xf>
    <xf numFmtId="177" fontId="26" fillId="0" borderId="59" xfId="2" applyNumberFormat="1" applyFont="1" applyFill="1" applyBorder="1" applyAlignment="1">
      <alignment vertical="center" wrapText="1"/>
    </xf>
    <xf numFmtId="177" fontId="26" fillId="0" borderId="60" xfId="2" applyNumberFormat="1" applyFont="1" applyFill="1" applyBorder="1" applyAlignment="1">
      <alignment vertical="center" wrapText="1"/>
    </xf>
    <xf numFmtId="177" fontId="20" fillId="0" borderId="61" xfId="2" applyNumberFormat="1" applyFont="1" applyFill="1" applyBorder="1" applyAlignment="1">
      <alignment vertical="center" wrapText="1"/>
    </xf>
    <xf numFmtId="177" fontId="21" fillId="0" borderId="62" xfId="2" applyNumberFormat="1" applyFont="1" applyFill="1" applyBorder="1" applyAlignment="1">
      <alignment vertical="center" wrapText="1"/>
    </xf>
    <xf numFmtId="177" fontId="26" fillId="0" borderId="63" xfId="2" applyNumberFormat="1" applyFont="1" applyFill="1" applyBorder="1" applyAlignment="1">
      <alignment vertical="center" wrapText="1"/>
    </xf>
    <xf numFmtId="177" fontId="20" fillId="0" borderId="64" xfId="2" applyNumberFormat="1" applyFont="1" applyFill="1" applyBorder="1" applyAlignment="1">
      <alignment vertical="center" wrapText="1"/>
    </xf>
    <xf numFmtId="177" fontId="20" fillId="0" borderId="65" xfId="2" applyNumberFormat="1" applyFont="1" applyFill="1" applyBorder="1" applyAlignment="1">
      <alignment vertical="center" wrapText="1"/>
    </xf>
    <xf numFmtId="177" fontId="32" fillId="0" borderId="65" xfId="2" applyNumberFormat="1" applyFont="1" applyFill="1" applyBorder="1" applyAlignment="1">
      <alignment vertical="center" wrapText="1"/>
    </xf>
    <xf numFmtId="177" fontId="32" fillId="0" borderId="66" xfId="2" applyNumberFormat="1" applyFont="1" applyFill="1" applyBorder="1" applyAlignment="1">
      <alignment vertical="center" wrapText="1"/>
    </xf>
    <xf numFmtId="177" fontId="32" fillId="0" borderId="60" xfId="2" applyNumberFormat="1" applyFont="1" applyFill="1" applyBorder="1" applyAlignment="1">
      <alignment vertical="center" wrapText="1"/>
    </xf>
    <xf numFmtId="177" fontId="32" fillId="0" borderId="67" xfId="2" applyNumberFormat="1" applyFont="1" applyFill="1" applyBorder="1" applyAlignment="1">
      <alignment vertical="center" wrapText="1"/>
    </xf>
    <xf numFmtId="166" fontId="32" fillId="0" borderId="62" xfId="2" applyNumberFormat="1" applyFont="1" applyFill="1" applyBorder="1" applyAlignment="1">
      <alignment vertical="center" wrapText="1"/>
    </xf>
    <xf numFmtId="166" fontId="21" fillId="0" borderId="62" xfId="2" applyNumberFormat="1" applyFont="1" applyFill="1" applyBorder="1" applyAlignment="1">
      <alignment vertical="center" wrapText="1"/>
    </xf>
    <xf numFmtId="166" fontId="32" fillId="0" borderId="62" xfId="2" applyNumberFormat="1" applyFont="1" applyFill="1" applyBorder="1" applyAlignment="1">
      <alignment vertical="center"/>
    </xf>
    <xf numFmtId="0" fontId="22" fillId="9" borderId="68" xfId="19" applyNumberFormat="1" applyFont="1" applyFill="1" applyBorder="1" applyAlignment="1">
      <alignment vertical="top"/>
    </xf>
    <xf numFmtId="0" fontId="28" fillId="9" borderId="68" xfId="19" applyNumberFormat="1" applyFont="1" applyFill="1" applyBorder="1" applyAlignment="1">
      <alignment vertical="top"/>
    </xf>
    <xf numFmtId="168" fontId="22" fillId="9" borderId="68" xfId="19" applyNumberFormat="1" applyFont="1" applyFill="1" applyBorder="1" applyAlignment="1">
      <alignment vertical="top"/>
    </xf>
    <xf numFmtId="0" fontId="25" fillId="9" borderId="68" xfId="19" applyNumberFormat="1" applyFont="1" applyFill="1" applyBorder="1" applyAlignment="1">
      <alignment vertical="top"/>
    </xf>
    <xf numFmtId="168" fontId="25" fillId="9" borderId="68" xfId="19" applyNumberFormat="1" applyFont="1" applyFill="1" applyBorder="1" applyAlignment="1">
      <alignment vertical="top"/>
    </xf>
    <xf numFmtId="182" fontId="26" fillId="0" borderId="62" xfId="3" applyNumberFormat="1" applyFont="1" applyFill="1" applyBorder="1">
      <alignment vertical="top"/>
    </xf>
    <xf numFmtId="166" fontId="21" fillId="0" borderId="62" xfId="2" applyNumberFormat="1" applyFont="1" applyFill="1" applyBorder="1" applyAlignment="1">
      <alignment vertical="center"/>
    </xf>
    <xf numFmtId="168" fontId="6" fillId="5" borderId="68" xfId="19" applyNumberFormat="1" applyBorder="1" applyAlignment="1">
      <alignment vertical="top"/>
    </xf>
    <xf numFmtId="169" fontId="26" fillId="0" borderId="62" xfId="3" applyFont="1" applyFill="1" applyBorder="1">
      <alignment vertical="top"/>
    </xf>
    <xf numFmtId="169" fontId="33" fillId="0" borderId="62" xfId="3" applyFont="1" applyFill="1" applyBorder="1">
      <alignment vertical="top"/>
    </xf>
    <xf numFmtId="164" fontId="21" fillId="0" borderId="62" xfId="2" applyNumberFormat="1" applyFont="1" applyFill="1" applyBorder="1" applyAlignment="1">
      <alignment vertical="center"/>
    </xf>
    <xf numFmtId="177" fontId="33" fillId="0" borderId="62" xfId="2" applyNumberFormat="1" applyFont="1" applyFill="1" applyBorder="1" applyAlignment="1">
      <alignment vertical="center"/>
    </xf>
    <xf numFmtId="177" fontId="33" fillId="0" borderId="66" xfId="2" applyNumberFormat="1" applyFont="1" applyFill="1" applyBorder="1" applyAlignment="1">
      <alignment vertical="center"/>
    </xf>
    <xf numFmtId="177" fontId="21" fillId="0" borderId="69" xfId="2" applyNumberFormat="1" applyFont="1" applyFill="1" applyBorder="1" applyAlignment="1">
      <alignment vertical="center"/>
    </xf>
    <xf numFmtId="177" fontId="21" fillId="0" borderId="70" xfId="2" applyNumberFormat="1" applyFont="1" applyFill="1" applyBorder="1" applyAlignment="1">
      <alignment vertical="center"/>
    </xf>
    <xf numFmtId="177" fontId="21" fillId="0" borderId="71" xfId="2" applyNumberFormat="1" applyFont="1" applyFill="1" applyBorder="1" applyAlignment="1">
      <alignment vertical="center"/>
    </xf>
    <xf numFmtId="177" fontId="21" fillId="0" borderId="72" xfId="2" applyNumberFormat="1" applyFont="1" applyFill="1" applyBorder="1" applyAlignment="1">
      <alignment vertical="center"/>
    </xf>
    <xf numFmtId="177" fontId="21" fillId="0" borderId="73" xfId="2" applyNumberFormat="1" applyFont="1" applyFill="1" applyBorder="1" applyAlignment="1">
      <alignment vertical="center"/>
    </xf>
    <xf numFmtId="177" fontId="32" fillId="0" borderId="73" xfId="2" applyNumberFormat="1" applyFont="1" applyFill="1" applyBorder="1" applyAlignment="1">
      <alignment vertical="center"/>
    </xf>
    <xf numFmtId="177" fontId="21" fillId="0" borderId="74" xfId="2" applyNumberFormat="1" applyFont="1" applyFill="1" applyBorder="1" applyAlignment="1">
      <alignment vertical="center" wrapText="1"/>
    </xf>
    <xf numFmtId="177" fontId="32" fillId="0" borderId="72" xfId="2" applyNumberFormat="1" applyFont="1" applyFill="1" applyBorder="1" applyAlignment="1">
      <alignment vertical="center" wrapText="1"/>
    </xf>
    <xf numFmtId="166" fontId="32" fillId="0" borderId="73" xfId="2" applyNumberFormat="1" applyFont="1" applyFill="1" applyBorder="1" applyAlignment="1">
      <alignment vertical="center"/>
    </xf>
    <xf numFmtId="0" fontId="25" fillId="9" borderId="75" xfId="19" applyNumberFormat="1" applyFont="1" applyFill="1" applyBorder="1" applyAlignment="1">
      <alignment vertical="top"/>
    </xf>
    <xf numFmtId="168" fontId="25" fillId="9" borderId="75" xfId="19" applyNumberFormat="1" applyFont="1" applyFill="1" applyBorder="1" applyAlignment="1">
      <alignment vertical="top"/>
    </xf>
    <xf numFmtId="177" fontId="33" fillId="0" borderId="73" xfId="2" applyNumberFormat="1" applyFont="1" applyFill="1" applyBorder="1" applyAlignment="1">
      <alignment vertical="center" wrapText="1"/>
    </xf>
    <xf numFmtId="177" fontId="33" fillId="0" borderId="76" xfId="2" applyNumberFormat="1" applyFont="1" applyFill="1" applyBorder="1" applyAlignment="1">
      <alignment vertical="center" wrapText="1"/>
    </xf>
    <xf numFmtId="177" fontId="33" fillId="0" borderId="69" xfId="2" applyNumberFormat="1" applyFont="1" applyFill="1" applyBorder="1" applyAlignment="1">
      <alignment vertical="center" wrapText="1"/>
    </xf>
    <xf numFmtId="166" fontId="32" fillId="0" borderId="73" xfId="2" applyNumberFormat="1" applyFont="1" applyFill="1" applyBorder="1" applyAlignment="1">
      <alignment vertical="center" wrapText="1"/>
    </xf>
    <xf numFmtId="182" fontId="33" fillId="0" borderId="73" xfId="3" applyNumberFormat="1" applyFont="1" applyFill="1" applyBorder="1">
      <alignment vertical="top"/>
    </xf>
    <xf numFmtId="177" fontId="26" fillId="0" borderId="73" xfId="2" applyNumberFormat="1" applyFont="1" applyFill="1" applyBorder="1" applyAlignment="1">
      <alignment vertical="center" wrapText="1"/>
    </xf>
    <xf numFmtId="15" fontId="29" fillId="0" borderId="77" xfId="24" applyNumberFormat="1" applyFont="1" applyBorder="1" applyAlignment="1">
      <alignment horizontal="left" vertical="top"/>
    </xf>
    <xf numFmtId="0" fontId="20" fillId="0" borderId="77" xfId="0" applyNumberFormat="1" applyFont="1" applyBorder="1">
      <alignment vertical="top"/>
    </xf>
    <xf numFmtId="166" fontId="20" fillId="11" borderId="69" xfId="2" applyNumberFormat="1" applyFont="1" applyFill="1" applyBorder="1" applyAlignment="1" applyProtection="1">
      <alignment vertical="center" wrapText="1"/>
    </xf>
    <xf numFmtId="168" fontId="20" fillId="0" borderId="77" xfId="0" applyFont="1" applyBorder="1">
      <alignment vertical="top"/>
    </xf>
    <xf numFmtId="166" fontId="21" fillId="0" borderId="69" xfId="2" applyNumberFormat="1" applyFont="1" applyFill="1" applyBorder="1" applyAlignment="1">
      <alignment vertical="center" wrapText="1"/>
    </xf>
    <xf numFmtId="176" fontId="21" fillId="6" borderId="77" xfId="0" applyNumberFormat="1" applyFont="1" applyFill="1" applyBorder="1">
      <alignment vertical="top"/>
    </xf>
    <xf numFmtId="177" fontId="20" fillId="11" borderId="69" xfId="2" applyNumberFormat="1" applyFont="1" applyFill="1" applyBorder="1" applyAlignment="1" applyProtection="1">
      <alignment vertical="center" wrapText="1"/>
      <protection locked="0"/>
    </xf>
    <xf numFmtId="166" fontId="21" fillId="0" borderId="73" xfId="2" applyNumberFormat="1" applyFont="1" applyFill="1" applyBorder="1" applyAlignment="1" applyProtection="1">
      <alignment vertical="center" wrapText="1"/>
    </xf>
    <xf numFmtId="166" fontId="21" fillId="0" borderId="73" xfId="2" applyNumberFormat="1" applyFont="1" applyFill="1" applyBorder="1" applyAlignment="1">
      <alignment vertical="center" wrapText="1"/>
    </xf>
    <xf numFmtId="177" fontId="20" fillId="11" borderId="73" xfId="2" applyNumberFormat="1" applyFont="1" applyFill="1" applyBorder="1" applyAlignment="1" applyProtection="1">
      <alignment vertical="center" wrapText="1"/>
      <protection locked="0"/>
    </xf>
    <xf numFmtId="166" fontId="21" fillId="0" borderId="78" xfId="2" applyNumberFormat="1" applyFont="1" applyFill="1" applyBorder="1" applyAlignment="1" applyProtection="1">
      <alignment vertical="center" wrapText="1"/>
    </xf>
    <xf numFmtId="166" fontId="21" fillId="0" borderId="78" xfId="2" applyNumberFormat="1" applyFont="1" applyFill="1" applyBorder="1" applyAlignment="1">
      <alignment vertical="center" wrapText="1"/>
    </xf>
    <xf numFmtId="177" fontId="20" fillId="11" borderId="78" xfId="2" applyNumberFormat="1" applyFont="1" applyFill="1" applyBorder="1" applyAlignment="1" applyProtection="1">
      <alignment vertical="center" wrapText="1"/>
      <protection locked="0"/>
    </xf>
    <xf numFmtId="177" fontId="32" fillId="0" borderId="73" xfId="2" applyNumberFormat="1" applyFont="1" applyFill="1" applyBorder="1" applyAlignment="1">
      <alignment vertical="center" wrapText="1"/>
    </xf>
    <xf numFmtId="165" fontId="21" fillId="0" borderId="73" xfId="2" applyFont="1" applyBorder="1"/>
    <xf numFmtId="165" fontId="21" fillId="11" borderId="79" xfId="2" quotePrefix="1" applyFont="1" applyFill="1" applyBorder="1" applyProtection="1">
      <protection locked="0"/>
    </xf>
    <xf numFmtId="165" fontId="21" fillId="0" borderId="79" xfId="2" quotePrefix="1" applyFont="1" applyFill="1" applyBorder="1"/>
    <xf numFmtId="165" fontId="21" fillId="11" borderId="73" xfId="2" quotePrefix="1" applyFont="1" applyFill="1" applyBorder="1" applyProtection="1">
      <protection locked="0"/>
    </xf>
    <xf numFmtId="167" fontId="20" fillId="11" borderId="73" xfId="2" applyNumberFormat="1" applyFont="1" applyFill="1" applyBorder="1" applyAlignment="1" applyProtection="1">
      <alignment horizontal="right"/>
      <protection locked="0"/>
    </xf>
    <xf numFmtId="166" fontId="26" fillId="0" borderId="73" xfId="2" applyNumberFormat="1" applyFont="1" applyFill="1" applyBorder="1" applyAlignment="1">
      <alignment vertical="center" wrapText="1"/>
    </xf>
    <xf numFmtId="165" fontId="23" fillId="0" borderId="72" xfId="2" applyFont="1" applyBorder="1"/>
    <xf numFmtId="1" fontId="27" fillId="0" borderId="72" xfId="2" applyNumberFormat="1" applyFont="1" applyBorder="1" applyAlignment="1">
      <alignment horizontal="right"/>
    </xf>
    <xf numFmtId="0" fontId="21" fillId="11" borderId="70" xfId="2" applyNumberFormat="1" applyFont="1" applyFill="1" applyBorder="1" applyAlignment="1" applyProtection="1">
      <alignment horizontal="left" vertical="top" wrapText="1"/>
      <protection locked="0"/>
    </xf>
    <xf numFmtId="0" fontId="21" fillId="11" borderId="73" xfId="2" applyNumberFormat="1" applyFont="1" applyFill="1" applyBorder="1" applyAlignment="1" applyProtection="1">
      <alignment horizontal="left" vertical="top" wrapText="1"/>
      <protection locked="0"/>
    </xf>
    <xf numFmtId="0" fontId="21" fillId="11" borderId="73" xfId="2" applyNumberFormat="1" applyFont="1" applyFill="1" applyBorder="1" applyAlignment="1" applyProtection="1">
      <alignment vertical="top" wrapText="1"/>
      <protection locked="0"/>
    </xf>
    <xf numFmtId="0" fontId="21" fillId="11" borderId="79" xfId="2" applyNumberFormat="1" applyFont="1" applyFill="1" applyBorder="1" applyAlignment="1" applyProtection="1">
      <alignment vertical="top" wrapText="1"/>
      <protection locked="0"/>
    </xf>
    <xf numFmtId="169" fontId="25" fillId="9" borderId="1" xfId="19" applyNumberFormat="1" applyFont="1" applyFill="1" applyAlignment="1">
      <alignment vertical="top"/>
    </xf>
    <xf numFmtId="164" fontId="20" fillId="11" borderId="34" xfId="2" applyNumberFormat="1" applyFont="1" applyFill="1" applyBorder="1" applyAlignment="1" applyProtection="1">
      <alignment vertical="center" wrapText="1"/>
      <protection locked="0"/>
    </xf>
    <xf numFmtId="164" fontId="20" fillId="11" borderId="62" xfId="2" applyNumberFormat="1" applyFont="1" applyFill="1" applyBorder="1" applyAlignment="1" applyProtection="1">
      <alignment vertical="center" wrapText="1"/>
      <protection locked="0"/>
    </xf>
    <xf numFmtId="177" fontId="20" fillId="11" borderId="34" xfId="2" applyNumberFormat="1" applyFont="1" applyFill="1" applyBorder="1" applyAlignment="1" applyProtection="1">
      <alignment vertical="center" wrapText="1"/>
      <protection locked="0"/>
    </xf>
    <xf numFmtId="177" fontId="20" fillId="11" borderId="62" xfId="2" applyNumberFormat="1" applyFont="1" applyFill="1" applyBorder="1" applyAlignment="1" applyProtection="1">
      <alignment vertical="center" wrapText="1"/>
      <protection locked="0"/>
    </xf>
    <xf numFmtId="177" fontId="20" fillId="11" borderId="47" xfId="2" applyNumberFormat="1" applyFont="1" applyFill="1" applyBorder="1" applyAlignment="1" applyProtection="1">
      <alignment vertical="center" wrapText="1"/>
      <protection locked="0"/>
    </xf>
    <xf numFmtId="169" fontId="20" fillId="11" borderId="62" xfId="3" applyFont="1" applyFill="1" applyBorder="1" applyProtection="1">
      <alignment vertical="top"/>
      <protection locked="0"/>
    </xf>
    <xf numFmtId="169" fontId="20" fillId="11" borderId="34" xfId="3" applyFont="1" applyFill="1" applyBorder="1" applyProtection="1">
      <alignment vertical="top"/>
      <protection locked="0"/>
    </xf>
    <xf numFmtId="169" fontId="20" fillId="11" borderId="47" xfId="3" applyFont="1" applyFill="1" applyBorder="1" applyProtection="1">
      <alignment vertical="top"/>
      <protection locked="0"/>
    </xf>
    <xf numFmtId="0" fontId="25" fillId="9" borderId="80" xfId="19" applyNumberFormat="1" applyFont="1" applyFill="1" applyBorder="1" applyAlignment="1">
      <alignment vertical="top"/>
    </xf>
    <xf numFmtId="168" fontId="25" fillId="9" borderId="80" xfId="19" applyNumberFormat="1" applyFont="1" applyFill="1" applyBorder="1" applyAlignment="1">
      <alignment vertical="top"/>
    </xf>
    <xf numFmtId="177" fontId="26" fillId="0" borderId="62" xfId="2" applyNumberFormat="1" applyFont="1" applyFill="1" applyBorder="1" applyAlignment="1">
      <alignment vertical="center" wrapText="1"/>
    </xf>
    <xf numFmtId="15" fontId="29" fillId="0" borderId="46" xfId="24" applyNumberFormat="1" applyFont="1" applyBorder="1" applyAlignment="1">
      <alignment horizontal="left" vertical="top"/>
    </xf>
    <xf numFmtId="166" fontId="20" fillId="11" borderId="34" xfId="2" applyNumberFormat="1" applyFont="1" applyFill="1" applyBorder="1" applyAlignment="1" applyProtection="1">
      <alignment vertical="center" wrapText="1"/>
    </xf>
    <xf numFmtId="166" fontId="21" fillId="0" borderId="34" xfId="2" applyNumberFormat="1" applyFont="1" applyFill="1" applyBorder="1" applyAlignment="1">
      <alignment vertical="center" wrapText="1"/>
    </xf>
    <xf numFmtId="176" fontId="21" fillId="6" borderId="46" xfId="0" applyNumberFormat="1" applyFont="1" applyFill="1" applyBorder="1">
      <alignment vertical="top"/>
    </xf>
    <xf numFmtId="166" fontId="21" fillId="0" borderId="62" xfId="2" applyNumberFormat="1" applyFont="1" applyFill="1" applyBorder="1" applyAlignment="1" applyProtection="1">
      <alignment vertical="center" wrapText="1"/>
    </xf>
    <xf numFmtId="166" fontId="21" fillId="0" borderId="47" xfId="2" applyNumberFormat="1" applyFont="1" applyFill="1" applyBorder="1" applyAlignment="1">
      <alignment vertical="center" wrapText="1"/>
    </xf>
    <xf numFmtId="177" fontId="32" fillId="0" borderId="62" xfId="2" applyNumberFormat="1" applyFont="1" applyFill="1" applyBorder="1" applyAlignment="1">
      <alignment vertical="center" wrapText="1"/>
    </xf>
  </cellXfs>
  <cellStyles count="46">
    <cellStyle name="Comma 2" xfId="2" xr:uid="{00000000-0005-0000-0000-000001000000}"/>
    <cellStyle name="Comma 3" xfId="10" xr:uid="{00000000-0005-0000-0000-000002000000}"/>
    <cellStyle name="Comma 3 2" xfId="12" xr:uid="{EC534825-1261-48B0-B68C-A8568DF10B6C}"/>
    <cellStyle name="Comma 3 2 2" xfId="13" xr:uid="{F56E8473-3C3A-46AC-85DA-F9DB207E007F}"/>
    <cellStyle name="Comma 3 2 2 2" xfId="17" xr:uid="{46D7E2A9-EB9B-404B-9236-E3481A369A28}"/>
    <cellStyle name="Comma 3 2 2 2 2" xfId="42" xr:uid="{54DCE788-6827-4D58-96EC-3CCCD5E7A674}"/>
    <cellStyle name="Comma 3 2 2 3" xfId="38" xr:uid="{C42C8C12-9ABC-43F0-961E-B380B4C0E8FB}"/>
    <cellStyle name="Comma 3 2 3" xfId="16" xr:uid="{697E5D76-A896-40B1-92D9-DDD5D7CE3154}"/>
    <cellStyle name="Comma 3 2 3 2" xfId="41" xr:uid="{F10AA41F-C1B2-41EC-B136-7E7AE9E18944}"/>
    <cellStyle name="Comma 3 2 4" xfId="37" xr:uid="{96953ABF-CCE9-4141-A881-18BAED528A06}"/>
    <cellStyle name="Comma 4" xfId="11" xr:uid="{FA00E36C-2C36-46CF-AAE1-E61F919750FD}"/>
    <cellStyle name="Comma 4 2" xfId="15" xr:uid="{493C016D-F165-4924-8CF4-A238D5ABDACF}"/>
    <cellStyle name="Comma 4 2 2" xfId="40" xr:uid="{1B941AD1-BDCD-4294-AA22-F9796BB6ABDC}"/>
    <cellStyle name="Comma 4 3" xfId="36" xr:uid="{E0FD28E5-070C-46AF-A4ED-24F40F0E7CAC}"/>
    <cellStyle name="Comma 5" xfId="14" xr:uid="{96C77152-239C-406D-AC38-35427D1BE807}"/>
    <cellStyle name="Comma 5 2" xfId="39" xr:uid="{23343DD3-4D2D-44FD-A112-A991CB3EF724}"/>
    <cellStyle name="Currency 2" xfId="18" xr:uid="{AC19DBFF-C0D3-449B-ABCA-3FF888C2F63A}"/>
    <cellStyle name="Currency 2 2" xfId="43" xr:uid="{EA430E6F-41AA-48E5-B104-07800C781123}"/>
    <cellStyle name="DateLong" xfId="23" xr:uid="{E1E0E932-59E5-4D59-AC02-68671434438C}"/>
    <cellStyle name="DateShort" xfId="24" xr:uid="{DD2778FA-47C6-42B4-9109-4E4C2537E6D5}"/>
    <cellStyle name="Explanatory Text" xfId="33" builtinId="53"/>
    <cellStyle name="Factor" xfId="22" xr:uid="{717E8BC6-880C-4525-A03F-729EC97D463A}"/>
    <cellStyle name="Hyperlink" xfId="6" builtinId="8"/>
    <cellStyle name="Hyperlink 3" xfId="31" xr:uid="{0E8AF4F9-5E13-4AE2-ACDE-D6D582FFC830}"/>
    <cellStyle name="Level 1" xfId="35" xr:uid="{E7859E58-1DC1-4946-AFF6-6D6872076D73}"/>
    <cellStyle name="Normal" xfId="0" builtinId="0" customBuiltin="1"/>
    <cellStyle name="Normal 13 2" xfId="34" xr:uid="{EAF33639-6605-49B7-B84D-214740E87E56}"/>
    <cellStyle name="Normal 137" xfId="27" xr:uid="{77ACD484-5DAF-455A-A7A2-2A5F10CCF4E0}"/>
    <cellStyle name="Normal 14" xfId="5" xr:uid="{00000000-0005-0000-0000-000005000000}"/>
    <cellStyle name="Normal 2" xfId="1" xr:uid="{00000000-0005-0000-0000-000006000000}"/>
    <cellStyle name="Normal 2 2" xfId="4" xr:uid="{00000000-0005-0000-0000-000007000000}"/>
    <cellStyle name="Normal 3" xfId="26" xr:uid="{B39C6583-FDAF-4F59-908E-021D13260075}"/>
    <cellStyle name="Normal 4" xfId="32" xr:uid="{E62456F1-52CD-41C7-B7A6-E907BE71CF9B}"/>
    <cellStyle name="Normal 4 2 5" xfId="29" xr:uid="{2E3A6226-4B74-4FCD-86F7-7480B5753640}"/>
    <cellStyle name="Normal 4 35" xfId="28" xr:uid="{8F0F3B98-6107-44FB-B970-1DC0374CF0FD}"/>
    <cellStyle name="Normal 5" xfId="8" xr:uid="{00000000-0005-0000-0000-000008000000}"/>
    <cellStyle name="Normal 6" xfId="45" xr:uid="{9012B4DC-FA07-43FC-9664-6868651A8366}"/>
    <cellStyle name="Normal 8 5" xfId="30" xr:uid="{21355435-DA59-42F7-88CC-8598CC5E61ED}"/>
    <cellStyle name="Percent" xfId="3" builtinId="5" customBuiltin="1"/>
    <cellStyle name="Percent 2" xfId="9" xr:uid="{00000000-0005-0000-0000-00000A000000}"/>
    <cellStyle name="Section Title" xfId="7" xr:uid="{00000000-0005-0000-0000-00000B000000}"/>
    <cellStyle name="SectionHead" xfId="19" xr:uid="{A67F7724-A184-4720-BDF4-9FCE5F98E54E}"/>
    <cellStyle name="SectionHead 2" xfId="44" xr:uid="{28C6D2FB-29F5-4D8B-BC88-BEC49F85E9C1}"/>
    <cellStyle name="SheetHead" xfId="21" xr:uid="{45149B49-4E80-40F1-AC52-0DAF8DB89DF7}"/>
    <cellStyle name="SubHead" xfId="20" xr:uid="{3399767E-2373-4633-8D30-9BB538D79503}"/>
    <cellStyle name="Year" xfId="25" xr:uid="{22249951-3F6D-4770-AF88-394FED0D42E9}"/>
  </cellStyles>
  <dxfs count="30"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/>
        <top style="thin">
          <color indexed="22"/>
        </top>
        <bottom style="thin">
          <color indexed="2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22"/>
        </right>
        <top style="thin">
          <color indexed="22"/>
        </top>
        <bottom style="thin">
          <color indexed="22"/>
        </bottom>
      </border>
      <protection locked="0" hidden="0"/>
    </dxf>
    <dxf>
      <border outline="0">
        <top style="thin">
          <color indexed="22"/>
        </top>
      </border>
    </dxf>
    <dxf>
      <border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protection locked="0" hidden="0"/>
    </dxf>
    <dxf>
      <border outline="0">
        <bottom style="thin">
          <color indexed="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22"/>
        </left>
        <right style="thin">
          <color indexed="22"/>
        </right>
        <top/>
        <bottom/>
      </border>
    </dxf>
  </dxfs>
  <tableStyles count="0" defaultTableStyle="TableStyleMedium2" defaultPivotStyle="PivotStyleLight16"/>
  <colors>
    <mruColors>
      <color rgb="FFFDF2BD"/>
      <color rgb="FFFFFF99"/>
      <color rgb="FFC0C0C0"/>
      <color rgb="FFFF8FFF"/>
      <color rgb="FFFFA78B"/>
      <color rgb="FFFFCC99"/>
      <color rgb="FFFF6600"/>
      <color rgb="FFE1F4FF"/>
      <color rgb="FFCCECFF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26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315993</xdr:colOff>
      <xdr:row>9</xdr:row>
      <xdr:rowOff>102600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C972EEA-C38A-4F3E-8E7F-4E68076CF0F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08418" cy="216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nationalenergyso.sharepoint.com/sites/GRP-INT-UK-Finance-Controllership-Electricity-System-Operator/Shared%20Documents/Regulatory%20Finance/NESO%20FM%20Publications/2025/November%20Population/Workings/FINAL%20RIIO-2%20NESO%20-%20Regulatory%20Reporting%20Pack%20Version%203.2%20-%20Published%2019.09.xlsx" TargetMode="External"/><Relationship Id="rId2" Type="http://schemas.microsoft.com/office/2019/04/relationships/externalLinkLongPath" Target="/sites/GRP-INT-UK-Finance-Controllership-Electricity-System-Operator/Shared%20Documents/Regulatory%20Finance/NESO%20FM%20Publications/2025/November%20Population/Workings/FINAL%20RIIO-2%20NESO%20-%20Regulatory%20Reporting%20Pack%20Version%203.2%20-%20Published%2019.09.xlsx?833ABA63" TargetMode="External"/><Relationship Id="rId1" Type="http://schemas.openxmlformats.org/officeDocument/2006/relationships/externalLinkPath" Target="file:///\\833ABA63\FINAL%20RIIO-2%20NESO%20-%20Regulatory%20Reporting%20Pack%20Version%203.2%20-%20Published%2019.09.xlsx" TargetMode="External"/><Relationship Id="rId4" Type="http://schemas.openxmlformats.org/officeDocument/2006/relationships/externalLinkPath" Target="../../2025/November%20Population/Workings/FINAL%20RIIO-2%20NESO%20-%20Regulatory%20Reporting%20Pack%20Version%203.2%20-%20Published%2019.09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nationalenergyso.sharepoint.com/sites/GRP-INT-UK-Finance-Controllership-Electricity-System-Operator/Shared%20Documents/Regulatory%20Finance/NESO%20FM%20Publications/2025/November%20Population/Workings/FM%20Input%20Table%202627.xlsx" TargetMode="External"/><Relationship Id="rId2" Type="http://schemas.microsoft.com/office/2019/04/relationships/externalLinkLongPath" Target="/sites/GRP-INT-UK-Finance-Controllership-Electricity-System-Operator/Shared%20Documents/Regulatory%20Finance/NESO%20FM%20Publications/2025/November%20Population/Workings/FM%20Input%20Table%202627.xlsx?833ABA63" TargetMode="External"/><Relationship Id="rId1" Type="http://schemas.openxmlformats.org/officeDocument/2006/relationships/externalLinkPath" Target="file:///\\833ABA63\FM%20Input%20Table%202627.xlsx" TargetMode="External"/><Relationship Id="rId4" Type="http://schemas.openxmlformats.org/officeDocument/2006/relationships/externalLinkPath" Target="../../2025/November%20Population/Workings/FM%20Input%20Table%202627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nationalenergyso.sharepoint.com/sites/GRP-INT-UK-Finance-Controllership-Electricity-System-Operator/Shared%20Documents/Regulatory%20Finance/NESO%20FM%20Publications/2025/November%20Population/Models/NESO_LCM%202025%20(2025%20Actuals).xlsx" TargetMode="External"/><Relationship Id="rId2" Type="http://schemas.microsoft.com/office/2019/04/relationships/externalLinkLongPath" Target="/sites/GRP-INT-UK-Finance-Controllership-Electricity-System-Operator/Shared%20Documents/Regulatory%20Finance/NESO%20FM%20Publications/2025/November%20Population/Models/NESO_LCM%202025%20(2025%20Actuals).xlsx?4C75885F" TargetMode="External"/><Relationship Id="rId1" Type="http://schemas.openxmlformats.org/officeDocument/2006/relationships/externalLinkPath" Target="file:///\\4C75885F\NESO_LCM%202025%20(2025%20Actuals).xlsx" TargetMode="External"/><Relationship Id="rId4" Type="http://schemas.openxmlformats.org/officeDocument/2006/relationships/externalLinkPath" Target="../../2025/November%20Population/Models/NESO_LCM%202025%20(2025%20Actuals)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ationalenergyso.sharepoint.com/sites/GRP-INT-UK-Finance-Controllership-Electricity-System-Operator/Shared%20Documents/Regulatory%20Finance/NESO%20FM%20Publications/2025/November%20Population/OBR%20Update/PCFM%20(OBR%20Update)%20Nov%2025.xlsm" TargetMode="External"/><Relationship Id="rId1" Type="http://schemas.openxmlformats.org/officeDocument/2006/relationships/externalLinkPath" Target="https://nationalenergyso-my.sharepoint.com/personal/craig_bell_neso_energy/Documents/PCFM%20(OBR%20Update)%20Nov%2025.xlsm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nationalenergyso.sharepoint.com/sites/GRP-INT-UK-Finance-Controllership-Electricity-System-Operator/Shared%20Documents/Regulatory%20Finance/NESO%20FM%20Publications/2025/November%20Population/Models/PCFM%20(2025%20Actuals).xlsm" TargetMode="External"/><Relationship Id="rId2" Type="http://schemas.microsoft.com/office/2019/04/relationships/externalLinkLongPath" Target="/sites/GRP-INT-UK-Finance-Controllership-Electricity-System-Operator/Shared%20Documents/Regulatory%20Finance/NESO%20FM%20Publications/2025/November%20Population/Models/PCFM%20(2025%20Actuals).xlsm?4C75885F" TargetMode="External"/><Relationship Id="rId1" Type="http://schemas.openxmlformats.org/officeDocument/2006/relationships/externalLinkPath" Target="file:///\\4C75885F\PCFM%20(2025%20Actuals).xlsm" TargetMode="External"/><Relationship Id="rId4" Type="http://schemas.openxmlformats.org/officeDocument/2006/relationships/externalLinkPath" Target="../../2025/November%20Population/Models/PCFM%20(2025%20Actuals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lr4jdWZTpUqsH6Wiaf6mj7ElW6bdWE5ElZO-3az80SyM1X9wRPwUQZsRCeON6Y2z" itemId="01G73KHWL6ROTFH343TBGK3JOEPJ2R7GAY">
      <xxl21:absoluteUrl r:id="rId3"/>
      <xxl21:relativeUrl r:id="rId4"/>
    </xxl21:alternateUrls>
    <sheetNames>
      <sheetName val="Cover"/>
      <sheetName val="Contents"/>
      <sheetName val="Changes Log"/>
      <sheetName val="Universal Data"/>
      <sheetName val="1.1 PCFM LCM Inputs Summary"/>
      <sheetName val="1.2 FM Inputs Summary"/>
      <sheetName val="1.3 FSO Pass Through"/>
      <sheetName val="2.1 Transmission Network Rev"/>
      <sheetName val="2.2a External Revenue"/>
      <sheetName val="2.2b Balancing Revenue (Fixed)"/>
      <sheetName val="2.3 Other Revenue"/>
      <sheetName val="3.1 Expenditure Summary"/>
      <sheetName val="3.2 Related Party Transactions"/>
      <sheetName val="3.3 Provisions"/>
      <sheetName val="4.1 NESO Opex"/>
      <sheetName val="4.2 NESO FTE"/>
      <sheetName val="4.3 NESO Investment"/>
      <sheetName val="4.4 Pension Admin Costs"/>
      <sheetName val="4.5 Cyber Resilience IT Costs"/>
      <sheetName val="5.1 NIA"/>
      <sheetName val="5.2 SIF"/>
      <sheetName val="5.3 NIC"/>
      <sheetName val="6.1 VFM Summary"/>
    </sheetNames>
    <sheetDataSet>
      <sheetData sheetId="0"/>
      <sheetData sheetId="1"/>
      <sheetData sheetId="2"/>
      <sheetData sheetId="3"/>
      <sheetData sheetId="4"/>
      <sheetData sheetId="5">
        <row r="11">
          <cell r="L11">
            <v>559.84330845094973</v>
          </cell>
        </row>
        <row r="12">
          <cell r="L12">
            <v>14.558099999999996</v>
          </cell>
        </row>
        <row r="13">
          <cell r="L13">
            <v>5.6569240000000021E-2</v>
          </cell>
        </row>
        <row r="14">
          <cell r="L14">
            <v>41.274294850000004</v>
          </cell>
        </row>
        <row r="15">
          <cell r="L15">
            <v>0</v>
          </cell>
        </row>
        <row r="16">
          <cell r="L16">
            <v>-12.343158683408276</v>
          </cell>
        </row>
        <row r="17">
          <cell r="L17">
            <v>7.3677259999999967E-2</v>
          </cell>
        </row>
        <row r="18">
          <cell r="L18">
            <v>0</v>
          </cell>
        </row>
        <row r="22">
          <cell r="L22">
            <v>2813.2099233076469</v>
          </cell>
        </row>
        <row r="23">
          <cell r="L23">
            <v>2711.1606948029371</v>
          </cell>
        </row>
        <row r="24">
          <cell r="L24">
            <v>0</v>
          </cell>
        </row>
        <row r="25">
          <cell r="L25">
            <v>1.3844193899999995</v>
          </cell>
        </row>
        <row r="29">
          <cell r="L29">
            <v>10.530705734224</v>
          </cell>
        </row>
      </sheetData>
      <sheetData sheetId="6">
        <row r="28">
          <cell r="J28">
            <v>50.629535508178371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Cover"/>
      <sheetName val="Contents"/>
      <sheetName val="Changes Log"/>
      <sheetName val="FM Inputs Summary"/>
      <sheetName val="Tax"/>
      <sheetName val="NESO Opex"/>
      <sheetName val="NESO Investment"/>
      <sheetName val="NIA"/>
      <sheetName val="SIF"/>
      <sheetName val="Expenditure Rec"/>
    </sheetNames>
    <sheetDataSet>
      <sheetData sheetId="0" refreshError="1"/>
      <sheetData sheetId="1" refreshError="1"/>
      <sheetData sheetId="2" refreshError="1"/>
      <sheetData sheetId="3">
        <row r="11">
          <cell r="H11">
            <v>656.06964251899217</v>
          </cell>
          <cell r="I11">
            <v>726.80786712216059</v>
          </cell>
        </row>
        <row r="12">
          <cell r="H12">
            <v>18</v>
          </cell>
          <cell r="I12">
            <v>21</v>
          </cell>
        </row>
        <row r="13">
          <cell r="H13">
            <v>1.9174018158333324</v>
          </cell>
          <cell r="I13">
            <v>1.1000000000000001</v>
          </cell>
        </row>
        <row r="14">
          <cell r="H14">
            <v>26</v>
          </cell>
          <cell r="I14">
            <v>28.6</v>
          </cell>
        </row>
        <row r="15">
          <cell r="H15">
            <v>0</v>
          </cell>
          <cell r="I15">
            <v>0</v>
          </cell>
        </row>
        <row r="16">
          <cell r="H16">
            <v>-12.444315393520917</v>
          </cell>
          <cell r="I16">
            <v>-16</v>
          </cell>
        </row>
        <row r="17">
          <cell r="H17">
            <v>0.15164254000000002</v>
          </cell>
          <cell r="I17">
            <v>0.15770824160000002</v>
          </cell>
        </row>
        <row r="18">
          <cell r="H18">
            <v>0</v>
          </cell>
          <cell r="I18">
            <v>0</v>
          </cell>
        </row>
        <row r="29">
          <cell r="H29">
            <v>29.895224476914951</v>
          </cell>
          <cell r="I29">
            <v>35.192132877839335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Front Sheet"/>
      <sheetName val="Inputs"/>
      <sheetName val="Indexation"/>
      <sheetName val="RAV"/>
      <sheetName val="LEG"/>
      <sheetName val="Live results"/>
      <sheetName val="Control"/>
      <sheetName val="Change log"/>
    </sheetNames>
    <sheetDataSet>
      <sheetData sheetId="0" refreshError="1"/>
      <sheetData sheetId="1">
        <row r="36">
          <cell r="I36">
            <v>140.84235313570846</v>
          </cell>
        </row>
        <row r="37">
          <cell r="I37">
            <v>73.510005269999994</v>
          </cell>
        </row>
      </sheetData>
      <sheetData sheetId="2" refreshError="1"/>
      <sheetData sheetId="3" refreshError="1"/>
      <sheetData sheetId="4" refreshError="1"/>
      <sheetData sheetId="5">
        <row r="16">
          <cell r="T16">
            <v>-107.82411092957645</v>
          </cell>
        </row>
        <row r="18">
          <cell r="I18">
            <v>-80.596486760546384</v>
          </cell>
        </row>
      </sheetData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UserInterface"/>
      <sheetName val="SOIAR"/>
      <sheetName val="SystemOperator"/>
      <sheetName val="LiveResults"/>
      <sheetName val="SavedResults"/>
      <sheetName val="Annual Inflation"/>
      <sheetName val="Monthly Inflation"/>
    </sheetNames>
    <sheetDataSet>
      <sheetData sheetId="0"/>
      <sheetData sheetId="1"/>
      <sheetData sheetId="2"/>
      <sheetData sheetId="3">
        <row r="106">
          <cell r="AS106">
            <v>5.6770825600000005E-2</v>
          </cell>
        </row>
      </sheetData>
      <sheetData sheetId="4"/>
      <sheetData sheetId="5"/>
      <sheetData sheetId="6"/>
      <sheetData sheetId="7">
        <row r="301">
          <cell r="I301">
            <v>357.54583432417797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Cover"/>
      <sheetName val="UserInterface"/>
      <sheetName val="SOIAR"/>
      <sheetName val="SystemOperator"/>
      <sheetName val="LiveResults"/>
      <sheetName val="SavedResults"/>
      <sheetName val="Annual Inflation"/>
      <sheetName val="Monthly Inflation"/>
    </sheetNames>
    <sheetDataSet>
      <sheetData sheetId="0" refreshError="1"/>
      <sheetData sheetId="1" refreshError="1"/>
      <sheetData sheetId="2" refreshError="1"/>
      <sheetData sheetId="3">
        <row r="106">
          <cell r="AS106">
            <v>5.6715825600000006E-2</v>
          </cell>
        </row>
        <row r="120">
          <cell r="AR120">
            <v>352.83651735739545</v>
          </cell>
        </row>
        <row r="159">
          <cell r="AS159">
            <v>0.18</v>
          </cell>
        </row>
        <row r="160">
          <cell r="AS160">
            <v>0.06</v>
          </cell>
        </row>
        <row r="162">
          <cell r="AS162">
            <v>2.2200000000000001E-2</v>
          </cell>
        </row>
        <row r="163">
          <cell r="AS163">
            <v>0.14000000000000001</v>
          </cell>
        </row>
        <row r="301">
          <cell r="AS301">
            <v>5.2988822488409325E-2</v>
          </cell>
        </row>
        <row r="304">
          <cell r="AS304">
            <v>0</v>
          </cell>
        </row>
        <row r="307">
          <cell r="AS307">
            <v>0.34202776975332594</v>
          </cell>
        </row>
        <row r="315">
          <cell r="AS315">
            <v>0</v>
          </cell>
        </row>
        <row r="326">
          <cell r="AS326">
            <v>89.997098135837248</v>
          </cell>
        </row>
        <row r="327">
          <cell r="AS327">
            <v>-12.517570229586767</v>
          </cell>
        </row>
        <row r="337">
          <cell r="AS337">
            <v>20.673146887512001</v>
          </cell>
        </row>
        <row r="358">
          <cell r="AS358">
            <v>6.5109681026000015</v>
          </cell>
        </row>
        <row r="368">
          <cell r="AS368">
            <v>357.43586916718471</v>
          </cell>
        </row>
        <row r="416">
          <cell r="I416">
            <v>110.35731323183926</v>
          </cell>
        </row>
      </sheetData>
      <sheetData sheetId="4" refreshError="1"/>
      <sheetData sheetId="5" refreshError="1"/>
      <sheetData sheetId="6" refreshError="1"/>
      <sheetData sheetId="7">
        <row r="301">
          <cell r="I301">
            <v>357.54583432417797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80111C-C558-4BBD-A6D3-1ECD9A6A102E}" name="ChangeLog" displayName="ChangeLog" ref="D9:H29" totalsRowShown="0" headerRowDxfId="29" dataDxfId="27" headerRowBorderDxfId="28" tableBorderDxfId="26" totalsRowBorderDxfId="25" headerRowCellStyle="Comma 2">
  <autoFilter ref="D9:H29" xr:uid="{EACF8AD8-2631-4B78-BF3B-5E08FB90D007}"/>
  <tableColumns count="5">
    <tableColumn id="1" xr3:uid="{FD23DC48-C9D0-422F-BB4B-8B31F9EA1AE9}" name="Change No." dataDxfId="24" dataCellStyle="Comma 2"/>
    <tableColumn id="2" xr3:uid="{7D3841A6-A1DD-4679-BA29-9CEFCDC88430}" name="Model version" dataDxfId="23" dataCellStyle="Comma 2"/>
    <tableColumn id="3" xr3:uid="{CB130932-49C5-4B25-98E3-A0D97763E24D}" name="Sheet name" dataDxfId="22" dataCellStyle="Comma 2"/>
    <tableColumn id="4" xr3:uid="{2E77189C-7698-42C1-A224-685C01B5015D}" name="Changes made" dataDxfId="21" dataCellStyle="Comma 2"/>
    <tableColumn id="5" xr3:uid="{5803D31C-B494-43DC-8EF8-4F90F15F84AA}" name="Change made by" dataDxfId="20" dataCellStyle="Comm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ESO 1">
      <a:dk1>
        <a:srgbClr val="000000"/>
      </a:dk1>
      <a:lt1>
        <a:srgbClr val="FFFFFF"/>
      </a:lt1>
      <a:dk2>
        <a:srgbClr val="3F0730"/>
      </a:dk2>
      <a:lt2>
        <a:srgbClr val="070E40"/>
      </a:lt2>
      <a:accent1>
        <a:srgbClr val="FF00FF"/>
      </a:accent1>
      <a:accent2>
        <a:srgbClr val="2CB9FF"/>
      </a:accent2>
      <a:accent3>
        <a:srgbClr val="385B16"/>
      </a:accent3>
      <a:accent4>
        <a:srgbClr val="B0322B"/>
      </a:accent4>
      <a:accent5>
        <a:srgbClr val="F9DF5E"/>
      </a:accent5>
      <a:accent6>
        <a:srgbClr val="70E85E"/>
      </a:accent6>
      <a:hlink>
        <a:srgbClr val="2BB9FF"/>
      </a:hlink>
      <a:folHlink>
        <a:srgbClr val="96607D"/>
      </a:folHlink>
    </a:clrScheme>
    <a:fontScheme name="Arial Black-Arial">
      <a:majorFont>
        <a:latin typeface="Arial Black" panose="020B0A04020102020204"/>
        <a:ea typeface=""/>
        <a:cs typeface=""/>
        <a:font script="Jpan" typeface="ＭＳ ゴシック"/>
        <a:font script="Hang" typeface="굴림"/>
        <a:font script="Hans" typeface="微软雅黑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06D0C17-A670-4DAC-82C0-8B6A90F08135}">
  <we:reference id="7c3929fd-ffc8-4fa9-a64b-25dff355e46d" version="1.0.0.3" store="EXCatalog" storeType="EXCatalog"/>
  <we:alternateReferences>
    <we:reference id="WA200006575" version="1.0.0.3" store="en-GB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Q22"/>
  <sheetViews>
    <sheetView showGridLines="0" showRowColHeaders="0" zoomScaleNormal="100" workbookViewId="0">
      <selection activeCell="A13" sqref="A13"/>
    </sheetView>
  </sheetViews>
  <sheetFormatPr defaultColWidth="0" defaultRowHeight="17.5" zeroHeight="1"/>
  <cols>
    <col min="1" max="17" width="9.5" style="2" customWidth="1"/>
    <col min="18" max="16384" width="0" style="2" hidden="1"/>
  </cols>
  <sheetData>
    <row r="1" spans="1:17">
      <c r="A1"/>
      <c r="B1"/>
    </row>
    <row r="2" spans="1:17">
      <c r="J2" s="8"/>
    </row>
    <row r="3" spans="1:17">
      <c r="J3" s="8"/>
    </row>
    <row r="4" spans="1:17"/>
    <row r="5" spans="1:17">
      <c r="M5" s="7"/>
    </row>
    <row r="6" spans="1:17"/>
    <row r="7" spans="1:17"/>
    <row r="8" spans="1:17"/>
    <row r="9" spans="1:17"/>
    <row r="10" spans="1:17"/>
    <row r="11" spans="1:17" s="1" customFormat="1" ht="28">
      <c r="A11" s="190"/>
      <c r="B11" s="191" t="s">
        <v>0</v>
      </c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</row>
    <row r="12" spans="1:17" s="1" customFormat="1">
      <c r="A12" s="190"/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</row>
    <row r="13" spans="1:17" s="1" customFormat="1" ht="23">
      <c r="A13" s="190"/>
      <c r="B13" s="192" t="str">
        <f>IF(Model_Status = "DRAFT", Project_Name &amp; " - Model " &amp; Control!H14,IF(Model_Status = "POPULATED FOR REVIEW", Project_Name &amp; " - " &amp; Control!H12 &amp; " " &amp; TEXT(Publication_Date, "dd mmm yyyy"), Project_Name &amp; " - Published " &amp; TEXT(Publication_Date, "dd mmm yyyy")))</f>
        <v>NESO Financial Model - POPULATED FOR REVIEW 04 Nov 2025</v>
      </c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</row>
    <row r="14" spans="1:17"/>
    <row r="15" spans="1:17"/>
    <row r="16" spans="1:17"/>
    <row r="17" spans="2:5"/>
    <row r="18" spans="2:5">
      <c r="B18" s="6"/>
    </row>
    <row r="19" spans="2:5"/>
    <row r="20" spans="2:5"/>
    <row r="21" spans="2:5" ht="18">
      <c r="B21" s="193"/>
      <c r="C21" s="194"/>
      <c r="D21" s="194"/>
      <c r="E21" s="194"/>
    </row>
    <row r="22" spans="2:5"/>
  </sheetData>
  <pageMargins left="0.7" right="0.7" top="0.75" bottom="0.75" header="0.3" footer="0.3"/>
  <pageSetup paperSize="9" orientation="portrait" r:id="rId1"/>
  <headerFooter>
    <oddHeader>&amp;L&amp;"Poppins"&amp;12&amp;KFF00FF Public&amp;1#_x000D_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2">
    <tabColor theme="4" tint="0.39997558519241921"/>
  </sheetPr>
  <dimension ref="A1:V35"/>
  <sheetViews>
    <sheetView showGridLines="0" zoomScale="70" zoomScaleNormal="70" workbookViewId="0">
      <pane ySplit="6" topLeftCell="A7" activePane="bottomLeft" state="frozen"/>
      <selection pane="bottomLeft" activeCell="H14" sqref="H14"/>
    </sheetView>
  </sheetViews>
  <sheetFormatPr defaultColWidth="0" defaultRowHeight="14"/>
  <cols>
    <col min="1" max="3" width="2.5" style="3" customWidth="1"/>
    <col min="4" max="4" width="32.5" style="3" customWidth="1"/>
    <col min="5" max="5" width="2.5" style="3" customWidth="1"/>
    <col min="6" max="6" width="12.5" style="3" customWidth="1"/>
    <col min="7" max="7" width="2.5" style="3" customWidth="1"/>
    <col min="8" max="8" width="112.08203125" style="3" customWidth="1"/>
    <col min="9" max="9" width="2.5" style="3" customWidth="1"/>
    <col min="10" max="22" width="0" style="3" hidden="1" customWidth="1"/>
    <col min="23" max="16384" width="9.5" style="3" hidden="1"/>
  </cols>
  <sheetData>
    <row r="1" spans="1:10" s="11" customFormat="1" ht="23">
      <c r="A1" s="27"/>
      <c r="B1" s="27" t="str" cm="1">
        <f t="array" aca="1" ref="B1" ca="1">MID(CELL("filename", A1), FIND("]", CELL("filename", A1)) + 1, 255)</f>
        <v>Control</v>
      </c>
      <c r="C1" s="27"/>
      <c r="D1" s="27"/>
      <c r="E1" s="27"/>
      <c r="F1" s="27"/>
      <c r="G1" s="28"/>
      <c r="H1" s="27"/>
      <c r="I1" s="28"/>
      <c r="J1" s="12"/>
    </row>
    <row r="2" spans="1:10" ht="4.5" customHeight="1">
      <c r="A2" s="24"/>
      <c r="B2" s="25"/>
      <c r="C2" s="25"/>
      <c r="D2" s="24"/>
      <c r="E2" s="24"/>
      <c r="F2" s="24"/>
      <c r="G2" s="26"/>
      <c r="H2" s="24"/>
      <c r="I2" s="26"/>
      <c r="J2" s="9"/>
    </row>
    <row r="3" spans="1:10">
      <c r="A3" s="24"/>
      <c r="B3" s="25" t="str">
        <f>"Model Checks - " &amp; Check</f>
        <v>Model Checks - PASS</v>
      </c>
      <c r="C3" s="25"/>
      <c r="D3" s="24"/>
      <c r="E3" s="24"/>
      <c r="F3" s="24"/>
      <c r="G3" s="26"/>
      <c r="H3" s="24"/>
      <c r="I3" s="26"/>
      <c r="J3" s="9"/>
    </row>
    <row r="4" spans="1:10" ht="4.5" customHeight="1">
      <c r="A4" s="24"/>
      <c r="B4" s="25"/>
      <c r="C4" s="25"/>
      <c r="D4" s="24"/>
      <c r="E4" s="24"/>
      <c r="F4" s="24"/>
      <c r="G4" s="26"/>
      <c r="H4" s="24"/>
      <c r="I4" s="26"/>
      <c r="J4" s="9"/>
    </row>
    <row r="5" spans="1:10" s="11" customFormat="1" ht="23">
      <c r="A5" s="27"/>
      <c r="B5" s="27" t="str">
        <f>Project_Name</f>
        <v>NESO Financial Model</v>
      </c>
      <c r="C5" s="27"/>
      <c r="D5" s="27"/>
      <c r="E5" s="27"/>
      <c r="F5" s="27"/>
      <c r="G5" s="28"/>
      <c r="H5" s="27"/>
      <c r="I5" s="28"/>
      <c r="J5" s="12"/>
    </row>
    <row r="6" spans="1:10" ht="14.5" customHeight="1">
      <c r="A6" s="24"/>
      <c r="B6" s="25"/>
      <c r="C6" s="25"/>
      <c r="D6" s="24"/>
      <c r="E6" s="24"/>
      <c r="F6" s="24"/>
      <c r="G6" s="26"/>
      <c r="H6" s="24"/>
      <c r="I6" s="26"/>
      <c r="J6" s="9"/>
    </row>
    <row r="7" spans="1:10" s="15" customFormat="1" ht="18">
      <c r="A7" s="43" t="s">
        <v>13</v>
      </c>
      <c r="B7" s="44" t="s">
        <v>396</v>
      </c>
      <c r="C7" s="45"/>
      <c r="D7" s="45"/>
      <c r="E7" s="45"/>
      <c r="F7" s="45"/>
      <c r="G7" s="45"/>
      <c r="H7" s="45"/>
      <c r="I7" s="45"/>
    </row>
    <row r="8" spans="1:10">
      <c r="A8" s="24"/>
      <c r="B8" s="24"/>
      <c r="C8" s="24"/>
      <c r="D8" s="24"/>
      <c r="E8" s="24"/>
      <c r="F8" s="24"/>
      <c r="G8" s="24"/>
      <c r="H8" s="24"/>
      <c r="I8" s="24"/>
    </row>
    <row r="9" spans="1:10">
      <c r="A9" s="24"/>
      <c r="B9" s="24"/>
      <c r="C9" s="24"/>
      <c r="D9" s="455" t="s">
        <v>397</v>
      </c>
      <c r="E9" s="34"/>
      <c r="F9" s="34"/>
      <c r="G9" s="34"/>
      <c r="H9" s="456" t="s">
        <v>398</v>
      </c>
      <c r="I9" s="24"/>
    </row>
    <row r="10" spans="1:10">
      <c r="A10" s="24"/>
      <c r="B10" s="24"/>
      <c r="C10" s="24"/>
      <c r="D10" s="455" t="s">
        <v>399</v>
      </c>
      <c r="E10" s="34"/>
      <c r="F10" s="34"/>
      <c r="G10" s="34"/>
      <c r="H10" s="457" t="str">
        <f ca="1">CELL("filename")</f>
        <v>https://nationalenergyso.sharepoint.com/sites/GRP-INT-UK-Finance-Controllership-Electricity-System-Operator/Shared Documents/Regulatory Finance/NESO FM Publications/2026/Changes Consultation/[NESO_FM 2025 Changed.xlsx]Inputs</v>
      </c>
      <c r="I10" s="24"/>
    </row>
    <row r="11" spans="1:10">
      <c r="A11" s="24"/>
      <c r="B11" s="24"/>
      <c r="C11" s="24"/>
      <c r="D11" s="455" t="s">
        <v>400</v>
      </c>
      <c r="E11" s="34"/>
      <c r="F11" s="34"/>
      <c r="G11" s="34"/>
      <c r="H11" s="457" t="str">
        <f ca="1">MID(H10,SEARCH("[",H10)+1, SEARCH("]",H10)-SEARCH("[",H10)-1)</f>
        <v>NESO_FM 2025 Changed.xlsx</v>
      </c>
      <c r="I11" s="24"/>
    </row>
    <row r="12" spans="1:10" customFormat="1">
      <c r="A12" s="24"/>
      <c r="B12" s="24"/>
      <c r="C12" s="24"/>
      <c r="D12" s="455" t="s">
        <v>401</v>
      </c>
      <c r="E12" s="24"/>
      <c r="F12" s="24"/>
      <c r="G12" s="24"/>
      <c r="H12" s="458" t="s">
        <v>416</v>
      </c>
      <c r="I12" s="24"/>
    </row>
    <row r="13" spans="1:10" customFormat="1">
      <c r="A13" s="24"/>
      <c r="B13" s="24"/>
      <c r="C13" s="24"/>
      <c r="D13" s="455" t="s">
        <v>402</v>
      </c>
      <c r="E13" s="24"/>
      <c r="F13" s="24"/>
      <c r="G13" s="24"/>
      <c r="H13" s="208">
        <v>45965</v>
      </c>
      <c r="I13" s="24"/>
    </row>
    <row r="14" spans="1:10">
      <c r="A14" s="24"/>
      <c r="B14" s="24"/>
      <c r="C14" s="24"/>
      <c r="D14" s="455" t="s">
        <v>403</v>
      </c>
      <c r="E14" s="34"/>
      <c r="F14" s="34"/>
      <c r="G14" s="34"/>
      <c r="H14" s="457" t="str">
        <f xml:space="preserve"> IF(Model_Status = "DRAFT", MID(H10, SEARCH("ver", H10), 7), "")</f>
        <v/>
      </c>
      <c r="I14" s="24"/>
    </row>
    <row r="15" spans="1:10">
      <c r="A15" s="24"/>
      <c r="B15" s="24"/>
      <c r="C15" s="24"/>
      <c r="D15" s="35"/>
      <c r="E15" s="34"/>
      <c r="F15" s="34"/>
      <c r="G15" s="34"/>
      <c r="H15" s="36"/>
      <c r="I15" s="24"/>
    </row>
    <row r="16" spans="1:10">
      <c r="A16" s="24"/>
      <c r="B16" s="24"/>
      <c r="C16" s="24"/>
      <c r="D16" s="455" t="s">
        <v>404</v>
      </c>
      <c r="E16" s="34"/>
      <c r="F16" s="34"/>
      <c r="G16" s="34"/>
      <c r="H16" s="36"/>
      <c r="I16" s="24"/>
    </row>
    <row r="17" spans="1:10">
      <c r="A17" s="24"/>
      <c r="B17" s="24"/>
      <c r="C17" s="24"/>
      <c r="D17" s="35"/>
      <c r="E17" s="34"/>
      <c r="F17" s="34"/>
      <c r="G17" s="34"/>
      <c r="H17" s="36"/>
      <c r="I17" s="24"/>
    </row>
    <row r="18" spans="1:10" s="15" customFormat="1" ht="18">
      <c r="A18" s="43" t="s">
        <v>13</v>
      </c>
      <c r="B18" s="44" t="s">
        <v>405</v>
      </c>
      <c r="C18" s="45"/>
      <c r="D18" s="45"/>
      <c r="E18" s="45"/>
      <c r="F18" s="45"/>
      <c r="G18" s="45"/>
      <c r="H18" s="45"/>
      <c r="I18" s="42"/>
    </row>
    <row r="19" spans="1:10">
      <c r="A19" s="24"/>
      <c r="B19" s="24"/>
      <c r="C19" s="24"/>
      <c r="D19" s="24"/>
      <c r="E19" s="24"/>
      <c r="F19" s="24"/>
      <c r="G19" s="24"/>
      <c r="H19" s="24"/>
      <c r="I19" s="24"/>
    </row>
    <row r="20" spans="1:10">
      <c r="A20" s="24"/>
      <c r="B20" s="37"/>
      <c r="C20" s="37"/>
      <c r="D20" s="455" t="s">
        <v>406</v>
      </c>
      <c r="E20" s="38"/>
      <c r="F20" s="459">
        <v>0.1</v>
      </c>
      <c r="G20" s="39"/>
      <c r="H20" s="38"/>
      <c r="I20" s="40"/>
      <c r="J20" s="4"/>
    </row>
    <row r="21" spans="1:10" customFormat="1">
      <c r="A21" s="24"/>
      <c r="B21" s="25"/>
      <c r="C21" s="25"/>
      <c r="D21" s="24"/>
      <c r="E21" s="24"/>
      <c r="F21" s="24"/>
      <c r="G21" s="26"/>
      <c r="H21" s="24"/>
      <c r="I21" s="26"/>
      <c r="J21" s="5"/>
    </row>
    <row r="22" spans="1:10" customFormat="1">
      <c r="A22" s="24"/>
      <c r="B22" s="25"/>
      <c r="C22" s="25"/>
      <c r="D22" s="455" t="str">
        <f ca="1">Inputs!B1</f>
        <v>Inputs</v>
      </c>
      <c r="E22" s="34"/>
      <c r="F22" s="460">
        <f>Inputs!K166</f>
        <v>0</v>
      </c>
      <c r="G22" s="26"/>
      <c r="H22" s="24"/>
      <c r="I22" s="26"/>
      <c r="J22" s="5"/>
    </row>
    <row r="23" spans="1:10" customFormat="1">
      <c r="A23" s="24"/>
      <c r="B23" s="25"/>
      <c r="C23" s="25"/>
      <c r="D23" s="455" t="str">
        <f ca="1">Indexation!B1</f>
        <v>Indexation</v>
      </c>
      <c r="E23" s="34"/>
      <c r="F23" s="460">
        <f>Indexation!K116</f>
        <v>0</v>
      </c>
      <c r="G23" s="26"/>
      <c r="H23" s="24"/>
      <c r="I23" s="26"/>
      <c r="J23" s="5"/>
    </row>
    <row r="24" spans="1:10">
      <c r="A24" s="24"/>
      <c r="B24" s="24"/>
      <c r="C24" s="24"/>
      <c r="D24" s="455" t="str">
        <f ca="1">RAV!B1</f>
        <v>RAV</v>
      </c>
      <c r="E24" s="34"/>
      <c r="F24" s="460">
        <f>RAV!K145</f>
        <v>0</v>
      </c>
      <c r="G24" s="41"/>
      <c r="H24" s="24"/>
      <c r="I24" s="24"/>
    </row>
    <row r="25" spans="1:10">
      <c r="A25" s="24"/>
      <c r="B25" s="24"/>
      <c r="C25" s="24"/>
      <c r="D25" s="455" t="s">
        <v>128</v>
      </c>
      <c r="E25" s="34"/>
      <c r="F25" s="460">
        <f>Tax!K136</f>
        <v>0</v>
      </c>
      <c r="G25" s="41"/>
      <c r="H25" s="24"/>
      <c r="I25" s="24"/>
    </row>
    <row r="26" spans="1:10">
      <c r="A26" s="24"/>
      <c r="B26" s="24"/>
      <c r="C26" s="24"/>
      <c r="D26" s="455" t="str">
        <f ca="1">Elec!B1</f>
        <v>Elec</v>
      </c>
      <c r="E26" s="34"/>
      <c r="F26" s="460">
        <f>Elec!K138</f>
        <v>0</v>
      </c>
      <c r="G26" s="41"/>
      <c r="H26" s="24"/>
      <c r="I26" s="24"/>
    </row>
    <row r="27" spans="1:10">
      <c r="A27" s="24"/>
      <c r="B27" s="24"/>
      <c r="C27" s="24"/>
      <c r="D27" s="455" t="str">
        <f ca="1">Gas!B1</f>
        <v>Gas</v>
      </c>
      <c r="E27" s="34"/>
      <c r="F27" s="460">
        <f>Gas!K58</f>
        <v>0</v>
      </c>
      <c r="G27" s="41"/>
      <c r="H27" s="24"/>
      <c r="I27" s="24"/>
    </row>
    <row r="28" spans="1:10">
      <c r="A28" s="24"/>
      <c r="B28" s="24"/>
      <c r="C28" s="24"/>
      <c r="D28" s="455" t="str">
        <f ca="1">'Live results'!B1</f>
        <v>Live results</v>
      </c>
      <c r="E28" s="34"/>
      <c r="F28" s="460">
        <f>'Live results'!K27</f>
        <v>0</v>
      </c>
      <c r="G28" s="41"/>
      <c r="H28" s="24"/>
      <c r="I28" s="24"/>
    </row>
    <row r="29" spans="1:10" customFormat="1">
      <c r="A29" s="24"/>
      <c r="B29" s="25"/>
      <c r="C29" s="25"/>
      <c r="D29" s="455" t="str">
        <f ca="1">'Saved results'!B1</f>
        <v>Saved results</v>
      </c>
      <c r="E29" s="34"/>
      <c r="F29" s="460">
        <f>'Saved results'!K78</f>
        <v>0</v>
      </c>
      <c r="G29" s="26"/>
      <c r="H29" s="24"/>
      <c r="I29" s="26"/>
      <c r="J29" s="5"/>
    </row>
    <row r="30" spans="1:10" customFormat="1">
      <c r="A30" s="24"/>
      <c r="B30" s="25"/>
      <c r="C30" s="25"/>
      <c r="D30" s="455" t="s">
        <v>407</v>
      </c>
      <c r="E30" s="34"/>
      <c r="F30" s="449">
        <f>IF(AND(Model_Status = "PUBLISHED", Publication_Date = 0), 1, 0)</f>
        <v>0</v>
      </c>
      <c r="G30" s="26"/>
      <c r="H30" s="24"/>
      <c r="I30" s="26"/>
      <c r="J30" s="5"/>
    </row>
    <row r="31" spans="1:10">
      <c r="A31" s="24"/>
      <c r="B31" s="24"/>
      <c r="C31" s="24"/>
      <c r="D31" s="24"/>
      <c r="E31" s="24"/>
      <c r="F31" s="24"/>
      <c r="G31" s="24"/>
      <c r="H31" s="24"/>
      <c r="I31" s="24"/>
    </row>
    <row r="32" spans="1:10">
      <c r="A32" s="24"/>
      <c r="B32" s="24"/>
      <c r="C32" s="24"/>
      <c r="D32" s="461" t="s">
        <v>408</v>
      </c>
      <c r="E32" s="34"/>
      <c r="F32" s="449">
        <f xml:space="preserve"> IFERROR(SUM(F22:F30), 1)</f>
        <v>0</v>
      </c>
      <c r="G32" s="24"/>
      <c r="H32" s="24"/>
      <c r="I32" s="24"/>
    </row>
    <row r="33" spans="1:9">
      <c r="A33" s="24"/>
      <c r="B33" s="24"/>
      <c r="C33" s="24"/>
      <c r="D33" s="461" t="s">
        <v>409</v>
      </c>
      <c r="E33" s="34"/>
      <c r="F33" s="462" t="str">
        <f xml:space="preserve"> IF(F32 = 0, "PASS", "ERROR")</f>
        <v>PASS</v>
      </c>
      <c r="G33" s="24"/>
      <c r="H33" s="24"/>
      <c r="I33" s="24"/>
    </row>
    <row r="34" spans="1:9">
      <c r="A34" s="24"/>
      <c r="B34" s="24"/>
      <c r="C34" s="24"/>
      <c r="D34" s="24"/>
      <c r="E34" s="24"/>
      <c r="F34" s="24"/>
      <c r="G34" s="24"/>
      <c r="H34" s="24"/>
      <c r="I34" s="24"/>
    </row>
    <row r="35" spans="1:9" s="15" customFormat="1" ht="18">
      <c r="A35" s="43" t="s">
        <v>13</v>
      </c>
      <c r="B35" s="45" t="s">
        <v>152</v>
      </c>
      <c r="C35" s="45"/>
      <c r="D35" s="45"/>
      <c r="E35" s="45"/>
      <c r="F35" s="45"/>
      <c r="G35" s="45"/>
      <c r="H35" s="45"/>
      <c r="I35" s="42"/>
    </row>
  </sheetData>
  <sheetProtection sheet="1" objects="1" scenarios="1"/>
  <phoneticPr fontId="8" type="noConversion"/>
  <conditionalFormatting sqref="A3:XFD3">
    <cfRule type="expression" dxfId="3" priority="1">
      <formula>$F$32 &lt;&gt; 0</formula>
    </cfRule>
    <cfRule type="expression" dxfId="2" priority="2">
      <formula>$F$32 = 0</formula>
    </cfRule>
  </conditionalFormatting>
  <dataValidations count="1">
    <dataValidation type="list" allowBlank="1" showInputMessage="1" showErrorMessage="1" promptTitle="Model status" prompt="Select 'DRAFT' or 'PUBLISHED'. When selecting 'PUBLISHED', please enter a publication date below or an error flag will show in the Error checks section below." sqref="H12" xr:uid="{DF1AD52A-D0FB-4A7B-830A-946E5A6C9617}">
      <formula1>"DRAFT,PUBLISHED,POPULATED FOR REVIEW"</formula1>
    </dataValidation>
  </dataValidations>
  <pageMargins left="0.7" right="0.7" top="0.75" bottom="0.75" header="0.3" footer="0.3"/>
  <pageSetup paperSize="9" orientation="portrait" r:id="rId1"/>
  <headerFooter>
    <oddHeader>&amp;L&amp;"Poppins"&amp;12&amp;KFF00FF Public&amp;1#_x000D_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BBEF6-106F-40F4-9D7B-180E246ED3B4}">
  <sheetPr codeName="Sheet4">
    <tabColor theme="4" tint="0.39997558519241921"/>
  </sheetPr>
  <dimension ref="A1:I31"/>
  <sheetViews>
    <sheetView showGridLines="0" zoomScale="70" zoomScaleNormal="70" workbookViewId="0">
      <pane ySplit="6" topLeftCell="A7" activePane="bottomLeft" state="frozen"/>
      <selection pane="bottomLeft" activeCell="A7" sqref="A7"/>
    </sheetView>
  </sheetViews>
  <sheetFormatPr defaultColWidth="0" defaultRowHeight="14"/>
  <cols>
    <col min="1" max="3" width="2.5" style="3" customWidth="1"/>
    <col min="4" max="4" width="12.5" style="3" customWidth="1"/>
    <col min="5" max="5" width="15.5" style="3" customWidth="1"/>
    <col min="6" max="6" width="30.5" style="3" customWidth="1"/>
    <col min="7" max="7" width="60.5" style="3" customWidth="1"/>
    <col min="8" max="8" width="30.5" style="3" customWidth="1"/>
    <col min="9" max="9" width="2.5" style="3" customWidth="1"/>
    <col min="10" max="16384" width="9.5" hidden="1"/>
  </cols>
  <sheetData>
    <row r="1" spans="1:9" ht="23">
      <c r="A1" s="27"/>
      <c r="B1" s="27" t="str" cm="1">
        <f t="array" aca="1" ref="B1" ca="1">MID(CELL("filename", A1), FIND("]", CELL("filename", A1)) + 1, 255)</f>
        <v>Change log</v>
      </c>
      <c r="C1" s="27"/>
      <c r="D1" s="27"/>
      <c r="E1" s="27"/>
      <c r="F1" s="27"/>
      <c r="G1" s="28"/>
      <c r="H1" s="27"/>
      <c r="I1" s="28"/>
    </row>
    <row r="2" spans="1:9" ht="4.5" customHeight="1">
      <c r="A2" s="24"/>
      <c r="B2" s="25"/>
      <c r="C2" s="25"/>
      <c r="D2" s="24"/>
      <c r="E2" s="24"/>
      <c r="F2" s="24"/>
      <c r="G2" s="26"/>
      <c r="H2" s="24"/>
      <c r="I2" s="26"/>
    </row>
    <row r="3" spans="1:9" s="22" customFormat="1">
      <c r="A3" s="24"/>
      <c r="B3" s="25" t="str" cm="1">
        <f t="array" ref="B3">"Model Checks - " &amp; Check</f>
        <v>Model Checks - PASS</v>
      </c>
      <c r="C3" s="25"/>
      <c r="D3" s="24"/>
      <c r="E3" s="24"/>
      <c r="F3" s="24"/>
      <c r="G3" s="26"/>
      <c r="H3" s="24"/>
      <c r="I3" s="26"/>
    </row>
    <row r="4" spans="1:9" ht="4.5" customHeight="1">
      <c r="A4" s="24"/>
      <c r="B4" s="25"/>
      <c r="C4" s="25"/>
      <c r="D4" s="24"/>
      <c r="E4" s="24"/>
      <c r="F4" s="24"/>
      <c r="G4" s="26"/>
      <c r="H4" s="24"/>
      <c r="I4" s="26"/>
    </row>
    <row r="5" spans="1:9" ht="23">
      <c r="A5" s="27"/>
      <c r="B5" s="27" t="str">
        <f>Project_Name</f>
        <v>NESO Financial Model</v>
      </c>
      <c r="C5" s="27"/>
      <c r="D5" s="27"/>
      <c r="E5" s="27"/>
      <c r="F5" s="27"/>
      <c r="G5" s="28"/>
      <c r="H5" s="27"/>
      <c r="I5" s="28"/>
    </row>
    <row r="6" spans="1:9" ht="14.5" customHeight="1">
      <c r="A6" s="24"/>
      <c r="B6" s="25"/>
      <c r="C6" s="25"/>
      <c r="D6" s="24"/>
      <c r="E6" s="24"/>
      <c r="F6" s="24"/>
      <c r="G6" s="26"/>
      <c r="H6" s="24"/>
      <c r="I6" s="26"/>
    </row>
    <row r="7" spans="1:9" ht="18">
      <c r="A7" s="29" t="s">
        <v>13</v>
      </c>
      <c r="B7" s="30" t="s">
        <v>410</v>
      </c>
      <c r="C7" s="30"/>
      <c r="D7" s="30"/>
      <c r="E7" s="30"/>
      <c r="F7" s="30"/>
      <c r="G7" s="30"/>
      <c r="H7" s="30"/>
      <c r="I7" s="30"/>
    </row>
    <row r="8" spans="1:9">
      <c r="A8" s="24"/>
      <c r="B8" s="24"/>
      <c r="C8" s="24"/>
      <c r="D8" s="24"/>
      <c r="E8" s="24"/>
      <c r="F8" s="24"/>
      <c r="G8" s="24"/>
      <c r="H8" s="24"/>
      <c r="I8" s="24"/>
    </row>
    <row r="9" spans="1:9">
      <c r="A9" s="24"/>
      <c r="B9" s="24"/>
      <c r="C9" s="24"/>
      <c r="D9" s="31" t="s">
        <v>411</v>
      </c>
      <c r="E9" s="32" t="s">
        <v>412</v>
      </c>
      <c r="F9" s="32" t="s">
        <v>413</v>
      </c>
      <c r="G9" s="32" t="s">
        <v>414</v>
      </c>
      <c r="H9" s="33" t="s">
        <v>415</v>
      </c>
      <c r="I9" s="24"/>
    </row>
    <row r="10" spans="1:9">
      <c r="A10" s="24"/>
      <c r="B10" s="24"/>
      <c r="C10" s="24"/>
      <c r="D10" s="463">
        <v>1</v>
      </c>
      <c r="E10" s="464"/>
      <c r="F10" s="465"/>
      <c r="G10" s="465"/>
      <c r="H10" s="466"/>
      <c r="I10" s="24"/>
    </row>
    <row r="11" spans="1:9">
      <c r="A11" s="24"/>
      <c r="B11" s="24"/>
      <c r="C11" s="24"/>
      <c r="D11" s="463">
        <v>2</v>
      </c>
      <c r="E11" s="464"/>
      <c r="F11" s="465"/>
      <c r="G11" s="465"/>
      <c r="H11" s="466"/>
      <c r="I11" s="24"/>
    </row>
    <row r="12" spans="1:9">
      <c r="A12" s="24"/>
      <c r="B12" s="24"/>
      <c r="C12" s="24"/>
      <c r="D12" s="463">
        <v>3</v>
      </c>
      <c r="E12" s="464"/>
      <c r="F12" s="465"/>
      <c r="G12" s="465"/>
      <c r="H12" s="466"/>
      <c r="I12" s="24"/>
    </row>
    <row r="13" spans="1:9">
      <c r="A13" s="24"/>
      <c r="B13" s="24"/>
      <c r="C13" s="24"/>
      <c r="D13" s="463">
        <v>4</v>
      </c>
      <c r="E13" s="464"/>
      <c r="F13" s="465"/>
      <c r="G13" s="465"/>
      <c r="H13" s="466"/>
      <c r="I13" s="24"/>
    </row>
    <row r="14" spans="1:9">
      <c r="A14" s="24"/>
      <c r="B14" s="24"/>
      <c r="C14" s="24"/>
      <c r="D14" s="463">
        <v>5</v>
      </c>
      <c r="E14" s="464"/>
      <c r="F14" s="465"/>
      <c r="G14" s="465"/>
      <c r="H14" s="466"/>
      <c r="I14" s="24"/>
    </row>
    <row r="15" spans="1:9">
      <c r="A15" s="24"/>
      <c r="B15" s="24"/>
      <c r="C15" s="24"/>
      <c r="D15" s="463">
        <v>6</v>
      </c>
      <c r="E15" s="464"/>
      <c r="F15" s="465"/>
      <c r="G15" s="465"/>
      <c r="H15" s="466"/>
      <c r="I15" s="24"/>
    </row>
    <row r="16" spans="1:9">
      <c r="A16" s="24"/>
      <c r="B16" s="24"/>
      <c r="C16" s="24"/>
      <c r="D16" s="463">
        <v>7</v>
      </c>
      <c r="E16" s="464"/>
      <c r="F16" s="465"/>
      <c r="G16" s="465"/>
      <c r="H16" s="466"/>
      <c r="I16" s="24"/>
    </row>
    <row r="17" spans="1:9">
      <c r="A17" s="24"/>
      <c r="B17" s="24"/>
      <c r="C17" s="24"/>
      <c r="D17" s="463">
        <v>8</v>
      </c>
      <c r="E17" s="464"/>
      <c r="F17" s="465"/>
      <c r="G17" s="465"/>
      <c r="H17" s="466"/>
      <c r="I17" s="24"/>
    </row>
    <row r="18" spans="1:9">
      <c r="A18" s="24"/>
      <c r="B18" s="24"/>
      <c r="C18" s="24"/>
      <c r="D18" s="463">
        <v>9</v>
      </c>
      <c r="E18" s="464"/>
      <c r="F18" s="465"/>
      <c r="G18" s="465"/>
      <c r="H18" s="466"/>
      <c r="I18" s="24"/>
    </row>
    <row r="19" spans="1:9">
      <c r="A19" s="24"/>
      <c r="B19" s="24"/>
      <c r="C19" s="24"/>
      <c r="D19" s="463">
        <v>10</v>
      </c>
      <c r="E19" s="464"/>
      <c r="F19" s="465"/>
      <c r="G19" s="465"/>
      <c r="H19" s="466"/>
      <c r="I19" s="24"/>
    </row>
    <row r="20" spans="1:9">
      <c r="A20" s="24"/>
      <c r="B20" s="24"/>
      <c r="C20" s="24"/>
      <c r="D20" s="463">
        <v>11</v>
      </c>
      <c r="E20" s="464"/>
      <c r="F20" s="465"/>
      <c r="G20" s="465"/>
      <c r="H20" s="466"/>
      <c r="I20" s="24"/>
    </row>
    <row r="21" spans="1:9">
      <c r="A21" s="24"/>
      <c r="B21" s="24"/>
      <c r="C21" s="24"/>
      <c r="D21" s="463">
        <v>12</v>
      </c>
      <c r="E21" s="464"/>
      <c r="F21" s="465"/>
      <c r="G21" s="465"/>
      <c r="H21" s="466"/>
      <c r="I21" s="24"/>
    </row>
    <row r="22" spans="1:9">
      <c r="A22" s="24"/>
      <c r="B22" s="24"/>
      <c r="C22" s="24"/>
      <c r="D22" s="463">
        <v>13</v>
      </c>
      <c r="E22" s="464"/>
      <c r="F22" s="465"/>
      <c r="G22" s="465"/>
      <c r="H22" s="466"/>
      <c r="I22" s="24"/>
    </row>
    <row r="23" spans="1:9">
      <c r="A23" s="24"/>
      <c r="B23" s="24"/>
      <c r="C23" s="24"/>
      <c r="D23" s="463">
        <v>14</v>
      </c>
      <c r="E23" s="464"/>
      <c r="F23" s="465"/>
      <c r="G23" s="465"/>
      <c r="H23" s="466"/>
      <c r="I23" s="24"/>
    </row>
    <row r="24" spans="1:9">
      <c r="A24" s="24"/>
      <c r="B24" s="24"/>
      <c r="C24" s="24"/>
      <c r="D24" s="463">
        <v>15</v>
      </c>
      <c r="E24" s="464"/>
      <c r="F24" s="465"/>
      <c r="G24" s="465"/>
      <c r="H24" s="466"/>
      <c r="I24" s="24"/>
    </row>
    <row r="25" spans="1:9">
      <c r="A25" s="24"/>
      <c r="B25" s="24"/>
      <c r="C25" s="24"/>
      <c r="D25" s="463">
        <v>16</v>
      </c>
      <c r="E25" s="464"/>
      <c r="F25" s="465"/>
      <c r="G25" s="465"/>
      <c r="H25" s="466"/>
      <c r="I25" s="24"/>
    </row>
    <row r="26" spans="1:9">
      <c r="A26" s="24"/>
      <c r="B26" s="24"/>
      <c r="C26" s="24"/>
      <c r="D26" s="463">
        <v>17</v>
      </c>
      <c r="E26" s="464"/>
      <c r="F26" s="465"/>
      <c r="G26" s="465"/>
      <c r="H26" s="466"/>
      <c r="I26" s="24"/>
    </row>
    <row r="27" spans="1:9">
      <c r="A27" s="24"/>
      <c r="B27" s="24"/>
      <c r="C27" s="24"/>
      <c r="D27" s="463">
        <v>18</v>
      </c>
      <c r="E27" s="464"/>
      <c r="F27" s="465"/>
      <c r="G27" s="465"/>
      <c r="H27" s="466"/>
      <c r="I27" s="24"/>
    </row>
    <row r="28" spans="1:9">
      <c r="A28" s="24"/>
      <c r="B28" s="24"/>
      <c r="C28" s="24"/>
      <c r="D28" s="463">
        <v>19</v>
      </c>
      <c r="E28" s="464"/>
      <c r="F28" s="465"/>
      <c r="G28" s="465"/>
      <c r="H28" s="466"/>
      <c r="I28" s="24"/>
    </row>
    <row r="29" spans="1:9">
      <c r="A29" s="24"/>
      <c r="B29" s="24"/>
      <c r="C29" s="24"/>
      <c r="D29" s="463">
        <v>20</v>
      </c>
      <c r="E29" s="464"/>
      <c r="F29" s="465"/>
      <c r="G29" s="465"/>
      <c r="H29" s="466"/>
      <c r="I29" s="24"/>
    </row>
    <row r="30" spans="1:9">
      <c r="A30" s="24"/>
      <c r="B30" s="24"/>
      <c r="C30" s="24"/>
      <c r="D30" s="24"/>
      <c r="E30" s="24"/>
      <c r="F30" s="24"/>
      <c r="G30" s="24"/>
      <c r="H30" s="24"/>
      <c r="I30" s="24"/>
    </row>
    <row r="31" spans="1:9" ht="18">
      <c r="A31" s="29" t="s">
        <v>13</v>
      </c>
      <c r="B31" s="30" t="s">
        <v>152</v>
      </c>
      <c r="C31" s="30"/>
      <c r="D31" s="30"/>
      <c r="E31" s="30"/>
      <c r="F31" s="30"/>
      <c r="G31" s="30"/>
      <c r="H31" s="30"/>
      <c r="I31" s="30"/>
    </row>
  </sheetData>
  <sheetProtection sheet="1" objects="1" scenarios="1"/>
  <pageMargins left="0.7" right="0.7" top="0.75" bottom="0.75" header="0.3" footer="0.3"/>
  <pageSetup paperSize="9" orientation="portrait" r:id="rId1"/>
  <headerFooter>
    <oddHeader>&amp;L&amp;"Poppins"&amp;12&amp;KFF00FF Public&amp;1#_x000D_</oddHead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96964D-C54C-46CB-B066-FF68D2899147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E4C2EE44-DC8A-4B81-8DD8-8A2007FCE486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A3:I3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02978-F725-4BCF-8D63-DDFE2A625C53}">
  <sheetPr codeName="Sheet1">
    <tabColor rgb="FFFFCC99"/>
  </sheetPr>
  <dimension ref="A1:AH168"/>
  <sheetViews>
    <sheetView showGridLines="0" tabSelected="1" zoomScale="80" zoomScaleNormal="80" workbookViewId="0">
      <pane xSplit="12" ySplit="10" topLeftCell="M63" activePane="bottomRight" state="frozen"/>
      <selection pane="topRight" activeCell="N47" sqref="N47"/>
      <selection pane="bottomLeft" activeCell="N47" sqref="N47"/>
      <selection pane="bottomRight" activeCell="E81" sqref="E81"/>
    </sheetView>
  </sheetViews>
  <sheetFormatPr defaultColWidth="0" defaultRowHeight="14" outlineLevelCol="1"/>
  <cols>
    <col min="1" max="3" width="2.5" style="20" customWidth="1"/>
    <col min="4" max="4" width="55.5" style="20" customWidth="1"/>
    <col min="5" max="5" width="25.5" style="20" customWidth="1"/>
    <col min="6" max="7" width="20.5" style="20" customWidth="1"/>
    <col min="8" max="8" width="2.5" style="20" customWidth="1"/>
    <col min="9" max="9" width="12.5" customWidth="1"/>
    <col min="10" max="10" width="2.5" customWidth="1"/>
    <col min="11" max="11" width="12.5" customWidth="1"/>
    <col min="12" max="12" width="2.5" customWidth="1"/>
    <col min="13" max="19" width="12.5" customWidth="1" outlineLevel="1"/>
    <col min="20" max="27" width="12.5" customWidth="1"/>
    <col min="28" max="28" width="2.5" customWidth="1"/>
    <col min="29" max="34" width="0" hidden="1" customWidth="1"/>
    <col min="35" max="16384" width="8.58203125" hidden="1"/>
  </cols>
  <sheetData>
    <row r="1" spans="1:34" ht="23">
      <c r="A1" s="109"/>
      <c r="B1" s="109" t="str" cm="1">
        <f t="array" aca="1" ref="B1" ca="1">MID(CELL("filename", A1), FIND("]", CELL("filename", A1)) + 1, 255)</f>
        <v>Inputs</v>
      </c>
      <c r="C1" s="109"/>
      <c r="D1" s="109"/>
      <c r="E1" s="109"/>
      <c r="F1" s="109"/>
      <c r="G1" s="47"/>
      <c r="H1" s="109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11"/>
      <c r="AD1" s="11"/>
      <c r="AE1" s="11"/>
      <c r="AF1" s="11"/>
      <c r="AG1" s="11"/>
      <c r="AH1" s="11"/>
    </row>
    <row r="2" spans="1:34" ht="4.5" customHeight="1">
      <c r="A2" s="48"/>
      <c r="B2" s="48"/>
      <c r="C2" s="48"/>
      <c r="D2" s="48"/>
      <c r="E2" s="48"/>
      <c r="F2" s="48"/>
      <c r="G2" s="48"/>
      <c r="H2" s="48"/>
      <c r="I2" s="165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3"/>
      <c r="AD2" s="3"/>
      <c r="AE2" s="3"/>
      <c r="AF2" s="3"/>
      <c r="AG2" s="3"/>
      <c r="AH2" s="3"/>
    </row>
    <row r="3" spans="1:34" ht="15" customHeight="1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3"/>
      <c r="AD3" s="3"/>
      <c r="AE3" s="3"/>
      <c r="AF3" s="3"/>
      <c r="AG3" s="3"/>
      <c r="AH3" s="3"/>
    </row>
    <row r="4" spans="1:34" ht="14.5" customHeight="1">
      <c r="A4" s="64"/>
      <c r="B4" s="88"/>
      <c r="C4" s="166" t="s">
        <v>6</v>
      </c>
      <c r="D4" s="64"/>
      <c r="E4" s="166"/>
      <c r="F4" s="167"/>
      <c r="G4" s="53" t="s">
        <v>7</v>
      </c>
      <c r="H4" s="166"/>
      <c r="I4" s="65"/>
      <c r="J4" s="168"/>
      <c r="K4" s="168"/>
      <c r="L4" s="169"/>
      <c r="M4" s="55">
        <f t="shared" ref="M4:AA4" si="0" xml:space="preserve"> L4 + 1</f>
        <v>1</v>
      </c>
      <c r="N4" s="55">
        <f t="shared" si="0"/>
        <v>2</v>
      </c>
      <c r="O4" s="55">
        <f t="shared" si="0"/>
        <v>3</v>
      </c>
      <c r="P4" s="55">
        <f t="shared" si="0"/>
        <v>4</v>
      </c>
      <c r="Q4" s="55">
        <f t="shared" si="0"/>
        <v>5</v>
      </c>
      <c r="R4" s="55">
        <f t="shared" si="0"/>
        <v>6</v>
      </c>
      <c r="S4" s="55">
        <f t="shared" si="0"/>
        <v>7</v>
      </c>
      <c r="T4" s="55">
        <f t="shared" si="0"/>
        <v>8</v>
      </c>
      <c r="U4" s="55">
        <f t="shared" si="0"/>
        <v>9</v>
      </c>
      <c r="V4" s="55">
        <f t="shared" si="0"/>
        <v>10</v>
      </c>
      <c r="W4" s="55">
        <f t="shared" si="0"/>
        <v>11</v>
      </c>
      <c r="X4" s="55">
        <f t="shared" si="0"/>
        <v>12</v>
      </c>
      <c r="Y4" s="55">
        <f t="shared" si="0"/>
        <v>13</v>
      </c>
      <c r="Z4" s="55">
        <f t="shared" si="0"/>
        <v>14</v>
      </c>
      <c r="AA4" s="55">
        <f t="shared" si="0"/>
        <v>15</v>
      </c>
      <c r="AB4" s="170"/>
      <c r="AC4" s="16"/>
      <c r="AD4" s="16"/>
      <c r="AE4" s="16"/>
      <c r="AF4" s="16"/>
      <c r="AG4" s="16"/>
      <c r="AH4" s="16"/>
    </row>
    <row r="5" spans="1:34" ht="14.5" customHeight="1">
      <c r="A5" s="167"/>
      <c r="B5" s="167"/>
      <c r="C5" s="166" t="s">
        <v>8</v>
      </c>
      <c r="D5" s="167"/>
      <c r="E5" s="166"/>
      <c r="F5" s="167"/>
      <c r="G5" s="53" t="s">
        <v>9</v>
      </c>
      <c r="H5" s="166"/>
      <c r="I5" s="24"/>
      <c r="J5" s="24"/>
      <c r="K5" s="168"/>
      <c r="L5" s="169"/>
      <c r="M5" s="56">
        <f t="shared" ref="M5:AA5" si="1" xml:space="preserve"> IF(M4 = 1, $I19, L6 + 1)</f>
        <v>42826</v>
      </c>
      <c r="N5" s="56">
        <f t="shared" si="1"/>
        <v>43191</v>
      </c>
      <c r="O5" s="56">
        <f t="shared" si="1"/>
        <v>43556</v>
      </c>
      <c r="P5" s="56">
        <f t="shared" si="1"/>
        <v>43922</v>
      </c>
      <c r="Q5" s="56">
        <f t="shared" si="1"/>
        <v>44287</v>
      </c>
      <c r="R5" s="56">
        <f t="shared" si="1"/>
        <v>44652</v>
      </c>
      <c r="S5" s="56">
        <f t="shared" si="1"/>
        <v>45017</v>
      </c>
      <c r="T5" s="56">
        <f t="shared" si="1"/>
        <v>45383</v>
      </c>
      <c r="U5" s="56">
        <f t="shared" si="1"/>
        <v>45748</v>
      </c>
      <c r="V5" s="56">
        <f t="shared" si="1"/>
        <v>46113</v>
      </c>
      <c r="W5" s="56">
        <f t="shared" si="1"/>
        <v>46478</v>
      </c>
      <c r="X5" s="56">
        <f t="shared" si="1"/>
        <v>46844</v>
      </c>
      <c r="Y5" s="56">
        <f t="shared" si="1"/>
        <v>47209</v>
      </c>
      <c r="Z5" s="56">
        <f t="shared" si="1"/>
        <v>47574</v>
      </c>
      <c r="AA5" s="56">
        <f t="shared" si="1"/>
        <v>47939</v>
      </c>
      <c r="AB5" s="170"/>
      <c r="AC5" s="14"/>
      <c r="AD5" s="14"/>
      <c r="AE5" s="14"/>
      <c r="AF5" s="14"/>
      <c r="AG5" s="14"/>
      <c r="AH5" s="14"/>
    </row>
    <row r="6" spans="1:34" ht="14.5" customHeight="1">
      <c r="A6" s="167"/>
      <c r="B6" s="167"/>
      <c r="C6" s="171" t="s">
        <v>10</v>
      </c>
      <c r="D6" s="167"/>
      <c r="E6" s="171"/>
      <c r="F6" s="167"/>
      <c r="G6" s="53" t="s">
        <v>9</v>
      </c>
      <c r="H6" s="171"/>
      <c r="I6" s="24"/>
      <c r="J6" s="24"/>
      <c r="K6" s="142"/>
      <c r="L6" s="172"/>
      <c r="M6" s="56">
        <f t="shared" ref="M6:AA6" si="2" xml:space="preserve"> EOMONTH(M5, $I20 - 1)</f>
        <v>43190</v>
      </c>
      <c r="N6" s="56">
        <f t="shared" si="2"/>
        <v>43555</v>
      </c>
      <c r="O6" s="56">
        <f t="shared" si="2"/>
        <v>43921</v>
      </c>
      <c r="P6" s="56">
        <f t="shared" si="2"/>
        <v>44286</v>
      </c>
      <c r="Q6" s="56">
        <f t="shared" si="2"/>
        <v>44651</v>
      </c>
      <c r="R6" s="56">
        <f t="shared" si="2"/>
        <v>45016</v>
      </c>
      <c r="S6" s="56">
        <f t="shared" si="2"/>
        <v>45382</v>
      </c>
      <c r="T6" s="56">
        <f t="shared" si="2"/>
        <v>45747</v>
      </c>
      <c r="U6" s="56">
        <f t="shared" si="2"/>
        <v>46112</v>
      </c>
      <c r="V6" s="56">
        <f t="shared" si="2"/>
        <v>46477</v>
      </c>
      <c r="W6" s="56">
        <f t="shared" si="2"/>
        <v>46843</v>
      </c>
      <c r="X6" s="56">
        <f t="shared" si="2"/>
        <v>47208</v>
      </c>
      <c r="Y6" s="56">
        <f t="shared" si="2"/>
        <v>47573</v>
      </c>
      <c r="Z6" s="56">
        <f t="shared" si="2"/>
        <v>47938</v>
      </c>
      <c r="AA6" s="56">
        <f t="shared" si="2"/>
        <v>48304</v>
      </c>
      <c r="AB6" s="65"/>
      <c r="AC6" s="14"/>
      <c r="AD6" s="14"/>
      <c r="AE6" s="14"/>
      <c r="AF6" s="14"/>
      <c r="AG6" s="14"/>
      <c r="AH6" s="14"/>
    </row>
    <row r="7" spans="1:34" ht="15" customHeight="1">
      <c r="A7" s="48"/>
      <c r="B7" s="49"/>
      <c r="C7" s="48" t="s">
        <v>11</v>
      </c>
      <c r="D7" s="48"/>
      <c r="E7" s="48"/>
      <c r="F7" s="48"/>
      <c r="G7" s="53" t="s">
        <v>12</v>
      </c>
      <c r="H7" s="48"/>
      <c r="I7" s="24"/>
      <c r="J7" s="26"/>
      <c r="K7" s="26"/>
      <c r="L7" s="26"/>
      <c r="M7" s="26" t="str">
        <f xml:space="preserve"> RIGHT(YEAR(M5), 4) &amp; "-" &amp; RIGHT(YEAR(M6), 2)</f>
        <v>2017-18</v>
      </c>
      <c r="N7" s="26" t="str">
        <f t="shared" ref="N7:AA7" si="3" xml:space="preserve"> RIGHT(YEAR(N5), 4) &amp; "-" &amp; RIGHT(YEAR(N6), 2)</f>
        <v>2018-19</v>
      </c>
      <c r="O7" s="26" t="str">
        <f t="shared" si="3"/>
        <v>2019-20</v>
      </c>
      <c r="P7" s="26" t="str">
        <f t="shared" si="3"/>
        <v>2020-21</v>
      </c>
      <c r="Q7" s="26" t="str">
        <f t="shared" si="3"/>
        <v>2021-22</v>
      </c>
      <c r="R7" s="26" t="str">
        <f t="shared" si="3"/>
        <v>2022-23</v>
      </c>
      <c r="S7" s="26" t="str">
        <f t="shared" si="3"/>
        <v>2023-24</v>
      </c>
      <c r="T7" s="26" t="str">
        <f t="shared" si="3"/>
        <v>2024-25</v>
      </c>
      <c r="U7" s="26" t="str">
        <f t="shared" si="3"/>
        <v>2025-26</v>
      </c>
      <c r="V7" s="26" t="str">
        <f t="shared" si="3"/>
        <v>2026-27</v>
      </c>
      <c r="W7" s="26" t="str">
        <f t="shared" si="3"/>
        <v>2027-28</v>
      </c>
      <c r="X7" s="26" t="str">
        <f t="shared" si="3"/>
        <v>2028-29</v>
      </c>
      <c r="Y7" s="26" t="str">
        <f t="shared" si="3"/>
        <v>2029-30</v>
      </c>
      <c r="Z7" s="26" t="str">
        <f t="shared" si="3"/>
        <v>2030-31</v>
      </c>
      <c r="AA7" s="26" t="str">
        <f t="shared" si="3"/>
        <v>2031-32</v>
      </c>
      <c r="AB7" s="24"/>
      <c r="AC7" s="3"/>
      <c r="AD7" s="3"/>
      <c r="AE7" s="3"/>
      <c r="AF7" s="3"/>
      <c r="AG7" s="3"/>
      <c r="AH7" s="3"/>
    </row>
    <row r="8" spans="1:34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48"/>
      <c r="I8" s="26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3"/>
      <c r="AD8" s="3"/>
      <c r="AE8" s="3"/>
      <c r="AF8" s="3"/>
      <c r="AG8" s="3"/>
      <c r="AH8" s="3"/>
    </row>
    <row r="9" spans="1:34" ht="4.5" customHeight="1">
      <c r="A9" s="48"/>
      <c r="B9" s="49"/>
      <c r="C9" s="49"/>
      <c r="D9" s="48"/>
      <c r="E9" s="48"/>
      <c r="F9" s="48"/>
      <c r="G9" s="50"/>
      <c r="H9" s="48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3"/>
      <c r="AD9" s="3"/>
      <c r="AE9" s="3"/>
      <c r="AF9" s="3"/>
      <c r="AG9" s="3"/>
      <c r="AH9" s="3"/>
    </row>
    <row r="10" spans="1:34" ht="23">
      <c r="A10" s="109"/>
      <c r="B10" s="109" t="str">
        <f>Project_Name</f>
        <v>NESO Financial Model</v>
      </c>
      <c r="C10" s="109"/>
      <c r="D10" s="109"/>
      <c r="E10" s="109"/>
      <c r="F10" s="109"/>
      <c r="G10" s="47"/>
      <c r="H10" s="109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11"/>
      <c r="AD10" s="11"/>
      <c r="AE10" s="11"/>
      <c r="AF10" s="11"/>
      <c r="AG10" s="11"/>
      <c r="AH10" s="11"/>
    </row>
    <row r="11" spans="1:34">
      <c r="A11" s="48"/>
      <c r="B11" s="48"/>
      <c r="C11" s="48"/>
      <c r="D11" s="61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34" ht="18">
      <c r="A12" s="97" t="s">
        <v>13</v>
      </c>
      <c r="B12" s="97" t="s">
        <v>14</v>
      </c>
      <c r="C12" s="188"/>
      <c r="D12" s="188"/>
      <c r="E12" s="188"/>
      <c r="F12" s="188"/>
      <c r="G12" s="188"/>
      <c r="H12" s="188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212"/>
      <c r="AD12" s="212"/>
      <c r="AE12" s="212"/>
      <c r="AF12" s="212"/>
      <c r="AG12" s="212"/>
      <c r="AH12" s="212"/>
    </row>
    <row r="13" spans="1:34">
      <c r="A13" s="48"/>
      <c r="B13" s="48"/>
      <c r="C13" s="48"/>
      <c r="D13" s="61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34" ht="14.5">
      <c r="A14" s="48"/>
      <c r="B14" s="206" t="s">
        <v>15</v>
      </c>
      <c r="C14" s="48"/>
      <c r="D14" s="61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34" ht="14.5">
      <c r="A15" s="48"/>
      <c r="B15" s="206" t="s">
        <v>16</v>
      </c>
      <c r="C15" s="48"/>
      <c r="D15" s="61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34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34">
      <c r="A17" s="48"/>
      <c r="B17" s="48"/>
      <c r="C17" s="48" t="s">
        <v>17</v>
      </c>
      <c r="D17" s="61"/>
      <c r="E17" s="48"/>
      <c r="F17" s="48" t="s">
        <v>18</v>
      </c>
      <c r="G17" s="48" t="s">
        <v>19</v>
      </c>
      <c r="H17" s="48"/>
      <c r="I17" s="232">
        <v>46477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4"/>
    </row>
    <row r="18" spans="1:34">
      <c r="A18" s="48"/>
      <c r="B18" s="48"/>
      <c r="C18" s="98" t="s">
        <v>20</v>
      </c>
      <c r="D18" s="48"/>
      <c r="E18" s="144"/>
      <c r="F18" s="48"/>
      <c r="G18" s="48" t="s">
        <v>9</v>
      </c>
      <c r="H18" s="48"/>
      <c r="I18" s="232">
        <v>45566</v>
      </c>
      <c r="J18" s="25"/>
      <c r="K18" s="25"/>
      <c r="L18" s="25"/>
      <c r="M18" s="117"/>
      <c r="N18" s="117"/>
      <c r="O18" s="117"/>
      <c r="P18" s="24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24"/>
      <c r="AC18" s="3"/>
      <c r="AD18" s="3"/>
      <c r="AE18" s="3"/>
      <c r="AF18" s="3"/>
      <c r="AG18" s="3"/>
      <c r="AH18" s="3"/>
    </row>
    <row r="19" spans="1:34">
      <c r="A19" s="48"/>
      <c r="B19" s="48"/>
      <c r="C19" s="48" t="s">
        <v>21</v>
      </c>
      <c r="D19" s="61"/>
      <c r="E19" s="48"/>
      <c r="F19" s="48"/>
      <c r="G19" s="48" t="s">
        <v>9</v>
      </c>
      <c r="H19" s="48"/>
      <c r="I19" s="232">
        <v>42826</v>
      </c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4"/>
    </row>
    <row r="20" spans="1:34">
      <c r="A20" s="48"/>
      <c r="B20" s="48"/>
      <c r="C20" s="48" t="s">
        <v>22</v>
      </c>
      <c r="D20" s="48"/>
      <c r="E20" s="48"/>
      <c r="F20" s="48"/>
      <c r="G20" s="48" t="s">
        <v>23</v>
      </c>
      <c r="H20" s="48"/>
      <c r="I20" s="233">
        <v>12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4"/>
    </row>
    <row r="21" spans="1:34">
      <c r="A21" s="48"/>
      <c r="B21" s="48"/>
      <c r="C21" s="48"/>
      <c r="D21" s="61"/>
      <c r="E21" s="48"/>
      <c r="F21" s="48"/>
      <c r="G21" s="48"/>
      <c r="H21" s="48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4"/>
    </row>
    <row r="22" spans="1:34" ht="18">
      <c r="A22" s="97" t="s">
        <v>13</v>
      </c>
      <c r="B22" s="97" t="s">
        <v>24</v>
      </c>
      <c r="C22" s="188"/>
      <c r="D22" s="188"/>
      <c r="E22" s="467" t="e" cm="1">
        <f t="array" ref="E22">H29H42-H43-H44-H45</f>
        <v>#NAME?</v>
      </c>
      <c r="F22" s="188"/>
      <c r="G22" s="188"/>
      <c r="H22" s="188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212"/>
      <c r="AD22" s="212"/>
      <c r="AE22" s="212"/>
      <c r="AF22" s="212"/>
      <c r="AG22" s="212"/>
      <c r="AH22" s="212"/>
    </row>
    <row r="23" spans="1:34">
      <c r="A23" s="48"/>
      <c r="B23" s="48"/>
      <c r="C23" s="48"/>
      <c r="D23" s="61"/>
      <c r="E23" s="48"/>
      <c r="F23" s="48"/>
      <c r="G23" s="48"/>
      <c r="H23" s="48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4"/>
      <c r="AC23" s="3"/>
      <c r="AD23" s="3"/>
      <c r="AE23" s="3"/>
      <c r="AF23" s="3"/>
      <c r="AG23" s="3"/>
      <c r="AH23" s="3"/>
    </row>
    <row r="24" spans="1:34" ht="14.5">
      <c r="A24" s="48"/>
      <c r="B24" s="206" t="s">
        <v>25</v>
      </c>
      <c r="C24" s="48"/>
      <c r="D24" s="48"/>
      <c r="E24" s="48"/>
      <c r="F24" s="48"/>
      <c r="G24" s="48"/>
      <c r="H24" s="48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4"/>
      <c r="AC24" s="3"/>
      <c r="AD24" s="3"/>
      <c r="AE24" s="3"/>
      <c r="AF24" s="3"/>
      <c r="AG24" s="3"/>
      <c r="AH24" s="3"/>
    </row>
    <row r="25" spans="1:34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34">
      <c r="A26" s="48"/>
      <c r="B26" s="48"/>
      <c r="C26" s="24" t="s">
        <v>26</v>
      </c>
      <c r="D26" s="24"/>
      <c r="E26" s="64" t="s">
        <v>422</v>
      </c>
      <c r="F26" s="64" t="s">
        <v>28</v>
      </c>
      <c r="G26" s="64" t="s">
        <v>29</v>
      </c>
      <c r="H26" s="64"/>
      <c r="I26" s="124"/>
      <c r="J26" s="124"/>
      <c r="K26" s="124"/>
      <c r="L26" s="124"/>
      <c r="M26" s="62"/>
      <c r="N26" s="62"/>
      <c r="O26" s="62"/>
      <c r="P26" s="62"/>
      <c r="Q26" s="62"/>
      <c r="R26" s="62"/>
      <c r="S26" s="62"/>
      <c r="T26" s="228">
        <f>'[1]1.2 FM Inputs Summary'!L11</f>
        <v>559.84330845094973</v>
      </c>
      <c r="U26" s="228">
        <f>'[2]FM Inputs Summary'!H11</f>
        <v>656.06964251899217</v>
      </c>
      <c r="V26" s="228">
        <f>'[2]FM Inputs Summary'!I11</f>
        <v>726.80786712216059</v>
      </c>
      <c r="W26" s="228"/>
      <c r="X26" s="228"/>
      <c r="Y26" s="228"/>
      <c r="Z26" s="228"/>
      <c r="AA26" s="228"/>
      <c r="AB26" s="24"/>
      <c r="AC26" s="3"/>
      <c r="AD26" s="3"/>
      <c r="AE26" s="3"/>
      <c r="AF26" s="3"/>
      <c r="AG26" s="3"/>
      <c r="AH26" s="3"/>
    </row>
    <row r="27" spans="1:34">
      <c r="A27" s="48"/>
      <c r="B27" s="48"/>
      <c r="C27" s="24" t="s">
        <v>30</v>
      </c>
      <c r="D27" s="24"/>
      <c r="E27" s="64" t="s">
        <v>422</v>
      </c>
      <c r="F27" s="64" t="s">
        <v>31</v>
      </c>
      <c r="G27" s="64" t="s">
        <v>29</v>
      </c>
      <c r="H27" s="64"/>
      <c r="I27" s="124"/>
      <c r="J27" s="124"/>
      <c r="K27" s="124"/>
      <c r="L27" s="124"/>
      <c r="M27" s="62"/>
      <c r="N27" s="62"/>
      <c r="O27" s="62"/>
      <c r="P27" s="62"/>
      <c r="Q27" s="62"/>
      <c r="R27" s="62"/>
      <c r="S27" s="62"/>
      <c r="T27" s="228">
        <f>'[1]1.2 FM Inputs Summary'!L12</f>
        <v>14.558099999999996</v>
      </c>
      <c r="U27" s="228">
        <f>'[2]FM Inputs Summary'!H12</f>
        <v>18</v>
      </c>
      <c r="V27" s="228">
        <f>'[2]FM Inputs Summary'!I12</f>
        <v>21</v>
      </c>
      <c r="W27" s="228"/>
      <c r="X27" s="228"/>
      <c r="Y27" s="228"/>
      <c r="Z27" s="228"/>
      <c r="AA27" s="228"/>
      <c r="AB27" s="24"/>
      <c r="AC27" s="3"/>
      <c r="AD27" s="3"/>
      <c r="AE27" s="3"/>
      <c r="AF27" s="3"/>
      <c r="AG27" s="3"/>
      <c r="AH27" s="3"/>
    </row>
    <row r="28" spans="1:34">
      <c r="A28" s="48"/>
      <c r="B28" s="48"/>
      <c r="C28" s="24" t="s">
        <v>32</v>
      </c>
      <c r="D28" s="24"/>
      <c r="E28" s="64" t="s">
        <v>422</v>
      </c>
      <c r="F28" s="64" t="s">
        <v>33</v>
      </c>
      <c r="G28" s="64" t="s">
        <v>29</v>
      </c>
      <c r="H28" s="64"/>
      <c r="I28" s="124"/>
      <c r="J28" s="124"/>
      <c r="K28" s="124"/>
      <c r="L28" s="124"/>
      <c r="M28" s="62"/>
      <c r="N28" s="62"/>
      <c r="O28" s="62"/>
      <c r="P28" s="62"/>
      <c r="Q28" s="62"/>
      <c r="R28" s="62"/>
      <c r="S28" s="62"/>
      <c r="T28" s="228">
        <f>'[1]1.2 FM Inputs Summary'!L13</f>
        <v>5.6569240000000021E-2</v>
      </c>
      <c r="U28" s="228">
        <f>'[2]FM Inputs Summary'!H13</f>
        <v>1.9174018158333324</v>
      </c>
      <c r="V28" s="228">
        <f>'[2]FM Inputs Summary'!I13</f>
        <v>1.1000000000000001</v>
      </c>
      <c r="W28" s="228"/>
      <c r="X28" s="228"/>
      <c r="Y28" s="228"/>
      <c r="Z28" s="228"/>
      <c r="AA28" s="228"/>
      <c r="AB28" s="24"/>
      <c r="AC28" s="3"/>
      <c r="AD28" s="3"/>
      <c r="AE28" s="3"/>
      <c r="AF28" s="3"/>
      <c r="AG28" s="3"/>
      <c r="AH28" s="3"/>
    </row>
    <row r="29" spans="1:34">
      <c r="A29" s="48"/>
      <c r="B29" s="48"/>
      <c r="C29" s="24" t="s">
        <v>34</v>
      </c>
      <c r="D29" s="24"/>
      <c r="E29" s="71" t="s">
        <v>422</v>
      </c>
      <c r="F29" s="64" t="s">
        <v>35</v>
      </c>
      <c r="G29" s="64" t="s">
        <v>29</v>
      </c>
      <c r="H29" s="64"/>
      <c r="I29" s="124"/>
      <c r="J29" s="124"/>
      <c r="K29" s="124"/>
      <c r="L29" s="124"/>
      <c r="M29" s="62"/>
      <c r="N29" s="62"/>
      <c r="O29" s="62"/>
      <c r="P29" s="62"/>
      <c r="Q29" s="62"/>
      <c r="R29" s="62"/>
      <c r="S29" s="62"/>
      <c r="T29" s="228">
        <f>'[1]1.2 FM Inputs Summary'!L14</f>
        <v>41.274294850000004</v>
      </c>
      <c r="U29" s="228">
        <f>'[2]FM Inputs Summary'!$H$14</f>
        <v>26</v>
      </c>
      <c r="V29" s="228">
        <f>'[2]FM Inputs Summary'!$I$14</f>
        <v>28.6</v>
      </c>
      <c r="W29" s="228"/>
      <c r="X29" s="228"/>
      <c r="Y29" s="228"/>
      <c r="Z29" s="228"/>
      <c r="AA29" s="228"/>
      <c r="AB29" s="24"/>
      <c r="AC29" s="3"/>
      <c r="AD29" s="3"/>
      <c r="AE29" s="3"/>
      <c r="AF29" s="3"/>
      <c r="AG29" s="3"/>
      <c r="AH29" s="3"/>
    </row>
    <row r="30" spans="1:34">
      <c r="A30" s="48"/>
      <c r="B30" s="48"/>
      <c r="C30" s="24" t="s">
        <v>36</v>
      </c>
      <c r="D30" s="24"/>
      <c r="E30" s="71" t="s">
        <v>422</v>
      </c>
      <c r="F30" s="64" t="s">
        <v>37</v>
      </c>
      <c r="G30" s="64" t="s">
        <v>29</v>
      </c>
      <c r="H30" s="64"/>
      <c r="I30" s="124"/>
      <c r="J30" s="124"/>
      <c r="K30" s="124"/>
      <c r="L30" s="124"/>
      <c r="M30" s="62"/>
      <c r="N30" s="62"/>
      <c r="O30" s="62"/>
      <c r="P30" s="62"/>
      <c r="Q30" s="62"/>
      <c r="R30" s="62"/>
      <c r="S30" s="62"/>
      <c r="T30" s="228">
        <f>'[1]1.2 FM Inputs Summary'!L15</f>
        <v>0</v>
      </c>
      <c r="U30" s="228">
        <f>'[2]FM Inputs Summary'!H15</f>
        <v>0</v>
      </c>
      <c r="V30" s="228">
        <f>'[2]FM Inputs Summary'!I15</f>
        <v>0</v>
      </c>
      <c r="W30" s="228"/>
      <c r="X30" s="228"/>
      <c r="Y30" s="228"/>
      <c r="Z30" s="228"/>
      <c r="AA30" s="228"/>
      <c r="AB30" s="24"/>
      <c r="AC30" s="3"/>
      <c r="AD30" s="3"/>
      <c r="AE30" s="3"/>
      <c r="AF30" s="3"/>
      <c r="AG30" s="3"/>
      <c r="AH30" s="3"/>
    </row>
    <row r="31" spans="1:34">
      <c r="A31" s="48"/>
      <c r="B31" s="48"/>
      <c r="C31" s="24" t="s">
        <v>38</v>
      </c>
      <c r="D31" s="24"/>
      <c r="E31" s="71" t="s">
        <v>422</v>
      </c>
      <c r="F31" s="64" t="s">
        <v>39</v>
      </c>
      <c r="G31" s="64" t="s">
        <v>29</v>
      </c>
      <c r="H31" s="64"/>
      <c r="I31" s="124"/>
      <c r="J31" s="124"/>
      <c r="K31" s="124"/>
      <c r="L31" s="124"/>
      <c r="M31" s="62"/>
      <c r="N31" s="62"/>
      <c r="O31" s="62"/>
      <c r="P31" s="62"/>
      <c r="Q31" s="62"/>
      <c r="R31" s="62"/>
      <c r="S31" s="62"/>
      <c r="T31" s="228">
        <f>'[1]1.2 FM Inputs Summary'!L16</f>
        <v>-12.343158683408276</v>
      </c>
      <c r="U31" s="228">
        <f>'[2]FM Inputs Summary'!H16</f>
        <v>-12.444315393520917</v>
      </c>
      <c r="V31" s="228">
        <f>'[2]FM Inputs Summary'!I16</f>
        <v>-16</v>
      </c>
      <c r="W31" s="228"/>
      <c r="X31" s="228"/>
      <c r="Y31" s="228"/>
      <c r="Z31" s="228"/>
      <c r="AA31" s="228"/>
      <c r="AB31" s="24"/>
      <c r="AC31" s="3"/>
      <c r="AD31" s="3"/>
      <c r="AE31" s="3"/>
      <c r="AF31" s="3"/>
      <c r="AG31" s="3"/>
      <c r="AH31" s="3"/>
    </row>
    <row r="32" spans="1:34">
      <c r="A32" s="48"/>
      <c r="B32" s="48"/>
      <c r="C32" s="24" t="s">
        <v>40</v>
      </c>
      <c r="D32" s="24"/>
      <c r="E32" s="71" t="s">
        <v>422</v>
      </c>
      <c r="F32" s="98" t="s">
        <v>41</v>
      </c>
      <c r="G32" s="64" t="s">
        <v>29</v>
      </c>
      <c r="H32" s="64"/>
      <c r="I32" s="124"/>
      <c r="J32" s="124"/>
      <c r="K32" s="124"/>
      <c r="L32" s="124"/>
      <c r="M32" s="62"/>
      <c r="N32" s="62"/>
      <c r="O32" s="62"/>
      <c r="P32" s="62"/>
      <c r="Q32" s="62"/>
      <c r="R32" s="62"/>
      <c r="S32" s="62"/>
      <c r="T32" s="228">
        <f>'[1]1.2 FM Inputs Summary'!L17</f>
        <v>7.3677259999999967E-2</v>
      </c>
      <c r="U32" s="228">
        <f>'[2]FM Inputs Summary'!H17</f>
        <v>0.15164254000000002</v>
      </c>
      <c r="V32" s="228">
        <f>'[2]FM Inputs Summary'!I17</f>
        <v>0.15770824160000002</v>
      </c>
      <c r="W32" s="228"/>
      <c r="X32" s="228"/>
      <c r="Y32" s="228"/>
      <c r="Z32" s="228"/>
      <c r="AA32" s="228"/>
      <c r="AB32" s="24"/>
      <c r="AC32" s="3"/>
      <c r="AD32" s="3"/>
      <c r="AE32" s="3"/>
      <c r="AF32" s="3"/>
      <c r="AG32" s="3"/>
      <c r="AH32" s="3"/>
    </row>
    <row r="33" spans="1:34">
      <c r="A33" s="48"/>
      <c r="B33" s="48"/>
      <c r="C33" s="24" t="s">
        <v>42</v>
      </c>
      <c r="D33" s="24"/>
      <c r="E33" s="64" t="s">
        <v>422</v>
      </c>
      <c r="F33" s="64" t="s">
        <v>43</v>
      </c>
      <c r="G33" s="64" t="s">
        <v>29</v>
      </c>
      <c r="H33" s="64"/>
      <c r="I33" s="124"/>
      <c r="J33" s="124"/>
      <c r="K33" s="124"/>
      <c r="L33" s="124"/>
      <c r="M33" s="62"/>
      <c r="N33" s="62"/>
      <c r="O33" s="62"/>
      <c r="P33" s="62"/>
      <c r="Q33" s="62"/>
      <c r="R33" s="62"/>
      <c r="S33" s="62"/>
      <c r="T33" s="228">
        <f>'[1]1.2 FM Inputs Summary'!L18</f>
        <v>0</v>
      </c>
      <c r="U33" s="228">
        <f>'[2]FM Inputs Summary'!H18</f>
        <v>0</v>
      </c>
      <c r="V33" s="228">
        <f>'[2]FM Inputs Summary'!I18</f>
        <v>0</v>
      </c>
      <c r="W33" s="228"/>
      <c r="X33" s="228"/>
      <c r="Y33" s="228"/>
      <c r="Z33" s="228"/>
      <c r="AA33" s="228"/>
      <c r="AB33" s="24"/>
      <c r="AC33" s="3"/>
      <c r="AD33" s="3"/>
      <c r="AE33" s="3"/>
      <c r="AF33" s="3"/>
      <c r="AG33" s="3"/>
      <c r="AH33" s="3"/>
    </row>
    <row r="34" spans="1:34">
      <c r="A34" s="48"/>
      <c r="B34" s="48"/>
      <c r="C34" s="24" t="s">
        <v>44</v>
      </c>
      <c r="D34" s="24"/>
      <c r="E34" s="64" t="s">
        <v>45</v>
      </c>
      <c r="F34" s="64" t="s">
        <v>46</v>
      </c>
      <c r="G34" s="64" t="s">
        <v>29</v>
      </c>
      <c r="H34" s="64"/>
      <c r="I34" s="124"/>
      <c r="J34" s="124"/>
      <c r="K34" s="124"/>
      <c r="L34" s="124"/>
      <c r="M34" s="62"/>
      <c r="N34" s="62"/>
      <c r="O34" s="62"/>
      <c r="P34" s="62"/>
      <c r="Q34" s="62"/>
      <c r="R34" s="62"/>
      <c r="S34" s="62"/>
      <c r="T34" s="228">
        <f>'[3]Live results'!$T$16</f>
        <v>-107.82411092957645</v>
      </c>
      <c r="U34" s="228"/>
      <c r="V34" s="228">
        <f t="shared" ref="V34" si="4">U34*1.03</f>
        <v>0</v>
      </c>
      <c r="W34" s="228"/>
      <c r="X34" s="228"/>
      <c r="Y34" s="228"/>
      <c r="Z34" s="228"/>
      <c r="AA34" s="228"/>
      <c r="AB34" s="24"/>
      <c r="AC34" s="3"/>
      <c r="AD34" s="3"/>
      <c r="AE34" s="3"/>
      <c r="AF34" s="3"/>
      <c r="AG34" s="3"/>
      <c r="AH34" s="3"/>
    </row>
    <row r="35" spans="1:34">
      <c r="A35" s="48"/>
      <c r="B35" s="48"/>
      <c r="C35" s="48"/>
      <c r="D35" s="48"/>
      <c r="E35" s="48"/>
      <c r="F35" s="48"/>
      <c r="G35" s="48"/>
      <c r="H35" s="48"/>
      <c r="I35" s="25"/>
      <c r="J35" s="25"/>
      <c r="K35" s="25"/>
      <c r="L35" s="25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24"/>
      <c r="AC35" s="3"/>
      <c r="AD35" s="3"/>
      <c r="AE35" s="3"/>
      <c r="AF35" s="3"/>
      <c r="AG35" s="3"/>
      <c r="AH35" s="3"/>
    </row>
    <row r="36" spans="1:34">
      <c r="A36" s="48"/>
      <c r="B36" s="48"/>
      <c r="C36" s="48" t="s">
        <v>47</v>
      </c>
      <c r="D36" s="48"/>
      <c r="E36" s="48" t="s">
        <v>48</v>
      </c>
      <c r="F36" s="48" t="s">
        <v>49</v>
      </c>
      <c r="G36" s="64" t="s">
        <v>29</v>
      </c>
      <c r="H36" s="48"/>
      <c r="I36" s="228">
        <v>595.63459122061943</v>
      </c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3"/>
      <c r="AD36" s="3"/>
      <c r="AE36" s="3"/>
      <c r="AF36" s="3"/>
      <c r="AG36" s="3"/>
      <c r="AH36" s="3"/>
    </row>
    <row r="37" spans="1:34">
      <c r="A37"/>
      <c r="B37"/>
      <c r="C37"/>
      <c r="D37"/>
      <c r="E37"/>
      <c r="F37"/>
      <c r="G37"/>
      <c r="H37"/>
    </row>
    <row r="38" spans="1:34" ht="18">
      <c r="A38" s="97" t="s">
        <v>13</v>
      </c>
      <c r="B38" s="97" t="s">
        <v>50</v>
      </c>
      <c r="C38" s="188"/>
      <c r="D38" s="188"/>
      <c r="E38" s="188"/>
      <c r="F38" s="188"/>
      <c r="G38" s="188"/>
      <c r="H38" s="188"/>
      <c r="I38" s="45"/>
      <c r="J38" s="45"/>
      <c r="K38" s="45"/>
      <c r="L38" s="45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211"/>
      <c r="AC38" s="212"/>
      <c r="AD38" s="212"/>
      <c r="AE38" s="212"/>
      <c r="AF38" s="212"/>
      <c r="AG38" s="212"/>
      <c r="AH38" s="212"/>
    </row>
    <row r="39" spans="1:34">
      <c r="A39" s="48"/>
      <c r="B39" s="48"/>
      <c r="C39" s="48"/>
      <c r="D39" s="48"/>
      <c r="E39" s="48"/>
      <c r="F39" s="48"/>
      <c r="G39" s="48"/>
      <c r="H39" s="48"/>
      <c r="I39" s="25"/>
      <c r="J39" s="25"/>
      <c r="K39" s="25"/>
      <c r="L39" s="25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24"/>
      <c r="AC39" s="3"/>
      <c r="AD39" s="3"/>
      <c r="AE39" s="3"/>
      <c r="AF39" s="3"/>
      <c r="AG39" s="3"/>
      <c r="AH39" s="3"/>
    </row>
    <row r="40" spans="1:34" ht="14.5">
      <c r="A40" s="48"/>
      <c r="B40" s="206" t="s">
        <v>51</v>
      </c>
      <c r="C40" s="48"/>
      <c r="D40" s="48"/>
      <c r="E40" s="48"/>
      <c r="F40" s="48"/>
      <c r="G40" s="48"/>
      <c r="H40" s="48"/>
      <c r="I40" s="25"/>
      <c r="J40" s="25"/>
      <c r="K40" s="25"/>
      <c r="L40" s="25"/>
      <c r="M40" s="117"/>
      <c r="N40" s="117"/>
      <c r="O40" s="117"/>
      <c r="P40" s="24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24"/>
      <c r="AC40" s="3"/>
      <c r="AD40" s="3"/>
      <c r="AE40" s="3"/>
      <c r="AF40" s="3"/>
      <c r="AG40" s="3"/>
      <c r="AH40" s="3"/>
    </row>
    <row r="41" spans="1:34">
      <c r="A41" s="48"/>
      <c r="B41" s="48"/>
      <c r="C41" s="48"/>
      <c r="D41" s="48"/>
      <c r="E41" s="48"/>
      <c r="F41" s="48"/>
      <c r="G41" s="48"/>
      <c r="H41" s="48"/>
      <c r="I41" s="25"/>
      <c r="J41" s="25"/>
      <c r="K41" s="25"/>
      <c r="L41" s="25"/>
      <c r="M41" s="117"/>
      <c r="N41" s="117"/>
      <c r="O41" s="117"/>
      <c r="P41" s="24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24"/>
      <c r="AC41" s="3"/>
      <c r="AD41" s="3"/>
      <c r="AE41" s="3"/>
      <c r="AF41" s="3"/>
      <c r="AG41" s="3"/>
      <c r="AH41" s="3"/>
    </row>
    <row r="42" spans="1:34" ht="14.5">
      <c r="A42" s="48"/>
      <c r="B42" s="60"/>
      <c r="C42" s="64" t="s">
        <v>52</v>
      </c>
      <c r="D42" s="48"/>
      <c r="E42" s="48" t="s">
        <v>53</v>
      </c>
      <c r="F42" s="144"/>
      <c r="G42" s="144" t="str">
        <f>Inputs!G$43</f>
        <v>% annual, real</v>
      </c>
      <c r="H42" s="64"/>
      <c r="I42" s="473">
        <f>[4]SystemOperator!$AS$106</f>
        <v>5.6770825600000005E-2</v>
      </c>
      <c r="J42" s="135"/>
      <c r="K42" s="135"/>
      <c r="L42" s="135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5"/>
    </row>
    <row r="43" spans="1:34">
      <c r="A43" s="48"/>
      <c r="B43" s="48"/>
      <c r="C43" s="64" t="s">
        <v>54</v>
      </c>
      <c r="D43" s="48"/>
      <c r="E43" s="48" t="s">
        <v>55</v>
      </c>
      <c r="F43" s="48" t="s">
        <v>56</v>
      </c>
      <c r="G43" s="48" t="s">
        <v>57</v>
      </c>
      <c r="H43" s="48"/>
      <c r="I43" s="234">
        <v>3.5000000000000003E-2</v>
      </c>
      <c r="J43" s="25"/>
      <c r="K43" s="25"/>
      <c r="L43" s="25"/>
      <c r="M43" s="117"/>
      <c r="N43" s="117"/>
      <c r="O43" s="117"/>
      <c r="P43" s="24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24"/>
      <c r="AC43" s="3"/>
      <c r="AD43" s="3"/>
      <c r="AE43" s="3"/>
      <c r="AF43" s="3"/>
      <c r="AG43" s="3"/>
      <c r="AH43" s="3"/>
    </row>
    <row r="44" spans="1:34">
      <c r="A44" s="48"/>
      <c r="B44" s="48"/>
      <c r="C44" s="48"/>
      <c r="D44" s="48"/>
      <c r="E44" s="48"/>
      <c r="F44" s="48"/>
      <c r="G44" s="48"/>
      <c r="H44" s="48"/>
      <c r="I44" s="25"/>
      <c r="J44" s="25"/>
      <c r="K44" s="25"/>
      <c r="L44" s="25"/>
      <c r="M44" s="117"/>
      <c r="N44" s="117"/>
      <c r="O44" s="173"/>
      <c r="P44" s="24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24"/>
      <c r="AC44" s="3"/>
      <c r="AD44" s="3"/>
      <c r="AE44" s="3"/>
      <c r="AF44" s="3"/>
      <c r="AG44" s="3"/>
      <c r="AH44" s="3"/>
    </row>
    <row r="45" spans="1:34">
      <c r="A45" s="48"/>
      <c r="B45" s="48"/>
      <c r="C45" s="48" t="s">
        <v>58</v>
      </c>
      <c r="D45" s="48"/>
      <c r="E45" s="48" t="s">
        <v>48</v>
      </c>
      <c r="F45" s="48"/>
      <c r="G45" s="48" t="s">
        <v>59</v>
      </c>
      <c r="H45" s="48"/>
      <c r="I45" s="228">
        <v>7</v>
      </c>
      <c r="J45" s="25"/>
      <c r="K45" s="25"/>
      <c r="L45" s="25"/>
      <c r="M45" s="174"/>
      <c r="N45" s="174"/>
      <c r="O45" s="175"/>
      <c r="P45" s="2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24"/>
      <c r="AC45" s="3"/>
      <c r="AD45" s="3"/>
      <c r="AE45" s="3"/>
      <c r="AF45" s="3"/>
      <c r="AG45" s="3"/>
      <c r="AH45" s="3"/>
    </row>
    <row r="46" spans="1:34">
      <c r="A46" s="48"/>
      <c r="B46" s="48"/>
      <c r="C46" s="48"/>
      <c r="D46" s="48"/>
      <c r="E46" s="48"/>
      <c r="F46" s="48"/>
      <c r="G46" s="48"/>
      <c r="H46" s="48"/>
      <c r="I46" s="176"/>
      <c r="J46" s="25"/>
      <c r="K46" s="25"/>
      <c r="L46" s="25"/>
      <c r="M46" s="174"/>
      <c r="N46" s="174"/>
      <c r="O46" s="174"/>
      <c r="P46" s="2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24"/>
      <c r="AC46" s="3"/>
      <c r="AD46" s="3"/>
      <c r="AE46" s="3"/>
      <c r="AF46" s="3"/>
      <c r="AG46" s="3"/>
      <c r="AH46" s="3"/>
    </row>
    <row r="47" spans="1:34">
      <c r="A47" s="48"/>
      <c r="B47" s="48"/>
      <c r="C47" s="51" t="s">
        <v>60</v>
      </c>
      <c r="D47" s="48"/>
      <c r="E47" s="48"/>
      <c r="F47" s="48"/>
      <c r="G47" s="48"/>
      <c r="H47" s="48"/>
      <c r="I47" s="25"/>
      <c r="J47" s="25"/>
      <c r="K47" s="25"/>
      <c r="L47" s="25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24"/>
      <c r="AC47" s="3"/>
      <c r="AD47" s="3"/>
      <c r="AE47" s="3"/>
      <c r="AF47" s="3"/>
      <c r="AG47" s="3"/>
      <c r="AH47" s="3"/>
    </row>
    <row r="48" spans="1:34">
      <c r="A48" s="48"/>
      <c r="B48" s="48"/>
      <c r="C48" s="48"/>
      <c r="D48" s="195" t="s">
        <v>61</v>
      </c>
      <c r="E48" s="195" t="s">
        <v>48</v>
      </c>
      <c r="F48" s="195"/>
      <c r="G48" s="195" t="s">
        <v>59</v>
      </c>
      <c r="H48" s="195"/>
      <c r="I48" s="225">
        <v>20</v>
      </c>
      <c r="J48" s="25"/>
      <c r="K48" s="25"/>
      <c r="L48" s="25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24"/>
      <c r="AC48" s="3"/>
      <c r="AD48" s="3"/>
      <c r="AE48" s="3"/>
      <c r="AF48" s="3"/>
      <c r="AG48" s="3"/>
      <c r="AH48" s="3"/>
    </row>
    <row r="49" spans="1:34">
      <c r="A49" s="48"/>
      <c r="B49" s="48"/>
      <c r="C49" s="48"/>
      <c r="D49" s="67" t="s">
        <v>62</v>
      </c>
      <c r="E49" s="67" t="s">
        <v>63</v>
      </c>
      <c r="F49" s="67"/>
      <c r="G49" s="67" t="s">
        <v>59</v>
      </c>
      <c r="H49" s="67"/>
      <c r="I49" s="230">
        <v>7</v>
      </c>
      <c r="J49" s="25"/>
      <c r="K49" s="25"/>
      <c r="L49" s="25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24"/>
      <c r="AC49" s="3"/>
      <c r="AD49" s="3"/>
      <c r="AE49" s="3"/>
      <c r="AF49" s="3"/>
      <c r="AG49" s="3"/>
      <c r="AH49" s="3"/>
    </row>
    <row r="50" spans="1:34">
      <c r="A50" s="48"/>
      <c r="B50" s="48"/>
      <c r="C50" s="48"/>
      <c r="D50" s="48"/>
      <c r="E50" s="48"/>
      <c r="F50" s="48"/>
      <c r="G50" s="48"/>
      <c r="H50" s="48"/>
      <c r="I50" s="176"/>
      <c r="J50" s="25"/>
      <c r="K50" s="25"/>
      <c r="L50" s="25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24"/>
      <c r="AC50" s="3"/>
      <c r="AD50" s="3"/>
      <c r="AE50" s="3"/>
      <c r="AF50" s="3"/>
      <c r="AG50" s="3"/>
      <c r="AH50" s="3"/>
    </row>
    <row r="51" spans="1:34">
      <c r="A51" s="48"/>
      <c r="B51" s="48"/>
      <c r="C51" s="48" t="s">
        <v>64</v>
      </c>
      <c r="D51" s="48"/>
      <c r="E51" s="64" t="s">
        <v>45</v>
      </c>
      <c r="F51" s="48" t="s">
        <v>65</v>
      </c>
      <c r="G51" s="48" t="s">
        <v>29</v>
      </c>
      <c r="H51" s="48"/>
      <c r="I51" s="228">
        <f>'[3]Live results'!$I$18</f>
        <v>-80.596486760546384</v>
      </c>
      <c r="J51" s="25"/>
      <c r="K51" s="25"/>
      <c r="L51" s="25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24"/>
      <c r="AC51" s="3"/>
      <c r="AD51" s="3"/>
      <c r="AE51" s="3"/>
      <c r="AF51" s="3"/>
      <c r="AG51" s="3"/>
      <c r="AH51" s="3"/>
    </row>
    <row r="52" spans="1:34">
      <c r="A52" s="48"/>
      <c r="B52" s="48"/>
      <c r="C52" s="48"/>
      <c r="D52" s="48"/>
      <c r="E52" s="48"/>
      <c r="F52" s="48"/>
      <c r="G52" s="48"/>
      <c r="H52" s="48"/>
      <c r="I52" s="25"/>
      <c r="J52" s="25"/>
      <c r="K52" s="25"/>
      <c r="L52" s="25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24"/>
      <c r="AC52" s="3"/>
      <c r="AD52" s="3"/>
      <c r="AE52" s="3"/>
      <c r="AF52" s="3"/>
      <c r="AG52" s="3"/>
      <c r="AH52" s="3"/>
    </row>
    <row r="53" spans="1:34">
      <c r="A53" s="48"/>
      <c r="B53" s="48"/>
      <c r="C53" s="48" t="s">
        <v>66</v>
      </c>
      <c r="D53" s="48"/>
      <c r="E53" s="48" t="s">
        <v>53</v>
      </c>
      <c r="F53" s="64"/>
      <c r="G53" s="48" t="s">
        <v>67</v>
      </c>
      <c r="H53" s="48"/>
      <c r="I53" s="25"/>
      <c r="J53" s="25"/>
      <c r="K53" s="25"/>
      <c r="L53" s="25" t="s">
        <v>68</v>
      </c>
      <c r="M53" s="228">
        <v>51.202754284834377</v>
      </c>
      <c r="N53" s="228">
        <v>60.288958800578214</v>
      </c>
      <c r="O53" s="228">
        <v>54.918379557716989</v>
      </c>
      <c r="P53" s="228">
        <v>53.789966850148303</v>
      </c>
      <c r="Q53" s="228">
        <v>89.636487606780619</v>
      </c>
      <c r="R53" s="228">
        <v>85.980683991483914</v>
      </c>
      <c r="S53" s="228">
        <f>[5]SystemOperator!$I$416</f>
        <v>110.35731323183926</v>
      </c>
      <c r="T53" s="62"/>
      <c r="U53" s="62"/>
      <c r="V53" s="62"/>
      <c r="W53" s="62"/>
      <c r="X53" s="62"/>
      <c r="Y53" s="62"/>
      <c r="Z53" s="62"/>
      <c r="AA53" s="62"/>
      <c r="AB53" s="24"/>
      <c r="AC53" s="3"/>
      <c r="AD53" s="3"/>
      <c r="AE53" s="3"/>
      <c r="AF53" s="3"/>
      <c r="AG53" s="3"/>
      <c r="AH53" s="3"/>
    </row>
    <row r="54" spans="1:34">
      <c r="A54" s="48"/>
      <c r="B54" s="48"/>
      <c r="C54" s="48" t="s">
        <v>69</v>
      </c>
      <c r="D54" s="134"/>
      <c r="E54" s="48" t="s">
        <v>48</v>
      </c>
      <c r="F54" s="64"/>
      <c r="G54" s="48" t="s">
        <v>67</v>
      </c>
      <c r="H54" s="134"/>
      <c r="I54" s="228">
        <v>18.972999999999999</v>
      </c>
      <c r="J54" s="177"/>
      <c r="K54" s="177"/>
      <c r="L54" s="177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36"/>
    </row>
    <row r="55" spans="1:34">
      <c r="A55" s="48"/>
      <c r="B55" s="48"/>
      <c r="C55" s="48"/>
      <c r="D55" s="48"/>
      <c r="E55" s="48"/>
      <c r="F55" s="48"/>
      <c r="G55" s="48"/>
      <c r="H55" s="48"/>
      <c r="I55" s="25"/>
      <c r="J55" s="25"/>
      <c r="K55" s="25"/>
      <c r="L55" s="25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24"/>
      <c r="AC55" s="3"/>
      <c r="AD55" s="3"/>
      <c r="AE55" s="3"/>
      <c r="AF55" s="3"/>
      <c r="AG55" s="3"/>
      <c r="AH55" s="3"/>
    </row>
    <row r="56" spans="1:34">
      <c r="A56" s="48"/>
      <c r="B56" s="48"/>
      <c r="C56" s="48" t="s">
        <v>70</v>
      </c>
      <c r="D56" s="48"/>
      <c r="E56" s="48" t="s">
        <v>48</v>
      </c>
      <c r="F56" s="48"/>
      <c r="G56" s="64" t="s">
        <v>67</v>
      </c>
      <c r="H56" s="48"/>
      <c r="I56" s="228">
        <v>73.936228900707562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3"/>
      <c r="AD56" s="3"/>
      <c r="AE56" s="3"/>
      <c r="AF56" s="3"/>
      <c r="AG56" s="3"/>
      <c r="AH56" s="3"/>
    </row>
    <row r="57" spans="1:34">
      <c r="A57" s="48"/>
      <c r="B57" s="48"/>
      <c r="C57" s="48" t="s">
        <v>71</v>
      </c>
      <c r="D57" s="48"/>
      <c r="E57" s="48" t="s">
        <v>48</v>
      </c>
      <c r="F57" s="48"/>
      <c r="G57" s="64" t="s">
        <v>67</v>
      </c>
      <c r="H57" s="48"/>
      <c r="I57" s="228">
        <v>20.634455807348271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3"/>
      <c r="AD57" s="3"/>
      <c r="AE57" s="3"/>
      <c r="AF57" s="3"/>
      <c r="AG57" s="3"/>
      <c r="AH57" s="3"/>
    </row>
    <row r="58" spans="1:34">
      <c r="A58" s="48"/>
      <c r="B58" s="48"/>
      <c r="C58" s="48"/>
      <c r="D58" s="48"/>
      <c r="E58" s="48"/>
      <c r="F58" s="48"/>
      <c r="G58" s="48"/>
      <c r="H58" s="48"/>
      <c r="I58" s="25"/>
      <c r="J58" s="25"/>
      <c r="K58" s="25"/>
      <c r="L58" s="25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24"/>
      <c r="AC58" s="3"/>
      <c r="AD58" s="3"/>
      <c r="AE58" s="3"/>
      <c r="AF58" s="3"/>
      <c r="AG58" s="3"/>
      <c r="AH58" s="3"/>
    </row>
    <row r="59" spans="1:34" ht="18">
      <c r="A59" s="97" t="s">
        <v>13</v>
      </c>
      <c r="B59" s="97" t="s">
        <v>72</v>
      </c>
      <c r="C59" s="188"/>
      <c r="D59" s="188"/>
      <c r="E59" s="188"/>
      <c r="F59" s="188"/>
      <c r="G59" s="188"/>
      <c r="H59" s="188"/>
      <c r="I59" s="45"/>
      <c r="J59" s="45"/>
      <c r="K59" s="45"/>
      <c r="L59" s="45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211"/>
      <c r="AC59" s="3"/>
      <c r="AD59" s="3"/>
      <c r="AE59" s="3"/>
      <c r="AF59" s="3"/>
      <c r="AG59" s="3"/>
      <c r="AH59" s="3"/>
    </row>
    <row r="60" spans="1:34">
      <c r="A60" s="48"/>
      <c r="B60" s="48"/>
      <c r="C60" s="48"/>
      <c r="D60" s="48"/>
      <c r="E60" s="48"/>
      <c r="F60" s="48"/>
      <c r="G60" s="48"/>
      <c r="H60" s="48"/>
      <c r="I60" s="25"/>
      <c r="J60" s="25"/>
      <c r="K60" s="25"/>
      <c r="L60" s="25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24"/>
      <c r="AC60" s="3"/>
      <c r="AD60" s="3"/>
      <c r="AE60" s="3"/>
      <c r="AF60" s="3"/>
      <c r="AG60" s="3"/>
      <c r="AH60" s="3"/>
    </row>
    <row r="61" spans="1:34" ht="14.5">
      <c r="A61" s="48"/>
      <c r="B61" s="206" t="s">
        <v>73</v>
      </c>
      <c r="C61" s="48"/>
      <c r="D61" s="48"/>
      <c r="E61" s="48"/>
      <c r="F61" s="48"/>
      <c r="G61" s="48"/>
      <c r="H61" s="48"/>
      <c r="I61" s="25"/>
      <c r="J61" s="25"/>
      <c r="K61" s="25"/>
      <c r="L61" s="25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24"/>
      <c r="AC61" s="3"/>
      <c r="AD61" s="3"/>
      <c r="AE61" s="3"/>
      <c r="AF61" s="3"/>
      <c r="AG61" s="3"/>
      <c r="AH61" s="3"/>
    </row>
    <row r="62" spans="1:34">
      <c r="A62" s="48"/>
      <c r="B62" s="48"/>
      <c r="C62" s="48"/>
      <c r="D62" s="48"/>
      <c r="E62" s="48"/>
      <c r="F62" s="48"/>
      <c r="G62" s="48"/>
      <c r="H62" s="48"/>
      <c r="I62" s="25"/>
      <c r="J62" s="25"/>
      <c r="K62" s="25"/>
      <c r="L62" s="25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24"/>
      <c r="AC62" s="3"/>
      <c r="AD62" s="3"/>
      <c r="AE62" s="3"/>
      <c r="AF62" s="3"/>
      <c r="AG62" s="3"/>
      <c r="AH62" s="3"/>
    </row>
    <row r="63" spans="1:34">
      <c r="A63" s="48"/>
      <c r="B63" s="48"/>
      <c r="C63" s="48" t="s">
        <v>74</v>
      </c>
      <c r="D63" s="48"/>
      <c r="E63" s="179"/>
      <c r="F63" s="48"/>
      <c r="G63" s="48" t="s">
        <v>59</v>
      </c>
      <c r="H63" s="48"/>
      <c r="I63" s="233">
        <v>2</v>
      </c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72"/>
      <c r="U63" s="72"/>
      <c r="V63" s="72"/>
      <c r="W63" s="72"/>
      <c r="X63" s="72"/>
      <c r="Y63" s="72"/>
      <c r="Z63" s="72"/>
      <c r="AA63" s="72"/>
      <c r="AB63" s="24"/>
      <c r="AC63" s="3"/>
      <c r="AD63" s="3"/>
      <c r="AE63" s="3"/>
      <c r="AF63" s="3"/>
      <c r="AG63" s="3"/>
      <c r="AH63" s="3"/>
    </row>
    <row r="64" spans="1:3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34">
      <c r="A65" s="48"/>
      <c r="B65" s="48"/>
      <c r="C65" s="48" t="s">
        <v>75</v>
      </c>
      <c r="D65" s="48"/>
      <c r="E65" s="48" t="s">
        <v>422</v>
      </c>
      <c r="F65" s="48" t="s">
        <v>76</v>
      </c>
      <c r="G65" s="48" t="s">
        <v>29</v>
      </c>
      <c r="H65" s="48"/>
      <c r="I65" s="25"/>
      <c r="J65" s="25"/>
      <c r="K65" s="25"/>
      <c r="L65" s="25"/>
      <c r="M65" s="180"/>
      <c r="N65" s="180"/>
      <c r="O65" s="180"/>
      <c r="P65" s="180"/>
      <c r="Q65" s="180"/>
      <c r="R65" s="180"/>
      <c r="S65" s="180"/>
      <c r="T65" s="228">
        <f>'[1]1.2 FM Inputs Summary'!$L$22</f>
        <v>2813.2099233076469</v>
      </c>
      <c r="U65" s="228"/>
      <c r="V65" s="228"/>
      <c r="W65" s="228"/>
      <c r="X65" s="228"/>
      <c r="Y65" s="228"/>
      <c r="Z65" s="228"/>
      <c r="AA65" s="228"/>
      <c r="AB65" s="24"/>
      <c r="AC65" s="3"/>
      <c r="AD65" s="3"/>
      <c r="AE65" s="3"/>
      <c r="AF65" s="3"/>
      <c r="AG65" s="3"/>
      <c r="AH65" s="3"/>
    </row>
    <row r="66" spans="1:34">
      <c r="A66" s="48"/>
      <c r="B66" s="48"/>
      <c r="C66" s="48"/>
      <c r="D66" s="48"/>
      <c r="E66" s="48"/>
      <c r="F66" s="48"/>
      <c r="G66" s="48"/>
      <c r="H66" s="48"/>
      <c r="I66" s="25"/>
      <c r="J66" s="25"/>
      <c r="K66" s="25"/>
      <c r="L66" s="25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24"/>
      <c r="AC66" s="3"/>
      <c r="AD66" s="3"/>
      <c r="AE66" s="3"/>
      <c r="AF66" s="3"/>
      <c r="AG66" s="3"/>
      <c r="AH66" s="3"/>
    </row>
    <row r="67" spans="1:34">
      <c r="A67" s="48"/>
      <c r="B67" s="48"/>
      <c r="C67" s="24" t="s">
        <v>77</v>
      </c>
      <c r="D67" s="64"/>
      <c r="E67" s="64" t="s">
        <v>422</v>
      </c>
      <c r="F67" s="64" t="s">
        <v>78</v>
      </c>
      <c r="G67" s="64" t="s">
        <v>29</v>
      </c>
      <c r="H67" s="64"/>
      <c r="I67" s="124"/>
      <c r="J67" s="124"/>
      <c r="K67" s="124"/>
      <c r="L67" s="124"/>
      <c r="M67" s="62"/>
      <c r="N67" s="62"/>
      <c r="O67" s="62"/>
      <c r="P67" s="62"/>
      <c r="Q67" s="62"/>
      <c r="R67" s="62"/>
      <c r="S67" s="181"/>
      <c r="T67" s="228">
        <f>'[1]1.2 FM Inputs Summary'!$L$23</f>
        <v>2711.1606948029371</v>
      </c>
      <c r="U67" s="228"/>
      <c r="V67" s="228"/>
      <c r="W67" s="228"/>
      <c r="X67" s="228"/>
      <c r="Y67" s="228"/>
      <c r="Z67" s="228"/>
      <c r="AA67" s="228"/>
      <c r="AB67" s="24"/>
      <c r="AC67" s="3"/>
      <c r="AD67" s="3"/>
      <c r="AE67" s="3"/>
      <c r="AF67" s="3"/>
      <c r="AG67" s="3"/>
      <c r="AH67" s="3"/>
    </row>
    <row r="68" spans="1:34">
      <c r="A68" s="48"/>
      <c r="B68" s="48"/>
      <c r="C68" s="24" t="s">
        <v>79</v>
      </c>
      <c r="D68" s="64"/>
      <c r="E68" s="64" t="s">
        <v>422</v>
      </c>
      <c r="F68" s="64" t="s">
        <v>80</v>
      </c>
      <c r="G68" s="64" t="s">
        <v>29</v>
      </c>
      <c r="H68" s="64"/>
      <c r="I68" s="124"/>
      <c r="J68" s="124"/>
      <c r="K68" s="124"/>
      <c r="L68" s="124"/>
      <c r="M68" s="62"/>
      <c r="N68" s="62"/>
      <c r="O68" s="62"/>
      <c r="P68" s="62"/>
      <c r="Q68" s="62"/>
      <c r="R68" s="62"/>
      <c r="S68" s="181"/>
      <c r="T68" s="228">
        <f>'[1]1.2 FM Inputs Summary'!$L$24</f>
        <v>0</v>
      </c>
      <c r="U68" s="228"/>
      <c r="V68" s="228"/>
      <c r="W68" s="228"/>
      <c r="X68" s="228"/>
      <c r="Y68" s="228"/>
      <c r="Z68" s="228"/>
      <c r="AA68" s="228"/>
      <c r="AB68" s="24"/>
      <c r="AC68" s="3"/>
      <c r="AD68" s="3"/>
      <c r="AE68" s="3"/>
      <c r="AF68" s="3"/>
      <c r="AG68" s="3"/>
      <c r="AH68" s="3"/>
    </row>
    <row r="69" spans="1:34">
      <c r="A69" s="48"/>
      <c r="B69" s="48"/>
      <c r="C69" s="24" t="s">
        <v>81</v>
      </c>
      <c r="D69" s="64"/>
      <c r="E69" s="64" t="s">
        <v>422</v>
      </c>
      <c r="F69" s="64" t="s">
        <v>82</v>
      </c>
      <c r="G69" s="64" t="s">
        <v>29</v>
      </c>
      <c r="H69" s="64"/>
      <c r="I69" s="124"/>
      <c r="J69" s="124"/>
      <c r="K69" s="124"/>
      <c r="L69" s="124"/>
      <c r="M69" s="62"/>
      <c r="N69" s="62"/>
      <c r="O69" s="62"/>
      <c r="P69" s="62"/>
      <c r="Q69" s="62"/>
      <c r="R69" s="62"/>
      <c r="S69" s="181"/>
      <c r="T69" s="228">
        <f>'[1]1.2 FM Inputs Summary'!$L$25</f>
        <v>1.3844193899999995</v>
      </c>
      <c r="U69" s="228"/>
      <c r="V69" s="228"/>
      <c r="W69" s="228"/>
      <c r="X69" s="228"/>
      <c r="Y69" s="228"/>
      <c r="Z69" s="228"/>
      <c r="AA69" s="228"/>
      <c r="AB69" s="24"/>
      <c r="AC69" s="3"/>
      <c r="AD69" s="3"/>
      <c r="AE69" s="3"/>
      <c r="AF69" s="3"/>
      <c r="AG69" s="3"/>
      <c r="AH69" s="3"/>
    </row>
    <row r="70" spans="1:34">
      <c r="A70" s="48"/>
      <c r="B70" s="48"/>
      <c r="C70" s="48"/>
      <c r="D70" s="48"/>
      <c r="E70" s="48"/>
      <c r="F70" s="48"/>
      <c r="G70" s="48"/>
      <c r="H70" s="48"/>
      <c r="I70" s="25"/>
      <c r="J70" s="25"/>
      <c r="K70" s="25"/>
      <c r="L70" s="25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24"/>
      <c r="AC70" s="3"/>
      <c r="AD70" s="3"/>
      <c r="AE70" s="3"/>
      <c r="AF70" s="3"/>
      <c r="AG70" s="3"/>
      <c r="AH70" s="3"/>
    </row>
    <row r="71" spans="1:34">
      <c r="A71" s="48"/>
      <c r="B71" s="48"/>
      <c r="C71" s="48" t="s">
        <v>83</v>
      </c>
      <c r="D71" s="48"/>
      <c r="E71" s="71" t="s">
        <v>27</v>
      </c>
      <c r="F71" s="48" t="s">
        <v>84</v>
      </c>
      <c r="G71" s="48" t="s">
        <v>29</v>
      </c>
      <c r="H71" s="48"/>
      <c r="I71" s="228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3"/>
      <c r="AD71" s="3"/>
      <c r="AE71" s="3"/>
      <c r="AF71" s="3"/>
      <c r="AG71" s="3"/>
      <c r="AH71" s="3"/>
    </row>
    <row r="72" spans="1:34">
      <c r="A72" s="48"/>
      <c r="B72" s="48"/>
      <c r="C72" s="48"/>
      <c r="D72" s="48"/>
      <c r="E72" s="48"/>
      <c r="F72" s="48"/>
      <c r="G72" s="48"/>
      <c r="H72" s="48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72"/>
      <c r="U72" s="72"/>
      <c r="V72" s="72"/>
      <c r="W72" s="72"/>
      <c r="X72" s="72"/>
      <c r="Y72" s="72"/>
      <c r="Z72" s="72"/>
      <c r="AA72" s="72"/>
      <c r="AB72" s="24"/>
      <c r="AC72" s="3"/>
      <c r="AD72" s="3"/>
      <c r="AE72" s="3"/>
      <c r="AF72" s="3"/>
      <c r="AG72" s="3"/>
      <c r="AH72" s="3"/>
    </row>
    <row r="73" spans="1:34" ht="18">
      <c r="A73" s="97" t="s">
        <v>13</v>
      </c>
      <c r="B73" s="97" t="s">
        <v>85</v>
      </c>
      <c r="C73" s="188"/>
      <c r="D73" s="188"/>
      <c r="E73" s="188"/>
      <c r="F73" s="188"/>
      <c r="G73" s="188"/>
      <c r="H73" s="188"/>
      <c r="I73" s="45"/>
      <c r="J73" s="45"/>
      <c r="K73" s="45"/>
      <c r="L73" s="45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  <c r="AB73" s="45"/>
      <c r="AC73" s="212"/>
      <c r="AD73" s="212"/>
      <c r="AE73" s="212"/>
      <c r="AF73" s="212"/>
      <c r="AG73" s="212"/>
      <c r="AH73" s="212"/>
    </row>
    <row r="74" spans="1:34">
      <c r="A74" s="48"/>
      <c r="B74" s="48"/>
      <c r="C74" s="48"/>
      <c r="D74" s="48"/>
      <c r="E74" s="48"/>
      <c r="F74" s="48"/>
      <c r="G74" s="48"/>
      <c r="H74" s="48"/>
      <c r="I74" s="25"/>
      <c r="J74" s="25"/>
      <c r="K74" s="25"/>
      <c r="L74" s="25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24"/>
      <c r="AC74" s="3"/>
      <c r="AD74" s="3"/>
      <c r="AE74" s="3"/>
      <c r="AF74" s="3"/>
      <c r="AG74" s="3"/>
      <c r="AH74" s="3"/>
    </row>
    <row r="75" spans="1:34" ht="14.5">
      <c r="A75" s="48"/>
      <c r="B75" s="206" t="s">
        <v>86</v>
      </c>
      <c r="C75" s="48"/>
      <c r="D75" s="48"/>
      <c r="E75" s="48"/>
      <c r="F75" s="48"/>
      <c r="G75" s="48"/>
      <c r="H75" s="48"/>
      <c r="I75" s="25"/>
      <c r="J75" s="25"/>
      <c r="K75" s="25"/>
      <c r="L75" s="113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24"/>
      <c r="AC75" s="3"/>
      <c r="AD75" s="3"/>
      <c r="AE75" s="3"/>
      <c r="AF75" s="3"/>
      <c r="AG75" s="3"/>
      <c r="AH75" s="3"/>
    </row>
    <row r="76" spans="1:34">
      <c r="A76" s="48"/>
      <c r="B76" s="48"/>
      <c r="C76" s="48"/>
      <c r="D76" s="48"/>
      <c r="E76" s="48"/>
      <c r="F76" s="48"/>
      <c r="G76" s="48"/>
      <c r="H76" s="48"/>
      <c r="I76" s="25"/>
      <c r="J76" s="25"/>
      <c r="K76" s="25"/>
      <c r="L76" s="113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24"/>
      <c r="AC76" s="3"/>
      <c r="AD76" s="3"/>
      <c r="AE76" s="3"/>
      <c r="AF76" s="3"/>
      <c r="AG76" s="3"/>
      <c r="AH76" s="3"/>
    </row>
    <row r="77" spans="1:34">
      <c r="A77" s="48"/>
      <c r="B77" s="48"/>
      <c r="C77" s="48" t="s">
        <v>87</v>
      </c>
      <c r="D77" s="48"/>
      <c r="E77" s="48" t="s">
        <v>55</v>
      </c>
      <c r="F77" s="48" t="s">
        <v>88</v>
      </c>
      <c r="G77" s="48" t="s">
        <v>89</v>
      </c>
      <c r="H77" s="48"/>
      <c r="I77" s="234">
        <v>1.15E-2</v>
      </c>
      <c r="J77" s="25"/>
      <c r="K77" s="182"/>
      <c r="L77" s="182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  <c r="AB77" s="24"/>
      <c r="AC77" s="3"/>
      <c r="AD77" s="3"/>
      <c r="AE77" s="3"/>
      <c r="AF77" s="3"/>
      <c r="AG77" s="3"/>
      <c r="AH77" s="3"/>
    </row>
    <row r="78" spans="1:34">
      <c r="A78" s="48"/>
      <c r="B78" s="48"/>
      <c r="C78" s="48" t="s">
        <v>90</v>
      </c>
      <c r="D78" s="48"/>
      <c r="E78" s="48" t="s">
        <v>91</v>
      </c>
      <c r="F78" s="48" t="s">
        <v>92</v>
      </c>
      <c r="G78" s="48" t="s">
        <v>89</v>
      </c>
      <c r="H78" s="48"/>
      <c r="I78" s="25"/>
      <c r="J78" s="25"/>
      <c r="K78" s="25"/>
      <c r="L78" s="113" t="s">
        <v>68</v>
      </c>
      <c r="M78" s="180"/>
      <c r="N78" s="180"/>
      <c r="O78" s="180"/>
      <c r="P78" s="180"/>
      <c r="Q78" s="180"/>
      <c r="R78" s="180"/>
      <c r="S78" s="180"/>
      <c r="T78" s="234">
        <v>4.9500000000000002E-2</v>
      </c>
      <c r="U78" s="234">
        <v>4.1099999999999998E-2</v>
      </c>
      <c r="V78" s="234">
        <v>0.04</v>
      </c>
      <c r="W78" s="234"/>
      <c r="X78" s="234"/>
      <c r="Y78" s="234"/>
      <c r="Z78" s="234"/>
      <c r="AA78" s="180"/>
      <c r="AB78" s="121"/>
      <c r="AC78" s="3"/>
      <c r="AD78" s="3"/>
      <c r="AE78" s="3"/>
      <c r="AF78" s="3"/>
      <c r="AG78" s="3"/>
      <c r="AH78" s="3"/>
    </row>
    <row r="79" spans="1:34">
      <c r="A79" s="48"/>
      <c r="B79" s="48"/>
      <c r="C79" s="48"/>
      <c r="D79" s="48"/>
      <c r="E79" s="48"/>
      <c r="F79" s="48"/>
      <c r="G79" s="48"/>
      <c r="H79" s="48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4"/>
      <c r="AC79" s="3"/>
      <c r="AD79" s="3"/>
      <c r="AE79" s="3"/>
      <c r="AF79" s="3"/>
      <c r="AG79" s="3"/>
      <c r="AH79" s="3"/>
    </row>
    <row r="80" spans="1:34">
      <c r="A80" s="48"/>
      <c r="B80" s="48"/>
      <c r="C80" s="48" t="s">
        <v>93</v>
      </c>
      <c r="D80" s="48"/>
      <c r="E80" s="48" t="s">
        <v>422</v>
      </c>
      <c r="F80" s="48" t="s">
        <v>94</v>
      </c>
      <c r="G80" s="48" t="s">
        <v>29</v>
      </c>
      <c r="H80" s="48"/>
      <c r="I80" s="25"/>
      <c r="J80" s="25"/>
      <c r="K80" s="25"/>
      <c r="L80" s="113"/>
      <c r="M80" s="180"/>
      <c r="N80" s="180"/>
      <c r="O80" s="180"/>
      <c r="P80" s="180"/>
      <c r="Q80" s="180"/>
      <c r="R80" s="180"/>
      <c r="S80" s="180"/>
      <c r="T80" s="228">
        <f>'[1]1.2 FM Inputs Summary'!$L$29</f>
        <v>10.530705734224</v>
      </c>
      <c r="U80" s="228">
        <f>'[2]FM Inputs Summary'!H29</f>
        <v>29.895224476914951</v>
      </c>
      <c r="V80" s="228">
        <f>'[2]FM Inputs Summary'!I29</f>
        <v>35.192132877839335</v>
      </c>
      <c r="W80" s="228"/>
      <c r="X80" s="228"/>
      <c r="Y80" s="228"/>
      <c r="Z80" s="228"/>
      <c r="AA80" s="228"/>
      <c r="AB80" s="24"/>
      <c r="AC80" s="3"/>
      <c r="AD80" s="3"/>
      <c r="AE80" s="3"/>
      <c r="AF80" s="3"/>
      <c r="AG80" s="3"/>
      <c r="AH80" s="3"/>
    </row>
    <row r="81" spans="1:34" s="22" customFormat="1">
      <c r="A81" s="79"/>
      <c r="B81" s="79"/>
      <c r="C81" s="79"/>
      <c r="D81" s="79"/>
      <c r="E81" s="79"/>
      <c r="F81" s="79"/>
      <c r="G81" s="79"/>
      <c r="H81" s="79"/>
      <c r="I81" s="113"/>
      <c r="J81" s="113"/>
      <c r="K81" s="113"/>
      <c r="L81" s="113"/>
      <c r="M81" s="231"/>
      <c r="N81" s="231"/>
      <c r="O81" s="231"/>
      <c r="P81" s="231"/>
      <c r="Q81" s="231"/>
      <c r="R81" s="231"/>
      <c r="S81" s="231"/>
      <c r="T81" s="231"/>
      <c r="U81" s="231"/>
      <c r="V81" s="231"/>
      <c r="W81" s="231"/>
      <c r="X81" s="231"/>
      <c r="Y81" s="231"/>
      <c r="Z81" s="231"/>
      <c r="AA81" s="231"/>
      <c r="AB81" s="104"/>
    </row>
    <row r="82" spans="1:34" s="22" customFormat="1" ht="16">
      <c r="A82" s="79"/>
      <c r="B82" s="79"/>
      <c r="C82" s="79" t="s">
        <v>95</v>
      </c>
      <c r="D82" s="79"/>
      <c r="E82" s="79" t="s">
        <v>55</v>
      </c>
      <c r="F82" s="79" t="s">
        <v>96</v>
      </c>
      <c r="G82" s="79" t="s">
        <v>29</v>
      </c>
      <c r="H82" s="79"/>
      <c r="I82" s="113"/>
      <c r="J82" s="113"/>
      <c r="K82" s="113"/>
      <c r="L82" s="113"/>
      <c r="M82" s="231"/>
      <c r="N82" s="231"/>
      <c r="O82" s="231"/>
      <c r="P82" s="231"/>
      <c r="Q82" s="231"/>
      <c r="R82" s="231"/>
      <c r="S82" s="231"/>
      <c r="T82" s="228">
        <v>0</v>
      </c>
      <c r="U82" s="228">
        <v>28.407</v>
      </c>
      <c r="V82" s="228"/>
      <c r="W82" s="228"/>
      <c r="X82" s="228"/>
      <c r="Y82" s="228"/>
      <c r="Z82" s="228"/>
      <c r="AA82" s="228"/>
      <c r="AB82" s="104"/>
    </row>
    <row r="83" spans="1:34">
      <c r="A83" s="48"/>
      <c r="B83" s="48"/>
      <c r="C83" s="48"/>
      <c r="D83" s="48"/>
      <c r="E83" s="48"/>
      <c r="F83" s="48"/>
      <c r="G83" s="48"/>
      <c r="H83" s="48"/>
      <c r="I83" s="25"/>
      <c r="J83" s="25"/>
      <c r="K83" s="25"/>
      <c r="L83" s="113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24"/>
    </row>
    <row r="84" spans="1:34" ht="18">
      <c r="A84" s="97" t="s">
        <v>13</v>
      </c>
      <c r="B84" s="97" t="s">
        <v>97</v>
      </c>
      <c r="C84" s="188"/>
      <c r="D84" s="188"/>
      <c r="E84" s="188"/>
      <c r="F84" s="188"/>
      <c r="G84" s="188"/>
      <c r="H84" s="188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212"/>
      <c r="AD84" s="212"/>
      <c r="AE84" s="212"/>
      <c r="AF84" s="212"/>
      <c r="AG84" s="212"/>
      <c r="AH84" s="212"/>
    </row>
    <row r="85" spans="1:34">
      <c r="A85" s="48"/>
      <c r="B85" s="48"/>
      <c r="C85" s="48"/>
      <c r="D85" s="48"/>
      <c r="E85" s="48"/>
      <c r="F85" s="48"/>
      <c r="G85" s="48"/>
      <c r="H85" s="48"/>
      <c r="I85" s="25"/>
      <c r="J85" s="25"/>
      <c r="K85" s="25"/>
      <c r="L85" s="25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24"/>
      <c r="AC85" s="3"/>
      <c r="AD85" s="3"/>
      <c r="AE85" s="3"/>
      <c r="AF85" s="3"/>
      <c r="AG85" s="3"/>
      <c r="AH85" s="3"/>
    </row>
    <row r="86" spans="1:34" ht="14.5">
      <c r="A86" s="48"/>
      <c r="B86" s="206" t="s">
        <v>98</v>
      </c>
      <c r="C86" s="48"/>
      <c r="D86" s="48"/>
      <c r="E86" s="48"/>
      <c r="F86" s="48"/>
      <c r="G86" s="48"/>
      <c r="H86" s="48"/>
      <c r="I86" s="25"/>
      <c r="J86" s="25"/>
      <c r="K86" s="25"/>
      <c r="L86" s="25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24"/>
      <c r="AC86" s="3"/>
      <c r="AD86" s="3"/>
      <c r="AE86" s="3"/>
      <c r="AF86" s="3"/>
      <c r="AG86" s="3"/>
      <c r="AH86" s="3"/>
    </row>
    <row r="87" spans="1:34">
      <c r="A87" s="48"/>
      <c r="B87" s="48"/>
      <c r="C87" s="48"/>
      <c r="D87" s="48"/>
      <c r="E87" s="48"/>
      <c r="F87" s="48"/>
      <c r="G87" s="48"/>
      <c r="H87" s="48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4"/>
      <c r="AC87" s="3"/>
      <c r="AD87" s="3"/>
      <c r="AE87" s="3"/>
      <c r="AF87" s="3"/>
      <c r="AG87" s="3"/>
      <c r="AH87" s="3"/>
    </row>
    <row r="88" spans="1:34">
      <c r="A88" s="48"/>
      <c r="B88" s="48"/>
      <c r="C88" s="48" t="s">
        <v>99</v>
      </c>
      <c r="D88" s="48"/>
      <c r="E88" s="48" t="s">
        <v>48</v>
      </c>
      <c r="F88" s="48" t="s">
        <v>100</v>
      </c>
      <c r="G88" s="48" t="s">
        <v>101</v>
      </c>
      <c r="H88" s="48"/>
      <c r="I88" s="235">
        <v>366.01006024306088</v>
      </c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4"/>
      <c r="AC88" s="3"/>
      <c r="AD88" s="3"/>
      <c r="AE88" s="3"/>
      <c r="AF88" s="3"/>
      <c r="AG88" s="3"/>
      <c r="AH88" s="3"/>
    </row>
    <row r="89" spans="1:34">
      <c r="A89" s="48"/>
      <c r="B89" s="48"/>
      <c r="C89" s="48" t="s">
        <v>102</v>
      </c>
      <c r="D89" s="48"/>
      <c r="E89" s="48" t="s">
        <v>53</v>
      </c>
      <c r="F89" s="48" t="s">
        <v>103</v>
      </c>
      <c r="G89" s="48" t="s">
        <v>101</v>
      </c>
      <c r="H89" s="48"/>
      <c r="I89" s="25"/>
      <c r="J89" s="25"/>
      <c r="K89" s="25"/>
      <c r="L89" s="124" t="s">
        <v>68</v>
      </c>
      <c r="M89" s="236">
        <v>274.90833333333336</v>
      </c>
      <c r="N89" s="236">
        <v>283.30833333333334</v>
      </c>
      <c r="O89" s="236">
        <v>290.64166666666665</v>
      </c>
      <c r="P89" s="228">
        <v>294.16666666666669</v>
      </c>
      <c r="Q89" s="228">
        <v>307.32821397646848</v>
      </c>
      <c r="R89" s="228">
        <v>334.29358180068937</v>
      </c>
      <c r="S89" s="228">
        <f>[5]SystemOperator!$AR$120</f>
        <v>352.83651735739545</v>
      </c>
      <c r="T89" s="99"/>
      <c r="U89" s="99"/>
      <c r="V89" s="99"/>
      <c r="W89" s="99"/>
      <c r="X89" s="99"/>
      <c r="Y89" s="99"/>
      <c r="Z89" s="99"/>
      <c r="AA89" s="99"/>
      <c r="AB89" s="24"/>
    </row>
    <row r="90" spans="1:34" s="3" customFormat="1">
      <c r="A90" s="48"/>
      <c r="B90" s="48"/>
      <c r="C90" s="48" t="s">
        <v>104</v>
      </c>
      <c r="D90" s="48"/>
      <c r="E90" s="48" t="s">
        <v>53</v>
      </c>
      <c r="F90" s="48" t="s">
        <v>105</v>
      </c>
      <c r="G90" s="48" t="str">
        <f>Inputs!G$89</f>
        <v>1987 = 100</v>
      </c>
      <c r="H90" s="48"/>
      <c r="I90" s="228">
        <f>'[5]Monthly Inflation'!$I$301</f>
        <v>357.54583432417797</v>
      </c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spans="1:34">
      <c r="A91" s="48"/>
      <c r="B91" s="48"/>
      <c r="C91" s="48"/>
      <c r="D91" s="48"/>
      <c r="E91" s="48"/>
      <c r="F91" s="48"/>
      <c r="G91" s="48"/>
      <c r="H91" s="48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4"/>
    </row>
    <row r="92" spans="1:34">
      <c r="A92" s="48"/>
      <c r="B92" s="48"/>
      <c r="C92" s="48" t="s">
        <v>106</v>
      </c>
      <c r="D92" s="48"/>
      <c r="E92" s="48" t="s">
        <v>63</v>
      </c>
      <c r="F92" s="48"/>
      <c r="G92" s="48" t="s">
        <v>107</v>
      </c>
      <c r="H92" s="48"/>
      <c r="I92" s="237">
        <v>45980</v>
      </c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4"/>
    </row>
    <row r="93" spans="1:34">
      <c r="A93" s="48"/>
      <c r="B93" s="48"/>
      <c r="C93" s="48"/>
      <c r="D93" s="48"/>
      <c r="E93" s="48"/>
      <c r="F93" s="48"/>
      <c r="G93" s="48"/>
      <c r="H93" s="48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4"/>
    </row>
    <row r="94" spans="1:34">
      <c r="A94" s="48"/>
      <c r="B94" s="48"/>
      <c r="C94" s="51" t="s">
        <v>108</v>
      </c>
      <c r="D94" s="48"/>
      <c r="E94" s="48"/>
      <c r="F94" s="48"/>
      <c r="G94" s="48"/>
      <c r="H94" s="48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4"/>
      <c r="AC94" s="3"/>
      <c r="AD94" s="3"/>
      <c r="AE94" s="3"/>
      <c r="AF94" s="3"/>
      <c r="AG94" s="3"/>
      <c r="AH94" s="3"/>
    </row>
    <row r="95" spans="1:34">
      <c r="A95" s="48"/>
      <c r="B95" s="48"/>
      <c r="C95" s="48"/>
      <c r="D95" s="214" t="s">
        <v>109</v>
      </c>
      <c r="E95" s="214" t="str">
        <f>"ONS (" &amp; TEXT(I$92, "mmm yyyy") &amp; ")"</f>
        <v>ONS (Nov 2025)</v>
      </c>
      <c r="F95" s="214" t="s">
        <v>110</v>
      </c>
      <c r="G95" s="214" t="s">
        <v>111</v>
      </c>
      <c r="H95" s="214"/>
      <c r="I95" s="238"/>
      <c r="J95" s="238"/>
      <c r="K95" s="238"/>
      <c r="L95" s="238"/>
      <c r="M95" s="239"/>
      <c r="N95" s="239"/>
      <c r="O95" s="239"/>
      <c r="P95" s="239"/>
      <c r="Q95" s="239"/>
      <c r="R95" s="239"/>
      <c r="S95" s="239"/>
      <c r="T95" s="225">
        <v>132.19999999999999</v>
      </c>
      <c r="U95" s="470">
        <v>137.69999999999999</v>
      </c>
      <c r="V95" s="225"/>
      <c r="W95" s="225"/>
      <c r="X95" s="225"/>
      <c r="Y95" s="225"/>
      <c r="Z95" s="225"/>
      <c r="AA95" s="225"/>
      <c r="AB95" s="24"/>
      <c r="AC95" s="3"/>
      <c r="AD95" s="3"/>
      <c r="AE95" s="3"/>
      <c r="AF95" s="3"/>
      <c r="AG95" s="3"/>
      <c r="AH95" s="3"/>
    </row>
    <row r="96" spans="1:34">
      <c r="A96" s="48"/>
      <c r="B96" s="48"/>
      <c r="C96" s="48"/>
      <c r="D96" s="64" t="s">
        <v>112</v>
      </c>
      <c r="E96" s="64" t="str">
        <f>"ONS (" &amp; TEXT(I$92, "mmm yyyy") &amp; ")"</f>
        <v>ONS (Nov 2025)</v>
      </c>
      <c r="F96" s="64" t="s">
        <v>110</v>
      </c>
      <c r="G96" s="64" t="s">
        <v>111</v>
      </c>
      <c r="H96" s="64"/>
      <c r="I96" s="124"/>
      <c r="J96" s="124"/>
      <c r="K96" s="124"/>
      <c r="L96" s="124"/>
      <c r="M96" s="99"/>
      <c r="N96" s="99"/>
      <c r="O96" s="99"/>
      <c r="P96" s="99"/>
      <c r="Q96" s="99"/>
      <c r="R96" s="99"/>
      <c r="S96" s="99"/>
      <c r="T96" s="228">
        <v>132.69999999999999</v>
      </c>
      <c r="U96" s="471">
        <v>138</v>
      </c>
      <c r="V96" s="228"/>
      <c r="W96" s="228"/>
      <c r="X96" s="228"/>
      <c r="Y96" s="228"/>
      <c r="Z96" s="228"/>
      <c r="AA96" s="228"/>
      <c r="AB96" s="24"/>
      <c r="AC96" s="3"/>
      <c r="AD96" s="3"/>
      <c r="AE96" s="3"/>
      <c r="AF96" s="3"/>
      <c r="AG96" s="3"/>
      <c r="AH96" s="3"/>
    </row>
    <row r="97" spans="1:34">
      <c r="A97" s="48"/>
      <c r="B97" s="48"/>
      <c r="C97" s="48"/>
      <c r="D97" s="64" t="s">
        <v>113</v>
      </c>
      <c r="E97" s="64" t="str">
        <f t="shared" ref="E97:E106" si="5">"ONS (" &amp; TEXT(I$92, "mmm yyyy") &amp; ")"</f>
        <v>ONS (Nov 2025)</v>
      </c>
      <c r="F97" s="64" t="s">
        <v>110</v>
      </c>
      <c r="G97" s="64" t="s">
        <v>111</v>
      </c>
      <c r="H97" s="64"/>
      <c r="I97" s="124"/>
      <c r="J97" s="124"/>
      <c r="K97" s="124"/>
      <c r="L97" s="124"/>
      <c r="M97" s="99"/>
      <c r="N97" s="99"/>
      <c r="O97" s="99"/>
      <c r="P97" s="99"/>
      <c r="Q97" s="99"/>
      <c r="R97" s="99"/>
      <c r="S97" s="99"/>
      <c r="T97" s="228">
        <v>133</v>
      </c>
      <c r="U97" s="471">
        <v>138.4</v>
      </c>
      <c r="V97" s="228"/>
      <c r="W97" s="228"/>
      <c r="X97" s="228"/>
      <c r="Y97" s="228"/>
      <c r="Z97" s="228"/>
      <c r="AA97" s="228"/>
      <c r="AB97" s="24"/>
      <c r="AC97" s="3"/>
      <c r="AD97" s="3"/>
      <c r="AE97" s="3"/>
      <c r="AF97" s="3"/>
      <c r="AG97" s="3"/>
      <c r="AH97" s="3"/>
    </row>
    <row r="98" spans="1:34">
      <c r="A98" s="48"/>
      <c r="B98" s="48"/>
      <c r="C98" s="48"/>
      <c r="D98" s="64" t="s">
        <v>114</v>
      </c>
      <c r="E98" s="64" t="str">
        <f t="shared" si="5"/>
        <v>ONS (Nov 2025)</v>
      </c>
      <c r="F98" s="64" t="s">
        <v>110</v>
      </c>
      <c r="G98" s="64" t="s">
        <v>111</v>
      </c>
      <c r="H98" s="64"/>
      <c r="I98" s="124"/>
      <c r="J98" s="124"/>
      <c r="K98" s="124"/>
      <c r="L98" s="124"/>
      <c r="M98" s="99"/>
      <c r="N98" s="99"/>
      <c r="O98" s="99"/>
      <c r="P98" s="99"/>
      <c r="Q98" s="99"/>
      <c r="R98" s="99"/>
      <c r="S98" s="99"/>
      <c r="T98" s="228">
        <v>132.9</v>
      </c>
      <c r="U98" s="471">
        <v>138.5</v>
      </c>
      <c r="V98" s="228"/>
      <c r="W98" s="228"/>
      <c r="X98" s="228"/>
      <c r="Y98" s="228"/>
      <c r="Z98" s="228"/>
      <c r="AA98" s="228"/>
      <c r="AB98" s="24"/>
      <c r="AC98" s="3"/>
      <c r="AD98" s="3"/>
      <c r="AE98" s="3"/>
      <c r="AF98" s="3"/>
      <c r="AG98" s="3"/>
      <c r="AH98" s="3"/>
    </row>
    <row r="99" spans="1:34">
      <c r="A99" s="48"/>
      <c r="B99" s="48"/>
      <c r="C99" s="48"/>
      <c r="D99" s="64" t="s">
        <v>115</v>
      </c>
      <c r="E99" s="64" t="str">
        <f t="shared" si="5"/>
        <v>ONS (Nov 2025)</v>
      </c>
      <c r="F99" s="64" t="s">
        <v>110</v>
      </c>
      <c r="G99" s="64" t="s">
        <v>111</v>
      </c>
      <c r="H99" s="64"/>
      <c r="I99" s="124"/>
      <c r="J99" s="124"/>
      <c r="K99" s="124"/>
      <c r="L99" s="124"/>
      <c r="M99" s="99"/>
      <c r="N99" s="99"/>
      <c r="O99" s="99"/>
      <c r="P99" s="99"/>
      <c r="Q99" s="99"/>
      <c r="R99" s="99"/>
      <c r="S99" s="99"/>
      <c r="T99" s="228">
        <v>133.4</v>
      </c>
      <c r="U99" s="471">
        <v>138.9</v>
      </c>
      <c r="V99" s="228"/>
      <c r="W99" s="228"/>
      <c r="X99" s="228"/>
      <c r="Y99" s="228"/>
      <c r="Z99" s="228"/>
      <c r="AA99" s="228"/>
      <c r="AB99" s="24"/>
      <c r="AC99" s="3"/>
      <c r="AD99" s="3"/>
      <c r="AE99" s="3"/>
      <c r="AF99" s="3"/>
      <c r="AG99" s="3"/>
      <c r="AH99" s="3"/>
    </row>
    <row r="100" spans="1:34">
      <c r="A100" s="48"/>
      <c r="B100" s="48"/>
      <c r="C100" s="48"/>
      <c r="D100" s="64" t="s">
        <v>116</v>
      </c>
      <c r="E100" s="64" t="str">
        <f t="shared" si="5"/>
        <v>ONS (Nov 2025)</v>
      </c>
      <c r="F100" s="64" t="s">
        <v>110</v>
      </c>
      <c r="G100" s="64" t="s">
        <v>111</v>
      </c>
      <c r="H100" s="64"/>
      <c r="I100" s="124"/>
      <c r="J100" s="124"/>
      <c r="K100" s="124"/>
      <c r="L100" s="124"/>
      <c r="M100" s="99"/>
      <c r="N100" s="99"/>
      <c r="O100" s="99"/>
      <c r="P100" s="99"/>
      <c r="Q100" s="99"/>
      <c r="R100" s="99"/>
      <c r="S100" s="99"/>
      <c r="T100" s="228">
        <v>133.5</v>
      </c>
      <c r="U100" s="471">
        <v>138.9</v>
      </c>
      <c r="V100" s="228"/>
      <c r="W100" s="228"/>
      <c r="X100" s="228"/>
      <c r="Y100" s="228"/>
      <c r="Z100" s="228"/>
      <c r="AA100" s="228"/>
      <c r="AB100" s="24"/>
      <c r="AC100" s="3"/>
      <c r="AD100" s="3"/>
      <c r="AE100" s="3"/>
      <c r="AF100" s="3"/>
      <c r="AG100" s="3"/>
      <c r="AH100" s="3"/>
    </row>
    <row r="101" spans="1:34">
      <c r="A101" s="48"/>
      <c r="B101" s="48"/>
      <c r="C101" s="48"/>
      <c r="D101" s="64" t="s">
        <v>117</v>
      </c>
      <c r="E101" s="64" t="str">
        <f t="shared" si="5"/>
        <v>ONS (Nov 2025)</v>
      </c>
      <c r="F101" s="64" t="s">
        <v>110</v>
      </c>
      <c r="G101" s="64" t="s">
        <v>111</v>
      </c>
      <c r="H101" s="64"/>
      <c r="I101" s="124"/>
      <c r="J101" s="124"/>
      <c r="K101" s="124"/>
      <c r="L101" s="124"/>
      <c r="M101" s="99"/>
      <c r="N101" s="99"/>
      <c r="O101" s="99"/>
      <c r="P101" s="99"/>
      <c r="Q101" s="99"/>
      <c r="R101" s="99"/>
      <c r="S101" s="99"/>
      <c r="T101" s="228">
        <v>134.30000000000001</v>
      </c>
      <c r="U101" s="471">
        <v>139.5</v>
      </c>
      <c r="V101" s="228"/>
      <c r="W101" s="228"/>
      <c r="X101" s="228"/>
      <c r="Y101" s="228"/>
      <c r="Z101" s="228"/>
      <c r="AA101" s="228"/>
      <c r="AB101" s="24"/>
      <c r="AC101" s="3"/>
      <c r="AD101" s="3"/>
      <c r="AE101" s="3"/>
      <c r="AF101" s="3"/>
      <c r="AG101" s="3"/>
      <c r="AH101" s="3"/>
    </row>
    <row r="102" spans="1:34">
      <c r="A102" s="48"/>
      <c r="B102" s="48"/>
      <c r="C102" s="48"/>
      <c r="D102" s="64" t="s">
        <v>118</v>
      </c>
      <c r="E102" s="64" t="str">
        <f t="shared" si="5"/>
        <v>ONS (Nov 2025)</v>
      </c>
      <c r="F102" s="64" t="s">
        <v>110</v>
      </c>
      <c r="G102" s="64" t="s">
        <v>111</v>
      </c>
      <c r="H102" s="64"/>
      <c r="I102" s="124"/>
      <c r="J102" s="124"/>
      <c r="K102" s="124"/>
      <c r="L102" s="124"/>
      <c r="M102" s="99"/>
      <c r="N102" s="99"/>
      <c r="O102" s="99"/>
      <c r="P102" s="99"/>
      <c r="Q102" s="99"/>
      <c r="R102" s="99"/>
      <c r="S102" s="99"/>
      <c r="T102" s="228">
        <v>134.6</v>
      </c>
      <c r="U102" s="228"/>
      <c r="V102" s="228"/>
      <c r="W102" s="228"/>
      <c r="X102" s="228"/>
      <c r="Y102" s="228"/>
      <c r="Z102" s="228"/>
      <c r="AA102" s="228"/>
      <c r="AB102" s="24"/>
      <c r="AC102" s="3"/>
      <c r="AD102" s="3"/>
      <c r="AE102" s="3"/>
      <c r="AF102" s="3"/>
      <c r="AG102" s="3"/>
      <c r="AH102" s="3"/>
    </row>
    <row r="103" spans="1:34">
      <c r="A103" s="48"/>
      <c r="B103" s="48"/>
      <c r="C103" s="48"/>
      <c r="D103" s="64" t="s">
        <v>119</v>
      </c>
      <c r="E103" s="64" t="str">
        <f t="shared" si="5"/>
        <v>ONS (Nov 2025)</v>
      </c>
      <c r="F103" s="64" t="s">
        <v>110</v>
      </c>
      <c r="G103" s="64" t="s">
        <v>111</v>
      </c>
      <c r="H103" s="64"/>
      <c r="I103" s="124"/>
      <c r="J103" s="124"/>
      <c r="K103" s="124"/>
      <c r="L103" s="124"/>
      <c r="M103" s="99"/>
      <c r="N103" s="99"/>
      <c r="O103" s="99"/>
      <c r="P103" s="99"/>
      <c r="Q103" s="99"/>
      <c r="R103" s="99"/>
      <c r="S103" s="99"/>
      <c r="T103" s="228">
        <v>135.1</v>
      </c>
      <c r="U103" s="228"/>
      <c r="V103" s="228"/>
      <c r="W103" s="228"/>
      <c r="X103" s="228"/>
      <c r="Y103" s="228"/>
      <c r="Z103" s="228"/>
      <c r="AA103" s="228"/>
      <c r="AB103" s="24"/>
      <c r="AC103" s="3"/>
      <c r="AD103" s="3"/>
      <c r="AE103" s="3"/>
      <c r="AF103" s="3"/>
      <c r="AG103" s="3"/>
      <c r="AH103" s="3"/>
    </row>
    <row r="104" spans="1:34">
      <c r="A104" s="48"/>
      <c r="B104" s="48"/>
      <c r="C104" s="48"/>
      <c r="D104" s="64" t="s">
        <v>120</v>
      </c>
      <c r="E104" s="64" t="str">
        <f t="shared" si="5"/>
        <v>ONS (Nov 2025)</v>
      </c>
      <c r="F104" s="64" t="s">
        <v>110</v>
      </c>
      <c r="G104" s="64" t="s">
        <v>111</v>
      </c>
      <c r="H104" s="64"/>
      <c r="I104" s="124"/>
      <c r="J104" s="124"/>
      <c r="K104" s="124"/>
      <c r="L104" s="124"/>
      <c r="M104" s="99"/>
      <c r="N104" s="99"/>
      <c r="O104" s="99"/>
      <c r="P104" s="99"/>
      <c r="Q104" s="99"/>
      <c r="R104" s="99"/>
      <c r="S104" s="99"/>
      <c r="T104" s="228">
        <v>135.1</v>
      </c>
      <c r="U104" s="228"/>
      <c r="V104" s="228"/>
      <c r="W104" s="228"/>
      <c r="X104" s="228"/>
      <c r="Y104" s="228"/>
      <c r="Z104" s="228"/>
      <c r="AA104" s="228"/>
      <c r="AB104" s="24"/>
      <c r="AC104" s="3"/>
      <c r="AD104" s="3"/>
      <c r="AE104" s="3"/>
      <c r="AF104" s="3"/>
      <c r="AG104" s="3"/>
      <c r="AH104" s="3"/>
    </row>
    <row r="105" spans="1:34">
      <c r="A105" s="48"/>
      <c r="B105" s="48"/>
      <c r="C105" s="48"/>
      <c r="D105" s="64" t="s">
        <v>121</v>
      </c>
      <c r="E105" s="64" t="str">
        <f t="shared" si="5"/>
        <v>ONS (Nov 2025)</v>
      </c>
      <c r="F105" s="64" t="s">
        <v>110</v>
      </c>
      <c r="G105" s="64" t="s">
        <v>111</v>
      </c>
      <c r="H105" s="64"/>
      <c r="I105" s="124"/>
      <c r="J105" s="124"/>
      <c r="K105" s="124"/>
      <c r="L105" s="124"/>
      <c r="M105" s="99"/>
      <c r="N105" s="99"/>
      <c r="O105" s="99"/>
      <c r="P105" s="99"/>
      <c r="Q105" s="99"/>
      <c r="R105" s="99"/>
      <c r="S105" s="99"/>
      <c r="T105" s="228">
        <v>135.6</v>
      </c>
      <c r="U105" s="228"/>
      <c r="V105" s="228"/>
      <c r="W105" s="228"/>
      <c r="X105" s="228"/>
      <c r="Y105" s="228"/>
      <c r="Z105" s="228"/>
      <c r="AA105" s="228"/>
      <c r="AB105" s="24"/>
      <c r="AC105" s="3"/>
      <c r="AD105" s="3"/>
      <c r="AE105" s="3"/>
      <c r="AF105" s="3"/>
      <c r="AG105" s="3"/>
      <c r="AH105" s="3"/>
    </row>
    <row r="106" spans="1:34">
      <c r="A106" s="48"/>
      <c r="B106" s="48"/>
      <c r="C106" s="48"/>
      <c r="D106" s="67" t="s">
        <v>122</v>
      </c>
      <c r="E106" s="67" t="str">
        <f t="shared" si="5"/>
        <v>ONS (Nov 2025)</v>
      </c>
      <c r="F106" s="67" t="s">
        <v>110</v>
      </c>
      <c r="G106" s="67" t="s">
        <v>111</v>
      </c>
      <c r="H106" s="67"/>
      <c r="I106" s="119"/>
      <c r="J106" s="119"/>
      <c r="K106" s="119"/>
      <c r="L106" s="119" t="s">
        <v>68</v>
      </c>
      <c r="M106" s="184"/>
      <c r="N106" s="184"/>
      <c r="O106" s="184"/>
      <c r="P106" s="184"/>
      <c r="Q106" s="184"/>
      <c r="R106" s="184"/>
      <c r="S106" s="230">
        <v>131.6</v>
      </c>
      <c r="T106" s="230">
        <v>136.1</v>
      </c>
      <c r="U106" s="230"/>
      <c r="V106" s="230"/>
      <c r="W106" s="230"/>
      <c r="X106" s="230"/>
      <c r="Y106" s="230"/>
      <c r="Z106" s="230"/>
      <c r="AA106" s="230"/>
      <c r="AB106" s="24"/>
      <c r="AC106" s="3"/>
      <c r="AD106" s="3"/>
      <c r="AE106" s="3"/>
      <c r="AF106" s="3"/>
      <c r="AG106" s="3"/>
      <c r="AH106" s="3"/>
    </row>
    <row r="107" spans="1:34">
      <c r="A107" s="48"/>
      <c r="B107" s="48"/>
      <c r="C107" s="48"/>
      <c r="D107" s="48"/>
      <c r="E107" s="48"/>
      <c r="F107" s="48"/>
      <c r="G107" s="48"/>
      <c r="H107" s="48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4"/>
    </row>
    <row r="108" spans="1:34">
      <c r="A108" s="48"/>
      <c r="B108" s="48"/>
      <c r="C108" s="48" t="s">
        <v>123</v>
      </c>
      <c r="D108" s="48"/>
      <c r="E108" s="48" t="s">
        <v>63</v>
      </c>
      <c r="F108" s="48"/>
      <c r="G108" s="48" t="s">
        <v>107</v>
      </c>
      <c r="H108" s="48"/>
      <c r="I108" s="240">
        <v>45987</v>
      </c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4"/>
    </row>
    <row r="109" spans="1:34">
      <c r="A109" s="48"/>
      <c r="B109" s="48"/>
      <c r="C109" s="48"/>
      <c r="D109" s="48"/>
      <c r="E109" s="48"/>
      <c r="F109" s="48"/>
      <c r="G109" s="48"/>
      <c r="H109" s="48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4"/>
    </row>
    <row r="110" spans="1:34">
      <c r="A110" s="48"/>
      <c r="B110" s="48"/>
      <c r="C110" s="51" t="s">
        <v>124</v>
      </c>
      <c r="D110" s="48"/>
      <c r="E110" s="48"/>
      <c r="F110" s="48"/>
      <c r="G110" s="48"/>
      <c r="H110" s="48"/>
      <c r="I110" s="24"/>
      <c r="J110" s="24"/>
      <c r="K110" s="24"/>
      <c r="L110" s="24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  <c r="Y110" s="156"/>
      <c r="Z110" s="156"/>
      <c r="AA110" s="156"/>
      <c r="AB110" s="24"/>
      <c r="AC110" s="3"/>
      <c r="AD110" s="3"/>
      <c r="AE110" s="3"/>
      <c r="AF110" s="3"/>
      <c r="AG110" s="3"/>
      <c r="AH110" s="3"/>
    </row>
    <row r="111" spans="1:34">
      <c r="A111" s="48"/>
      <c r="B111" s="48"/>
      <c r="C111" s="48"/>
      <c r="D111" s="241">
        <v>46022</v>
      </c>
      <c r="E111" s="242" t="str">
        <f>"OBR (" &amp;TEXT(I$108, "mmm yyyy") &amp;")"</f>
        <v>OBR (Nov 2025)</v>
      </c>
      <c r="F111" s="242"/>
      <c r="G111" s="242" t="s">
        <v>125</v>
      </c>
      <c r="H111" s="214"/>
      <c r="I111" s="468">
        <v>3.4527688414550228</v>
      </c>
      <c r="J111" s="24"/>
      <c r="K111" s="24"/>
      <c r="L111" s="24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  <c r="Y111" s="156"/>
      <c r="Z111" s="156"/>
      <c r="AA111" s="156"/>
      <c r="AB111" s="24"/>
      <c r="AC111" s="3"/>
      <c r="AD111" s="3"/>
      <c r="AE111" s="3"/>
      <c r="AF111" s="3"/>
      <c r="AG111" s="3"/>
      <c r="AH111" s="3"/>
    </row>
    <row r="112" spans="1:34">
      <c r="A112" s="48"/>
      <c r="B112" s="48"/>
      <c r="C112" s="48"/>
      <c r="D112" s="185">
        <f t="shared" ref="D112:D118" si="6">EOMONTH(D111, 12)</f>
        <v>46387</v>
      </c>
      <c r="E112" s="88" t="str">
        <f t="shared" ref="E112:E118" si="7">"OBR (" &amp;TEXT(I$108, "mmm yyyy") &amp;")"</f>
        <v>OBR (Nov 2025)</v>
      </c>
      <c r="F112" s="88"/>
      <c r="G112" s="88" t="s">
        <v>125</v>
      </c>
      <c r="H112" s="64"/>
      <c r="I112" s="469">
        <v>2.4801225431334784</v>
      </c>
      <c r="J112" s="24"/>
      <c r="K112" s="24"/>
      <c r="L112" s="24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56"/>
      <c r="Z112" s="156"/>
      <c r="AA112" s="156"/>
      <c r="AB112" s="24"/>
      <c r="AC112" s="3"/>
      <c r="AD112" s="3"/>
      <c r="AE112" s="3"/>
      <c r="AF112" s="3"/>
      <c r="AG112" s="3"/>
      <c r="AH112" s="3"/>
    </row>
    <row r="113" spans="1:34">
      <c r="A113" s="48"/>
      <c r="B113" s="48"/>
      <c r="C113" s="48"/>
      <c r="D113" s="185">
        <f t="shared" si="6"/>
        <v>46752</v>
      </c>
      <c r="E113" s="88" t="str">
        <f t="shared" si="7"/>
        <v>OBR (Nov 2025)</v>
      </c>
      <c r="F113" s="88"/>
      <c r="G113" s="88" t="s">
        <v>125</v>
      </c>
      <c r="H113" s="64"/>
      <c r="I113" s="469">
        <v>2.0152390816676968</v>
      </c>
      <c r="J113" s="24"/>
      <c r="K113" s="24"/>
      <c r="L113" s="24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  <c r="Y113" s="156"/>
      <c r="Z113" s="156"/>
      <c r="AA113" s="156"/>
      <c r="AB113" s="24"/>
      <c r="AC113" s="3"/>
      <c r="AD113" s="3"/>
      <c r="AE113" s="3"/>
      <c r="AF113" s="3"/>
      <c r="AG113" s="3"/>
      <c r="AH113" s="3"/>
    </row>
    <row r="114" spans="1:34">
      <c r="A114" s="48"/>
      <c r="B114" s="48"/>
      <c r="C114" s="48"/>
      <c r="D114" s="185">
        <f t="shared" si="6"/>
        <v>47118</v>
      </c>
      <c r="E114" s="88" t="str">
        <f t="shared" si="7"/>
        <v>OBR (Nov 2025)</v>
      </c>
      <c r="F114" s="88"/>
      <c r="G114" s="88" t="s">
        <v>125</v>
      </c>
      <c r="H114" s="64"/>
      <c r="I114" s="469">
        <v>2.035043738253961</v>
      </c>
      <c r="J114" s="24"/>
      <c r="K114" s="24"/>
      <c r="L114" s="24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24"/>
      <c r="AC114" s="3"/>
      <c r="AD114" s="3"/>
      <c r="AE114" s="3"/>
      <c r="AF114" s="3"/>
      <c r="AG114" s="3"/>
      <c r="AH114" s="3"/>
    </row>
    <row r="115" spans="1:34">
      <c r="A115" s="48"/>
      <c r="B115" s="48"/>
      <c r="C115" s="48"/>
      <c r="D115" s="185">
        <f t="shared" si="6"/>
        <v>47483</v>
      </c>
      <c r="E115" s="88" t="str">
        <f t="shared" si="7"/>
        <v>OBR (Nov 2025)</v>
      </c>
      <c r="F115" s="88"/>
      <c r="G115" s="88" t="s">
        <v>125</v>
      </c>
      <c r="H115" s="64"/>
      <c r="I115" s="469">
        <v>2.0381421351001627</v>
      </c>
      <c r="J115" s="24"/>
      <c r="K115" s="24"/>
      <c r="L115" s="24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24"/>
      <c r="AC115" s="3"/>
      <c r="AD115" s="3"/>
      <c r="AE115" s="3"/>
      <c r="AF115" s="3"/>
      <c r="AG115" s="3"/>
      <c r="AH115" s="3"/>
    </row>
    <row r="116" spans="1:34">
      <c r="A116" s="48"/>
      <c r="B116" s="48"/>
      <c r="C116" s="48"/>
      <c r="D116" s="185">
        <f t="shared" si="6"/>
        <v>47848</v>
      </c>
      <c r="E116" s="88" t="str">
        <f t="shared" si="7"/>
        <v>OBR (Nov 2025)</v>
      </c>
      <c r="F116" s="88"/>
      <c r="G116" s="88" t="s">
        <v>125</v>
      </c>
      <c r="H116" s="64"/>
      <c r="I116" s="469">
        <v>2.0030962216835535</v>
      </c>
      <c r="J116" s="24"/>
      <c r="K116" s="24"/>
      <c r="L116" s="24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24"/>
      <c r="AC116" s="3"/>
      <c r="AD116" s="3"/>
      <c r="AE116" s="3"/>
      <c r="AF116" s="3"/>
      <c r="AG116" s="3"/>
      <c r="AH116" s="3"/>
    </row>
    <row r="117" spans="1:34">
      <c r="A117" s="48"/>
      <c r="B117" s="48"/>
      <c r="C117" s="48"/>
      <c r="D117" s="185">
        <f t="shared" si="6"/>
        <v>48213</v>
      </c>
      <c r="E117" s="88" t="str">
        <f t="shared" si="7"/>
        <v>OBR (Nov 2025)</v>
      </c>
      <c r="F117" s="88"/>
      <c r="G117" s="88" t="s">
        <v>125</v>
      </c>
      <c r="H117" s="64"/>
      <c r="I117" s="243"/>
      <c r="J117" s="24"/>
      <c r="K117" s="24"/>
      <c r="L117" s="24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24"/>
      <c r="AC117" s="3"/>
      <c r="AD117" s="3"/>
      <c r="AE117" s="3"/>
      <c r="AF117" s="3"/>
      <c r="AG117" s="3"/>
      <c r="AH117" s="3"/>
    </row>
    <row r="118" spans="1:34">
      <c r="A118" s="48"/>
      <c r="B118" s="48"/>
      <c r="C118" s="48"/>
      <c r="D118" s="186">
        <f t="shared" si="6"/>
        <v>48579</v>
      </c>
      <c r="E118" s="93" t="str">
        <f t="shared" si="7"/>
        <v>OBR (Nov 2025)</v>
      </c>
      <c r="F118" s="93"/>
      <c r="G118" s="93" t="s">
        <v>125</v>
      </c>
      <c r="H118" s="67"/>
      <c r="I118" s="244"/>
      <c r="J118" s="24"/>
      <c r="K118" s="24"/>
      <c r="L118" s="24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24"/>
      <c r="AC118" s="3"/>
      <c r="AD118" s="3"/>
      <c r="AE118" s="3"/>
      <c r="AF118" s="3"/>
      <c r="AG118" s="3"/>
      <c r="AH118" s="3"/>
    </row>
    <row r="119" spans="1:34">
      <c r="A119" s="48"/>
      <c r="B119" s="48"/>
      <c r="C119" s="48"/>
      <c r="D119" s="48"/>
      <c r="E119" s="48"/>
      <c r="F119" s="48"/>
      <c r="G119" s="48"/>
      <c r="H119" s="48"/>
      <c r="I119" s="24"/>
      <c r="J119" s="24"/>
      <c r="K119" s="24"/>
      <c r="L119" s="24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24"/>
      <c r="AC119" s="3"/>
      <c r="AD119" s="3"/>
      <c r="AE119" s="3"/>
      <c r="AF119" s="3"/>
      <c r="AG119" s="3"/>
      <c r="AH119" s="3"/>
    </row>
    <row r="120" spans="1:34">
      <c r="A120" s="48"/>
      <c r="B120" s="48"/>
      <c r="C120" s="48" t="s">
        <v>126</v>
      </c>
      <c r="D120" s="48"/>
      <c r="E120" s="48" t="s">
        <v>63</v>
      </c>
      <c r="F120" s="48"/>
      <c r="G120" s="48" t="s">
        <v>127</v>
      </c>
      <c r="H120" s="48"/>
      <c r="I120" s="234">
        <v>0.02</v>
      </c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4"/>
    </row>
    <row r="121" spans="1:34">
      <c r="A121" s="48"/>
      <c r="B121" s="48"/>
      <c r="C121" s="48"/>
      <c r="D121" s="48"/>
      <c r="E121" s="48"/>
      <c r="F121" s="48"/>
      <c r="G121" s="48"/>
      <c r="H121" s="48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4"/>
    </row>
    <row r="122" spans="1:34" ht="18">
      <c r="A122" s="97" t="s">
        <v>13</v>
      </c>
      <c r="B122" s="97" t="s">
        <v>128</v>
      </c>
      <c r="C122" s="188"/>
      <c r="D122" s="188"/>
      <c r="E122" s="188"/>
      <c r="F122" s="188"/>
      <c r="G122" s="188"/>
      <c r="H122" s="188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212"/>
      <c r="AD122" s="212"/>
      <c r="AE122" s="212"/>
      <c r="AF122" s="212"/>
      <c r="AG122" s="212"/>
      <c r="AH122" s="212"/>
    </row>
    <row r="123" spans="1:34">
      <c r="A123" s="48"/>
      <c r="B123" s="48"/>
      <c r="C123" s="48"/>
      <c r="D123" s="48"/>
      <c r="E123" s="48"/>
      <c r="F123" s="48"/>
      <c r="G123" s="48"/>
      <c r="H123" s="48"/>
      <c r="I123" s="25"/>
      <c r="J123" s="25"/>
      <c r="K123" s="25"/>
      <c r="L123" s="25"/>
      <c r="M123" s="117"/>
      <c r="N123" s="117"/>
      <c r="O123" s="117"/>
      <c r="P123" s="117"/>
      <c r="Q123" s="117"/>
      <c r="R123" s="117"/>
      <c r="S123" s="117"/>
      <c r="T123" s="117"/>
      <c r="U123" s="117"/>
      <c r="V123" s="117"/>
      <c r="W123" s="117"/>
      <c r="X123" s="117"/>
      <c r="Y123" s="117"/>
      <c r="Z123" s="117"/>
      <c r="AA123" s="117"/>
      <c r="AB123" s="24"/>
      <c r="AC123" s="3"/>
      <c r="AD123" s="3"/>
      <c r="AE123" s="3"/>
      <c r="AF123" s="3"/>
      <c r="AG123" s="3"/>
      <c r="AH123" s="3"/>
    </row>
    <row r="124" spans="1:34" ht="14.5">
      <c r="A124" s="48"/>
      <c r="B124" s="206" t="s">
        <v>129</v>
      </c>
      <c r="C124" s="48"/>
      <c r="D124" s="48"/>
      <c r="E124" s="48"/>
      <c r="F124" s="48"/>
      <c r="G124" s="48"/>
      <c r="H124" s="48"/>
      <c r="I124" s="25"/>
      <c r="J124" s="25"/>
      <c r="K124" s="25"/>
      <c r="L124" s="25"/>
      <c r="M124" s="117"/>
      <c r="N124" s="117"/>
      <c r="O124" s="117"/>
      <c r="P124" s="117"/>
      <c r="Q124" s="117"/>
      <c r="R124" s="117"/>
      <c r="S124" s="117"/>
      <c r="T124" s="117"/>
      <c r="U124" s="117"/>
      <c r="V124" s="117"/>
      <c r="W124" s="117"/>
      <c r="X124" s="117"/>
      <c r="Y124" s="117"/>
      <c r="Z124" s="117"/>
      <c r="AA124" s="117"/>
      <c r="AB124" s="24"/>
      <c r="AC124" s="3"/>
      <c r="AD124" s="3"/>
      <c r="AE124" s="3"/>
      <c r="AF124" s="3"/>
      <c r="AG124" s="3"/>
      <c r="AH124" s="3"/>
    </row>
    <row r="125" spans="1:34">
      <c r="A125" s="48"/>
      <c r="B125" s="48"/>
      <c r="C125" s="48"/>
      <c r="D125" s="48"/>
      <c r="E125" s="48"/>
      <c r="F125" s="48"/>
      <c r="G125" s="48"/>
      <c r="H125" s="48"/>
      <c r="I125" s="25"/>
      <c r="J125" s="25"/>
      <c r="K125" s="25"/>
      <c r="L125" s="25"/>
      <c r="M125" s="25"/>
      <c r="N125" s="24"/>
      <c r="O125" s="24"/>
      <c r="P125" s="24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4"/>
      <c r="AC125" s="3"/>
      <c r="AD125" s="3"/>
      <c r="AE125" s="3"/>
      <c r="AF125" s="3"/>
      <c r="AG125" s="3"/>
      <c r="AH125" s="3"/>
    </row>
    <row r="126" spans="1:34" s="3" customFormat="1">
      <c r="A126" s="48"/>
      <c r="B126" s="48"/>
      <c r="C126" s="51" t="s">
        <v>130</v>
      </c>
      <c r="D126" s="48"/>
      <c r="E126" s="48"/>
      <c r="F126" s="48"/>
      <c r="G126" s="48"/>
      <c r="H126" s="48"/>
      <c r="I126" s="25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</row>
    <row r="127" spans="1:34" s="3" customFormat="1">
      <c r="A127" s="48"/>
      <c r="B127" s="48"/>
      <c r="C127" s="48"/>
      <c r="D127" s="214" t="s">
        <v>131</v>
      </c>
      <c r="E127" s="245" t="s">
        <v>53</v>
      </c>
      <c r="F127" s="214"/>
      <c r="G127" s="214" t="s">
        <v>29</v>
      </c>
      <c r="H127" s="214"/>
      <c r="I127" s="470">
        <f>[5]SystemOperator!$AS$326</f>
        <v>89.997098135837248</v>
      </c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</row>
    <row r="128" spans="1:34" s="3" customFormat="1">
      <c r="A128" s="48"/>
      <c r="B128" s="48"/>
      <c r="C128" s="48"/>
      <c r="D128" s="64" t="s">
        <v>132</v>
      </c>
      <c r="E128" s="71" t="s">
        <v>53</v>
      </c>
      <c r="F128" s="64"/>
      <c r="G128" s="64" t="s">
        <v>29</v>
      </c>
      <c r="H128" s="64"/>
      <c r="I128" s="471">
        <f>[5]SystemOperator!$AS$337</f>
        <v>20.673146887512001</v>
      </c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</row>
    <row r="129" spans="1:28" s="3" customFormat="1">
      <c r="A129" s="48"/>
      <c r="B129" s="48"/>
      <c r="C129" s="48"/>
      <c r="D129" s="64" t="s">
        <v>133</v>
      </c>
      <c r="E129" s="71" t="s">
        <v>53</v>
      </c>
      <c r="F129" s="64"/>
      <c r="G129" s="64" t="s">
        <v>29</v>
      </c>
      <c r="H129" s="64"/>
      <c r="I129" s="471">
        <f>[5]SystemOperator!$AS$358</f>
        <v>6.5109681026000015</v>
      </c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</row>
    <row r="130" spans="1:28" s="3" customFormat="1">
      <c r="A130" s="48"/>
      <c r="B130" s="48"/>
      <c r="C130" s="48"/>
      <c r="D130" s="67" t="s">
        <v>134</v>
      </c>
      <c r="E130" s="106" t="s">
        <v>53</v>
      </c>
      <c r="F130" s="67"/>
      <c r="G130" s="67" t="s">
        <v>29</v>
      </c>
      <c r="H130" s="67"/>
      <c r="I130" s="472">
        <f>[5]SystemOperator!$AS$368</f>
        <v>357.43586916718471</v>
      </c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</row>
    <row r="131" spans="1:28" s="3" customFormat="1">
      <c r="A131" s="48"/>
      <c r="B131" s="48"/>
      <c r="C131" s="48"/>
      <c r="D131" s="48"/>
      <c r="E131" s="79"/>
      <c r="F131" s="48"/>
      <c r="G131" s="48"/>
      <c r="H131" s="48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</row>
    <row r="132" spans="1:28" s="3" customFormat="1">
      <c r="A132" s="48"/>
      <c r="B132" s="48"/>
      <c r="C132" s="51" t="s">
        <v>135</v>
      </c>
      <c r="D132" s="48"/>
      <c r="E132" s="79"/>
      <c r="F132" s="48"/>
      <c r="G132" s="48"/>
      <c r="H132" s="48"/>
      <c r="I132" s="25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</row>
    <row r="133" spans="1:28" s="3" customFormat="1">
      <c r="A133" s="48"/>
      <c r="B133" s="48"/>
      <c r="C133" s="48"/>
      <c r="D133" s="214" t="s">
        <v>131</v>
      </c>
      <c r="E133" s="245" t="s">
        <v>53</v>
      </c>
      <c r="F133" s="214"/>
      <c r="G133" s="214" t="s">
        <v>29</v>
      </c>
      <c r="H133" s="214"/>
      <c r="I133" s="470">
        <f>[5]SystemOperator!$AS$327</f>
        <v>-12.517570229586767</v>
      </c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</row>
    <row r="134" spans="1:28" s="3" customFormat="1">
      <c r="A134" s="48"/>
      <c r="B134" s="48"/>
      <c r="C134" s="48"/>
      <c r="D134" s="64" t="s">
        <v>132</v>
      </c>
      <c r="E134" s="71" t="s">
        <v>53</v>
      </c>
      <c r="F134" s="64"/>
      <c r="G134" s="64" t="s">
        <v>29</v>
      </c>
      <c r="H134" s="64"/>
      <c r="I134" s="471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</row>
    <row r="135" spans="1:28" s="3" customFormat="1">
      <c r="A135" s="48"/>
      <c r="B135" s="48"/>
      <c r="C135" s="48"/>
      <c r="D135" s="64" t="s">
        <v>133</v>
      </c>
      <c r="E135" s="71" t="s">
        <v>53</v>
      </c>
      <c r="F135" s="64"/>
      <c r="G135" s="64" t="s">
        <v>29</v>
      </c>
      <c r="H135" s="64"/>
      <c r="I135" s="471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</row>
    <row r="136" spans="1:28" s="3" customFormat="1">
      <c r="A136" s="48"/>
      <c r="B136" s="48"/>
      <c r="C136" s="48"/>
      <c r="D136" s="67" t="s">
        <v>134</v>
      </c>
      <c r="E136" s="106" t="s">
        <v>53</v>
      </c>
      <c r="F136" s="67"/>
      <c r="G136" s="67" t="s">
        <v>29</v>
      </c>
      <c r="H136" s="67"/>
      <c r="I136" s="472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</row>
    <row r="137" spans="1:28" s="3" customFormat="1">
      <c r="A137" s="48"/>
      <c r="B137" s="48"/>
      <c r="C137" s="48"/>
      <c r="D137" s="48"/>
      <c r="E137" s="79"/>
      <c r="F137" s="48"/>
      <c r="G137" s="48"/>
      <c r="H137" s="48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</row>
    <row r="138" spans="1:28" s="3" customFormat="1">
      <c r="A138" s="48"/>
      <c r="B138" s="48"/>
      <c r="C138" s="48" t="s">
        <v>136</v>
      </c>
      <c r="D138" s="48"/>
      <c r="E138" s="79" t="s">
        <v>27</v>
      </c>
      <c r="F138" s="48"/>
      <c r="G138" s="48" t="s">
        <v>29</v>
      </c>
      <c r="H138" s="48"/>
      <c r="I138" s="471">
        <f>[3]Inputs!$I$36+[3]Inputs!$I$37</f>
        <v>214.35235840570846</v>
      </c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spans="1:28" s="3" customFormat="1">
      <c r="A139" s="48"/>
      <c r="B139" s="48"/>
      <c r="C139" s="48"/>
      <c r="D139" s="48"/>
      <c r="E139" s="79"/>
      <c r="F139" s="48"/>
      <c r="G139" s="48"/>
      <c r="H139" s="48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</row>
    <row r="140" spans="1:28" s="3" customFormat="1">
      <c r="A140" s="48"/>
      <c r="B140" s="48"/>
      <c r="C140" s="51" t="s">
        <v>137</v>
      </c>
      <c r="D140" s="48"/>
      <c r="E140" s="79"/>
      <c r="F140" s="48"/>
      <c r="G140" s="48"/>
      <c r="H140" s="48"/>
      <c r="I140" s="25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</row>
    <row r="141" spans="1:28" s="3" customFormat="1">
      <c r="A141" s="48"/>
      <c r="B141" s="48"/>
      <c r="C141" s="48"/>
      <c r="D141" s="214" t="s">
        <v>131</v>
      </c>
      <c r="E141" s="245" t="s">
        <v>53</v>
      </c>
      <c r="F141" s="214"/>
      <c r="G141" s="214" t="s">
        <v>89</v>
      </c>
      <c r="H141" s="214"/>
      <c r="I141" s="474">
        <f>[5]SystemOperator!$AS$301</f>
        <v>5.2988822488409325E-2</v>
      </c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</row>
    <row r="142" spans="1:28" s="3" customFormat="1">
      <c r="A142" s="48"/>
      <c r="B142" s="48"/>
      <c r="C142" s="48"/>
      <c r="D142" s="64" t="s">
        <v>132</v>
      </c>
      <c r="E142" s="71" t="s">
        <v>53</v>
      </c>
      <c r="F142" s="64"/>
      <c r="G142" s="64" t="s">
        <v>89</v>
      </c>
      <c r="H142" s="64"/>
      <c r="I142" s="473">
        <f>[5]SystemOperator!$AS$304</f>
        <v>0</v>
      </c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</row>
    <row r="143" spans="1:28" s="3" customFormat="1">
      <c r="A143" s="48"/>
      <c r="B143" s="48"/>
      <c r="C143" s="48"/>
      <c r="D143" s="64" t="s">
        <v>133</v>
      </c>
      <c r="E143" s="71" t="s">
        <v>53</v>
      </c>
      <c r="F143" s="64"/>
      <c r="G143" s="64" t="s">
        <v>89</v>
      </c>
      <c r="H143" s="64"/>
      <c r="I143" s="473">
        <f>[5]SystemOperator!$AS$315</f>
        <v>0</v>
      </c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</row>
    <row r="144" spans="1:28" s="3" customFormat="1">
      <c r="A144" s="48"/>
      <c r="B144" s="48"/>
      <c r="C144" s="48"/>
      <c r="D144" s="67" t="s">
        <v>134</v>
      </c>
      <c r="E144" s="106" t="s">
        <v>53</v>
      </c>
      <c r="F144" s="67"/>
      <c r="G144" s="67" t="s">
        <v>89</v>
      </c>
      <c r="H144" s="67"/>
      <c r="I144" s="475">
        <f>[5]SystemOperator!$AS$307</f>
        <v>0.34202776975332594</v>
      </c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</row>
    <row r="145" spans="1:34" s="3" customFormat="1">
      <c r="A145" s="48"/>
      <c r="B145" s="48"/>
      <c r="C145" s="48"/>
      <c r="D145" s="48"/>
      <c r="E145" s="79"/>
      <c r="F145" s="48"/>
      <c r="G145" s="48"/>
      <c r="H145" s="48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</row>
    <row r="146" spans="1:34" s="3" customFormat="1">
      <c r="A146" s="48"/>
      <c r="B146" s="48"/>
      <c r="C146" s="51" t="s">
        <v>138</v>
      </c>
      <c r="D146" s="48"/>
      <c r="E146" s="79"/>
      <c r="F146" s="48"/>
      <c r="G146" s="48"/>
      <c r="H146" s="48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</row>
    <row r="147" spans="1:34" s="3" customFormat="1">
      <c r="A147" s="48"/>
      <c r="B147" s="48"/>
      <c r="C147" s="48"/>
      <c r="D147" s="214" t="s">
        <v>131</v>
      </c>
      <c r="E147" s="245" t="s">
        <v>53</v>
      </c>
      <c r="F147" s="214"/>
      <c r="G147" s="214" t="s">
        <v>89</v>
      </c>
      <c r="H147" s="214"/>
      <c r="I147" s="474">
        <f>[5]SystemOperator!$AS$159</f>
        <v>0.18</v>
      </c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</row>
    <row r="148" spans="1:34" s="3" customFormat="1">
      <c r="A148" s="48"/>
      <c r="B148" s="48"/>
      <c r="C148" s="48"/>
      <c r="D148" s="64" t="s">
        <v>132</v>
      </c>
      <c r="E148" s="71" t="s">
        <v>53</v>
      </c>
      <c r="F148" s="64"/>
      <c r="G148" s="64" t="s">
        <v>89</v>
      </c>
      <c r="H148" s="64"/>
      <c r="I148" s="473">
        <f>[5]SystemOperator!$AS$160</f>
        <v>0.06</v>
      </c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</row>
    <row r="149" spans="1:34" s="3" customFormat="1">
      <c r="A149" s="48"/>
      <c r="B149" s="48"/>
      <c r="C149" s="48"/>
      <c r="D149" s="64" t="s">
        <v>133</v>
      </c>
      <c r="E149" s="71" t="s">
        <v>53</v>
      </c>
      <c r="F149" s="64"/>
      <c r="G149" s="64" t="s">
        <v>89</v>
      </c>
      <c r="H149" s="64"/>
      <c r="I149" s="473">
        <f>[5]SystemOperator!$AS$162</f>
        <v>2.2200000000000001E-2</v>
      </c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</row>
    <row r="150" spans="1:34" s="3" customFormat="1">
      <c r="A150" s="48"/>
      <c r="B150" s="48"/>
      <c r="C150" s="48"/>
      <c r="D150" s="67" t="s">
        <v>134</v>
      </c>
      <c r="E150" s="106" t="s">
        <v>53</v>
      </c>
      <c r="F150" s="67"/>
      <c r="G150" s="67" t="s">
        <v>89</v>
      </c>
      <c r="H150" s="67"/>
      <c r="I150" s="475">
        <f>[5]SystemOperator!$AS$163</f>
        <v>0.14000000000000001</v>
      </c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</row>
    <row r="151" spans="1:34">
      <c r="A151" s="48"/>
      <c r="B151" s="48"/>
      <c r="C151" s="48"/>
      <c r="D151" s="48"/>
      <c r="E151" s="79"/>
      <c r="F151" s="48"/>
      <c r="G151" s="48"/>
      <c r="H151" s="48"/>
      <c r="I151" s="25"/>
      <c r="J151" s="25"/>
      <c r="K151" s="25"/>
      <c r="L151" s="25"/>
      <c r="M151" s="117"/>
      <c r="N151" s="117"/>
      <c r="O151" s="117"/>
      <c r="P151" s="117"/>
      <c r="Q151" s="117"/>
      <c r="R151" s="117"/>
      <c r="S151" s="117"/>
      <c r="T151" s="117"/>
      <c r="U151" s="117"/>
      <c r="V151" s="117"/>
      <c r="W151" s="117"/>
      <c r="X151" s="117"/>
      <c r="Y151" s="117"/>
      <c r="Z151" s="117"/>
      <c r="AA151" s="117"/>
      <c r="AB151" s="24"/>
      <c r="AC151" s="3"/>
      <c r="AD151" s="3"/>
      <c r="AE151" s="3"/>
      <c r="AF151" s="3"/>
      <c r="AG151" s="3"/>
      <c r="AH151" s="3"/>
    </row>
    <row r="152" spans="1:34">
      <c r="A152" s="48"/>
      <c r="B152" s="48"/>
      <c r="C152" s="51" t="s">
        <v>139</v>
      </c>
      <c r="D152" s="48"/>
      <c r="E152" s="79"/>
      <c r="F152" s="48"/>
      <c r="G152" s="48"/>
      <c r="H152" s="48"/>
      <c r="I152" s="24"/>
      <c r="J152" s="25"/>
      <c r="K152" s="25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3"/>
      <c r="AD152" s="3"/>
      <c r="AE152" s="3"/>
      <c r="AF152" s="3"/>
      <c r="AG152" s="3"/>
      <c r="AH152" s="3"/>
    </row>
    <row r="153" spans="1:34">
      <c r="A153" s="48"/>
      <c r="B153" s="48"/>
      <c r="C153" s="48"/>
      <c r="D153" s="214" t="s">
        <v>131</v>
      </c>
      <c r="E153" s="245" t="s">
        <v>63</v>
      </c>
      <c r="F153" s="214"/>
      <c r="G153" s="242" t="s">
        <v>89</v>
      </c>
      <c r="H153" s="214"/>
      <c r="I153" s="246">
        <v>0.18</v>
      </c>
      <c r="J153" s="25"/>
      <c r="K153" s="25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3"/>
      <c r="AD153" s="3"/>
      <c r="AE153" s="3"/>
      <c r="AF153" s="3"/>
      <c r="AG153" s="3"/>
      <c r="AH153" s="3"/>
    </row>
    <row r="154" spans="1:34">
      <c r="A154" s="48"/>
      <c r="B154" s="48"/>
      <c r="C154" s="48"/>
      <c r="D154" s="67" t="s">
        <v>132</v>
      </c>
      <c r="E154" s="106" t="s">
        <v>63</v>
      </c>
      <c r="F154" s="67"/>
      <c r="G154" s="93" t="s">
        <v>89</v>
      </c>
      <c r="H154" s="67"/>
      <c r="I154" s="247">
        <v>0.06</v>
      </c>
      <c r="J154" s="25"/>
      <c r="K154" s="25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3"/>
      <c r="AD154" s="3"/>
      <c r="AE154" s="3"/>
      <c r="AF154" s="3"/>
      <c r="AG154" s="3"/>
      <c r="AH154" s="3"/>
    </row>
    <row r="155" spans="1:34">
      <c r="A155" s="24"/>
      <c r="B155" s="24"/>
      <c r="C155" s="24"/>
      <c r="D155" s="24"/>
      <c r="E155" s="10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</row>
    <row r="156" spans="1:34">
      <c r="A156" s="24"/>
      <c r="B156" s="24"/>
      <c r="C156" s="51" t="s">
        <v>140</v>
      </c>
      <c r="D156" s="48"/>
      <c r="E156" s="79"/>
      <c r="F156" s="48"/>
      <c r="G156" s="48"/>
      <c r="H156" s="48"/>
      <c r="I156" s="25"/>
      <c r="J156" s="25"/>
      <c r="K156" s="187" t="s">
        <v>141</v>
      </c>
      <c r="L156" s="25"/>
      <c r="M156" s="25"/>
      <c r="N156" s="25"/>
      <c r="O156" s="25"/>
      <c r="P156" s="25"/>
      <c r="Q156" s="25"/>
      <c r="R156" s="25"/>
      <c r="S156" s="25"/>
      <c r="T156" s="24"/>
      <c r="U156" s="24"/>
      <c r="V156" s="24"/>
      <c r="W156" s="24"/>
      <c r="X156" s="24"/>
      <c r="Y156" s="24"/>
      <c r="Z156" s="24"/>
      <c r="AA156" s="24"/>
      <c r="AB156" s="24"/>
    </row>
    <row r="157" spans="1:34">
      <c r="A157" s="48"/>
      <c r="B157" s="48"/>
      <c r="C157" s="48"/>
      <c r="D157" s="214" t="s">
        <v>142</v>
      </c>
      <c r="E157" s="245" t="s">
        <v>63</v>
      </c>
      <c r="F157" s="214"/>
      <c r="G157" s="214" t="s">
        <v>89</v>
      </c>
      <c r="H157" s="214"/>
      <c r="I157" s="238"/>
      <c r="J157" s="238"/>
      <c r="K157" s="224">
        <f>IF(SUM(T157:AA157) = 100%, 0, 1)</f>
        <v>0</v>
      </c>
      <c r="L157" s="238"/>
      <c r="M157" s="248"/>
      <c r="N157" s="248"/>
      <c r="O157" s="248"/>
      <c r="P157" s="248"/>
      <c r="Q157" s="248"/>
      <c r="R157" s="248"/>
      <c r="S157" s="248"/>
      <c r="T157" s="246">
        <f>0.5/7.5</f>
        <v>6.6666666666666666E-2</v>
      </c>
      <c r="U157" s="246">
        <f>1/7.5</f>
        <v>0.13333333333333333</v>
      </c>
      <c r="V157" s="246">
        <f t="shared" ref="V157:AA157" si="8">1/7.5</f>
        <v>0.13333333333333333</v>
      </c>
      <c r="W157" s="246">
        <f t="shared" si="8"/>
        <v>0.13333333333333333</v>
      </c>
      <c r="X157" s="246">
        <f t="shared" si="8"/>
        <v>0.13333333333333333</v>
      </c>
      <c r="Y157" s="246">
        <f t="shared" si="8"/>
        <v>0.13333333333333333</v>
      </c>
      <c r="Z157" s="246">
        <f t="shared" si="8"/>
        <v>0.13333333333333333</v>
      </c>
      <c r="AA157" s="246">
        <f t="shared" si="8"/>
        <v>0.13333333333333333</v>
      </c>
      <c r="AB157" s="24"/>
      <c r="AC157" s="3"/>
      <c r="AD157" s="3"/>
      <c r="AE157" s="3"/>
      <c r="AF157" s="3"/>
      <c r="AG157" s="3"/>
      <c r="AH157" s="3"/>
    </row>
    <row r="158" spans="1:34">
      <c r="A158" s="48"/>
      <c r="B158" s="48"/>
      <c r="C158" s="48"/>
      <c r="D158" s="67" t="s">
        <v>143</v>
      </c>
      <c r="E158" s="106" t="s">
        <v>63</v>
      </c>
      <c r="F158" s="67"/>
      <c r="G158" s="67" t="s">
        <v>89</v>
      </c>
      <c r="H158" s="67"/>
      <c r="I158" s="119"/>
      <c r="J158" s="119"/>
      <c r="K158" s="229">
        <f>IF(SUM(T158:AA158) = 100%, 0, 1)</f>
        <v>0</v>
      </c>
      <c r="L158" s="119"/>
      <c r="M158" s="94"/>
      <c r="N158" s="94"/>
      <c r="O158" s="94"/>
      <c r="P158" s="94"/>
      <c r="Q158" s="94"/>
      <c r="R158" s="94"/>
      <c r="S158" s="94"/>
      <c r="T158" s="247">
        <f>RAV!T79 / SUM(RAV!$T$79:$AA$79)</f>
        <v>9.1842855052917005E-2</v>
      </c>
      <c r="U158" s="247">
        <f>RAV!U79 / SUM(RAV!$T$79:$AA$79)</f>
        <v>0.19855112264234173</v>
      </c>
      <c r="V158" s="247">
        <f>RAV!V79 / SUM(RAV!$T$79:$AA$79)</f>
        <v>0.18028752728269556</v>
      </c>
      <c r="W158" s="247">
        <f>RAV!W79 / SUM(RAV!$T$79:$AA$79)</f>
        <v>0.16259491120702821</v>
      </c>
      <c r="X158" s="247">
        <f>RAV!X79 / SUM(RAV!$T$79:$AA$79)</f>
        <v>0.14456339596914175</v>
      </c>
      <c r="Y158" s="247">
        <f>RAV!Y79 / SUM(RAV!$T$79:$AA$79)</f>
        <v>0.11120939351774499</v>
      </c>
      <c r="Z158" s="247">
        <f>RAV!Z79 / SUM(RAV!$T$79:$AA$79)</f>
        <v>7.7935109102158034E-2</v>
      </c>
      <c r="AA158" s="247">
        <f>RAV!AA79 / SUM(RAV!$T$79:$AA$79)</f>
        <v>3.3015685225972938E-2</v>
      </c>
      <c r="AB158" s="24"/>
      <c r="AC158" s="3"/>
      <c r="AD158" s="3"/>
      <c r="AE158" s="3"/>
      <c r="AF158" s="3"/>
      <c r="AG158" s="3"/>
      <c r="AH158" s="3"/>
    </row>
    <row r="159" spans="1:34">
      <c r="A159" s="48"/>
      <c r="B159" s="48"/>
      <c r="C159" s="48"/>
      <c r="D159" s="48"/>
      <c r="E159" s="79"/>
      <c r="F159" s="48"/>
      <c r="G159" s="48"/>
      <c r="H159" s="48"/>
      <c r="I159" s="25"/>
      <c r="J159" s="25"/>
      <c r="K159" s="25"/>
      <c r="L159" s="25"/>
      <c r="M159" s="117"/>
      <c r="N159" s="117"/>
      <c r="O159" s="117"/>
      <c r="P159" s="117"/>
      <c r="Q159" s="117"/>
      <c r="R159" s="117"/>
      <c r="S159" s="117"/>
      <c r="T159" s="117"/>
      <c r="U159" s="117"/>
      <c r="V159" s="117"/>
      <c r="W159" s="117"/>
      <c r="X159" s="117"/>
      <c r="Y159" s="117"/>
      <c r="Z159" s="117"/>
      <c r="AA159" s="117"/>
      <c r="AB159" s="24"/>
      <c r="AC159" s="3"/>
      <c r="AD159" s="3"/>
      <c r="AE159" s="3"/>
      <c r="AF159" s="3"/>
      <c r="AG159" s="3"/>
      <c r="AH159" s="3"/>
    </row>
    <row r="160" spans="1:34">
      <c r="A160" s="48"/>
      <c r="B160" s="48"/>
      <c r="C160" s="48" t="s">
        <v>144</v>
      </c>
      <c r="D160" s="48"/>
      <c r="E160" s="79" t="s">
        <v>63</v>
      </c>
      <c r="F160" s="48" t="s">
        <v>145</v>
      </c>
      <c r="G160" s="49" t="s">
        <v>29</v>
      </c>
      <c r="H160" s="64"/>
      <c r="I160" s="65"/>
      <c r="J160" s="65"/>
      <c r="K160" s="65"/>
      <c r="L160" s="65"/>
      <c r="M160" s="75"/>
      <c r="N160" s="75"/>
      <c r="O160" s="75"/>
      <c r="P160" s="75"/>
      <c r="Q160" s="75"/>
      <c r="R160" s="75"/>
      <c r="S160" s="75"/>
      <c r="T160" s="228"/>
      <c r="U160" s="228"/>
      <c r="V160" s="228"/>
      <c r="W160" s="228"/>
      <c r="X160" s="228"/>
      <c r="Y160" s="228"/>
      <c r="Z160" s="228"/>
      <c r="AA160" s="228"/>
      <c r="AB160" s="24"/>
      <c r="AC160" s="3"/>
      <c r="AD160" s="3"/>
      <c r="AE160" s="3"/>
      <c r="AF160" s="3"/>
      <c r="AG160" s="3"/>
      <c r="AH160" s="3"/>
    </row>
    <row r="161" spans="1:34">
      <c r="A161" s="48"/>
      <c r="B161" s="48"/>
      <c r="C161" s="48" t="s">
        <v>146</v>
      </c>
      <c r="D161" s="48"/>
      <c r="E161" s="79" t="s">
        <v>147</v>
      </c>
      <c r="F161" s="48"/>
      <c r="G161" s="49" t="s">
        <v>89</v>
      </c>
      <c r="H161" s="48"/>
      <c r="I161" s="24"/>
      <c r="J161" s="24"/>
      <c r="K161" s="24"/>
      <c r="L161" s="24"/>
      <c r="M161" s="75"/>
      <c r="N161" s="75"/>
      <c r="O161" s="75"/>
      <c r="P161" s="75"/>
      <c r="Q161" s="75"/>
      <c r="R161" s="75"/>
      <c r="S161" s="75"/>
      <c r="T161" s="249">
        <v>0.25</v>
      </c>
      <c r="U161" s="249">
        <v>0.25</v>
      </c>
      <c r="V161" s="249">
        <v>0.25</v>
      </c>
      <c r="W161" s="249"/>
      <c r="X161" s="249"/>
      <c r="Y161" s="249"/>
      <c r="Z161" s="249"/>
      <c r="AA161" s="249"/>
      <c r="AB161" s="24"/>
      <c r="AC161" s="3"/>
      <c r="AD161" s="3"/>
      <c r="AE161" s="3"/>
      <c r="AF161" s="3"/>
      <c r="AG161" s="3"/>
      <c r="AH161" s="3"/>
    </row>
    <row r="162" spans="1:34">
      <c r="A162" s="48"/>
      <c r="B162" s="48"/>
      <c r="C162" s="48" t="s">
        <v>148</v>
      </c>
      <c r="D162" s="48"/>
      <c r="E162" s="79" t="s">
        <v>63</v>
      </c>
      <c r="F162" s="48"/>
      <c r="G162" s="48" t="s">
        <v>149</v>
      </c>
      <c r="H162" s="48"/>
      <c r="I162" s="24"/>
      <c r="J162" s="24"/>
      <c r="K162" s="24"/>
      <c r="L162" s="24"/>
      <c r="M162" s="75"/>
      <c r="N162" s="75"/>
      <c r="O162" s="75"/>
      <c r="P162" s="75"/>
      <c r="Q162" s="75"/>
      <c r="R162" s="75"/>
      <c r="S162" s="75"/>
      <c r="T162" s="250">
        <v>0</v>
      </c>
      <c r="U162" s="250">
        <v>0</v>
      </c>
      <c r="V162" s="250">
        <v>0</v>
      </c>
      <c r="W162" s="250">
        <v>0</v>
      </c>
      <c r="X162" s="250">
        <v>0</v>
      </c>
      <c r="Y162" s="250">
        <v>0</v>
      </c>
      <c r="Z162" s="250">
        <v>0</v>
      </c>
      <c r="AA162" s="250">
        <v>0</v>
      </c>
      <c r="AB162" s="24"/>
      <c r="AC162" s="3"/>
      <c r="AD162" s="3"/>
      <c r="AE162" s="3"/>
      <c r="AF162" s="3"/>
      <c r="AG162" s="3"/>
      <c r="AH162" s="3"/>
    </row>
    <row r="163" spans="1:34">
      <c r="A163" s="48"/>
      <c r="B163" s="48"/>
      <c r="C163" s="48"/>
      <c r="D163" s="48"/>
      <c r="E163" s="48"/>
      <c r="F163" s="48"/>
      <c r="G163" s="49"/>
      <c r="H163" s="48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3"/>
      <c r="AD163" s="3"/>
      <c r="AE163" s="3"/>
      <c r="AF163" s="3"/>
      <c r="AG163" s="3"/>
      <c r="AH163" s="3"/>
    </row>
    <row r="164" spans="1:34" ht="18">
      <c r="A164" s="97" t="s">
        <v>13</v>
      </c>
      <c r="B164" s="97" t="s">
        <v>5</v>
      </c>
      <c r="C164" s="217"/>
      <c r="D164" s="217"/>
      <c r="E164" s="217"/>
      <c r="F164" s="217"/>
      <c r="G164" s="217"/>
      <c r="H164" s="217"/>
      <c r="I164" s="211"/>
      <c r="J164" s="211"/>
      <c r="K164" s="211"/>
      <c r="L164" s="211"/>
      <c r="M164" s="211"/>
      <c r="N164" s="211"/>
      <c r="O164" s="211"/>
      <c r="P164" s="211"/>
      <c r="Q164" s="211"/>
      <c r="R164" s="211"/>
      <c r="S164" s="211"/>
      <c r="T164" s="211"/>
      <c r="U164" s="211"/>
      <c r="V164" s="211"/>
      <c r="W164" s="211"/>
      <c r="X164" s="211"/>
      <c r="Y164" s="211"/>
      <c r="Z164" s="211"/>
      <c r="AA164" s="211"/>
      <c r="AB164" s="211"/>
      <c r="AC164" s="212"/>
      <c r="AD164" s="212"/>
      <c r="AE164" s="212"/>
      <c r="AF164" s="212"/>
      <c r="AG164" s="212"/>
      <c r="AH164" s="212"/>
    </row>
    <row r="165" spans="1:34">
      <c r="A165" s="48"/>
      <c r="B165" s="48"/>
      <c r="C165" s="48"/>
      <c r="D165" s="48"/>
      <c r="E165" s="48"/>
      <c r="F165" s="48"/>
      <c r="G165" s="48"/>
      <c r="H165" s="48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3"/>
      <c r="AD165" s="3"/>
      <c r="AE165" s="3"/>
      <c r="AF165" s="3"/>
      <c r="AG165" s="3"/>
      <c r="AH165" s="3"/>
    </row>
    <row r="166" spans="1:34">
      <c r="A166" s="48"/>
      <c r="B166" s="48"/>
      <c r="C166" s="48" t="s">
        <v>150</v>
      </c>
      <c r="D166" s="48"/>
      <c r="E166" s="48"/>
      <c r="F166" s="48"/>
      <c r="G166" s="48" t="s">
        <v>151</v>
      </c>
      <c r="H166" s="48"/>
      <c r="I166" s="24"/>
      <c r="J166" s="24"/>
      <c r="K166" s="221">
        <f>SUM(K4:K165)</f>
        <v>0</v>
      </c>
      <c r="L166" s="24"/>
      <c r="M166" s="24"/>
      <c r="N166" s="24"/>
      <c r="O166" s="24"/>
      <c r="P166" s="24"/>
      <c r="Q166" s="24"/>
      <c r="R166" s="24"/>
      <c r="S166" s="24"/>
      <c r="T166" s="72"/>
      <c r="U166" s="72"/>
      <c r="V166" s="72"/>
      <c r="W166" s="72"/>
      <c r="X166" s="72"/>
      <c r="Y166" s="72"/>
      <c r="Z166" s="72"/>
      <c r="AA166" s="72"/>
      <c r="AB166" s="24"/>
      <c r="AC166" s="3"/>
      <c r="AD166" s="3"/>
      <c r="AE166" s="3"/>
      <c r="AF166" s="3"/>
      <c r="AG166" s="3"/>
      <c r="AH166" s="3"/>
    </row>
    <row r="167" spans="1:34">
      <c r="A167" s="48"/>
      <c r="B167" s="48"/>
      <c r="C167" s="48"/>
      <c r="D167" s="48"/>
      <c r="E167" s="48"/>
      <c r="F167" s="48"/>
      <c r="G167" s="48"/>
      <c r="H167" s="48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72"/>
      <c r="U167" s="72"/>
      <c r="V167" s="72"/>
      <c r="W167" s="72"/>
      <c r="X167" s="72"/>
      <c r="Y167" s="72"/>
      <c r="Z167" s="72"/>
      <c r="AA167" s="72"/>
      <c r="AB167" s="24"/>
      <c r="AC167" s="3"/>
      <c r="AD167" s="3"/>
      <c r="AE167" s="3"/>
      <c r="AF167" s="3"/>
      <c r="AG167" s="3"/>
      <c r="AH167" s="3"/>
    </row>
    <row r="168" spans="1:34" ht="18">
      <c r="A168" s="97" t="s">
        <v>13</v>
      </c>
      <c r="B168" s="97" t="s">
        <v>152</v>
      </c>
      <c r="C168" s="188"/>
      <c r="D168" s="188"/>
      <c r="E168" s="188"/>
      <c r="F168" s="188"/>
      <c r="G168" s="188"/>
      <c r="H168" s="188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212"/>
      <c r="AD168" s="212"/>
      <c r="AE168" s="212"/>
      <c r="AF168" s="212"/>
      <c r="AG168" s="212"/>
      <c r="AH168" s="212"/>
    </row>
  </sheetData>
  <dataValidations count="2">
    <dataValidation type="list" allowBlank="1" showInputMessage="1" showErrorMessage="1" promptTitle="Year t" prompt="Before moving to the next year, ensure all relevant values are saved on the 'Saved results' sheet." sqref="I17" xr:uid="{6357CC86-3705-468C-B330-09C665CBE4C5}">
      <formula1>$U$6:$AA$6</formula1>
    </dataValidation>
    <dataValidation type="whole" allowBlank="1" showInputMessage="1" showErrorMessage="1" errorTitle="Input error" error="Value must be 0 or 1" promptTitle="CT Exempt Flag" prompt="1 = Exempt; 0 = Not exempt" sqref="T162:AA162" xr:uid="{91E1B5A2-CECA-4B7F-805D-7635CC33717A}">
      <formula1>0</formula1>
      <formula2>1</formula2>
    </dataValidation>
  </dataValidations>
  <pageMargins left="0.7" right="0.7" top="0.75" bottom="0.75" header="0.3" footer="0.3"/>
  <pageSetup paperSize="9" orientation="portrait" r:id="rId1"/>
  <headerFooter>
    <oddHeader>&amp;L&amp;"Poppins"&amp;12&amp;KFF00FF Public&amp;1#_x000D_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831533-DFA0-404C-895A-FC2F4FBCDD08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BA0D1EDD-E61D-4A7D-AC3A-CF9CAD246ED9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A8:AH8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8441-0D5C-4CA8-9926-251821AEA276}">
  <sheetPr codeName="Sheet2">
    <tabColor rgb="FFFFA78B"/>
  </sheetPr>
  <dimension ref="A1:AH118"/>
  <sheetViews>
    <sheetView showGridLines="0" zoomScale="70" zoomScaleNormal="70" workbookViewId="0">
      <pane xSplit="12" ySplit="10" topLeftCell="T13" activePane="bottomRight" state="frozen"/>
      <selection pane="topRight" activeCell="N47" sqref="N47"/>
      <selection pane="bottomLeft" activeCell="N47" sqref="N47"/>
      <selection pane="bottomRight" activeCell="V94" sqref="V94"/>
    </sheetView>
  </sheetViews>
  <sheetFormatPr defaultColWidth="0" defaultRowHeight="14" outlineLevelCol="1"/>
  <cols>
    <col min="1" max="3" width="2.5" style="21" customWidth="1"/>
    <col min="4" max="4" width="55.5" style="21" customWidth="1"/>
    <col min="5" max="5" width="25.5" style="21" customWidth="1"/>
    <col min="6" max="7" width="20.5" style="21" customWidth="1"/>
    <col min="8" max="8" width="2.5" style="21" customWidth="1"/>
    <col min="9" max="9" width="12.5" style="23" customWidth="1"/>
    <col min="10" max="10" width="2.5" style="3" customWidth="1"/>
    <col min="11" max="11" width="12.5" style="3" customWidth="1"/>
    <col min="12" max="12" width="2.5" style="3" customWidth="1"/>
    <col min="13" max="19" width="12.5" style="3" customWidth="1" outlineLevel="1"/>
    <col min="20" max="27" width="12.5" style="3" customWidth="1"/>
    <col min="28" max="28" width="2.5" style="3" customWidth="1"/>
    <col min="29" max="34" width="0" style="3" hidden="1" customWidth="1"/>
    <col min="35" max="16384" width="9.5" style="3" hidden="1"/>
  </cols>
  <sheetData>
    <row r="1" spans="1:28" s="11" customFormat="1" ht="23">
      <c r="A1" s="109"/>
      <c r="B1" s="109" t="str" cm="1">
        <f t="array" aca="1" ref="B1" ca="1">MID(CELL("filename", A1), FIND("]", CELL("filename", A1)) + 1, 255)</f>
        <v>Indexation</v>
      </c>
      <c r="C1" s="109"/>
      <c r="D1" s="109"/>
      <c r="E1" s="109"/>
      <c r="F1" s="109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>
      <c r="A2" s="48"/>
      <c r="B2" s="49"/>
      <c r="C2" s="49"/>
      <c r="D2" s="48"/>
      <c r="E2" s="48"/>
      <c r="F2" s="48"/>
      <c r="G2" s="50"/>
      <c r="H2" s="50"/>
      <c r="I2" s="152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73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13" customFormat="1" ht="14.5" customHeight="1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153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s="13" customFormat="1" ht="14.5" customHeight="1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153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s="13" customFormat="1" ht="14.5" customHeight="1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153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70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152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>
      <c r="A9" s="48"/>
      <c r="B9" s="49"/>
      <c r="C9" s="49"/>
      <c r="D9" s="48"/>
      <c r="E9" s="48"/>
      <c r="F9" s="48"/>
      <c r="G9" s="50"/>
      <c r="H9" s="50"/>
      <c r="I9" s="152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1" customFormat="1" ht="23">
      <c r="A10" s="109"/>
      <c r="B10" s="109" t="str">
        <f>Project_Name</f>
        <v>NESO Financial Model</v>
      </c>
      <c r="C10" s="109"/>
      <c r="D10" s="109"/>
      <c r="E10" s="109"/>
      <c r="F10" s="109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customFormat="1">
      <c r="A11" s="48"/>
      <c r="B11" s="48"/>
      <c r="C11" s="48"/>
      <c r="D11" s="48"/>
      <c r="E11" s="48"/>
      <c r="F11" s="48"/>
      <c r="G11" s="48"/>
      <c r="H11" s="48"/>
      <c r="I11" s="70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7" customFormat="1" ht="18">
      <c r="A12" s="97" t="s">
        <v>13</v>
      </c>
      <c r="B12" s="97" t="s">
        <v>153</v>
      </c>
      <c r="C12" s="217"/>
      <c r="D12" s="217"/>
      <c r="E12" s="217"/>
      <c r="F12" s="217"/>
      <c r="G12" s="217"/>
      <c r="H12" s="217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</row>
    <row r="13" spans="1:28" customFormat="1">
      <c r="A13" s="48"/>
      <c r="B13" s="48"/>
      <c r="C13" s="48"/>
      <c r="D13" s="48"/>
      <c r="E13" s="48"/>
      <c r="F13" s="48"/>
      <c r="G13" s="48"/>
      <c r="H13" s="48"/>
      <c r="I13" s="70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customFormat="1" ht="14.5">
      <c r="A14" s="48"/>
      <c r="B14" s="206" t="s">
        <v>154</v>
      </c>
      <c r="C14" s="48"/>
      <c r="D14" s="48"/>
      <c r="E14" s="48"/>
      <c r="F14" s="48"/>
      <c r="G14" s="48"/>
      <c r="H14" s="48"/>
      <c r="I14" s="70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customFormat="1">
      <c r="A15" s="48"/>
      <c r="B15" s="48"/>
      <c r="C15" s="48"/>
      <c r="D15" s="48"/>
      <c r="E15" s="48"/>
      <c r="F15" s="48"/>
      <c r="G15" s="48"/>
      <c r="H15" s="48"/>
      <c r="I15" s="70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customFormat="1">
      <c r="A16" s="48"/>
      <c r="B16" s="48"/>
      <c r="C16" s="48" t="str">
        <f>Inputs!C$89</f>
        <v>Legacy Combined RPI-CPIH price index (regulatory year average)</v>
      </c>
      <c r="D16" s="48"/>
      <c r="E16" s="48"/>
      <c r="F16" s="48" t="str">
        <f>Inputs!F$89</f>
        <v>PIₜ</v>
      </c>
      <c r="G16" s="48" t="str">
        <f>Inputs!G$89</f>
        <v>1987 = 100</v>
      </c>
      <c r="H16" s="48"/>
      <c r="I16" s="70"/>
      <c r="J16" s="24"/>
      <c r="K16" s="24"/>
      <c r="L16" s="24" t="s">
        <v>68</v>
      </c>
      <c r="M16" s="251">
        <f>Inputs!M$89</f>
        <v>274.90833333333336</v>
      </c>
      <c r="N16" s="251">
        <f>Inputs!N$89</f>
        <v>283.30833333333334</v>
      </c>
      <c r="O16" s="251">
        <f>Inputs!O$89</f>
        <v>290.64166666666665</v>
      </c>
      <c r="P16" s="251">
        <f>Inputs!P$89</f>
        <v>294.16666666666669</v>
      </c>
      <c r="Q16" s="251">
        <f>Inputs!Q$89</f>
        <v>307.32821397646848</v>
      </c>
      <c r="R16" s="251">
        <f>Inputs!R$89</f>
        <v>334.29358180068937</v>
      </c>
      <c r="S16" s="251">
        <f>Inputs!S$89</f>
        <v>352.83651735739545</v>
      </c>
      <c r="T16" s="128"/>
      <c r="U16" s="128"/>
      <c r="V16" s="128"/>
      <c r="W16" s="128"/>
      <c r="X16" s="128"/>
      <c r="Y16" s="128"/>
      <c r="Z16" s="128"/>
      <c r="AA16" s="128"/>
      <c r="AB16" s="24"/>
    </row>
    <row r="17" spans="1:28">
      <c r="A17" s="48"/>
      <c r="B17" s="48"/>
      <c r="C17" s="48" t="str">
        <f>Inputs!C90</f>
        <v>Legacy Combined RPI-CPIH price index (March 2024)</v>
      </c>
      <c r="D17" s="48"/>
      <c r="E17" s="48"/>
      <c r="F17" s="48" t="str">
        <f>Inputs!F90</f>
        <v>PI₀₃₋₂₀₂₄</v>
      </c>
      <c r="G17" s="48" t="str">
        <f>Inputs!G90</f>
        <v>1987 = 100</v>
      </c>
      <c r="H17" s="48"/>
      <c r="I17" s="252">
        <f>Inputs!I90</f>
        <v>357.54583432417797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>
      <c r="A18" s="48"/>
      <c r="B18" s="48"/>
      <c r="C18" s="48"/>
      <c r="D18" s="48"/>
      <c r="E18" s="48"/>
      <c r="F18" s="48"/>
      <c r="G18" s="48"/>
      <c r="H18" s="48"/>
      <c r="I18" s="70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>
      <c r="A19" s="48"/>
      <c r="B19" s="48"/>
      <c r="C19" s="51" t="str">
        <f>Inputs!C94</f>
        <v>CPIH INDEX 00: ALL ITEMS, by month</v>
      </c>
      <c r="D19" s="48"/>
      <c r="E19" s="48"/>
      <c r="F19" s="48"/>
      <c r="G19" s="48"/>
      <c r="H19" s="48"/>
      <c r="I19" s="70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>
      <c r="A20" s="48"/>
      <c r="B20" s="48"/>
      <c r="C20" s="48"/>
      <c r="D20" s="214" t="str">
        <f>Inputs!D95</f>
        <v>Apr</v>
      </c>
      <c r="E20" s="214"/>
      <c r="F20" s="214" t="str">
        <f>Inputs!F95</f>
        <v>CPIHₘ</v>
      </c>
      <c r="G20" s="214" t="str">
        <f>Inputs!G95</f>
        <v>2015 = 100</v>
      </c>
      <c r="H20" s="214"/>
      <c r="I20" s="253"/>
      <c r="J20" s="215"/>
      <c r="K20" s="215"/>
      <c r="L20" s="215"/>
      <c r="M20" s="254"/>
      <c r="N20" s="254"/>
      <c r="O20" s="254"/>
      <c r="P20" s="254"/>
      <c r="Q20" s="254"/>
      <c r="R20" s="254"/>
      <c r="S20" s="254"/>
      <c r="T20" s="255">
        <f>Inputs!T95</f>
        <v>132.19999999999999</v>
      </c>
      <c r="U20" s="255">
        <f>Inputs!U95</f>
        <v>137.69999999999999</v>
      </c>
      <c r="V20" s="255">
        <f>Inputs!V95</f>
        <v>0</v>
      </c>
      <c r="W20" s="255">
        <f>Inputs!W95</f>
        <v>0</v>
      </c>
      <c r="X20" s="255">
        <f>Inputs!X95</f>
        <v>0</v>
      </c>
      <c r="Y20" s="255">
        <f>Inputs!Y95</f>
        <v>0</v>
      </c>
      <c r="Z20" s="255">
        <f>Inputs!Z95</f>
        <v>0</v>
      </c>
      <c r="AA20" s="255">
        <f>Inputs!AA95</f>
        <v>0</v>
      </c>
      <c r="AB20" s="24"/>
    </row>
    <row r="21" spans="1:28">
      <c r="A21" s="48"/>
      <c r="B21" s="48"/>
      <c r="C21" s="48"/>
      <c r="D21" s="64" t="str">
        <f>Inputs!D96</f>
        <v>May</v>
      </c>
      <c r="E21" s="64"/>
      <c r="F21" s="64" t="str">
        <f>Inputs!F96</f>
        <v>CPIHₘ</v>
      </c>
      <c r="G21" s="64" t="str">
        <f>Inputs!G96</f>
        <v>2015 = 100</v>
      </c>
      <c r="H21" s="64"/>
      <c r="I21" s="154"/>
      <c r="J21" s="65"/>
      <c r="K21" s="65"/>
      <c r="L21" s="65"/>
      <c r="M21" s="128"/>
      <c r="N21" s="128"/>
      <c r="O21" s="128"/>
      <c r="P21" s="128"/>
      <c r="Q21" s="128"/>
      <c r="R21" s="128"/>
      <c r="S21" s="128"/>
      <c r="T21" s="256">
        <f>Inputs!T96</f>
        <v>132.69999999999999</v>
      </c>
      <c r="U21" s="256">
        <f>Inputs!U96</f>
        <v>138</v>
      </c>
      <c r="V21" s="256">
        <f>Inputs!V96</f>
        <v>0</v>
      </c>
      <c r="W21" s="256">
        <f>Inputs!W96</f>
        <v>0</v>
      </c>
      <c r="X21" s="256">
        <f>Inputs!X96</f>
        <v>0</v>
      </c>
      <c r="Y21" s="256">
        <f>Inputs!Y96</f>
        <v>0</v>
      </c>
      <c r="Z21" s="256">
        <f>Inputs!Z96</f>
        <v>0</v>
      </c>
      <c r="AA21" s="256">
        <f>Inputs!AA96</f>
        <v>0</v>
      </c>
      <c r="AB21" s="24"/>
    </row>
    <row r="22" spans="1:28">
      <c r="A22" s="48"/>
      <c r="B22" s="48"/>
      <c r="C22" s="48"/>
      <c r="D22" s="64" t="str">
        <f>Inputs!D97</f>
        <v>Jun</v>
      </c>
      <c r="E22" s="64"/>
      <c r="F22" s="64" t="str">
        <f>Inputs!F97</f>
        <v>CPIHₘ</v>
      </c>
      <c r="G22" s="64" t="str">
        <f>Inputs!G97</f>
        <v>2015 = 100</v>
      </c>
      <c r="H22" s="64"/>
      <c r="I22" s="154"/>
      <c r="J22" s="65"/>
      <c r="K22" s="65"/>
      <c r="L22" s="65"/>
      <c r="M22" s="128"/>
      <c r="N22" s="128"/>
      <c r="O22" s="128"/>
      <c r="P22" s="128"/>
      <c r="Q22" s="128"/>
      <c r="R22" s="128"/>
      <c r="S22" s="128"/>
      <c r="T22" s="256">
        <f>Inputs!T97</f>
        <v>133</v>
      </c>
      <c r="U22" s="256">
        <f>Inputs!U97</f>
        <v>138.4</v>
      </c>
      <c r="V22" s="256">
        <f>Inputs!V97</f>
        <v>0</v>
      </c>
      <c r="W22" s="256">
        <f>Inputs!W97</f>
        <v>0</v>
      </c>
      <c r="X22" s="256">
        <f>Inputs!X97</f>
        <v>0</v>
      </c>
      <c r="Y22" s="256">
        <f>Inputs!Y97</f>
        <v>0</v>
      </c>
      <c r="Z22" s="256">
        <f>Inputs!Z97</f>
        <v>0</v>
      </c>
      <c r="AA22" s="256">
        <f>Inputs!AA97</f>
        <v>0</v>
      </c>
      <c r="AB22" s="24"/>
    </row>
    <row r="23" spans="1:28">
      <c r="A23" s="48"/>
      <c r="B23" s="48"/>
      <c r="C23" s="48"/>
      <c r="D23" s="64" t="str">
        <f>Inputs!D98</f>
        <v>Jul</v>
      </c>
      <c r="E23" s="64"/>
      <c r="F23" s="64" t="str">
        <f>Inputs!F98</f>
        <v>CPIHₘ</v>
      </c>
      <c r="G23" s="64" t="str">
        <f>Inputs!G98</f>
        <v>2015 = 100</v>
      </c>
      <c r="H23" s="64"/>
      <c r="I23" s="154"/>
      <c r="J23" s="65"/>
      <c r="K23" s="65"/>
      <c r="L23" s="65"/>
      <c r="M23" s="128"/>
      <c r="N23" s="128"/>
      <c r="O23" s="128"/>
      <c r="P23" s="128"/>
      <c r="Q23" s="128"/>
      <c r="R23" s="128"/>
      <c r="S23" s="128"/>
      <c r="T23" s="256">
        <f>Inputs!T98</f>
        <v>132.9</v>
      </c>
      <c r="U23" s="256">
        <f>Inputs!U98</f>
        <v>138.5</v>
      </c>
      <c r="V23" s="256">
        <f>Inputs!V98</f>
        <v>0</v>
      </c>
      <c r="W23" s="256">
        <f>Inputs!W98</f>
        <v>0</v>
      </c>
      <c r="X23" s="256">
        <f>Inputs!X98</f>
        <v>0</v>
      </c>
      <c r="Y23" s="256">
        <f>Inputs!Y98</f>
        <v>0</v>
      </c>
      <c r="Z23" s="256">
        <f>Inputs!Z98</f>
        <v>0</v>
      </c>
      <c r="AA23" s="256">
        <f>Inputs!AA98</f>
        <v>0</v>
      </c>
      <c r="AB23" s="24"/>
    </row>
    <row r="24" spans="1:28">
      <c r="A24" s="48"/>
      <c r="B24" s="48"/>
      <c r="C24" s="48"/>
      <c r="D24" s="64" t="str">
        <f>Inputs!D99</f>
        <v>Aug</v>
      </c>
      <c r="E24" s="64"/>
      <c r="F24" s="64" t="str">
        <f>Inputs!F99</f>
        <v>CPIHₘ</v>
      </c>
      <c r="G24" s="64" t="str">
        <f>Inputs!G99</f>
        <v>2015 = 100</v>
      </c>
      <c r="H24" s="64"/>
      <c r="I24" s="154"/>
      <c r="J24" s="65"/>
      <c r="K24" s="65"/>
      <c r="L24" s="65"/>
      <c r="M24" s="128"/>
      <c r="N24" s="128"/>
      <c r="O24" s="128"/>
      <c r="P24" s="128"/>
      <c r="Q24" s="128"/>
      <c r="R24" s="128"/>
      <c r="S24" s="128"/>
      <c r="T24" s="256">
        <f>Inputs!T99</f>
        <v>133.4</v>
      </c>
      <c r="U24" s="256">
        <f>Inputs!U99</f>
        <v>138.9</v>
      </c>
      <c r="V24" s="256">
        <f>Inputs!V99</f>
        <v>0</v>
      </c>
      <c r="W24" s="256">
        <f>Inputs!W99</f>
        <v>0</v>
      </c>
      <c r="X24" s="256">
        <f>Inputs!X99</f>
        <v>0</v>
      </c>
      <c r="Y24" s="256">
        <f>Inputs!Y99</f>
        <v>0</v>
      </c>
      <c r="Z24" s="256">
        <f>Inputs!Z99</f>
        <v>0</v>
      </c>
      <c r="AA24" s="256">
        <f>Inputs!AA99</f>
        <v>0</v>
      </c>
      <c r="AB24" s="24"/>
    </row>
    <row r="25" spans="1:28">
      <c r="A25" s="48"/>
      <c r="B25" s="48"/>
      <c r="C25" s="48"/>
      <c r="D25" s="64" t="str">
        <f>Inputs!D100</f>
        <v>Sep</v>
      </c>
      <c r="E25" s="64"/>
      <c r="F25" s="64" t="str">
        <f>Inputs!F100</f>
        <v>CPIHₘ</v>
      </c>
      <c r="G25" s="64" t="str">
        <f>Inputs!G100</f>
        <v>2015 = 100</v>
      </c>
      <c r="H25" s="64"/>
      <c r="I25" s="154"/>
      <c r="J25" s="65"/>
      <c r="K25" s="65"/>
      <c r="L25" s="65"/>
      <c r="M25" s="128"/>
      <c r="N25" s="128"/>
      <c r="O25" s="128"/>
      <c r="P25" s="128"/>
      <c r="Q25" s="128"/>
      <c r="R25" s="128"/>
      <c r="S25" s="128"/>
      <c r="T25" s="256">
        <f>Inputs!T100</f>
        <v>133.5</v>
      </c>
      <c r="U25" s="256">
        <f>Inputs!U100</f>
        <v>138.9</v>
      </c>
      <c r="V25" s="256">
        <f>Inputs!V100</f>
        <v>0</v>
      </c>
      <c r="W25" s="256">
        <f>Inputs!W100</f>
        <v>0</v>
      </c>
      <c r="X25" s="256">
        <f>Inputs!X100</f>
        <v>0</v>
      </c>
      <c r="Y25" s="256">
        <f>Inputs!Y100</f>
        <v>0</v>
      </c>
      <c r="Z25" s="256">
        <f>Inputs!Z100</f>
        <v>0</v>
      </c>
      <c r="AA25" s="256">
        <f>Inputs!AA100</f>
        <v>0</v>
      </c>
      <c r="AB25" s="24"/>
    </row>
    <row r="26" spans="1:28">
      <c r="A26" s="48"/>
      <c r="B26" s="48"/>
      <c r="C26" s="48"/>
      <c r="D26" s="64" t="str">
        <f>Inputs!D101</f>
        <v>Oct</v>
      </c>
      <c r="E26" s="64"/>
      <c r="F26" s="64" t="str">
        <f>Inputs!F101</f>
        <v>CPIHₘ</v>
      </c>
      <c r="G26" s="64" t="str">
        <f>Inputs!G101</f>
        <v>2015 = 100</v>
      </c>
      <c r="H26" s="64"/>
      <c r="I26" s="154"/>
      <c r="J26" s="65"/>
      <c r="K26" s="65"/>
      <c r="L26" s="65"/>
      <c r="M26" s="128"/>
      <c r="N26" s="128"/>
      <c r="O26" s="128"/>
      <c r="P26" s="128"/>
      <c r="Q26" s="128"/>
      <c r="R26" s="128"/>
      <c r="S26" s="128"/>
      <c r="T26" s="256">
        <f>Inputs!T101</f>
        <v>134.30000000000001</v>
      </c>
      <c r="U26" s="256">
        <f>Inputs!U101</f>
        <v>139.5</v>
      </c>
      <c r="V26" s="256">
        <f>Inputs!V101</f>
        <v>0</v>
      </c>
      <c r="W26" s="256">
        <f>Inputs!W101</f>
        <v>0</v>
      </c>
      <c r="X26" s="256">
        <f>Inputs!X101</f>
        <v>0</v>
      </c>
      <c r="Y26" s="256">
        <f>Inputs!Y101</f>
        <v>0</v>
      </c>
      <c r="Z26" s="256">
        <f>Inputs!Z101</f>
        <v>0</v>
      </c>
      <c r="AA26" s="256">
        <f>Inputs!AA101</f>
        <v>0</v>
      </c>
      <c r="AB26" s="24"/>
    </row>
    <row r="27" spans="1:28">
      <c r="A27" s="48"/>
      <c r="B27" s="48"/>
      <c r="C27" s="48"/>
      <c r="D27" s="64" t="str">
        <f>Inputs!D102</f>
        <v>Nov</v>
      </c>
      <c r="E27" s="64"/>
      <c r="F27" s="64" t="str">
        <f>Inputs!F102</f>
        <v>CPIHₘ</v>
      </c>
      <c r="G27" s="64" t="str">
        <f>Inputs!G102</f>
        <v>2015 = 100</v>
      </c>
      <c r="H27" s="64"/>
      <c r="I27" s="154"/>
      <c r="J27" s="65"/>
      <c r="K27" s="65"/>
      <c r="L27" s="65"/>
      <c r="M27" s="128"/>
      <c r="N27" s="128"/>
      <c r="O27" s="128"/>
      <c r="P27" s="128"/>
      <c r="Q27" s="128"/>
      <c r="R27" s="128"/>
      <c r="S27" s="128"/>
      <c r="T27" s="256">
        <f>Inputs!T102</f>
        <v>134.6</v>
      </c>
      <c r="U27" s="256">
        <f>Inputs!U102</f>
        <v>0</v>
      </c>
      <c r="V27" s="256">
        <f>Inputs!V102</f>
        <v>0</v>
      </c>
      <c r="W27" s="256">
        <f>Inputs!W102</f>
        <v>0</v>
      </c>
      <c r="X27" s="256">
        <f>Inputs!X102</f>
        <v>0</v>
      </c>
      <c r="Y27" s="256">
        <f>Inputs!Y102</f>
        <v>0</v>
      </c>
      <c r="Z27" s="256">
        <f>Inputs!Z102</f>
        <v>0</v>
      </c>
      <c r="AA27" s="256">
        <f>Inputs!AA102</f>
        <v>0</v>
      </c>
      <c r="AB27" s="24"/>
    </row>
    <row r="28" spans="1:28">
      <c r="A28" s="48"/>
      <c r="B28" s="48"/>
      <c r="C28" s="48"/>
      <c r="D28" s="64" t="str">
        <f>Inputs!D103</f>
        <v>Dec</v>
      </c>
      <c r="E28" s="64"/>
      <c r="F28" s="64" t="str">
        <f>Inputs!F103</f>
        <v>CPIHₘ</v>
      </c>
      <c r="G28" s="64" t="str">
        <f>Inputs!G103</f>
        <v>2015 = 100</v>
      </c>
      <c r="H28" s="64"/>
      <c r="I28" s="154"/>
      <c r="J28" s="65"/>
      <c r="K28" s="65"/>
      <c r="L28" s="65"/>
      <c r="M28" s="128"/>
      <c r="N28" s="128"/>
      <c r="O28" s="128"/>
      <c r="P28" s="128"/>
      <c r="Q28" s="128"/>
      <c r="R28" s="128"/>
      <c r="S28" s="128"/>
      <c r="T28" s="256">
        <f>Inputs!T103</f>
        <v>135.1</v>
      </c>
      <c r="U28" s="256">
        <f>Inputs!U103</f>
        <v>0</v>
      </c>
      <c r="V28" s="256">
        <f>Inputs!V103</f>
        <v>0</v>
      </c>
      <c r="W28" s="256">
        <f>Inputs!W103</f>
        <v>0</v>
      </c>
      <c r="X28" s="256">
        <f>Inputs!X103</f>
        <v>0</v>
      </c>
      <c r="Y28" s="256">
        <f>Inputs!Y103</f>
        <v>0</v>
      </c>
      <c r="Z28" s="256">
        <f>Inputs!Z103</f>
        <v>0</v>
      </c>
      <c r="AA28" s="256">
        <f>Inputs!AA103</f>
        <v>0</v>
      </c>
      <c r="AB28" s="24"/>
    </row>
    <row r="29" spans="1:28">
      <c r="A29" s="48"/>
      <c r="B29" s="48"/>
      <c r="C29" s="48"/>
      <c r="D29" s="64" t="str">
        <f>Inputs!D104</f>
        <v>Jan</v>
      </c>
      <c r="E29" s="64"/>
      <c r="F29" s="64" t="str">
        <f>Inputs!F104</f>
        <v>CPIHₘ</v>
      </c>
      <c r="G29" s="64" t="str">
        <f>Inputs!G104</f>
        <v>2015 = 100</v>
      </c>
      <c r="H29" s="64"/>
      <c r="I29" s="154"/>
      <c r="J29" s="65"/>
      <c r="K29" s="65"/>
      <c r="L29" s="65"/>
      <c r="M29" s="128"/>
      <c r="N29" s="128"/>
      <c r="O29" s="128"/>
      <c r="P29" s="128"/>
      <c r="Q29" s="128"/>
      <c r="R29" s="128"/>
      <c r="S29" s="128"/>
      <c r="T29" s="256">
        <f>Inputs!T104</f>
        <v>135.1</v>
      </c>
      <c r="U29" s="256">
        <f>Inputs!U104</f>
        <v>0</v>
      </c>
      <c r="V29" s="256">
        <f>Inputs!V104</f>
        <v>0</v>
      </c>
      <c r="W29" s="256">
        <f>Inputs!W104</f>
        <v>0</v>
      </c>
      <c r="X29" s="256">
        <f>Inputs!X104</f>
        <v>0</v>
      </c>
      <c r="Y29" s="256">
        <f>Inputs!Y104</f>
        <v>0</v>
      </c>
      <c r="Z29" s="256">
        <f>Inputs!Z104</f>
        <v>0</v>
      </c>
      <c r="AA29" s="256">
        <f>Inputs!AA104</f>
        <v>0</v>
      </c>
      <c r="AB29" s="24"/>
    </row>
    <row r="30" spans="1:28">
      <c r="A30" s="48"/>
      <c r="B30" s="48"/>
      <c r="C30" s="48"/>
      <c r="D30" s="64" t="str">
        <f>Inputs!D105</f>
        <v>Feb</v>
      </c>
      <c r="E30" s="64"/>
      <c r="F30" s="64" t="str">
        <f>Inputs!F105</f>
        <v>CPIHₘ</v>
      </c>
      <c r="G30" s="64" t="str">
        <f>Inputs!G105</f>
        <v>2015 = 100</v>
      </c>
      <c r="H30" s="64"/>
      <c r="I30" s="154"/>
      <c r="J30" s="65"/>
      <c r="K30" s="65"/>
      <c r="L30" s="65"/>
      <c r="M30" s="128"/>
      <c r="N30" s="128"/>
      <c r="O30" s="128"/>
      <c r="P30" s="128"/>
      <c r="Q30" s="128"/>
      <c r="R30" s="128"/>
      <c r="S30" s="128"/>
      <c r="T30" s="256">
        <f>Inputs!T105</f>
        <v>135.6</v>
      </c>
      <c r="U30" s="256">
        <f>Inputs!U105</f>
        <v>0</v>
      </c>
      <c r="V30" s="256">
        <f>Inputs!V105</f>
        <v>0</v>
      </c>
      <c r="W30" s="256">
        <f>Inputs!W105</f>
        <v>0</v>
      </c>
      <c r="X30" s="256">
        <f>Inputs!X105</f>
        <v>0</v>
      </c>
      <c r="Y30" s="256">
        <f>Inputs!Y105</f>
        <v>0</v>
      </c>
      <c r="Z30" s="256">
        <f>Inputs!Z105</f>
        <v>0</v>
      </c>
      <c r="AA30" s="256">
        <f>Inputs!AA105</f>
        <v>0</v>
      </c>
      <c r="AB30" s="24"/>
    </row>
    <row r="31" spans="1:28">
      <c r="A31" s="48"/>
      <c r="B31" s="48"/>
      <c r="C31" s="48"/>
      <c r="D31" s="67" t="str">
        <f>Inputs!D106</f>
        <v>Mar</v>
      </c>
      <c r="E31" s="67"/>
      <c r="F31" s="67" t="str">
        <f>Inputs!F106</f>
        <v>CPIHₘ</v>
      </c>
      <c r="G31" s="67" t="str">
        <f>Inputs!G106</f>
        <v>2015 = 100</v>
      </c>
      <c r="H31" s="67"/>
      <c r="I31" s="155"/>
      <c r="J31" s="68"/>
      <c r="K31" s="68"/>
      <c r="L31" s="68" t="s">
        <v>68</v>
      </c>
      <c r="M31" s="129"/>
      <c r="N31" s="129"/>
      <c r="O31" s="129"/>
      <c r="P31" s="129"/>
      <c r="Q31" s="129"/>
      <c r="R31" s="129"/>
      <c r="S31" s="257">
        <f>Inputs!S106</f>
        <v>131.6</v>
      </c>
      <c r="T31" s="257">
        <f>Inputs!T106</f>
        <v>136.1</v>
      </c>
      <c r="U31" s="257">
        <f>Inputs!U106</f>
        <v>0</v>
      </c>
      <c r="V31" s="257">
        <f>Inputs!V106</f>
        <v>0</v>
      </c>
      <c r="W31" s="257">
        <f>Inputs!W106</f>
        <v>0</v>
      </c>
      <c r="X31" s="257">
        <f>Inputs!X106</f>
        <v>0</v>
      </c>
      <c r="Y31" s="257">
        <f>Inputs!Y106</f>
        <v>0</v>
      </c>
      <c r="Z31" s="257">
        <f>Inputs!Z106</f>
        <v>0</v>
      </c>
      <c r="AA31" s="257">
        <f>Inputs!AA106</f>
        <v>0</v>
      </c>
      <c r="AB31" s="24"/>
    </row>
    <row r="32" spans="1:28">
      <c r="A32" s="48"/>
      <c r="B32" s="48"/>
      <c r="C32" s="48"/>
      <c r="D32" s="48"/>
      <c r="E32" s="48"/>
      <c r="F32" s="48"/>
      <c r="G32" s="48"/>
      <c r="H32" s="48"/>
      <c r="I32" s="70"/>
      <c r="J32" s="24"/>
      <c r="K32" s="24"/>
      <c r="L32" s="24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24"/>
    </row>
    <row r="33" spans="1:28" ht="18">
      <c r="A33" s="97" t="s">
        <v>13</v>
      </c>
      <c r="B33" s="97" t="s">
        <v>155</v>
      </c>
      <c r="C33" s="217"/>
      <c r="D33" s="217"/>
      <c r="E33" s="217"/>
      <c r="F33" s="217"/>
      <c r="G33" s="217"/>
      <c r="H33" s="217"/>
      <c r="I33" s="218"/>
      <c r="J33" s="218"/>
      <c r="K33" s="218"/>
      <c r="L33" s="218"/>
      <c r="M33" s="218"/>
      <c r="N33" s="218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18"/>
      <c r="Z33" s="218"/>
      <c r="AA33" s="218"/>
      <c r="AB33" s="218"/>
    </row>
    <row r="34" spans="1:28">
      <c r="A34" s="48"/>
      <c r="B34" s="48"/>
      <c r="C34" s="48"/>
      <c r="D34" s="48"/>
      <c r="E34" s="48"/>
      <c r="F34" s="48"/>
      <c r="G34" s="48"/>
      <c r="H34" s="48"/>
      <c r="I34" s="70"/>
      <c r="J34" s="24"/>
      <c r="K34" s="24"/>
      <c r="L34" s="24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24"/>
    </row>
    <row r="35" spans="1:28" ht="14.5">
      <c r="A35" s="48"/>
      <c r="B35" s="206" t="s">
        <v>156</v>
      </c>
      <c r="C35" s="48"/>
      <c r="D35" s="48"/>
      <c r="E35" s="48"/>
      <c r="F35" s="48"/>
      <c r="G35" s="48"/>
      <c r="H35" s="48"/>
      <c r="I35" s="70"/>
      <c r="J35" s="24"/>
      <c r="K35" s="24"/>
      <c r="L35" s="24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24"/>
    </row>
    <row r="36" spans="1:28">
      <c r="A36" s="48"/>
      <c r="B36" s="48"/>
      <c r="C36" s="48"/>
      <c r="D36" s="48"/>
      <c r="E36" s="48"/>
      <c r="F36" s="48"/>
      <c r="G36" s="48"/>
      <c r="H36" s="48"/>
      <c r="I36" s="70"/>
      <c r="J36" s="24"/>
      <c r="K36" s="24"/>
      <c r="L36" s="24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24"/>
    </row>
    <row r="37" spans="1:28">
      <c r="A37" s="48"/>
      <c r="B37" s="48"/>
      <c r="C37" s="51" t="str">
        <f>Inputs!C110</f>
        <v>OBR CPI estimates, by calendar year ending</v>
      </c>
      <c r="D37" s="48"/>
      <c r="E37" s="48"/>
      <c r="F37" s="48"/>
      <c r="G37" s="48"/>
      <c r="H37" s="48"/>
      <c r="I37" s="70"/>
      <c r="J37" s="24"/>
      <c r="K37" s="24"/>
      <c r="L37" s="24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24"/>
    </row>
    <row r="38" spans="1:28">
      <c r="A38" s="48"/>
      <c r="B38" s="48"/>
      <c r="C38" s="48"/>
      <c r="D38" s="258">
        <f>Inputs!D111</f>
        <v>46022</v>
      </c>
      <c r="E38" s="214"/>
      <c r="F38" s="214"/>
      <c r="G38" s="214" t="str">
        <f>Inputs!G111</f>
        <v>pp</v>
      </c>
      <c r="H38" s="214"/>
      <c r="I38" s="259">
        <f>Inputs!I111</f>
        <v>3.4527688414550228</v>
      </c>
      <c r="J38" s="24"/>
      <c r="K38" s="24"/>
      <c r="L38" s="24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24"/>
    </row>
    <row r="39" spans="1:28">
      <c r="A39" s="48"/>
      <c r="B39" s="48"/>
      <c r="C39" s="48"/>
      <c r="D39" s="63">
        <f>Inputs!D112</f>
        <v>46387</v>
      </c>
      <c r="E39" s="64"/>
      <c r="F39" s="64"/>
      <c r="G39" s="64" t="str">
        <f>Inputs!G112</f>
        <v>pp</v>
      </c>
      <c r="H39" s="64"/>
      <c r="I39" s="260">
        <f>Inputs!I112</f>
        <v>2.4801225431334784</v>
      </c>
      <c r="J39" s="24"/>
      <c r="K39" s="24"/>
      <c r="L39" s="24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24"/>
    </row>
    <row r="40" spans="1:28">
      <c r="A40" s="48"/>
      <c r="B40" s="48"/>
      <c r="C40" s="48"/>
      <c r="D40" s="63">
        <f>Inputs!D113</f>
        <v>46752</v>
      </c>
      <c r="E40" s="64"/>
      <c r="F40" s="64"/>
      <c r="G40" s="64" t="str">
        <f>Inputs!G113</f>
        <v>pp</v>
      </c>
      <c r="H40" s="64"/>
      <c r="I40" s="260">
        <f>Inputs!I113</f>
        <v>2.0152390816676968</v>
      </c>
      <c r="J40" s="24"/>
      <c r="K40" s="24"/>
      <c r="L40" s="24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24"/>
    </row>
    <row r="41" spans="1:28">
      <c r="A41" s="48"/>
      <c r="B41" s="48"/>
      <c r="C41" s="48"/>
      <c r="D41" s="63">
        <f>Inputs!D114</f>
        <v>47118</v>
      </c>
      <c r="E41" s="64"/>
      <c r="F41" s="64"/>
      <c r="G41" s="64" t="str">
        <f>Inputs!G114</f>
        <v>pp</v>
      </c>
      <c r="H41" s="64"/>
      <c r="I41" s="260">
        <f>Inputs!I114</f>
        <v>2.035043738253961</v>
      </c>
      <c r="J41" s="24"/>
      <c r="K41" s="24"/>
      <c r="L41" s="24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24"/>
    </row>
    <row r="42" spans="1:28">
      <c r="A42" s="48"/>
      <c r="B42" s="48"/>
      <c r="C42" s="48"/>
      <c r="D42" s="63">
        <f>Inputs!D115</f>
        <v>47483</v>
      </c>
      <c r="E42" s="64"/>
      <c r="F42" s="64"/>
      <c r="G42" s="64" t="str">
        <f>Inputs!G115</f>
        <v>pp</v>
      </c>
      <c r="H42" s="64"/>
      <c r="I42" s="260">
        <f>Inputs!I115</f>
        <v>2.0381421351001627</v>
      </c>
      <c r="J42" s="24"/>
      <c r="K42" s="24"/>
      <c r="L42" s="24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24"/>
    </row>
    <row r="43" spans="1:28">
      <c r="A43" s="48"/>
      <c r="B43" s="48"/>
      <c r="C43" s="48"/>
      <c r="D43" s="63">
        <f>Inputs!D116</f>
        <v>47848</v>
      </c>
      <c r="E43" s="64"/>
      <c r="F43" s="64"/>
      <c r="G43" s="64" t="str">
        <f>Inputs!G116</f>
        <v>pp</v>
      </c>
      <c r="H43" s="64"/>
      <c r="I43" s="260">
        <f>Inputs!I116</f>
        <v>2.0030962216835535</v>
      </c>
      <c r="J43" s="24"/>
      <c r="K43" s="24"/>
      <c r="L43" s="24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24"/>
    </row>
    <row r="44" spans="1:28">
      <c r="A44" s="48"/>
      <c r="B44" s="48"/>
      <c r="C44" s="48"/>
      <c r="D44" s="63">
        <f>Inputs!D117</f>
        <v>48213</v>
      </c>
      <c r="E44" s="64"/>
      <c r="F44" s="64"/>
      <c r="G44" s="64" t="str">
        <f>Inputs!G117</f>
        <v>pp</v>
      </c>
      <c r="H44" s="64"/>
      <c r="I44" s="260">
        <f>Inputs!I117</f>
        <v>0</v>
      </c>
      <c r="J44" s="24"/>
      <c r="K44" s="24"/>
      <c r="L44" s="24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24"/>
    </row>
    <row r="45" spans="1:28">
      <c r="A45" s="48"/>
      <c r="B45" s="48"/>
      <c r="C45" s="48"/>
      <c r="D45" s="66">
        <f>Inputs!D118</f>
        <v>48579</v>
      </c>
      <c r="E45" s="67"/>
      <c r="F45" s="67"/>
      <c r="G45" s="67" t="str">
        <f>Inputs!G118</f>
        <v>pp</v>
      </c>
      <c r="H45" s="67"/>
      <c r="I45" s="261">
        <f>Inputs!I118</f>
        <v>0</v>
      </c>
      <c r="J45" s="24"/>
      <c r="K45" s="24"/>
      <c r="L45" s="24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24"/>
    </row>
    <row r="46" spans="1:28">
      <c r="A46" s="48"/>
      <c r="B46" s="48"/>
      <c r="C46" s="48"/>
      <c r="D46" s="48"/>
      <c r="E46" s="48"/>
      <c r="F46" s="48"/>
      <c r="G46" s="48"/>
      <c r="H46" s="48"/>
      <c r="I46" s="70"/>
      <c r="J46" s="24"/>
      <c r="K46" s="24"/>
      <c r="L46" s="24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24"/>
    </row>
    <row r="47" spans="1:28" customFormat="1">
      <c r="A47" s="48"/>
      <c r="B47" s="48"/>
      <c r="C47" s="48" t="str">
        <f>Inputs!C$120</f>
        <v>Long term CPIH inflation forecast</v>
      </c>
      <c r="D47" s="48"/>
      <c r="E47" s="48"/>
      <c r="F47" s="48"/>
      <c r="G47" s="48" t="str">
        <f>Inputs!G$120</f>
        <v>Annual %</v>
      </c>
      <c r="H47" s="48"/>
      <c r="I47" s="262">
        <f>Inputs!I$120</f>
        <v>0.02</v>
      </c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</row>
    <row r="48" spans="1:28">
      <c r="A48" s="48"/>
      <c r="B48" s="48"/>
      <c r="C48" s="48"/>
      <c r="D48" s="48"/>
      <c r="E48" s="48"/>
      <c r="F48" s="48"/>
      <c r="G48" s="48"/>
      <c r="H48" s="48"/>
      <c r="I48" s="70"/>
      <c r="J48" s="24"/>
      <c r="K48" s="24"/>
      <c r="L48" s="24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24"/>
    </row>
    <row r="49" spans="1:28">
      <c r="A49" s="48"/>
      <c r="B49" s="48"/>
      <c r="C49" s="51" t="s">
        <v>157</v>
      </c>
      <c r="D49" s="48"/>
      <c r="E49" s="48"/>
      <c r="F49" s="48"/>
      <c r="G49" s="48"/>
      <c r="H49" s="48"/>
      <c r="I49" s="70"/>
      <c r="J49" s="24"/>
      <c r="K49" s="24"/>
      <c r="L49" s="24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24"/>
    </row>
    <row r="50" spans="1:28">
      <c r="A50" s="48"/>
      <c r="B50" s="48"/>
      <c r="C50" s="48"/>
      <c r="D50" s="258">
        <f>D38</f>
        <v>46022</v>
      </c>
      <c r="E50" s="214"/>
      <c r="F50" s="214"/>
      <c r="G50" s="214" t="s">
        <v>127</v>
      </c>
      <c r="H50" s="214"/>
      <c r="I50" s="263">
        <f t="shared" ref="I50:I57" si="0">IF(I38 &lt;&gt; 0, I38 / 100, I$47)</f>
        <v>3.4527688414550228E-2</v>
      </c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</row>
    <row r="51" spans="1:28">
      <c r="A51" s="48"/>
      <c r="B51" s="48"/>
      <c r="C51" s="48"/>
      <c r="D51" s="157">
        <f t="shared" ref="D51:D57" si="1">D39</f>
        <v>46387</v>
      </c>
      <c r="E51" s="64"/>
      <c r="F51" s="64"/>
      <c r="G51" s="64" t="s">
        <v>127</v>
      </c>
      <c r="H51" s="64"/>
      <c r="I51" s="264">
        <f t="shared" si="0"/>
        <v>2.4801225431334784E-2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</row>
    <row r="52" spans="1:28">
      <c r="A52" s="48"/>
      <c r="B52" s="48"/>
      <c r="C52" s="48"/>
      <c r="D52" s="157">
        <f t="shared" si="1"/>
        <v>46752</v>
      </c>
      <c r="E52" s="64"/>
      <c r="F52" s="64"/>
      <c r="G52" s="64" t="s">
        <v>127</v>
      </c>
      <c r="H52" s="64"/>
      <c r="I52" s="264">
        <f t="shared" si="0"/>
        <v>2.0152390816676968E-2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</row>
    <row r="53" spans="1:28">
      <c r="A53" s="48"/>
      <c r="B53" s="48"/>
      <c r="C53" s="48"/>
      <c r="D53" s="157">
        <f t="shared" si="1"/>
        <v>47118</v>
      </c>
      <c r="E53" s="64"/>
      <c r="F53" s="64"/>
      <c r="G53" s="64" t="s">
        <v>127</v>
      </c>
      <c r="H53" s="64"/>
      <c r="I53" s="264">
        <f t="shared" si="0"/>
        <v>2.035043738253961E-2</v>
      </c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</row>
    <row r="54" spans="1:28">
      <c r="A54" s="48"/>
      <c r="B54" s="48"/>
      <c r="C54" s="48"/>
      <c r="D54" s="157">
        <f t="shared" si="1"/>
        <v>47483</v>
      </c>
      <c r="E54" s="64"/>
      <c r="F54" s="64"/>
      <c r="G54" s="64" t="s">
        <v>127</v>
      </c>
      <c r="H54" s="64"/>
      <c r="I54" s="264">
        <f t="shared" si="0"/>
        <v>2.0381421351001627E-2</v>
      </c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</row>
    <row r="55" spans="1:28">
      <c r="A55" s="48"/>
      <c r="B55" s="48"/>
      <c r="C55" s="48"/>
      <c r="D55" s="157">
        <f t="shared" si="1"/>
        <v>47848</v>
      </c>
      <c r="E55" s="64"/>
      <c r="F55" s="64"/>
      <c r="G55" s="64" t="s">
        <v>127</v>
      </c>
      <c r="H55" s="64"/>
      <c r="I55" s="264">
        <f t="shared" si="0"/>
        <v>2.0030962216835535E-2</v>
      </c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</row>
    <row r="56" spans="1:28">
      <c r="A56" s="48"/>
      <c r="B56" s="48"/>
      <c r="C56" s="48"/>
      <c r="D56" s="157">
        <f t="shared" si="1"/>
        <v>48213</v>
      </c>
      <c r="E56" s="64"/>
      <c r="F56" s="64"/>
      <c r="G56" s="64" t="s">
        <v>127</v>
      </c>
      <c r="H56" s="64"/>
      <c r="I56" s="264">
        <f t="shared" si="0"/>
        <v>0.02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spans="1:28">
      <c r="A57" s="48"/>
      <c r="B57" s="48"/>
      <c r="C57" s="48"/>
      <c r="D57" s="158">
        <f t="shared" si="1"/>
        <v>48579</v>
      </c>
      <c r="E57" s="67"/>
      <c r="F57" s="67"/>
      <c r="G57" s="67" t="s">
        <v>127</v>
      </c>
      <c r="H57" s="67"/>
      <c r="I57" s="265">
        <f t="shared" si="0"/>
        <v>0.02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</row>
    <row r="58" spans="1:28">
      <c r="A58" s="48"/>
      <c r="B58" s="48"/>
      <c r="C58" s="48"/>
      <c r="D58" s="48"/>
      <c r="E58" s="48"/>
      <c r="F58" s="48"/>
      <c r="G58" s="48"/>
      <c r="H58" s="48"/>
      <c r="I58" s="70"/>
      <c r="J58" s="24"/>
      <c r="K58" s="24"/>
      <c r="L58" s="24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24"/>
    </row>
    <row r="59" spans="1:28" ht="18">
      <c r="A59" s="97" t="s">
        <v>13</v>
      </c>
      <c r="B59" s="97" t="s">
        <v>158</v>
      </c>
      <c r="C59" s="217"/>
      <c r="D59" s="217"/>
      <c r="E59" s="217"/>
      <c r="F59" s="217"/>
      <c r="G59" s="217"/>
      <c r="H59" s="217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</row>
    <row r="60" spans="1:28">
      <c r="A60" s="48"/>
      <c r="B60" s="48"/>
      <c r="C60" s="48"/>
      <c r="D60" s="48"/>
      <c r="E60" s="48"/>
      <c r="F60" s="48"/>
      <c r="G60" s="48"/>
      <c r="H60" s="48"/>
      <c r="I60" s="70"/>
      <c r="J60" s="24"/>
      <c r="K60" s="24"/>
      <c r="L60" s="24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24"/>
    </row>
    <row r="61" spans="1:28" ht="14.5">
      <c r="A61" s="48"/>
      <c r="B61" s="206" t="s">
        <v>159</v>
      </c>
      <c r="C61" s="48"/>
      <c r="D61" s="48"/>
      <c r="E61" s="48"/>
      <c r="F61" s="48"/>
      <c r="G61" s="48"/>
      <c r="H61" s="48"/>
      <c r="I61" s="70"/>
      <c r="J61" s="24"/>
      <c r="K61" s="24"/>
      <c r="L61" s="24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24"/>
    </row>
    <row r="62" spans="1:28">
      <c r="A62" s="48"/>
      <c r="B62" s="48"/>
      <c r="C62" s="48"/>
      <c r="D62" s="48"/>
      <c r="E62" s="48"/>
      <c r="F62" s="48"/>
      <c r="G62" s="48"/>
      <c r="H62" s="48"/>
      <c r="I62" s="70"/>
      <c r="J62" s="24"/>
      <c r="K62" s="24"/>
      <c r="L62" s="24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24"/>
    </row>
    <row r="63" spans="1:28">
      <c r="A63" s="48"/>
      <c r="B63" s="48"/>
      <c r="C63" s="51" t="s">
        <v>160</v>
      </c>
      <c r="D63" s="48"/>
      <c r="E63" s="48"/>
      <c r="F63" s="48"/>
      <c r="G63" s="48"/>
      <c r="H63" s="48"/>
      <c r="I63" s="73" t="s">
        <v>161</v>
      </c>
      <c r="J63" s="24"/>
      <c r="K63" s="24"/>
      <c r="L63" s="24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24"/>
    </row>
    <row r="64" spans="1:28">
      <c r="A64" s="48"/>
      <c r="B64" s="48"/>
      <c r="C64" s="48"/>
      <c r="D64" s="214" t="str">
        <f t="shared" ref="D64:D75" si="2">D20</f>
        <v>Apr</v>
      </c>
      <c r="E64" s="214"/>
      <c r="F64" s="214" t="s">
        <v>162</v>
      </c>
      <c r="G64" s="214" t="s">
        <v>163</v>
      </c>
      <c r="H64" s="214"/>
      <c r="I64" s="223">
        <v>-3</v>
      </c>
      <c r="J64" s="215"/>
      <c r="K64" s="215"/>
      <c r="L64" s="215"/>
      <c r="M64" s="254"/>
      <c r="N64" s="254"/>
      <c r="O64" s="254"/>
      <c r="P64" s="254"/>
      <c r="Q64" s="254"/>
      <c r="R64" s="254"/>
      <c r="S64" s="254"/>
      <c r="T64" s="209" cm="1">
        <f t="array" ref="T64">IF(T20 &lt;&gt; 0, T20 / S31, (1 + INDEX($I$50:$I$57, MATCH(EOMONTH(T$6, $I64), $D$50:$D$57, 0), 0)) ^ (1 / 12))</f>
        <v>1.0045592705167172</v>
      </c>
      <c r="U64" s="209" cm="1">
        <f t="array" ref="U64">IF(U20 &lt;&gt; 0, U20 / T31, (1 + INDEX($I$50:$I$57, MATCH(EOMONTH(U$6, $I64), $D$50:$D$57, 0), 0)) ^ (1 / 12))</f>
        <v>1.011756061719324</v>
      </c>
      <c r="V64" s="209" cm="1">
        <f t="array" ref="V64">IF(V20 &lt;&gt; 0, V20 / U31, (1 + INDEX($I$50:$I$57, MATCH(EOMONTH(V$6, $I64), $D$50:$D$57, 0), 0)) ^ (1 / 12))</f>
        <v>1.0020436410082181</v>
      </c>
      <c r="W64" s="209" cm="1">
        <f t="array" ref="W64">IF(W20 &lt;&gt; 0, W20 / V31, (1 + INDEX($I$50:$I$57, MATCH(EOMONTH(W$6, $I64), $D$50:$D$57, 0), 0)) ^ (1 / 12))</f>
        <v>1.0016640512407362</v>
      </c>
      <c r="X64" s="209" cm="1">
        <f t="array" ref="X64">IF(X20 &lt;&gt; 0, X20 / W31, (1 + INDEX($I$50:$I$57, MATCH(EOMONTH(X$6, $I64), $D$50:$D$57, 0), 0)) ^ (1 / 12))</f>
        <v>1.0016802545777994</v>
      </c>
      <c r="Y64" s="209" cm="1">
        <f t="array" ref="Y64">IF(Y20 &lt;&gt; 0, Y20 / X31, (1 + INDEX($I$50:$I$57, MATCH(EOMONTH(Y$6, $I64), $D$50:$D$57, 0), 0)) ^ (1 / 12))</f>
        <v>1.0016827892949856</v>
      </c>
      <c r="Z64" s="209" cm="1">
        <f t="array" ref="Z64">IF(Z20 &lt;&gt; 0, Z20 / Y31, (1 + INDEX($I$50:$I$57, MATCH(EOMONTH(Z$6, $I64), $D$50:$D$57, 0), 0)) ^ (1 / 12))</f>
        <v>1.0016541150373761</v>
      </c>
      <c r="AA64" s="209" cm="1">
        <f t="array" ref="AA64">IF(AA20 &lt;&gt; 0, AA20 / Z31, (1 + INDEX($I$50:$I$57, MATCH(EOMONTH(AA$6, $I64), $D$50:$D$57, 0), 0)) ^ (1 / 12))</f>
        <v>1.0016515813019202</v>
      </c>
      <c r="AB64" s="24"/>
    </row>
    <row r="65" spans="1:28">
      <c r="A65" s="48"/>
      <c r="B65" s="48"/>
      <c r="C65" s="48"/>
      <c r="D65" s="64" t="str">
        <f t="shared" si="2"/>
        <v>May</v>
      </c>
      <c r="E65" s="64"/>
      <c r="F65" s="64" t="s">
        <v>162</v>
      </c>
      <c r="G65" s="64" t="s">
        <v>163</v>
      </c>
      <c r="H65" s="64"/>
      <c r="I65" s="266">
        <f>I64</f>
        <v>-3</v>
      </c>
      <c r="J65" s="65"/>
      <c r="K65" s="65"/>
      <c r="L65" s="65"/>
      <c r="M65" s="128"/>
      <c r="N65" s="128"/>
      <c r="O65" s="128"/>
      <c r="P65" s="128"/>
      <c r="Q65" s="128"/>
      <c r="R65" s="128"/>
      <c r="S65" s="128"/>
      <c r="T65" s="159" cm="1">
        <f t="array" ref="T65">IF(T21 &lt;&gt; 0, T21 / T20, (1 + INDEX($I$50:$I$57, MATCH(EOMONTH(T$6, $I65), $D$50:$D$57, 0), 0)) ^ (1 / 12))</f>
        <v>1.0037821482602118</v>
      </c>
      <c r="U65" s="159" cm="1">
        <f t="array" ref="U65">IF(U21 &lt;&gt; 0, U21 / U20, (1 + INDEX($I$50:$I$57, MATCH(EOMONTH(U$6, $I65), $D$50:$D$57, 0), 0)) ^ (1 / 12))</f>
        <v>1.0021786492374729</v>
      </c>
      <c r="V65" s="159" cm="1">
        <f t="array" ref="V65">IF(V21 &lt;&gt; 0, V21 / V20, (1 + INDEX($I$50:$I$57, MATCH(EOMONTH(V$6, $I65), $D$50:$D$57, 0), 0)) ^ (1 / 12))</f>
        <v>1.0020436410082181</v>
      </c>
      <c r="W65" s="159" cm="1">
        <f t="array" ref="W65">IF(W21 &lt;&gt; 0, W21 / W20, (1 + INDEX($I$50:$I$57, MATCH(EOMONTH(W$6, $I65), $D$50:$D$57, 0), 0)) ^ (1 / 12))</f>
        <v>1.0016640512407362</v>
      </c>
      <c r="X65" s="159" cm="1">
        <f t="array" ref="X65">IF(X21 &lt;&gt; 0, X21 / X20, (1 + INDEX($I$50:$I$57, MATCH(EOMONTH(X$6, $I65), $D$50:$D$57, 0), 0)) ^ (1 / 12))</f>
        <v>1.0016802545777994</v>
      </c>
      <c r="Y65" s="159" cm="1">
        <f t="array" ref="Y65">IF(Y21 &lt;&gt; 0, Y21 / Y20, (1 + INDEX($I$50:$I$57, MATCH(EOMONTH(Y$6, $I65), $D$50:$D$57, 0), 0)) ^ (1 / 12))</f>
        <v>1.0016827892949856</v>
      </c>
      <c r="Z65" s="159" cm="1">
        <f t="array" ref="Z65">IF(Z21 &lt;&gt; 0, Z21 / Z20, (1 + INDEX($I$50:$I$57, MATCH(EOMONTH(Z$6, $I65), $D$50:$D$57, 0), 0)) ^ (1 / 12))</f>
        <v>1.0016541150373761</v>
      </c>
      <c r="AA65" s="159" cm="1">
        <f t="array" ref="AA65">IF(AA21 &lt;&gt; 0, AA21 / AA20, (1 + INDEX($I$50:$I$57, MATCH(EOMONTH(AA$6, $I65), $D$50:$D$57, 0), 0)) ^ (1 / 12))</f>
        <v>1.0016515813019202</v>
      </c>
      <c r="AB65" s="24"/>
    </row>
    <row r="66" spans="1:28">
      <c r="A66" s="48"/>
      <c r="B66" s="48"/>
      <c r="C66" s="48"/>
      <c r="D66" s="64" t="str">
        <f t="shared" si="2"/>
        <v>Jun</v>
      </c>
      <c r="E66" s="64"/>
      <c r="F66" s="64" t="s">
        <v>162</v>
      </c>
      <c r="G66" s="64" t="s">
        <v>163</v>
      </c>
      <c r="H66" s="64"/>
      <c r="I66" s="266">
        <f>I65</f>
        <v>-3</v>
      </c>
      <c r="J66" s="65"/>
      <c r="K66" s="65"/>
      <c r="L66" s="65"/>
      <c r="M66" s="128"/>
      <c r="N66" s="128"/>
      <c r="O66" s="128"/>
      <c r="P66" s="128"/>
      <c r="Q66" s="128"/>
      <c r="R66" s="128"/>
      <c r="S66" s="128"/>
      <c r="T66" s="267" cm="1">
        <f t="array" ref="T66">IF(T22 &lt;&gt; 0, T22 / T21, (1 + INDEX($I$50:$I$57, MATCH(EOMONTH(T$6, $I66), $D$50:$D$57, 0), 0)) ^ (1 / 12))</f>
        <v>1.0022607385079128</v>
      </c>
      <c r="U66" s="267" cm="1">
        <f t="array" ref="U66">IF(U22 &lt;&gt; 0, U22 / U21, (1 + INDEX($I$50:$I$57, MATCH(EOMONTH(U$6, $I66), $D$50:$D$57, 0), 0)) ^ (1 / 12))</f>
        <v>1.0028985507246377</v>
      </c>
      <c r="V66" s="267" cm="1">
        <f t="array" ref="V66">IF(V22 &lt;&gt; 0, V22 / V21, (1 + INDEX($I$50:$I$57, MATCH(EOMONTH(V$6, $I66), $D$50:$D$57, 0), 0)) ^ (1 / 12))</f>
        <v>1.0020436410082181</v>
      </c>
      <c r="W66" s="267" cm="1">
        <f t="array" ref="W66">IF(W22 &lt;&gt; 0, W22 / W21, (1 + INDEX($I$50:$I$57, MATCH(EOMONTH(W$6, $I66), $D$50:$D$57, 0), 0)) ^ (1 / 12))</f>
        <v>1.0016640512407362</v>
      </c>
      <c r="X66" s="267" cm="1">
        <f t="array" ref="X66">IF(X22 &lt;&gt; 0, X22 / X21, (1 + INDEX($I$50:$I$57, MATCH(EOMONTH(X$6, $I66), $D$50:$D$57, 0), 0)) ^ (1 / 12))</f>
        <v>1.0016802545777994</v>
      </c>
      <c r="Y66" s="267" cm="1">
        <f t="array" ref="Y66">IF(Y22 &lt;&gt; 0, Y22 / Y21, (1 + INDEX($I$50:$I$57, MATCH(EOMONTH(Y$6, $I66), $D$50:$D$57, 0), 0)) ^ (1 / 12))</f>
        <v>1.0016827892949856</v>
      </c>
      <c r="Z66" s="267" cm="1">
        <f t="array" ref="Z66">IF(Z22 &lt;&gt; 0, Z22 / Z21, (1 + INDEX($I$50:$I$57, MATCH(EOMONTH(Z$6, $I66), $D$50:$D$57, 0), 0)) ^ (1 / 12))</f>
        <v>1.0016541150373761</v>
      </c>
      <c r="AA66" s="267" cm="1">
        <f t="array" ref="AA66">IF(AA22 &lt;&gt; 0, AA22 / AA21, (1 + INDEX($I$50:$I$57, MATCH(EOMONTH(AA$6, $I66), $D$50:$D$57, 0), 0)) ^ (1 / 12))</f>
        <v>1.0016515813019202</v>
      </c>
      <c r="AB66" s="24"/>
    </row>
    <row r="67" spans="1:28">
      <c r="A67" s="48"/>
      <c r="B67" s="48"/>
      <c r="C67" s="48"/>
      <c r="D67" s="64" t="str">
        <f t="shared" si="2"/>
        <v>Jul</v>
      </c>
      <c r="E67" s="64"/>
      <c r="F67" s="64" t="s">
        <v>162</v>
      </c>
      <c r="G67" s="64" t="s">
        <v>163</v>
      </c>
      <c r="H67" s="64"/>
      <c r="I67" s="268">
        <v>9</v>
      </c>
      <c r="J67" s="65"/>
      <c r="K67" s="65"/>
      <c r="L67" s="65"/>
      <c r="M67" s="128"/>
      <c r="N67" s="128"/>
      <c r="O67" s="128"/>
      <c r="P67" s="128"/>
      <c r="Q67" s="128"/>
      <c r="R67" s="128"/>
      <c r="S67" s="128"/>
      <c r="T67" s="267" cm="1">
        <f t="array" ref="T67">IF(T23 &lt;&gt; 0, T23 / T22, (1 + INDEX($I$50:$I$57, MATCH(EOMONTH(T$6, $I67), $D$50:$D$57, 0), 0)) ^ (1 / 12))</f>
        <v>0.99924812030075194</v>
      </c>
      <c r="U67" s="267" cm="1">
        <f t="array" ref="U67">IF(U23 &lt;&gt; 0, U23 / U22, (1 + INDEX($I$50:$I$57, MATCH(EOMONTH(U$6, $I67), $D$50:$D$57, 0), 0)) ^ (1 / 12))</f>
        <v>1.000722543352601</v>
      </c>
      <c r="V67" s="267" cm="1">
        <f t="array" ref="V67">IF(V23 &lt;&gt; 0, V23 / V22, (1 + INDEX($I$50:$I$57, MATCH(EOMONTH(V$6, $I67), $D$50:$D$57, 0), 0)) ^ (1 / 12))</f>
        <v>1.0016640512407362</v>
      </c>
      <c r="W67" s="267" cm="1">
        <f t="array" ref="W67">IF(W23 &lt;&gt; 0, W23 / W22, (1 + INDEX($I$50:$I$57, MATCH(EOMONTH(W$6, $I67), $D$50:$D$57, 0), 0)) ^ (1 / 12))</f>
        <v>1.0016802545777994</v>
      </c>
      <c r="X67" s="267" cm="1">
        <f t="array" ref="X67">IF(X23 &lt;&gt; 0, X23 / X22, (1 + INDEX($I$50:$I$57, MATCH(EOMONTH(X$6, $I67), $D$50:$D$57, 0), 0)) ^ (1 / 12))</f>
        <v>1.0016827892949856</v>
      </c>
      <c r="Y67" s="267" cm="1">
        <f t="array" ref="Y67">IF(Y23 &lt;&gt; 0, Y23 / Y22, (1 + INDEX($I$50:$I$57, MATCH(EOMONTH(Y$6, $I67), $D$50:$D$57, 0), 0)) ^ (1 / 12))</f>
        <v>1.0016541150373761</v>
      </c>
      <c r="Z67" s="267" cm="1">
        <f t="array" ref="Z67">IF(Z23 &lt;&gt; 0, Z23 / Z22, (1 + INDEX($I$50:$I$57, MATCH(EOMONTH(Z$6, $I67), $D$50:$D$57, 0), 0)) ^ (1 / 12))</f>
        <v>1.0016515813019202</v>
      </c>
      <c r="AA67" s="267" cm="1">
        <f t="array" ref="AA67">IF(AA23 &lt;&gt; 0, AA23 / AA22, (1 + INDEX($I$50:$I$57, MATCH(EOMONTH(AA$6, $I67), $D$50:$D$57, 0), 0)) ^ (1 / 12))</f>
        <v>1.0016515813019202</v>
      </c>
      <c r="AB67" s="24"/>
    </row>
    <row r="68" spans="1:28">
      <c r="A68" s="48"/>
      <c r="B68" s="48"/>
      <c r="C68" s="48"/>
      <c r="D68" s="64" t="str">
        <f t="shared" si="2"/>
        <v>Aug</v>
      </c>
      <c r="E68" s="64"/>
      <c r="F68" s="64" t="s">
        <v>162</v>
      </c>
      <c r="G68" s="64" t="s">
        <v>163</v>
      </c>
      <c r="H68" s="64"/>
      <c r="I68" s="266">
        <f t="shared" ref="I68:I75" si="3">I67</f>
        <v>9</v>
      </c>
      <c r="J68" s="65"/>
      <c r="K68" s="65"/>
      <c r="L68" s="65"/>
      <c r="M68" s="128"/>
      <c r="N68" s="128"/>
      <c r="O68" s="128"/>
      <c r="P68" s="128"/>
      <c r="Q68" s="128"/>
      <c r="R68" s="128"/>
      <c r="S68" s="128"/>
      <c r="T68" s="267" cm="1">
        <f t="array" ref="T68">IF(T24 &lt;&gt; 0, T24 / T23, (1 + INDEX($I$50:$I$57, MATCH(EOMONTH(T$6, $I68), $D$50:$D$57, 0), 0)) ^ (1 / 12))</f>
        <v>1.0037622272385252</v>
      </c>
      <c r="U68" s="267" cm="1">
        <f t="array" ref="U68">IF(U24 &lt;&gt; 0, U24 / U23, (1 + INDEX($I$50:$I$57, MATCH(EOMONTH(U$6, $I68), $D$50:$D$57, 0), 0)) ^ (1 / 12))</f>
        <v>1.0028880866425993</v>
      </c>
      <c r="V68" s="267" cm="1">
        <f t="array" ref="V68">IF(V24 &lt;&gt; 0, V24 / V23, (1 + INDEX($I$50:$I$57, MATCH(EOMONTH(V$6, $I68), $D$50:$D$57, 0), 0)) ^ (1 / 12))</f>
        <v>1.0016640512407362</v>
      </c>
      <c r="W68" s="267" cm="1">
        <f t="array" ref="W68">IF(W24 &lt;&gt; 0, W24 / W23, (1 + INDEX($I$50:$I$57, MATCH(EOMONTH(W$6, $I68), $D$50:$D$57, 0), 0)) ^ (1 / 12))</f>
        <v>1.0016802545777994</v>
      </c>
      <c r="X68" s="267" cm="1">
        <f t="array" ref="X68">IF(X24 &lt;&gt; 0, X24 / X23, (1 + INDEX($I$50:$I$57, MATCH(EOMONTH(X$6, $I68), $D$50:$D$57, 0), 0)) ^ (1 / 12))</f>
        <v>1.0016827892949856</v>
      </c>
      <c r="Y68" s="267" cm="1">
        <f t="array" ref="Y68">IF(Y24 &lt;&gt; 0, Y24 / Y23, (1 + INDEX($I$50:$I$57, MATCH(EOMONTH(Y$6, $I68), $D$50:$D$57, 0), 0)) ^ (1 / 12))</f>
        <v>1.0016541150373761</v>
      </c>
      <c r="Z68" s="267" cm="1">
        <f t="array" ref="Z68">IF(Z24 &lt;&gt; 0, Z24 / Z23, (1 + INDEX($I$50:$I$57, MATCH(EOMONTH(Z$6, $I68), $D$50:$D$57, 0), 0)) ^ (1 / 12))</f>
        <v>1.0016515813019202</v>
      </c>
      <c r="AA68" s="267" cm="1">
        <f t="array" ref="AA68">IF(AA24 &lt;&gt; 0, AA24 / AA23, (1 + INDEX($I$50:$I$57, MATCH(EOMONTH(AA$6, $I68), $D$50:$D$57, 0), 0)) ^ (1 / 12))</f>
        <v>1.0016515813019202</v>
      </c>
      <c r="AB68" s="24"/>
    </row>
    <row r="69" spans="1:28">
      <c r="A69" s="48"/>
      <c r="B69" s="48"/>
      <c r="C69" s="48"/>
      <c r="D69" s="64" t="str">
        <f t="shared" si="2"/>
        <v>Sep</v>
      </c>
      <c r="E69" s="64"/>
      <c r="F69" s="64" t="s">
        <v>162</v>
      </c>
      <c r="G69" s="64" t="s">
        <v>163</v>
      </c>
      <c r="H69" s="64"/>
      <c r="I69" s="266">
        <f t="shared" si="3"/>
        <v>9</v>
      </c>
      <c r="J69" s="65"/>
      <c r="K69" s="65"/>
      <c r="L69" s="65"/>
      <c r="M69" s="128"/>
      <c r="N69" s="128"/>
      <c r="O69" s="128"/>
      <c r="P69" s="128"/>
      <c r="Q69" s="128"/>
      <c r="R69" s="128"/>
      <c r="S69" s="128"/>
      <c r="T69" s="267" cm="1">
        <f t="array" ref="T69">IF(T25 &lt;&gt; 0, T25 / T24, (1 + INDEX($I$50:$I$57, MATCH(EOMONTH(T$6, $I69), $D$50:$D$57, 0), 0)) ^ (1 / 12))</f>
        <v>1.0007496251874062</v>
      </c>
      <c r="U69" s="267" cm="1">
        <f t="array" ref="U69">IF(U25 &lt;&gt; 0, U25 / U24, (1 + INDEX($I$50:$I$57, MATCH(EOMONTH(U$6, $I69), $D$50:$D$57, 0), 0)) ^ (1 / 12))</f>
        <v>1</v>
      </c>
      <c r="V69" s="267" cm="1">
        <f t="array" ref="V69">IF(V25 &lt;&gt; 0, V25 / V24, (1 + INDEX($I$50:$I$57, MATCH(EOMONTH(V$6, $I69), $D$50:$D$57, 0), 0)) ^ (1 / 12))</f>
        <v>1.0016640512407362</v>
      </c>
      <c r="W69" s="267" cm="1">
        <f t="array" ref="W69">IF(W25 &lt;&gt; 0, W25 / W24, (1 + INDEX($I$50:$I$57, MATCH(EOMONTH(W$6, $I69), $D$50:$D$57, 0), 0)) ^ (1 / 12))</f>
        <v>1.0016802545777994</v>
      </c>
      <c r="X69" s="267" cm="1">
        <f t="array" ref="X69">IF(X25 &lt;&gt; 0, X25 / X24, (1 + INDEX($I$50:$I$57, MATCH(EOMONTH(X$6, $I69), $D$50:$D$57, 0), 0)) ^ (1 / 12))</f>
        <v>1.0016827892949856</v>
      </c>
      <c r="Y69" s="267" cm="1">
        <f t="array" ref="Y69">IF(Y25 &lt;&gt; 0, Y25 / Y24, (1 + INDEX($I$50:$I$57, MATCH(EOMONTH(Y$6, $I69), $D$50:$D$57, 0), 0)) ^ (1 / 12))</f>
        <v>1.0016541150373761</v>
      </c>
      <c r="Z69" s="267" cm="1">
        <f t="array" ref="Z69">IF(Z25 &lt;&gt; 0, Z25 / Z24, (1 + INDEX($I$50:$I$57, MATCH(EOMONTH(Z$6, $I69), $D$50:$D$57, 0), 0)) ^ (1 / 12))</f>
        <v>1.0016515813019202</v>
      </c>
      <c r="AA69" s="267" cm="1">
        <f t="array" ref="AA69">IF(AA25 &lt;&gt; 0, AA25 / AA24, (1 + INDEX($I$50:$I$57, MATCH(EOMONTH(AA$6, $I69), $D$50:$D$57, 0), 0)) ^ (1 / 12))</f>
        <v>1.0016515813019202</v>
      </c>
      <c r="AB69" s="24"/>
    </row>
    <row r="70" spans="1:28">
      <c r="A70" s="48"/>
      <c r="B70" s="48"/>
      <c r="C70" s="48"/>
      <c r="D70" s="64" t="str">
        <f t="shared" si="2"/>
        <v>Oct</v>
      </c>
      <c r="E70" s="64"/>
      <c r="F70" s="64" t="s">
        <v>162</v>
      </c>
      <c r="G70" s="64" t="s">
        <v>163</v>
      </c>
      <c r="H70" s="64"/>
      <c r="I70" s="266">
        <f t="shared" si="3"/>
        <v>9</v>
      </c>
      <c r="J70" s="65"/>
      <c r="K70" s="65"/>
      <c r="L70" s="65"/>
      <c r="M70" s="128"/>
      <c r="N70" s="128"/>
      <c r="O70" s="128"/>
      <c r="P70" s="128"/>
      <c r="Q70" s="128"/>
      <c r="R70" s="128"/>
      <c r="S70" s="128"/>
      <c r="T70" s="267" cm="1">
        <f t="array" ref="T70">IF(T26 &lt;&gt; 0, T26 / T25, (1 + INDEX($I$50:$I$57, MATCH(EOMONTH(T$6, $I70), $D$50:$D$57, 0), 0)) ^ (1 / 12))</f>
        <v>1.005992509363296</v>
      </c>
      <c r="U70" s="267" cm="1">
        <f t="array" ref="U70">IF(U26 &lt;&gt; 0, U26 / U25, (1 + INDEX($I$50:$I$57, MATCH(EOMONTH(U$6, $I70), $D$50:$D$57, 0), 0)) ^ (1 / 12))</f>
        <v>1.0043196544276458</v>
      </c>
      <c r="V70" s="267" cm="1">
        <f t="array" ref="V70">IF(V26 &lt;&gt; 0, V26 / V25, (1 + INDEX($I$50:$I$57, MATCH(EOMONTH(V$6, $I70), $D$50:$D$57, 0), 0)) ^ (1 / 12))</f>
        <v>1.0016640512407362</v>
      </c>
      <c r="W70" s="267" cm="1">
        <f t="array" ref="W70">IF(W26 &lt;&gt; 0, W26 / W25, (1 + INDEX($I$50:$I$57, MATCH(EOMONTH(W$6, $I70), $D$50:$D$57, 0), 0)) ^ (1 / 12))</f>
        <v>1.0016802545777994</v>
      </c>
      <c r="X70" s="267" cm="1">
        <f t="array" ref="X70">IF(X26 &lt;&gt; 0, X26 / X25, (1 + INDEX($I$50:$I$57, MATCH(EOMONTH(X$6, $I70), $D$50:$D$57, 0), 0)) ^ (1 / 12))</f>
        <v>1.0016827892949856</v>
      </c>
      <c r="Y70" s="267" cm="1">
        <f t="array" ref="Y70">IF(Y26 &lt;&gt; 0, Y26 / Y25, (1 + INDEX($I$50:$I$57, MATCH(EOMONTH(Y$6, $I70), $D$50:$D$57, 0), 0)) ^ (1 / 12))</f>
        <v>1.0016541150373761</v>
      </c>
      <c r="Z70" s="267" cm="1">
        <f t="array" ref="Z70">IF(Z26 &lt;&gt; 0, Z26 / Z25, (1 + INDEX($I$50:$I$57, MATCH(EOMONTH(Z$6, $I70), $D$50:$D$57, 0), 0)) ^ (1 / 12))</f>
        <v>1.0016515813019202</v>
      </c>
      <c r="AA70" s="267" cm="1">
        <f t="array" ref="AA70">IF(AA26 &lt;&gt; 0, AA26 / AA25, (1 + INDEX($I$50:$I$57, MATCH(EOMONTH(AA$6, $I70), $D$50:$D$57, 0), 0)) ^ (1 / 12))</f>
        <v>1.0016515813019202</v>
      </c>
      <c r="AB70" s="24"/>
    </row>
    <row r="71" spans="1:28">
      <c r="A71" s="48"/>
      <c r="B71" s="48"/>
      <c r="C71" s="48"/>
      <c r="D71" s="64" t="str">
        <f t="shared" si="2"/>
        <v>Nov</v>
      </c>
      <c r="E71" s="64"/>
      <c r="F71" s="64" t="s">
        <v>162</v>
      </c>
      <c r="G71" s="64" t="s">
        <v>163</v>
      </c>
      <c r="H71" s="64"/>
      <c r="I71" s="266">
        <f t="shared" si="3"/>
        <v>9</v>
      </c>
      <c r="J71" s="65"/>
      <c r="K71" s="65"/>
      <c r="L71" s="65"/>
      <c r="M71" s="128"/>
      <c r="N71" s="128"/>
      <c r="O71" s="128"/>
      <c r="P71" s="128"/>
      <c r="Q71" s="128"/>
      <c r="R71" s="128"/>
      <c r="S71" s="128"/>
      <c r="T71" s="267" cm="1">
        <f t="array" ref="T71">IF(T27 &lt;&gt; 0, T27 / T26, (1 + INDEX($I$50:$I$57, MATCH(EOMONTH(T$6, $I71), $D$50:$D$57, 0), 0)) ^ (1 / 12))</f>
        <v>1.0022338049143706</v>
      </c>
      <c r="U71" s="267" cm="1">
        <f t="array" ref="U71">IF(U27 &lt;&gt; 0, U27 / U26, (1 + INDEX($I$50:$I$57, MATCH(EOMONTH(U$6, $I71), $D$50:$D$57, 0), 0)) ^ (1 / 12))</f>
        <v>1.0020436410082181</v>
      </c>
      <c r="V71" s="267" cm="1">
        <f t="array" ref="V71">IF(V27 &lt;&gt; 0, V27 / V26, (1 + INDEX($I$50:$I$57, MATCH(EOMONTH(V$6, $I71), $D$50:$D$57, 0), 0)) ^ (1 / 12))</f>
        <v>1.0016640512407362</v>
      </c>
      <c r="W71" s="267" cm="1">
        <f t="array" ref="W71">IF(W27 &lt;&gt; 0, W27 / W26, (1 + INDEX($I$50:$I$57, MATCH(EOMONTH(W$6, $I71), $D$50:$D$57, 0), 0)) ^ (1 / 12))</f>
        <v>1.0016802545777994</v>
      </c>
      <c r="X71" s="267" cm="1">
        <f t="array" ref="X71">IF(X27 &lt;&gt; 0, X27 / X26, (1 + INDEX($I$50:$I$57, MATCH(EOMONTH(X$6, $I71), $D$50:$D$57, 0), 0)) ^ (1 / 12))</f>
        <v>1.0016827892949856</v>
      </c>
      <c r="Y71" s="267" cm="1">
        <f t="array" ref="Y71">IF(Y27 &lt;&gt; 0, Y27 / Y26, (1 + INDEX($I$50:$I$57, MATCH(EOMONTH(Y$6, $I71), $D$50:$D$57, 0), 0)) ^ (1 / 12))</f>
        <v>1.0016541150373761</v>
      </c>
      <c r="Z71" s="267" cm="1">
        <f t="array" ref="Z71">IF(Z27 &lt;&gt; 0, Z27 / Z26, (1 + INDEX($I$50:$I$57, MATCH(EOMONTH(Z$6, $I71), $D$50:$D$57, 0), 0)) ^ (1 / 12))</f>
        <v>1.0016515813019202</v>
      </c>
      <c r="AA71" s="267" cm="1">
        <f t="array" ref="AA71">IF(AA27 &lt;&gt; 0, AA27 / AA26, (1 + INDEX($I$50:$I$57, MATCH(EOMONTH(AA$6, $I71), $D$50:$D$57, 0), 0)) ^ (1 / 12))</f>
        <v>1.0016515813019202</v>
      </c>
      <c r="AB71" s="24"/>
    </row>
    <row r="72" spans="1:28">
      <c r="A72" s="48"/>
      <c r="B72" s="48"/>
      <c r="C72" s="48"/>
      <c r="D72" s="64" t="str">
        <f t="shared" si="2"/>
        <v>Dec</v>
      </c>
      <c r="E72" s="64"/>
      <c r="F72" s="64" t="s">
        <v>162</v>
      </c>
      <c r="G72" s="64" t="s">
        <v>163</v>
      </c>
      <c r="H72" s="64"/>
      <c r="I72" s="266">
        <f t="shared" si="3"/>
        <v>9</v>
      </c>
      <c r="J72" s="65"/>
      <c r="K72" s="65"/>
      <c r="L72" s="65"/>
      <c r="M72" s="128"/>
      <c r="N72" s="128"/>
      <c r="O72" s="128"/>
      <c r="P72" s="128"/>
      <c r="Q72" s="128"/>
      <c r="R72" s="128"/>
      <c r="S72" s="128"/>
      <c r="T72" s="267" cm="1">
        <f t="array" ref="T72">IF(T28 &lt;&gt; 0, T28 / T27, (1 + INDEX($I$50:$I$57, MATCH(EOMONTH(T$6, $I72), $D$50:$D$57, 0), 0)) ^ (1 / 12))</f>
        <v>1.0037147102526003</v>
      </c>
      <c r="U72" s="267" cm="1">
        <f t="array" ref="U72">IF(U28 &lt;&gt; 0, U28 / U27, (1 + INDEX($I$50:$I$57, MATCH(EOMONTH(U$6, $I72), $D$50:$D$57, 0), 0)) ^ (1 / 12))</f>
        <v>1.0020436410082181</v>
      </c>
      <c r="V72" s="267" cm="1">
        <f t="array" ref="V72">IF(V28 &lt;&gt; 0, V28 / V27, (1 + INDEX($I$50:$I$57, MATCH(EOMONTH(V$6, $I72), $D$50:$D$57, 0), 0)) ^ (1 / 12))</f>
        <v>1.0016640512407362</v>
      </c>
      <c r="W72" s="267" cm="1">
        <f t="array" ref="W72">IF(W28 &lt;&gt; 0, W28 / W27, (1 + INDEX($I$50:$I$57, MATCH(EOMONTH(W$6, $I72), $D$50:$D$57, 0), 0)) ^ (1 / 12))</f>
        <v>1.0016802545777994</v>
      </c>
      <c r="X72" s="267" cm="1">
        <f t="array" ref="X72">IF(X28 &lt;&gt; 0, X28 / X27, (1 + INDEX($I$50:$I$57, MATCH(EOMONTH(X$6, $I72), $D$50:$D$57, 0), 0)) ^ (1 / 12))</f>
        <v>1.0016827892949856</v>
      </c>
      <c r="Y72" s="267" cm="1">
        <f t="array" ref="Y72">IF(Y28 &lt;&gt; 0, Y28 / Y27, (1 + INDEX($I$50:$I$57, MATCH(EOMONTH(Y$6, $I72), $D$50:$D$57, 0), 0)) ^ (1 / 12))</f>
        <v>1.0016541150373761</v>
      </c>
      <c r="Z72" s="267" cm="1">
        <f t="array" ref="Z72">IF(Z28 &lt;&gt; 0, Z28 / Z27, (1 + INDEX($I$50:$I$57, MATCH(EOMONTH(Z$6, $I72), $D$50:$D$57, 0), 0)) ^ (1 / 12))</f>
        <v>1.0016515813019202</v>
      </c>
      <c r="AA72" s="267" cm="1">
        <f t="array" ref="AA72">IF(AA28 &lt;&gt; 0, AA28 / AA27, (1 + INDEX($I$50:$I$57, MATCH(EOMONTH(AA$6, $I72), $D$50:$D$57, 0), 0)) ^ (1 / 12))</f>
        <v>1.0016515813019202</v>
      </c>
      <c r="AB72" s="24"/>
    </row>
    <row r="73" spans="1:28">
      <c r="A73" s="48"/>
      <c r="B73" s="48"/>
      <c r="C73" s="48"/>
      <c r="D73" s="64" t="str">
        <f t="shared" si="2"/>
        <v>Jan</v>
      </c>
      <c r="E73" s="64"/>
      <c r="F73" s="64" t="s">
        <v>162</v>
      </c>
      <c r="G73" s="64" t="s">
        <v>163</v>
      </c>
      <c r="H73" s="64"/>
      <c r="I73" s="266">
        <f t="shared" si="3"/>
        <v>9</v>
      </c>
      <c r="J73" s="65"/>
      <c r="K73" s="65"/>
      <c r="L73" s="65"/>
      <c r="M73" s="128"/>
      <c r="N73" s="128"/>
      <c r="O73" s="128"/>
      <c r="P73" s="128"/>
      <c r="Q73" s="128"/>
      <c r="R73" s="128"/>
      <c r="S73" s="128"/>
      <c r="T73" s="267" cm="1">
        <f t="array" ref="T73">IF(T29 &lt;&gt; 0, T29 / T28, (1 + INDEX($I$50:$I$57, MATCH(EOMONTH(T$6, $I73), $D$50:$D$57, 0), 0)) ^ (1 / 12))</f>
        <v>1</v>
      </c>
      <c r="U73" s="267" cm="1">
        <f t="array" ref="U73">IF(U29 &lt;&gt; 0, U29 / U28, (1 + INDEX($I$50:$I$57, MATCH(EOMONTH(U$6, $I73), $D$50:$D$57, 0), 0)) ^ (1 / 12))</f>
        <v>1.0020436410082181</v>
      </c>
      <c r="V73" s="267" cm="1">
        <f t="array" ref="V73">IF(V29 &lt;&gt; 0, V29 / V28, (1 + INDEX($I$50:$I$57, MATCH(EOMONTH(V$6, $I73), $D$50:$D$57, 0), 0)) ^ (1 / 12))</f>
        <v>1.0016640512407362</v>
      </c>
      <c r="W73" s="267" cm="1">
        <f t="array" ref="W73">IF(W29 &lt;&gt; 0, W29 / W28, (1 + INDEX($I$50:$I$57, MATCH(EOMONTH(W$6, $I73), $D$50:$D$57, 0), 0)) ^ (1 / 12))</f>
        <v>1.0016802545777994</v>
      </c>
      <c r="X73" s="267" cm="1">
        <f t="array" ref="X73">IF(X29 &lt;&gt; 0, X29 / X28, (1 + INDEX($I$50:$I$57, MATCH(EOMONTH(X$6, $I73), $D$50:$D$57, 0), 0)) ^ (1 / 12))</f>
        <v>1.0016827892949856</v>
      </c>
      <c r="Y73" s="267" cm="1">
        <f t="array" ref="Y73">IF(Y29 &lt;&gt; 0, Y29 / Y28, (1 + INDEX($I$50:$I$57, MATCH(EOMONTH(Y$6, $I73), $D$50:$D$57, 0), 0)) ^ (1 / 12))</f>
        <v>1.0016541150373761</v>
      </c>
      <c r="Z73" s="267" cm="1">
        <f t="array" ref="Z73">IF(Z29 &lt;&gt; 0, Z29 / Z28, (1 + INDEX($I$50:$I$57, MATCH(EOMONTH(Z$6, $I73), $D$50:$D$57, 0), 0)) ^ (1 / 12))</f>
        <v>1.0016515813019202</v>
      </c>
      <c r="AA73" s="267" cm="1">
        <f t="array" ref="AA73">IF(AA29 &lt;&gt; 0, AA29 / AA28, (1 + INDEX($I$50:$I$57, MATCH(EOMONTH(AA$6, $I73), $D$50:$D$57, 0), 0)) ^ (1 / 12))</f>
        <v>1.0016515813019202</v>
      </c>
      <c r="AB73" s="24"/>
    </row>
    <row r="74" spans="1:28">
      <c r="A74" s="48"/>
      <c r="B74" s="48"/>
      <c r="C74" s="48"/>
      <c r="D74" s="64" t="str">
        <f t="shared" si="2"/>
        <v>Feb</v>
      </c>
      <c r="E74" s="64"/>
      <c r="F74" s="64" t="s">
        <v>162</v>
      </c>
      <c r="G74" s="64" t="s">
        <v>163</v>
      </c>
      <c r="H74" s="64"/>
      <c r="I74" s="266">
        <f t="shared" si="3"/>
        <v>9</v>
      </c>
      <c r="J74" s="65"/>
      <c r="K74" s="65"/>
      <c r="L74" s="65"/>
      <c r="M74" s="128"/>
      <c r="N74" s="128"/>
      <c r="O74" s="128"/>
      <c r="P74" s="128"/>
      <c r="Q74" s="128"/>
      <c r="R74" s="128"/>
      <c r="S74" s="128"/>
      <c r="T74" s="267" cm="1">
        <f t="array" ref="T74">IF(T30 &lt;&gt; 0, T30 / T29, (1 + INDEX($I$50:$I$57, MATCH(EOMONTH(T$6, $I74), $D$50:$D$57, 0), 0)) ^ (1 / 12))</f>
        <v>1.0037009622501851</v>
      </c>
      <c r="U74" s="267" cm="1">
        <f t="array" ref="U74">IF(U30 &lt;&gt; 0, U30 / U29, (1 + INDEX($I$50:$I$57, MATCH(EOMONTH(U$6, $I74), $D$50:$D$57, 0), 0)) ^ (1 / 12))</f>
        <v>1.0020436410082181</v>
      </c>
      <c r="V74" s="267" cm="1">
        <f t="array" ref="V74">IF(V30 &lt;&gt; 0, V30 / V29, (1 + INDEX($I$50:$I$57, MATCH(EOMONTH(V$6, $I74), $D$50:$D$57, 0), 0)) ^ (1 / 12))</f>
        <v>1.0016640512407362</v>
      </c>
      <c r="W74" s="267" cm="1">
        <f t="array" ref="W74">IF(W30 &lt;&gt; 0, W30 / W29, (1 + INDEX($I$50:$I$57, MATCH(EOMONTH(W$6, $I74), $D$50:$D$57, 0), 0)) ^ (1 / 12))</f>
        <v>1.0016802545777994</v>
      </c>
      <c r="X74" s="267" cm="1">
        <f t="array" ref="X74">IF(X30 &lt;&gt; 0, X30 / X29, (1 + INDEX($I$50:$I$57, MATCH(EOMONTH(X$6, $I74), $D$50:$D$57, 0), 0)) ^ (1 / 12))</f>
        <v>1.0016827892949856</v>
      </c>
      <c r="Y74" s="267" cm="1">
        <f t="array" ref="Y74">IF(Y30 &lt;&gt; 0, Y30 / Y29, (1 + INDEX($I$50:$I$57, MATCH(EOMONTH(Y$6, $I74), $D$50:$D$57, 0), 0)) ^ (1 / 12))</f>
        <v>1.0016541150373761</v>
      </c>
      <c r="Z74" s="267" cm="1">
        <f t="array" ref="Z74">IF(Z30 &lt;&gt; 0, Z30 / Z29, (1 + INDEX($I$50:$I$57, MATCH(EOMONTH(Z$6, $I74), $D$50:$D$57, 0), 0)) ^ (1 / 12))</f>
        <v>1.0016515813019202</v>
      </c>
      <c r="AA74" s="267" cm="1">
        <f t="array" ref="AA74">IF(AA30 &lt;&gt; 0, AA30 / AA29, (1 + INDEX($I$50:$I$57, MATCH(EOMONTH(AA$6, $I74), $D$50:$D$57, 0), 0)) ^ (1 / 12))</f>
        <v>1.0016515813019202</v>
      </c>
      <c r="AB74" s="24"/>
    </row>
    <row r="75" spans="1:28">
      <c r="A75" s="48"/>
      <c r="B75" s="48"/>
      <c r="C75" s="48"/>
      <c r="D75" s="67" t="str">
        <f t="shared" si="2"/>
        <v>Mar</v>
      </c>
      <c r="E75" s="67"/>
      <c r="F75" s="67" t="s">
        <v>162</v>
      </c>
      <c r="G75" s="67" t="s">
        <v>163</v>
      </c>
      <c r="H75" s="67"/>
      <c r="I75" s="269">
        <f t="shared" si="3"/>
        <v>9</v>
      </c>
      <c r="J75" s="68"/>
      <c r="K75" s="68"/>
      <c r="L75" s="68"/>
      <c r="M75" s="129"/>
      <c r="N75" s="129"/>
      <c r="O75" s="129"/>
      <c r="P75" s="129"/>
      <c r="Q75" s="129"/>
      <c r="R75" s="129"/>
      <c r="S75" s="129"/>
      <c r="T75" s="270" cm="1">
        <f t="array" ref="T75">IF(T31 &lt;&gt; 0, T31 / T30, (1 + INDEX($I$50:$I$57, MATCH(EOMONTH(T$6, $I75), $D$50:$D$57, 0), 0)) ^ (1 / 12))</f>
        <v>1.0036873156342183</v>
      </c>
      <c r="U75" s="270" cm="1">
        <f t="array" ref="U75">IF(U31 &lt;&gt; 0, U31 / U30, (1 + INDEX($I$50:$I$57, MATCH(EOMONTH(U$6, $I75), $D$50:$D$57, 0), 0)) ^ (1 / 12))</f>
        <v>1.0020436410082181</v>
      </c>
      <c r="V75" s="270" cm="1">
        <f t="array" ref="V75">IF(V31 &lt;&gt; 0, V31 / V30, (1 + INDEX($I$50:$I$57, MATCH(EOMONTH(V$6, $I75), $D$50:$D$57, 0), 0)) ^ (1 / 12))</f>
        <v>1.0016640512407362</v>
      </c>
      <c r="W75" s="270" cm="1">
        <f t="array" ref="W75">IF(W31 &lt;&gt; 0, W31 / W30, (1 + INDEX($I$50:$I$57, MATCH(EOMONTH(W$6, $I75), $D$50:$D$57, 0), 0)) ^ (1 / 12))</f>
        <v>1.0016802545777994</v>
      </c>
      <c r="X75" s="270" cm="1">
        <f t="array" ref="X75">IF(X31 &lt;&gt; 0, X31 / X30, (1 + INDEX($I$50:$I$57, MATCH(EOMONTH(X$6, $I75), $D$50:$D$57, 0), 0)) ^ (1 / 12))</f>
        <v>1.0016827892949856</v>
      </c>
      <c r="Y75" s="270" cm="1">
        <f t="array" ref="Y75">IF(Y31 &lt;&gt; 0, Y31 / Y30, (1 + INDEX($I$50:$I$57, MATCH(EOMONTH(Y$6, $I75), $D$50:$D$57, 0), 0)) ^ (1 / 12))</f>
        <v>1.0016541150373761</v>
      </c>
      <c r="Z75" s="270" cm="1">
        <f t="array" ref="Z75">IF(Z31 &lt;&gt; 0, Z31 / Z30, (1 + INDEX($I$50:$I$57, MATCH(EOMONTH(Z$6, $I75), $D$50:$D$57, 0), 0)) ^ (1 / 12))</f>
        <v>1.0016515813019202</v>
      </c>
      <c r="AA75" s="270" cm="1">
        <f t="array" ref="AA75">IF(AA31 &lt;&gt; 0, AA31 / AA30, (1 + INDEX($I$50:$I$57, MATCH(EOMONTH(AA$6, $I75), $D$50:$D$57, 0), 0)) ^ (1 / 12))</f>
        <v>1.0016515813019202</v>
      </c>
      <c r="AB75" s="24"/>
    </row>
    <row r="76" spans="1:28">
      <c r="A76" s="48"/>
      <c r="B76" s="48"/>
      <c r="C76" s="48"/>
      <c r="D76" s="48"/>
      <c r="E76" s="48"/>
      <c r="F76" s="48"/>
      <c r="G76" s="48"/>
      <c r="H76" s="48"/>
      <c r="I76" s="70"/>
      <c r="J76" s="24"/>
      <c r="K76" s="24"/>
      <c r="L76" s="24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24"/>
    </row>
    <row r="77" spans="1:28">
      <c r="A77" s="48"/>
      <c r="B77" s="48"/>
      <c r="C77" s="51" t="s">
        <v>164</v>
      </c>
      <c r="D77" s="48"/>
      <c r="E77" s="48"/>
      <c r="F77" s="48"/>
      <c r="G77" s="48"/>
      <c r="H77" s="48"/>
      <c r="I77" s="70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</row>
    <row r="78" spans="1:28">
      <c r="A78" s="48"/>
      <c r="B78" s="48"/>
      <c r="C78" s="48"/>
      <c r="D78" s="214" t="str">
        <f t="shared" ref="D78:D89" si="4">D20</f>
        <v>Apr</v>
      </c>
      <c r="E78" s="214"/>
      <c r="F78" s="214" t="s">
        <v>165</v>
      </c>
      <c r="G78" s="214" t="s">
        <v>101</v>
      </c>
      <c r="H78" s="214"/>
      <c r="I78" s="253"/>
      <c r="J78" s="215"/>
      <c r="K78" s="215"/>
      <c r="L78" s="215" t="s">
        <v>68</v>
      </c>
      <c r="M78" s="254"/>
      <c r="N78" s="254"/>
      <c r="O78" s="254"/>
      <c r="P78" s="254"/>
      <c r="Q78" s="254"/>
      <c r="R78" s="254"/>
      <c r="S78" s="254"/>
      <c r="T78" s="160">
        <f t="shared" ref="T78:AA78" si="5">S89 * T64</f>
        <v>359.17598250498725</v>
      </c>
      <c r="U78" s="160">
        <f t="shared" si="5"/>
        <v>374.11900749573937</v>
      </c>
      <c r="V78" s="160">
        <f t="shared" si="5"/>
        <v>383.68061620395173</v>
      </c>
      <c r="W78" s="160">
        <f t="shared" si="5"/>
        <v>391.70941299573082</v>
      </c>
      <c r="X78" s="160">
        <f t="shared" si="5"/>
        <v>399.66794038059965</v>
      </c>
      <c r="Y78" s="160">
        <f t="shared" si="5"/>
        <v>407.81167716472703</v>
      </c>
      <c r="Z78" s="160">
        <f t="shared" si="5"/>
        <v>416.00435427349441</v>
      </c>
      <c r="AA78" s="160">
        <f t="shared" si="5"/>
        <v>424.32658806798338</v>
      </c>
      <c r="AB78" s="24"/>
    </row>
    <row r="79" spans="1:28">
      <c r="A79" s="48"/>
      <c r="B79" s="48"/>
      <c r="C79" s="48"/>
      <c r="D79" s="64" t="str">
        <f t="shared" si="4"/>
        <v>May</v>
      </c>
      <c r="E79" s="64"/>
      <c r="F79" s="64" t="s">
        <v>165</v>
      </c>
      <c r="G79" s="64" t="s">
        <v>101</v>
      </c>
      <c r="H79" s="64"/>
      <c r="I79" s="154"/>
      <c r="J79" s="65"/>
      <c r="K79" s="65"/>
      <c r="L79" s="65" t="s">
        <v>68</v>
      </c>
      <c r="M79" s="128"/>
      <c r="N79" s="128"/>
      <c r="O79" s="128"/>
      <c r="P79" s="128"/>
      <c r="Q79" s="128"/>
      <c r="R79" s="128"/>
      <c r="S79" s="128"/>
      <c r="T79" s="161">
        <f t="shared" ref="T79:T89" si="6">T78 * T65</f>
        <v>360.53443932232835</v>
      </c>
      <c r="U79" s="161">
        <f t="shared" ref="U79:U89" si="7">U78 * U65</f>
        <v>374.93408158614409</v>
      </c>
      <c r="V79" s="161">
        <f t="shared" ref="V79:V89" si="8">V78 * V65</f>
        <v>384.4647216452845</v>
      </c>
      <c r="W79" s="161">
        <f t="shared" ref="W79:W89" si="9">W78 * W65</f>
        <v>392.36123753043444</v>
      </c>
      <c r="X79" s="161">
        <f t="shared" ref="X79:X89" si="10">X78 * X65</f>
        <v>400.33948426702381</v>
      </c>
      <c r="Y79" s="161">
        <f t="shared" ref="Y79:Y89" si="11">Y78 * Y65</f>
        <v>408.49793828942995</v>
      </c>
      <c r="Z79" s="161">
        <f t="shared" ref="Z79:Z89" si="12">Z78 * Z65</f>
        <v>416.69247333151213</v>
      </c>
      <c r="AA79" s="161">
        <f t="shared" ref="AA79:AA89" si="13">AA78 * AA65</f>
        <v>425.02739792674407</v>
      </c>
      <c r="AB79" s="24"/>
    </row>
    <row r="80" spans="1:28">
      <c r="A80" s="48"/>
      <c r="B80" s="48"/>
      <c r="C80" s="48"/>
      <c r="D80" s="64" t="str">
        <f t="shared" si="4"/>
        <v>Jun</v>
      </c>
      <c r="E80" s="64"/>
      <c r="F80" s="64" t="s">
        <v>165</v>
      </c>
      <c r="G80" s="64" t="s">
        <v>101</v>
      </c>
      <c r="H80" s="64"/>
      <c r="I80" s="154"/>
      <c r="J80" s="65"/>
      <c r="K80" s="65"/>
      <c r="L80" s="65" t="s">
        <v>68</v>
      </c>
      <c r="M80" s="128"/>
      <c r="N80" s="128"/>
      <c r="O80" s="128"/>
      <c r="P80" s="128"/>
      <c r="Q80" s="128"/>
      <c r="R80" s="128"/>
      <c r="S80" s="128"/>
      <c r="T80" s="271">
        <f t="shared" si="6"/>
        <v>361.34951341273307</v>
      </c>
      <c r="U80" s="271">
        <f t="shared" si="7"/>
        <v>376.02084704001697</v>
      </c>
      <c r="V80" s="271">
        <f t="shared" si="8"/>
        <v>385.25042951665193</v>
      </c>
      <c r="W80" s="271">
        <f t="shared" si="9"/>
        <v>393.01414673456372</v>
      </c>
      <c r="X80" s="271">
        <f t="shared" si="10"/>
        <v>401.01215651813732</v>
      </c>
      <c r="Y80" s="271">
        <f t="shared" si="11"/>
        <v>409.18535424700707</v>
      </c>
      <c r="Z80" s="271">
        <f t="shared" si="12"/>
        <v>417.38173061761125</v>
      </c>
      <c r="AA80" s="271">
        <f t="shared" si="13"/>
        <v>425.72936522996366</v>
      </c>
      <c r="AB80" s="24"/>
    </row>
    <row r="81" spans="1:28">
      <c r="A81" s="48"/>
      <c r="B81" s="48"/>
      <c r="C81" s="48"/>
      <c r="D81" s="64" t="str">
        <f t="shared" si="4"/>
        <v>Jul</v>
      </c>
      <c r="E81" s="64"/>
      <c r="F81" s="64" t="s">
        <v>165</v>
      </c>
      <c r="G81" s="64" t="s">
        <v>101</v>
      </c>
      <c r="H81" s="64"/>
      <c r="I81" s="154"/>
      <c r="J81" s="65"/>
      <c r="K81" s="65"/>
      <c r="L81" s="65" t="s">
        <v>68</v>
      </c>
      <c r="M81" s="128"/>
      <c r="N81" s="128"/>
      <c r="O81" s="128"/>
      <c r="P81" s="128"/>
      <c r="Q81" s="128"/>
      <c r="R81" s="128"/>
      <c r="S81" s="128"/>
      <c r="T81" s="271">
        <f t="shared" si="6"/>
        <v>361.07782204926485</v>
      </c>
      <c r="U81" s="271">
        <f t="shared" si="7"/>
        <v>376.29253840348514</v>
      </c>
      <c r="V81" s="271">
        <f t="shared" si="8"/>
        <v>385.89150597188325</v>
      </c>
      <c r="W81" s="271">
        <f t="shared" si="9"/>
        <v>393.67451055375443</v>
      </c>
      <c r="X81" s="271">
        <f t="shared" si="10"/>
        <v>401.68697548228511</v>
      </c>
      <c r="Y81" s="271">
        <f t="shared" si="11"/>
        <v>409.86219389454112</v>
      </c>
      <c r="Z81" s="271">
        <f t="shared" si="12"/>
        <v>418.07107047966241</v>
      </c>
      <c r="AA81" s="271">
        <f t="shared" si="13"/>
        <v>426.43249188925586</v>
      </c>
      <c r="AB81" s="24"/>
    </row>
    <row r="82" spans="1:28">
      <c r="A82" s="48"/>
      <c r="B82" s="48"/>
      <c r="C82" s="48"/>
      <c r="D82" s="64" t="str">
        <f t="shared" si="4"/>
        <v>Aug</v>
      </c>
      <c r="E82" s="64"/>
      <c r="F82" s="64" t="s">
        <v>165</v>
      </c>
      <c r="G82" s="64" t="s">
        <v>101</v>
      </c>
      <c r="H82" s="64"/>
      <c r="I82" s="154"/>
      <c r="J82" s="65"/>
      <c r="K82" s="65"/>
      <c r="L82" s="65" t="s">
        <v>68</v>
      </c>
      <c r="M82" s="128"/>
      <c r="N82" s="128"/>
      <c r="O82" s="128"/>
      <c r="P82" s="128"/>
      <c r="Q82" s="128"/>
      <c r="R82" s="128"/>
      <c r="S82" s="128"/>
      <c r="T82" s="271">
        <f t="shared" si="6"/>
        <v>362.43627886660596</v>
      </c>
      <c r="U82" s="271">
        <f t="shared" si="7"/>
        <v>377.37930385735802</v>
      </c>
      <c r="V82" s="271">
        <f t="shared" si="8"/>
        <v>386.53364921118532</v>
      </c>
      <c r="W82" s="271">
        <f t="shared" si="9"/>
        <v>394.33598395227534</v>
      </c>
      <c r="X82" s="271">
        <f t="shared" si="10"/>
        <v>402.36293002456182</v>
      </c>
      <c r="Y82" s="271">
        <f t="shared" si="11"/>
        <v>410.54015311271405</v>
      </c>
      <c r="Z82" s="271">
        <f t="shared" si="12"/>
        <v>418.76154884254038</v>
      </c>
      <c r="AA82" s="271">
        <f t="shared" si="13"/>
        <v>427.13677981939139</v>
      </c>
      <c r="AB82" s="24"/>
    </row>
    <row r="83" spans="1:28">
      <c r="A83" s="48"/>
      <c r="B83" s="48"/>
      <c r="C83" s="48"/>
      <c r="D83" s="64" t="str">
        <f t="shared" si="4"/>
        <v>Sep</v>
      </c>
      <c r="E83" s="64"/>
      <c r="F83" s="64" t="s">
        <v>165</v>
      </c>
      <c r="G83" s="64" t="s">
        <v>101</v>
      </c>
      <c r="H83" s="64"/>
      <c r="I83" s="154"/>
      <c r="J83" s="65"/>
      <c r="K83" s="65"/>
      <c r="L83" s="65" t="s">
        <v>68</v>
      </c>
      <c r="M83" s="128"/>
      <c r="N83" s="128"/>
      <c r="O83" s="128"/>
      <c r="P83" s="128"/>
      <c r="Q83" s="128"/>
      <c r="R83" s="128"/>
      <c r="S83" s="128"/>
      <c r="T83" s="271">
        <f t="shared" si="6"/>
        <v>362.70797023007412</v>
      </c>
      <c r="U83" s="271">
        <f t="shared" si="7"/>
        <v>377.37930385735802</v>
      </c>
      <c r="V83" s="271">
        <f t="shared" si="8"/>
        <v>387.17686100974151</v>
      </c>
      <c r="W83" s="271">
        <f t="shared" si="9"/>
        <v>394.99856879450221</v>
      </c>
      <c r="X83" s="271">
        <f t="shared" si="10"/>
        <v>403.04002205590615</v>
      </c>
      <c r="Y83" s="271">
        <f t="shared" si="11"/>
        <v>411.21923375342448</v>
      </c>
      <c r="Z83" s="271">
        <f t="shared" si="12"/>
        <v>419.45316758657185</v>
      </c>
      <c r="AA83" s="271">
        <f t="shared" si="13"/>
        <v>427.84223093830349</v>
      </c>
      <c r="AB83" s="24"/>
    </row>
    <row r="84" spans="1:28">
      <c r="A84" s="48"/>
      <c r="B84" s="48"/>
      <c r="C84" s="48"/>
      <c r="D84" s="64" t="str">
        <f t="shared" si="4"/>
        <v>Oct</v>
      </c>
      <c r="E84" s="64"/>
      <c r="F84" s="64" t="s">
        <v>165</v>
      </c>
      <c r="G84" s="64" t="s">
        <v>101</v>
      </c>
      <c r="H84" s="64"/>
      <c r="I84" s="154"/>
      <c r="J84" s="65"/>
      <c r="K84" s="65"/>
      <c r="L84" s="65" t="s">
        <v>68</v>
      </c>
      <c r="M84" s="128"/>
      <c r="N84" s="128"/>
      <c r="O84" s="128"/>
      <c r="P84" s="128"/>
      <c r="Q84" s="128"/>
      <c r="R84" s="128"/>
      <c r="S84" s="128"/>
      <c r="T84" s="271">
        <f t="shared" si="6"/>
        <v>364.88150113781995</v>
      </c>
      <c r="U84" s="271">
        <f t="shared" si="7"/>
        <v>379.00945203816735</v>
      </c>
      <c r="V84" s="271">
        <f t="shared" si="8"/>
        <v>387.82114314568912</v>
      </c>
      <c r="W84" s="271">
        <f t="shared" si="9"/>
        <v>395.66226694794341</v>
      </c>
      <c r="X84" s="271">
        <f t="shared" si="10"/>
        <v>403.71825349047259</v>
      </c>
      <c r="Y84" s="271">
        <f t="shared" si="11"/>
        <v>411.8994376716343</v>
      </c>
      <c r="Z84" s="271">
        <f t="shared" si="12"/>
        <v>420.14592859518905</v>
      </c>
      <c r="AA84" s="271">
        <f t="shared" si="13"/>
        <v>428.54884716709302</v>
      </c>
      <c r="AB84" s="24"/>
    </row>
    <row r="85" spans="1:28">
      <c r="A85" s="48"/>
      <c r="B85" s="48"/>
      <c r="C85" s="48"/>
      <c r="D85" s="64" t="str">
        <f t="shared" si="4"/>
        <v>Nov</v>
      </c>
      <c r="E85" s="64"/>
      <c r="F85" s="64" t="s">
        <v>165</v>
      </c>
      <c r="G85" s="64" t="s">
        <v>101</v>
      </c>
      <c r="H85" s="64"/>
      <c r="I85" s="154"/>
      <c r="J85" s="65"/>
      <c r="K85" s="65"/>
      <c r="L85" s="65" t="s">
        <v>68</v>
      </c>
      <c r="M85" s="128"/>
      <c r="N85" s="128"/>
      <c r="O85" s="128"/>
      <c r="P85" s="128"/>
      <c r="Q85" s="128"/>
      <c r="R85" s="128"/>
      <c r="S85" s="128"/>
      <c r="T85" s="271">
        <f t="shared" si="6"/>
        <v>365.69657522822456</v>
      </c>
      <c r="U85" s="271">
        <f t="shared" si="7"/>
        <v>379.78401129685483</v>
      </c>
      <c r="V85" s="271">
        <f t="shared" si="8"/>
        <v>388.46649740012447</v>
      </c>
      <c r="W85" s="271">
        <f t="shared" si="9"/>
        <v>396.32708028324521</v>
      </c>
      <c r="X85" s="271">
        <f t="shared" si="10"/>
        <v>404.39762624563662</v>
      </c>
      <c r="Y85" s="271">
        <f t="shared" si="11"/>
        <v>412.58076672537373</v>
      </c>
      <c r="Z85" s="271">
        <f t="shared" si="12"/>
        <v>420.83983375493477</v>
      </c>
      <c r="AA85" s="271">
        <f t="shared" si="13"/>
        <v>429.25663043003368</v>
      </c>
      <c r="AB85" s="24"/>
    </row>
    <row r="86" spans="1:28">
      <c r="A86" s="48"/>
      <c r="B86" s="48"/>
      <c r="C86" s="48"/>
      <c r="D86" s="64" t="str">
        <f t="shared" si="4"/>
        <v>Dec</v>
      </c>
      <c r="E86" s="64"/>
      <c r="F86" s="64" t="s">
        <v>165</v>
      </c>
      <c r="G86" s="64" t="s">
        <v>101</v>
      </c>
      <c r="H86" s="64"/>
      <c r="I86" s="154"/>
      <c r="J86" s="65"/>
      <c r="K86" s="65"/>
      <c r="L86" s="65" t="s">
        <v>68</v>
      </c>
      <c r="M86" s="128"/>
      <c r="N86" s="128"/>
      <c r="O86" s="128"/>
      <c r="P86" s="128"/>
      <c r="Q86" s="128"/>
      <c r="R86" s="128"/>
      <c r="S86" s="128"/>
      <c r="T86" s="271">
        <f t="shared" si="6"/>
        <v>367.05503204556567</v>
      </c>
      <c r="U86" s="271">
        <f t="shared" si="7"/>
        <v>380.56015347660662</v>
      </c>
      <c r="V86" s="271">
        <f t="shared" si="8"/>
        <v>389.11292555710759</v>
      </c>
      <c r="W86" s="271">
        <f t="shared" si="9"/>
        <v>396.99301067419702</v>
      </c>
      <c r="X86" s="271">
        <f t="shared" si="10"/>
        <v>405.07814224200035</v>
      </c>
      <c r="Y86" s="271">
        <f t="shared" si="11"/>
        <v>413.26322277574633</v>
      </c>
      <c r="Z86" s="271">
        <f t="shared" si="12"/>
        <v>421.53488495546765</v>
      </c>
      <c r="AA86" s="271">
        <f t="shared" si="13"/>
        <v>429.96558265457719</v>
      </c>
      <c r="AB86" s="24"/>
    </row>
    <row r="87" spans="1:28">
      <c r="A87" s="48"/>
      <c r="B87" s="48"/>
      <c r="C87" s="48"/>
      <c r="D87" s="64" t="str">
        <f t="shared" si="4"/>
        <v>Jan</v>
      </c>
      <c r="E87" s="64"/>
      <c r="F87" s="64" t="s">
        <v>165</v>
      </c>
      <c r="G87" s="64" t="s">
        <v>101</v>
      </c>
      <c r="H87" s="64"/>
      <c r="I87" s="154"/>
      <c r="J87" s="65"/>
      <c r="K87" s="65"/>
      <c r="L87" s="65" t="s">
        <v>68</v>
      </c>
      <c r="M87" s="128"/>
      <c r="N87" s="128"/>
      <c r="O87" s="128"/>
      <c r="P87" s="128"/>
      <c r="Q87" s="128"/>
      <c r="R87" s="128"/>
      <c r="S87" s="128"/>
      <c r="T87" s="271">
        <f t="shared" si="6"/>
        <v>367.05503204556567</v>
      </c>
      <c r="U87" s="271">
        <f t="shared" si="7"/>
        <v>381.33788181234519</v>
      </c>
      <c r="V87" s="271">
        <f t="shared" si="8"/>
        <v>389.76042940366739</v>
      </c>
      <c r="W87" s="271">
        <f t="shared" si="9"/>
        <v>397.66005999773671</v>
      </c>
      <c r="X87" s="271">
        <f t="shared" si="10"/>
        <v>405.75980340339783</v>
      </c>
      <c r="Y87" s="271">
        <f t="shared" si="11"/>
        <v>413.94680768693422</v>
      </c>
      <c r="Z87" s="271">
        <f t="shared" si="12"/>
        <v>422.23108408956716</v>
      </c>
      <c r="AA87" s="271">
        <f t="shared" si="13"/>
        <v>430.67570577135871</v>
      </c>
      <c r="AB87" s="24"/>
    </row>
    <row r="88" spans="1:28">
      <c r="A88" s="48"/>
      <c r="B88" s="48"/>
      <c r="C88" s="48"/>
      <c r="D88" s="64" t="str">
        <f t="shared" si="4"/>
        <v>Feb</v>
      </c>
      <c r="E88" s="64"/>
      <c r="F88" s="64" t="s">
        <v>165</v>
      </c>
      <c r="G88" s="64" t="s">
        <v>101</v>
      </c>
      <c r="H88" s="64"/>
      <c r="I88" s="154"/>
      <c r="J88" s="65"/>
      <c r="K88" s="65"/>
      <c r="L88" s="65" t="s">
        <v>68</v>
      </c>
      <c r="M88" s="128"/>
      <c r="N88" s="128"/>
      <c r="O88" s="128"/>
      <c r="P88" s="128"/>
      <c r="Q88" s="128"/>
      <c r="R88" s="128"/>
      <c r="S88" s="128"/>
      <c r="T88" s="271">
        <f t="shared" si="6"/>
        <v>368.41348886290677</v>
      </c>
      <c r="U88" s="271">
        <f t="shared" si="7"/>
        <v>382.11719954560391</v>
      </c>
      <c r="V88" s="271">
        <f t="shared" si="8"/>
        <v>390.40901072980643</v>
      </c>
      <c r="W88" s="271">
        <f t="shared" si="9"/>
        <v>398.32823013395591</v>
      </c>
      <c r="X88" s="271">
        <f t="shared" si="10"/>
        <v>406.44261165690051</v>
      </c>
      <c r="Y88" s="271">
        <f t="shared" si="11"/>
        <v>414.63152332620302</v>
      </c>
      <c r="Z88" s="271">
        <f t="shared" si="12"/>
        <v>422.92843305313897</v>
      </c>
      <c r="AA88" s="271">
        <f t="shared" si="13"/>
        <v>431.38700171420197</v>
      </c>
      <c r="AB88" s="24"/>
    </row>
    <row r="89" spans="1:28">
      <c r="A89" s="48"/>
      <c r="B89" s="48"/>
      <c r="C89" s="48"/>
      <c r="D89" s="67" t="str">
        <f t="shared" si="4"/>
        <v>Mar</v>
      </c>
      <c r="E89" s="67"/>
      <c r="F89" s="67" t="s">
        <v>165</v>
      </c>
      <c r="G89" s="67" t="s">
        <v>101</v>
      </c>
      <c r="H89" s="67"/>
      <c r="I89" s="155"/>
      <c r="J89" s="68"/>
      <c r="K89" s="68"/>
      <c r="L89" s="68" t="s">
        <v>68</v>
      </c>
      <c r="M89" s="129"/>
      <c r="N89" s="129"/>
      <c r="O89" s="129"/>
      <c r="P89" s="129"/>
      <c r="Q89" s="129"/>
      <c r="R89" s="129"/>
      <c r="S89" s="272">
        <f>I17</f>
        <v>357.54583432417797</v>
      </c>
      <c r="T89" s="273">
        <f t="shared" si="6"/>
        <v>369.77194568024788</v>
      </c>
      <c r="U89" s="273">
        <f t="shared" si="7"/>
        <v>382.89810992454073</v>
      </c>
      <c r="V89" s="273">
        <f t="shared" si="8"/>
        <v>391.05867132850597</v>
      </c>
      <c r="W89" s="273">
        <f t="shared" si="9"/>
        <v>398.99752296610524</v>
      </c>
      <c r="X89" s="273">
        <f t="shared" si="10"/>
        <v>407.12656893282269</v>
      </c>
      <c r="Y89" s="273">
        <f t="shared" si="11"/>
        <v>415.31737156390705</v>
      </c>
      <c r="Z89" s="273">
        <f t="shared" si="12"/>
        <v>423.62693374521996</v>
      </c>
      <c r="AA89" s="273">
        <f t="shared" si="13"/>
        <v>432.09947242012458</v>
      </c>
      <c r="AB89" s="24"/>
    </row>
    <row r="90" spans="1:28">
      <c r="A90" s="48"/>
      <c r="B90" s="48"/>
      <c r="C90" s="48"/>
      <c r="D90" s="48"/>
      <c r="E90" s="48"/>
      <c r="F90" s="48"/>
      <c r="G90" s="48"/>
      <c r="H90" s="48"/>
      <c r="I90" s="70"/>
      <c r="J90" s="24"/>
      <c r="K90" s="24"/>
      <c r="L90" s="24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24"/>
    </row>
    <row r="91" spans="1:28" customFormat="1">
      <c r="A91" s="48"/>
      <c r="B91" s="48"/>
      <c r="C91" s="48" t="s">
        <v>166</v>
      </c>
      <c r="D91" s="48"/>
      <c r="E91" s="48"/>
      <c r="F91" s="48" t="str">
        <f>F16</f>
        <v>PIₜ</v>
      </c>
      <c r="G91" s="48" t="str">
        <f>G16</f>
        <v>1987 = 100</v>
      </c>
      <c r="H91" s="48"/>
      <c r="I91" s="70"/>
      <c r="J91" s="24"/>
      <c r="K91" s="24"/>
      <c r="L91" s="24" t="s">
        <v>68</v>
      </c>
      <c r="M91" s="280">
        <f t="shared" ref="M91:AA91" si="14">IF(M16 &lt;&gt; 0, M16, AVERAGE(M78:M89))</f>
        <v>274.90833333333336</v>
      </c>
      <c r="N91" s="280">
        <f t="shared" si="14"/>
        <v>283.30833333333334</v>
      </c>
      <c r="O91" s="280">
        <f t="shared" si="14"/>
        <v>290.64166666666665</v>
      </c>
      <c r="P91" s="280">
        <f t="shared" si="14"/>
        <v>294.16666666666669</v>
      </c>
      <c r="Q91" s="280">
        <f t="shared" si="14"/>
        <v>307.32821397646848</v>
      </c>
      <c r="R91" s="280">
        <f t="shared" si="14"/>
        <v>334.29358180068937</v>
      </c>
      <c r="S91" s="280">
        <f t="shared" si="14"/>
        <v>352.83651735739545</v>
      </c>
      <c r="T91" s="280">
        <f t="shared" si="14"/>
        <v>364.17963178219367</v>
      </c>
      <c r="U91" s="280">
        <f t="shared" si="14"/>
        <v>378.48599086118503</v>
      </c>
      <c r="V91" s="280">
        <f t="shared" si="14"/>
        <v>387.46887176029992</v>
      </c>
      <c r="W91" s="280">
        <f t="shared" si="14"/>
        <v>395.33850263037039</v>
      </c>
      <c r="X91" s="280">
        <f t="shared" si="14"/>
        <v>403.38604289164545</v>
      </c>
      <c r="Y91" s="280">
        <f t="shared" si="14"/>
        <v>411.5629733509702</v>
      </c>
      <c r="Z91" s="280">
        <f t="shared" si="14"/>
        <v>419.80595361040923</v>
      </c>
      <c r="AA91" s="280">
        <f t="shared" si="14"/>
        <v>428.20234116908591</v>
      </c>
      <c r="AB91" s="24"/>
    </row>
    <row r="92" spans="1:28" customFormat="1">
      <c r="A92" s="48"/>
      <c r="B92" s="48"/>
      <c r="C92" s="48"/>
      <c r="D92" s="48"/>
      <c r="E92" s="48"/>
      <c r="F92" s="48"/>
      <c r="G92" s="48"/>
      <c r="H92" s="48"/>
      <c r="I92" s="70"/>
      <c r="J92" s="24"/>
      <c r="K92" s="24"/>
      <c r="L92" s="24"/>
      <c r="M92" s="24"/>
      <c r="N92" s="24"/>
      <c r="O92" s="24"/>
      <c r="P92" s="24"/>
      <c r="Q92" s="162"/>
      <c r="R92" s="162"/>
      <c r="S92" s="162"/>
      <c r="T92" s="162"/>
      <c r="U92" s="162"/>
      <c r="V92" s="24"/>
      <c r="W92" s="24"/>
      <c r="X92" s="24"/>
      <c r="Y92" s="24"/>
      <c r="Z92" s="24"/>
      <c r="AA92" s="24"/>
      <c r="AB92" s="24"/>
    </row>
    <row r="93" spans="1:28" customFormat="1">
      <c r="A93" s="48"/>
      <c r="B93" s="48"/>
      <c r="C93" s="48" t="s">
        <v>167</v>
      </c>
      <c r="D93" s="48"/>
      <c r="E93" s="48"/>
      <c r="F93" s="48"/>
      <c r="G93" s="48" t="s">
        <v>168</v>
      </c>
      <c r="H93" s="48"/>
      <c r="I93" s="70"/>
      <c r="J93" s="24"/>
      <c r="K93" s="24"/>
      <c r="L93" s="24" t="s">
        <v>68</v>
      </c>
      <c r="M93" s="128"/>
      <c r="N93" s="128"/>
      <c r="O93" s="128"/>
      <c r="P93" s="128"/>
      <c r="Q93" s="128"/>
      <c r="R93" s="128"/>
      <c r="S93" s="128"/>
      <c r="T93" s="274">
        <f t="shared" ref="T93:AA93" si="15">T91 / $N91</f>
        <v>1.2854532992282626</v>
      </c>
      <c r="U93" s="274">
        <f t="shared" si="15"/>
        <v>1.3359507869324412</v>
      </c>
      <c r="V93" s="274">
        <f t="shared" si="15"/>
        <v>1.3676578701425417</v>
      </c>
      <c r="W93" s="274">
        <f t="shared" si="15"/>
        <v>1.3954354888856206</v>
      </c>
      <c r="X93" s="274">
        <f t="shared" si="15"/>
        <v>1.4238410785362665</v>
      </c>
      <c r="Y93" s="274">
        <f t="shared" si="15"/>
        <v>1.4527033797722277</v>
      </c>
      <c r="Z93" s="274">
        <f t="shared" si="15"/>
        <v>1.4817988185207256</v>
      </c>
      <c r="AA93" s="274">
        <f t="shared" si="15"/>
        <v>1.5114357425740597</v>
      </c>
      <c r="AB93" s="24"/>
    </row>
    <row r="94" spans="1:28" customFormat="1">
      <c r="A94" s="48"/>
      <c r="B94" s="48"/>
      <c r="C94" s="48"/>
      <c r="D94" s="48"/>
      <c r="E94" s="48"/>
      <c r="F94" s="48"/>
      <c r="G94" s="48"/>
      <c r="H94" s="48"/>
      <c r="I94" s="70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</row>
    <row r="95" spans="1:28" customFormat="1" ht="18">
      <c r="A95" s="97" t="s">
        <v>13</v>
      </c>
      <c r="B95" s="97" t="s">
        <v>169</v>
      </c>
      <c r="C95" s="217"/>
      <c r="D95" s="217"/>
      <c r="E95" s="217"/>
      <c r="F95" s="217"/>
      <c r="G95" s="217"/>
      <c r="H95" s="217"/>
      <c r="I95" s="218"/>
      <c r="J95" s="218"/>
      <c r="K95" s="218"/>
      <c r="L95" s="218"/>
      <c r="M95" s="218"/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  <c r="AA95" s="218"/>
      <c r="AB95" s="218"/>
    </row>
    <row r="96" spans="1:28" customFormat="1">
      <c r="A96" s="48"/>
      <c r="B96" s="48"/>
      <c r="C96" s="48"/>
      <c r="D96" s="48"/>
      <c r="E96" s="48"/>
      <c r="F96" s="48"/>
      <c r="G96" s="48"/>
      <c r="H96" s="48"/>
      <c r="I96" s="70"/>
      <c r="J96" s="24"/>
      <c r="K96" s="24"/>
      <c r="L96" s="24"/>
      <c r="M96" s="24"/>
      <c r="N96" s="24"/>
      <c r="O96" s="24"/>
      <c r="P96" s="24"/>
      <c r="Q96" s="24"/>
      <c r="R96" s="24"/>
      <c r="S96" s="121"/>
      <c r="T96" s="121"/>
      <c r="U96" s="121"/>
      <c r="V96" s="24"/>
      <c r="W96" s="24"/>
      <c r="X96" s="24"/>
      <c r="Y96" s="24"/>
      <c r="Z96" s="24"/>
      <c r="AA96" s="24"/>
      <c r="AB96" s="24"/>
    </row>
    <row r="97" spans="1:28" customFormat="1" ht="14.5">
      <c r="A97" s="48"/>
      <c r="B97" s="206" t="s">
        <v>170</v>
      </c>
      <c r="C97" s="48"/>
      <c r="D97" s="48"/>
      <c r="E97" s="48"/>
      <c r="F97" s="48"/>
      <c r="G97" s="48"/>
      <c r="H97" s="48"/>
      <c r="I97" s="70"/>
      <c r="J97" s="24"/>
      <c r="K97" s="24"/>
      <c r="L97" s="24"/>
      <c r="M97" s="24"/>
      <c r="N97" s="24"/>
      <c r="O97" s="24"/>
      <c r="P97" s="24"/>
      <c r="Q97" s="24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24"/>
    </row>
    <row r="98" spans="1:28" customFormat="1">
      <c r="A98" s="48"/>
      <c r="B98" s="48"/>
      <c r="C98" s="48"/>
      <c r="D98" s="48"/>
      <c r="E98" s="48"/>
      <c r="F98" s="48"/>
      <c r="G98" s="48"/>
      <c r="H98" s="48"/>
      <c r="I98" s="70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</row>
    <row r="99" spans="1:28" customFormat="1">
      <c r="A99" s="48"/>
      <c r="B99" s="48"/>
      <c r="C99" s="48" t="s">
        <v>171</v>
      </c>
      <c r="D99" s="48"/>
      <c r="E99" s="48"/>
      <c r="F99" s="48"/>
      <c r="G99" s="48" t="s">
        <v>101</v>
      </c>
      <c r="H99" s="48"/>
      <c r="I99" s="275">
        <f>N91</f>
        <v>283.30833333333334</v>
      </c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</row>
    <row r="100" spans="1:28" customFormat="1">
      <c r="A100" s="48"/>
      <c r="B100" s="48"/>
      <c r="C100" s="48"/>
      <c r="D100" s="48"/>
      <c r="E100" s="48"/>
      <c r="F100" s="48"/>
      <c r="G100" s="48"/>
      <c r="H100" s="48"/>
      <c r="I100" s="70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</row>
    <row r="101" spans="1:28" customFormat="1">
      <c r="A101" s="48"/>
      <c r="B101" s="48"/>
      <c r="C101" s="64" t="str">
        <f>Inputs!C18</f>
        <v>'Day 1' date</v>
      </c>
      <c r="D101" s="48"/>
      <c r="E101" s="144"/>
      <c r="F101" s="48"/>
      <c r="G101" s="48" t="str">
        <f>Inputs!G18</f>
        <v>Date</v>
      </c>
      <c r="H101" s="48"/>
      <c r="I101" s="276">
        <f>Inputs!I18</f>
        <v>45566</v>
      </c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</row>
    <row r="102" spans="1:28" customFormat="1">
      <c r="A102" s="48"/>
      <c r="B102" s="48"/>
      <c r="C102" s="48" t="s">
        <v>172</v>
      </c>
      <c r="D102" s="48"/>
      <c r="E102" s="48"/>
      <c r="F102" s="48"/>
      <c r="G102" s="48" t="s">
        <v>23</v>
      </c>
      <c r="H102" s="48"/>
      <c r="I102" s="226">
        <f>DATEDIF(T5, I101, "m")</f>
        <v>6</v>
      </c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spans="1:28" customFormat="1">
      <c r="A103" s="48"/>
      <c r="B103" s="48"/>
      <c r="C103" s="48" t="s">
        <v>173</v>
      </c>
      <c r="D103" s="48"/>
      <c r="E103" s="48"/>
      <c r="F103" s="48"/>
      <c r="G103" s="48" t="s">
        <v>101</v>
      </c>
      <c r="H103" s="48"/>
      <c r="I103" s="275">
        <f>SUM(_xlfn.TAKE(T78:T89, I102)) / I102</f>
        <v>361.21366773099891</v>
      </c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</row>
    <row r="104" spans="1:28" customFormat="1">
      <c r="A104" s="48"/>
      <c r="B104" s="48"/>
      <c r="C104" s="48"/>
      <c r="D104" s="48"/>
      <c r="E104" s="48"/>
      <c r="F104" s="48"/>
      <c r="G104" s="48"/>
      <c r="H104" s="48"/>
      <c r="I104" s="70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</row>
    <row r="105" spans="1:28" s="18" customFormat="1">
      <c r="A105" s="64"/>
      <c r="B105" s="64"/>
      <c r="C105" s="64" t="s">
        <v>174</v>
      </c>
      <c r="D105" s="64"/>
      <c r="E105" s="64"/>
      <c r="F105" s="64"/>
      <c r="G105" s="64" t="str">
        <f>G$93</f>
        <v>2018-19 = 1</v>
      </c>
      <c r="H105" s="64"/>
      <c r="I105" s="277">
        <f>I103 / I99</f>
        <v>1.2749842670741498</v>
      </c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</row>
    <row r="106" spans="1:28" customFormat="1">
      <c r="A106" s="48"/>
      <c r="B106" s="48"/>
      <c r="C106" s="48"/>
      <c r="D106" s="48"/>
      <c r="E106" s="48"/>
      <c r="F106" s="48"/>
      <c r="G106" s="48"/>
      <c r="H106" s="48"/>
      <c r="I106" s="70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</row>
    <row r="107" spans="1:28" s="17" customFormat="1" ht="18">
      <c r="A107" s="97" t="s">
        <v>13</v>
      </c>
      <c r="B107" s="97" t="s">
        <v>5</v>
      </c>
      <c r="C107" s="217"/>
      <c r="D107" s="217"/>
      <c r="E107" s="217"/>
      <c r="F107" s="217"/>
      <c r="G107" s="217"/>
      <c r="H107" s="217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</row>
    <row r="108" spans="1:28">
      <c r="A108" s="48"/>
      <c r="B108" s="48"/>
      <c r="C108" s="48"/>
      <c r="D108" s="48"/>
      <c r="E108" s="48"/>
      <c r="F108" s="48"/>
      <c r="G108" s="48"/>
      <c r="H108" s="48"/>
      <c r="I108" s="70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</row>
    <row r="109" spans="1:28">
      <c r="A109" s="48"/>
      <c r="B109" s="48"/>
      <c r="C109" s="48" t="s">
        <v>175</v>
      </c>
      <c r="D109" s="48"/>
      <c r="E109" s="48"/>
      <c r="F109" s="48"/>
      <c r="G109" s="48" t="s">
        <v>176</v>
      </c>
      <c r="H109" s="48"/>
      <c r="I109" s="70"/>
      <c r="J109" s="24"/>
      <c r="K109" s="24"/>
      <c r="L109" s="24"/>
      <c r="M109" s="128"/>
      <c r="N109" s="128"/>
      <c r="O109" s="128"/>
      <c r="P109" s="128"/>
      <c r="Q109" s="128"/>
      <c r="R109" s="128"/>
      <c r="S109" s="128"/>
      <c r="T109" s="128"/>
      <c r="U109" s="227">
        <f t="shared" ref="U109:AA109" si="16">IF(SUM(T23:T31, U20:U22) &lt;&gt; 0, 0, 1)</f>
        <v>0</v>
      </c>
      <c r="V109" s="227">
        <f t="shared" si="16"/>
        <v>0</v>
      </c>
      <c r="W109" s="227">
        <f t="shared" si="16"/>
        <v>1</v>
      </c>
      <c r="X109" s="227">
        <f t="shared" si="16"/>
        <v>1</v>
      </c>
      <c r="Y109" s="227">
        <f t="shared" si="16"/>
        <v>1</v>
      </c>
      <c r="Z109" s="227">
        <f t="shared" si="16"/>
        <v>1</v>
      </c>
      <c r="AA109" s="227">
        <f t="shared" si="16"/>
        <v>1</v>
      </c>
      <c r="AB109" s="24"/>
    </row>
    <row r="110" spans="1:28">
      <c r="A110" s="48"/>
      <c r="B110" s="48"/>
      <c r="C110" s="48" t="s">
        <v>177</v>
      </c>
      <c r="D110" s="48"/>
      <c r="E110" s="48"/>
      <c r="F110" s="48"/>
      <c r="G110" s="48" t="s">
        <v>127</v>
      </c>
      <c r="H110" s="48"/>
      <c r="I110" s="70"/>
      <c r="J110" s="24"/>
      <c r="K110" s="24"/>
      <c r="L110" s="24"/>
      <c r="M110" s="128"/>
      <c r="N110" s="128"/>
      <c r="O110" s="128"/>
      <c r="P110" s="128"/>
      <c r="Q110" s="128"/>
      <c r="R110" s="128"/>
      <c r="S110" s="128"/>
      <c r="T110" s="128"/>
      <c r="U110" s="278">
        <f>U109 * (U80 /T80 - 1)</f>
        <v>0</v>
      </c>
      <c r="V110" s="278">
        <f t="shared" ref="V110:AA110" si="17">V109 * (V80 /U80 - 1)</f>
        <v>0</v>
      </c>
      <c r="W110" s="278">
        <f t="shared" si="17"/>
        <v>2.0152390816675858E-2</v>
      </c>
      <c r="X110" s="278">
        <f t="shared" si="17"/>
        <v>2.0350437382538722E-2</v>
      </c>
      <c r="Y110" s="278">
        <f t="shared" si="17"/>
        <v>2.0381421351001183E-2</v>
      </c>
      <c r="Z110" s="278">
        <f t="shared" si="17"/>
        <v>2.0030962216835313E-2</v>
      </c>
      <c r="AA110" s="278">
        <f t="shared" si="17"/>
        <v>2.0000000000000462E-2</v>
      </c>
      <c r="AB110" s="24"/>
    </row>
    <row r="111" spans="1:28">
      <c r="A111" s="48"/>
      <c r="B111" s="48"/>
      <c r="C111" s="48" t="s">
        <v>178</v>
      </c>
      <c r="D111" s="48"/>
      <c r="E111" s="48"/>
      <c r="F111" s="48"/>
      <c r="G111" s="48" t="s">
        <v>127</v>
      </c>
      <c r="H111" s="48"/>
      <c r="I111" s="70"/>
      <c r="J111" s="24"/>
      <c r="K111" s="24"/>
      <c r="L111" s="24"/>
      <c r="M111" s="128"/>
      <c r="N111" s="128"/>
      <c r="O111" s="128"/>
      <c r="P111" s="128"/>
      <c r="Q111" s="128"/>
      <c r="R111" s="128"/>
      <c r="S111" s="128"/>
      <c r="T111" s="128"/>
      <c r="U111" s="279" cm="1">
        <f t="array" ref="U111">U109 * INDEX($I$50:$I$57, MATCH(EOMONTH(U6, -3), $D$50:$D$57, 0), 0)</f>
        <v>0</v>
      </c>
      <c r="V111" s="279" cm="1">
        <f t="array" ref="V111">V109 * INDEX($I$50:$I$57, MATCH(EOMONTH(V6, -3), $D$50:$D$57, 0), 0)</f>
        <v>0</v>
      </c>
      <c r="W111" s="279" cm="1">
        <f t="array" ref="W111">W109 * INDEX($I$50:$I$57, MATCH(EOMONTH(W6, -3), $D$50:$D$57, 0), 0)</f>
        <v>2.0152390816676968E-2</v>
      </c>
      <c r="X111" s="279" cm="1">
        <f t="array" ref="X111">X109 * INDEX($I$50:$I$57, MATCH(EOMONTH(X6, -3), $D$50:$D$57, 0), 0)</f>
        <v>2.035043738253961E-2</v>
      </c>
      <c r="Y111" s="279" cm="1">
        <f t="array" ref="Y111">Y109 * INDEX($I$50:$I$57, MATCH(EOMONTH(Y6, -3), $D$50:$D$57, 0), 0)</f>
        <v>2.0381421351001627E-2</v>
      </c>
      <c r="Z111" s="279" cm="1">
        <f t="array" ref="Z111">Z109 * INDEX($I$50:$I$57, MATCH(EOMONTH(Z6, -3), $D$50:$D$57, 0), 0)</f>
        <v>2.0030962216835535E-2</v>
      </c>
      <c r="AA111" s="279" cm="1">
        <f t="array" ref="AA111">AA109 * INDEX($I$50:$I$57, MATCH(EOMONTH(AA6, -3), $D$50:$D$57, 0), 0)</f>
        <v>0.02</v>
      </c>
      <c r="AB111" s="24"/>
    </row>
    <row r="112" spans="1:28">
      <c r="A112" s="48"/>
      <c r="B112" s="48"/>
      <c r="C112" s="48" t="s">
        <v>179</v>
      </c>
      <c r="D112" s="48"/>
      <c r="E112" s="48"/>
      <c r="F112" s="48"/>
      <c r="G112" s="48" t="s">
        <v>151</v>
      </c>
      <c r="H112" s="48"/>
      <c r="I112" s="70"/>
      <c r="J112" s="24"/>
      <c r="K112" s="227">
        <f>SUM(U112:AA112)</f>
        <v>0</v>
      </c>
      <c r="L112" s="24"/>
      <c r="M112" s="128"/>
      <c r="N112" s="128"/>
      <c r="O112" s="128"/>
      <c r="P112" s="128"/>
      <c r="Q112" s="128"/>
      <c r="R112" s="128"/>
      <c r="S112" s="128"/>
      <c r="T112" s="128"/>
      <c r="U112" s="163">
        <f t="shared" ref="U112:AA112" si="18">IF(ABS(U110 - U111) &lt; Tolerance/100, 0, 1)</f>
        <v>0</v>
      </c>
      <c r="V112" s="163">
        <f t="shared" si="18"/>
        <v>0</v>
      </c>
      <c r="W112" s="163">
        <f t="shared" si="18"/>
        <v>0</v>
      </c>
      <c r="X112" s="163">
        <f t="shared" si="18"/>
        <v>0</v>
      </c>
      <c r="Y112" s="163">
        <f t="shared" si="18"/>
        <v>0</v>
      </c>
      <c r="Z112" s="163">
        <f t="shared" si="18"/>
        <v>0</v>
      </c>
      <c r="AA112" s="163">
        <f t="shared" si="18"/>
        <v>0</v>
      </c>
      <c r="AB112" s="24"/>
    </row>
    <row r="113" spans="1:28">
      <c r="A113" s="48"/>
      <c r="B113" s="48"/>
      <c r="C113" s="48"/>
      <c r="D113" s="48"/>
      <c r="E113" s="48"/>
      <c r="F113" s="48"/>
      <c r="G113" s="48"/>
      <c r="H113" s="48"/>
      <c r="I113" s="70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164"/>
      <c r="V113" s="24"/>
      <c r="W113" s="24"/>
      <c r="X113" s="24"/>
      <c r="Y113" s="24"/>
      <c r="Z113" s="24"/>
      <c r="AA113" s="24"/>
      <c r="AB113" s="24"/>
    </row>
    <row r="114" spans="1:28">
      <c r="A114" s="48"/>
      <c r="B114" s="48"/>
      <c r="C114" s="48" t="s">
        <v>180</v>
      </c>
      <c r="D114" s="48"/>
      <c r="E114" s="48"/>
      <c r="F114" s="48"/>
      <c r="G114" s="48" t="s">
        <v>151</v>
      </c>
      <c r="H114" s="48"/>
      <c r="I114" s="70"/>
      <c r="J114" s="24"/>
      <c r="K114" s="227">
        <f>IF(I105 &lt; T$93, 0, 1)</f>
        <v>0</v>
      </c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spans="1:28">
      <c r="A115" s="48"/>
      <c r="B115" s="48"/>
      <c r="C115" s="48"/>
      <c r="D115" s="48"/>
      <c r="E115" s="48"/>
      <c r="F115" s="48"/>
      <c r="G115" s="48"/>
      <c r="H115" s="48"/>
      <c r="I115" s="70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>
      <c r="A116" s="48"/>
      <c r="B116" s="48"/>
      <c r="C116" s="48" t="s">
        <v>150</v>
      </c>
      <c r="D116" s="48"/>
      <c r="E116" s="48"/>
      <c r="F116" s="48"/>
      <c r="G116" s="48" t="s">
        <v>151</v>
      </c>
      <c r="H116" s="48"/>
      <c r="I116" s="70"/>
      <c r="J116" s="24"/>
      <c r="K116" s="221">
        <f>SUM(K4:K115)</f>
        <v>0</v>
      </c>
      <c r="L116" s="24"/>
      <c r="M116" s="24"/>
      <c r="N116" s="24"/>
      <c r="O116" s="24"/>
      <c r="P116" s="24"/>
      <c r="Q116" s="24"/>
      <c r="R116" s="24"/>
      <c r="S116" s="24"/>
      <c r="T116" s="72"/>
      <c r="U116" s="72"/>
      <c r="V116" s="72"/>
      <c r="W116" s="72"/>
      <c r="X116" s="72"/>
      <c r="Y116" s="72"/>
      <c r="Z116" s="72"/>
      <c r="AA116" s="72"/>
      <c r="AB116" s="24"/>
    </row>
    <row r="117" spans="1:28">
      <c r="A117" s="48"/>
      <c r="B117" s="48"/>
      <c r="C117" s="48"/>
      <c r="D117" s="48"/>
      <c r="E117" s="48"/>
      <c r="F117" s="48"/>
      <c r="G117" s="48"/>
      <c r="H117" s="48"/>
      <c r="I117" s="70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72"/>
      <c r="U117" s="72"/>
      <c r="V117" s="72"/>
      <c r="W117" s="72"/>
      <c r="X117" s="72"/>
      <c r="Y117" s="72"/>
      <c r="Z117" s="72"/>
      <c r="AA117" s="72"/>
      <c r="AB117" s="24"/>
    </row>
    <row r="118" spans="1:28" s="17" customFormat="1" ht="18">
      <c r="A118" s="97" t="s">
        <v>13</v>
      </c>
      <c r="B118" s="97" t="s">
        <v>152</v>
      </c>
      <c r="C118" s="217"/>
      <c r="D118" s="217"/>
      <c r="E118" s="217"/>
      <c r="F118" s="217"/>
      <c r="G118" s="217"/>
      <c r="H118" s="217"/>
      <c r="I118" s="218"/>
      <c r="J118" s="218"/>
      <c r="K118" s="218"/>
      <c r="L118" s="218"/>
      <c r="M118" s="21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  <c r="AA118" s="218"/>
      <c r="AB118" s="218"/>
    </row>
  </sheetData>
  <pageMargins left="0.7" right="0.7" top="0.75" bottom="0.75" header="0.3" footer="0.3"/>
  <pageSetup paperSize="9" orientation="portrait" horizontalDpi="4294967292" r:id="rId1"/>
  <headerFooter>
    <oddHeader>&amp;L&amp;"Poppins"&amp;12&amp;KFF00FF Public&amp;1#_x000D_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A3EC9C-8415-4E45-933C-844693950D2C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677B2100-DFFD-4A20-9759-85FBCB1642C1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A8:XFD8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08FE4-9FDD-4B43-908A-3CD157D29F58}">
  <sheetPr codeName="Sheet19">
    <tabColor rgb="FFFFA78B"/>
  </sheetPr>
  <dimension ref="A1:AH147"/>
  <sheetViews>
    <sheetView showGridLines="0" zoomScale="70" zoomScaleNormal="70" workbookViewId="0">
      <pane xSplit="12" ySplit="10" topLeftCell="O16" activePane="bottomRight" state="frozen"/>
      <selection pane="topRight" activeCell="N47" sqref="N47"/>
      <selection pane="bottomLeft" activeCell="N47" sqref="N47"/>
      <selection pane="bottomRight" activeCell="Q24" sqref="Q24"/>
    </sheetView>
  </sheetViews>
  <sheetFormatPr defaultColWidth="0" defaultRowHeight="14" outlineLevelCol="1"/>
  <cols>
    <col min="1" max="3" width="2.5" style="21" customWidth="1"/>
    <col min="4" max="4" width="55.5" style="21" customWidth="1"/>
    <col min="5" max="5" width="25.5" style="21" customWidth="1"/>
    <col min="6" max="7" width="20.5" style="21" customWidth="1"/>
    <col min="8" max="8" width="2.5" style="21" customWidth="1"/>
    <col min="9" max="9" width="12.5" style="3" customWidth="1"/>
    <col min="10" max="10" width="2.5" style="3" customWidth="1"/>
    <col min="11" max="11" width="12.5" style="3" customWidth="1"/>
    <col min="12" max="12" width="2.5" style="3" customWidth="1"/>
    <col min="13" max="19" width="12.5" style="3" customWidth="1" outlineLevel="1"/>
    <col min="20" max="27" width="12.5" style="3" customWidth="1"/>
    <col min="28" max="28" width="2.5" style="3" customWidth="1"/>
    <col min="29" max="34" width="0" style="3" hidden="1" customWidth="1"/>
    <col min="35" max="16384" width="9.5" style="3" hidden="1"/>
  </cols>
  <sheetData>
    <row r="1" spans="1:28" s="11" customFormat="1" ht="23">
      <c r="A1" s="109"/>
      <c r="B1" s="109" t="str" cm="1">
        <f t="array" aca="1" ref="B1" ca="1">MID(CELL("filename", A1), FIND("]", CELL("filename", A1)) + 1, 255)</f>
        <v>RAV</v>
      </c>
      <c r="C1" s="109"/>
      <c r="D1" s="109"/>
      <c r="E1" s="109"/>
      <c r="F1" s="109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13" customFormat="1" ht="14.5" customHeight="1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s="13" customFormat="1" ht="14.5" customHeight="1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s="13" customFormat="1" ht="14.5" customHeight="1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26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1" customFormat="1" ht="23">
      <c r="A10" s="109"/>
      <c r="B10" s="109" t="str">
        <f>Project_Name</f>
        <v>NESO Financial Model</v>
      </c>
      <c r="C10" s="109"/>
      <c r="D10" s="109"/>
      <c r="E10" s="109"/>
      <c r="F10" s="109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customFormat="1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7" customFormat="1" ht="18">
      <c r="A12" s="97" t="s">
        <v>13</v>
      </c>
      <c r="B12" s="97" t="s">
        <v>181</v>
      </c>
      <c r="C12" s="210"/>
      <c r="D12" s="210"/>
      <c r="E12" s="210"/>
      <c r="F12" s="210"/>
      <c r="G12" s="210"/>
      <c r="H12" s="210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</row>
    <row r="13" spans="1:28" customFormat="1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ht="14.5">
      <c r="A14" s="48"/>
      <c r="B14" s="206" t="s">
        <v>182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ht="14.5">
      <c r="A15" s="48"/>
      <c r="B15" s="206" t="s">
        <v>183</v>
      </c>
      <c r="C15" s="48"/>
      <c r="D15" s="48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>
      <c r="A16" s="48"/>
      <c r="B16" s="48"/>
      <c r="C16" s="48"/>
      <c r="D16" s="48"/>
      <c r="E16" s="48"/>
      <c r="F16" s="48"/>
      <c r="G16" s="48"/>
      <c r="H16" s="48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>
      <c r="A17" s="48"/>
      <c r="B17" s="48"/>
      <c r="C17" s="48" t="str">
        <f>Inputs!C$51</f>
        <v>Legacy Revenue Adjustment (Controllable expenditure)</v>
      </c>
      <c r="D17" s="48"/>
      <c r="E17" s="48"/>
      <c r="F17" s="48"/>
      <c r="G17" s="48" t="str">
        <f>Inputs!G$51</f>
        <v>£m nominal</v>
      </c>
      <c r="H17" s="48"/>
      <c r="I17" s="219">
        <f>Inputs!I$51</f>
        <v>-80.596486760546384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>
      <c r="A18" s="48"/>
      <c r="B18" s="48"/>
      <c r="C18" s="48" t="s">
        <v>184</v>
      </c>
      <c r="D18" s="64"/>
      <c r="E18" s="64"/>
      <c r="F18" s="64"/>
      <c r="G18" s="64" t="str">
        <f>G17</f>
        <v>£m nominal</v>
      </c>
      <c r="H18" s="64"/>
      <c r="I18" s="280">
        <f>ABS(I17)</f>
        <v>80.596486760546384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>
      <c r="A19" s="48"/>
      <c r="B19" s="48"/>
      <c r="C19" s="64" t="str">
        <f>Indexation!C$105</f>
        <v>Real 2018-19 prices to nominal conversion factor (2024-25 before Day 1)</v>
      </c>
      <c r="D19" s="64"/>
      <c r="E19" s="64"/>
      <c r="F19" s="64"/>
      <c r="G19" s="64" t="str">
        <f>Indexation!G$105</f>
        <v>2018-19 = 1</v>
      </c>
      <c r="H19" s="64"/>
      <c r="I19" s="251">
        <f>Indexation!I$105</f>
        <v>1.2749842670741498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>
      <c r="A20" s="48"/>
      <c r="B20" s="48"/>
      <c r="C20" s="64"/>
      <c r="D20" s="64"/>
      <c r="E20" s="64"/>
      <c r="F20" s="64"/>
      <c r="G20" s="64"/>
      <c r="H20" s="64"/>
      <c r="I20" s="6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>
      <c r="A21" s="48"/>
      <c r="B21" s="48"/>
      <c r="C21" s="48" t="str">
        <f>C18</f>
        <v>Net RAV additions 2024-25 before Day 1</v>
      </c>
      <c r="D21" s="64"/>
      <c r="E21" s="48"/>
      <c r="F21" s="48"/>
      <c r="G21" s="64" t="s">
        <v>67</v>
      </c>
      <c r="H21" s="64"/>
      <c r="I21" s="280">
        <f>I18 / I19</f>
        <v>63.21371082131094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>
      <c r="A22" s="48"/>
      <c r="B22" s="48"/>
      <c r="C22" s="48"/>
      <c r="D22" s="48"/>
      <c r="E22" s="48"/>
      <c r="F22" s="48"/>
      <c r="G22" s="48"/>
      <c r="H22" s="48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customFormat="1">
      <c r="A23" s="48"/>
      <c r="B23" s="48"/>
      <c r="C23" s="51" t="s">
        <v>185</v>
      </c>
      <c r="D23" s="48"/>
      <c r="E23" s="48"/>
      <c r="F23" s="48"/>
      <c r="G23" s="48"/>
      <c r="H23" s="48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>
      <c r="A24" s="48"/>
      <c r="B24" s="48"/>
      <c r="C24" s="48"/>
      <c r="D24" s="214" t="s">
        <v>186</v>
      </c>
      <c r="E24" s="214"/>
      <c r="F24" s="214"/>
      <c r="G24" s="214" t="str">
        <f>Inputs!G$53</f>
        <v>£m 2018-19 prices</v>
      </c>
      <c r="H24" s="214"/>
      <c r="I24" s="215"/>
      <c r="J24" s="215"/>
      <c r="K24" s="215"/>
      <c r="L24" s="215" t="s">
        <v>68</v>
      </c>
      <c r="M24" s="220">
        <f>Inputs!M$53</f>
        <v>51.202754284834377</v>
      </c>
      <c r="N24" s="220">
        <f>Inputs!N$53</f>
        <v>60.288958800578214</v>
      </c>
      <c r="O24" s="220">
        <f>Inputs!O$53</f>
        <v>54.918379557716989</v>
      </c>
      <c r="P24" s="220">
        <f>Inputs!P$53</f>
        <v>53.789966850148303</v>
      </c>
      <c r="Q24" s="220">
        <f>Inputs!Q$53</f>
        <v>89.636487606780619</v>
      </c>
      <c r="R24" s="220">
        <f>Inputs!R$53</f>
        <v>85.980683991483914</v>
      </c>
      <c r="S24" s="220">
        <f>Inputs!S$53</f>
        <v>110.35731323183926</v>
      </c>
      <c r="T24" s="254"/>
      <c r="U24" s="254"/>
      <c r="V24" s="254"/>
      <c r="W24" s="254"/>
      <c r="X24" s="254"/>
      <c r="Y24" s="254"/>
      <c r="Z24" s="254"/>
      <c r="AA24" s="254"/>
      <c r="AB24" s="24"/>
    </row>
    <row r="25" spans="1:28">
      <c r="A25" s="48"/>
      <c r="B25" s="48"/>
      <c r="C25" s="48"/>
      <c r="D25" s="64" t="s">
        <v>187</v>
      </c>
      <c r="E25" s="64"/>
      <c r="F25" s="64"/>
      <c r="G25" s="64" t="str">
        <f>G21</f>
        <v>£m 2018-19 prices</v>
      </c>
      <c r="H25" s="64"/>
      <c r="I25" s="65"/>
      <c r="J25" s="65"/>
      <c r="K25" s="65"/>
      <c r="L25" s="65"/>
      <c r="M25" s="128"/>
      <c r="N25" s="128"/>
      <c r="O25" s="128"/>
      <c r="P25" s="129"/>
      <c r="Q25" s="129"/>
      <c r="R25" s="129"/>
      <c r="S25" s="130"/>
      <c r="T25" s="281">
        <f>I21</f>
        <v>63.21371082131094</v>
      </c>
      <c r="U25" s="128"/>
      <c r="V25" s="128"/>
      <c r="W25" s="128"/>
      <c r="X25" s="128"/>
      <c r="Y25" s="128"/>
      <c r="Z25" s="128"/>
      <c r="AA25" s="128"/>
      <c r="AB25" s="24"/>
    </row>
    <row r="26" spans="1:28" customFormat="1">
      <c r="A26" s="48"/>
      <c r="B26" s="48"/>
      <c r="C26" s="48"/>
      <c r="D26" s="282" t="s">
        <v>188</v>
      </c>
      <c r="E26" s="282"/>
      <c r="F26" s="282"/>
      <c r="G26" s="282" t="s">
        <v>67</v>
      </c>
      <c r="H26" s="282"/>
      <c r="I26" s="283"/>
      <c r="J26" s="283"/>
      <c r="K26" s="283"/>
      <c r="L26" s="283" t="s">
        <v>68</v>
      </c>
      <c r="M26" s="131">
        <f t="shared" ref="M26:T26" si="0">SUM(M24:M25)</f>
        <v>51.202754284834377</v>
      </c>
      <c r="N26" s="131">
        <f t="shared" si="0"/>
        <v>60.288958800578214</v>
      </c>
      <c r="O26" s="131">
        <f t="shared" si="0"/>
        <v>54.918379557716989</v>
      </c>
      <c r="P26" s="131">
        <f t="shared" si="0"/>
        <v>53.789966850148303</v>
      </c>
      <c r="Q26" s="131">
        <f t="shared" si="0"/>
        <v>89.636487606780619</v>
      </c>
      <c r="R26" s="131">
        <f t="shared" si="0"/>
        <v>85.980683991483914</v>
      </c>
      <c r="S26" s="131">
        <f t="shared" si="0"/>
        <v>110.35731323183926</v>
      </c>
      <c r="T26" s="131">
        <f t="shared" si="0"/>
        <v>63.21371082131094</v>
      </c>
      <c r="U26" s="129"/>
      <c r="V26" s="129"/>
      <c r="W26" s="129"/>
      <c r="X26" s="129"/>
      <c r="Y26" s="129"/>
      <c r="Z26" s="129"/>
      <c r="AA26" s="129"/>
      <c r="AB26" s="24"/>
    </row>
    <row r="27" spans="1:28" customFormat="1">
      <c r="A27" s="48"/>
      <c r="B27" s="48"/>
      <c r="C27" s="48"/>
      <c r="D27" s="48"/>
      <c r="E27" s="48"/>
      <c r="F27" s="48"/>
      <c r="G27" s="48"/>
      <c r="H27" s="48"/>
      <c r="I27" s="24"/>
      <c r="J27" s="24"/>
      <c r="K27" s="24"/>
      <c r="L27" s="24"/>
      <c r="M27" s="72"/>
      <c r="N27" s="72"/>
      <c r="O27" s="72"/>
      <c r="P27" s="72"/>
      <c r="Q27" s="72"/>
      <c r="R27" s="72"/>
      <c r="S27" s="132"/>
      <c r="T27" s="132"/>
      <c r="U27" s="132"/>
      <c r="V27" s="132"/>
      <c r="W27" s="132"/>
      <c r="X27" s="132"/>
      <c r="Y27" s="132"/>
      <c r="Z27" s="132"/>
      <c r="AA27" s="132"/>
      <c r="AB27" s="133"/>
    </row>
    <row r="28" spans="1:28" customFormat="1">
      <c r="A28" s="48"/>
      <c r="B28" s="48"/>
      <c r="C28" s="48" t="str">
        <f>Inputs!C54</f>
        <v>Wokingham RAV asset addition</v>
      </c>
      <c r="D28" s="134"/>
      <c r="E28" s="48"/>
      <c r="F28" s="48"/>
      <c r="G28" s="48" t="str">
        <f>Inputs!G54</f>
        <v>£m 2018-19 prices</v>
      </c>
      <c r="H28" s="134"/>
      <c r="I28" s="219">
        <f>Inputs!I54</f>
        <v>18.972999999999999</v>
      </c>
      <c r="J28" s="135"/>
      <c r="K28" s="135"/>
      <c r="L28" s="135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</row>
    <row r="29" spans="1:28" customFormat="1">
      <c r="A29" s="48"/>
      <c r="B29" s="48"/>
      <c r="C29" s="48"/>
      <c r="D29" s="48"/>
      <c r="E29" s="48"/>
      <c r="F29" s="48"/>
      <c r="G29" s="48"/>
      <c r="H29" s="48"/>
      <c r="I29" s="24"/>
      <c r="J29" s="24"/>
      <c r="K29" s="24"/>
      <c r="L29" s="24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24"/>
    </row>
    <row r="30" spans="1:28" s="17" customFormat="1" ht="18">
      <c r="A30" s="97" t="s">
        <v>13</v>
      </c>
      <c r="B30" s="97" t="s">
        <v>189</v>
      </c>
      <c r="C30" s="210"/>
      <c r="D30" s="210"/>
      <c r="E30" s="210"/>
      <c r="F30" s="210"/>
      <c r="G30" s="210"/>
      <c r="H30" s="210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</row>
    <row r="31" spans="1:28" customFormat="1">
      <c r="A31" s="48"/>
      <c r="B31" s="48"/>
      <c r="C31" s="48"/>
      <c r="D31" s="48"/>
      <c r="E31" s="48"/>
      <c r="F31" s="48"/>
      <c r="G31" s="48"/>
      <c r="H31" s="48"/>
      <c r="I31" s="24"/>
      <c r="J31" s="24"/>
      <c r="K31" s="24"/>
      <c r="L31" s="24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24"/>
    </row>
    <row r="32" spans="1:28" customFormat="1" ht="14.5">
      <c r="A32" s="48"/>
      <c r="B32" s="206" t="s">
        <v>190</v>
      </c>
      <c r="C32" s="48"/>
      <c r="D32" s="48"/>
      <c r="E32" s="48"/>
      <c r="F32" s="48"/>
      <c r="G32" s="48"/>
      <c r="H32" s="48"/>
      <c r="I32" s="24"/>
      <c r="J32" s="24"/>
      <c r="K32" s="24"/>
      <c r="L32" s="24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24"/>
    </row>
    <row r="33" spans="1:28" customFormat="1" ht="14.5">
      <c r="A33" s="48"/>
      <c r="B33" s="206" t="s">
        <v>191</v>
      </c>
      <c r="C33" s="48"/>
      <c r="D33" s="48"/>
      <c r="E33" s="48"/>
      <c r="F33" s="48"/>
      <c r="G33" s="48"/>
      <c r="H33" s="48"/>
      <c r="I33" s="24"/>
      <c r="J33" s="24"/>
      <c r="K33" s="24"/>
      <c r="L33" s="24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24"/>
    </row>
    <row r="34" spans="1:28" customFormat="1">
      <c r="A34" s="48"/>
      <c r="B34" s="48"/>
      <c r="C34" s="48"/>
      <c r="D34" s="48"/>
      <c r="E34" s="48"/>
      <c r="F34" s="48"/>
      <c r="G34" s="48"/>
      <c r="H34" s="48"/>
      <c r="I34" s="24"/>
      <c r="J34" s="24"/>
      <c r="K34" s="24"/>
      <c r="L34" s="24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24"/>
    </row>
    <row r="35" spans="1:28">
      <c r="A35" s="48"/>
      <c r="B35" s="48"/>
      <c r="C35" s="48" t="str">
        <f>Inputs!C45</f>
        <v>Main RAV asset life</v>
      </c>
      <c r="D35" s="48"/>
      <c r="E35" s="48"/>
      <c r="F35" s="48"/>
      <c r="G35" s="48" t="str">
        <f>Inputs!G45</f>
        <v>Years</v>
      </c>
      <c r="H35" s="48"/>
      <c r="I35" s="219">
        <f>Inputs!I45</f>
        <v>7</v>
      </c>
      <c r="J35" s="24"/>
      <c r="K35" s="24"/>
      <c r="L35" s="24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24"/>
    </row>
    <row r="36" spans="1:28">
      <c r="A36" s="48"/>
      <c r="B36" s="48"/>
      <c r="C36" s="48"/>
      <c r="D36" s="48"/>
      <c r="E36" s="48"/>
      <c r="F36" s="48"/>
      <c r="G36" s="48"/>
      <c r="H36" s="48"/>
      <c r="I36" s="24"/>
      <c r="J36" s="24"/>
      <c r="K36" s="24"/>
      <c r="L36" s="24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24"/>
    </row>
    <row r="37" spans="1:28" customFormat="1">
      <c r="A37" s="48"/>
      <c r="B37" s="48"/>
      <c r="C37" s="51" t="s">
        <v>192</v>
      </c>
      <c r="D37" s="48"/>
      <c r="E37" s="48"/>
      <c r="F37" s="48"/>
      <c r="G37" s="48"/>
      <c r="H37" s="48"/>
      <c r="I37" s="52" t="s">
        <v>193</v>
      </c>
      <c r="J37" s="24"/>
      <c r="K37" s="52" t="s">
        <v>194</v>
      </c>
      <c r="L37" s="24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24"/>
    </row>
    <row r="38" spans="1:28" customFormat="1">
      <c r="A38" s="48"/>
      <c r="B38" s="48"/>
      <c r="C38" s="48"/>
      <c r="D38" s="196">
        <v>43190</v>
      </c>
      <c r="E38" s="195"/>
      <c r="F38" s="195"/>
      <c r="G38" s="195" t="s">
        <v>67</v>
      </c>
      <c r="H38" s="195"/>
      <c r="I38" s="284">
        <f t="array" ref="I38:I45">TRANSPOSE(M26:T26)</f>
        <v>51.202754284834377</v>
      </c>
      <c r="J38" s="197"/>
      <c r="K38" s="285">
        <f t="shared" ref="K38:K45" si="1">IF(I38 = SUM(M38:AA38), 0, 1)</f>
        <v>0</v>
      </c>
      <c r="L38" s="197" t="s">
        <v>68</v>
      </c>
      <c r="M38" s="198"/>
      <c r="N38" s="286">
        <f>$I38 / $I$35</f>
        <v>7.314679183547768</v>
      </c>
      <c r="O38" s="287">
        <f>IF($I38 &gt; 0, MIN(N38, $I38 - SUM($M38:N38)), 0)</f>
        <v>7.314679183547768</v>
      </c>
      <c r="P38" s="288">
        <f>IF($I38 &gt; 0, MIN(O38, $I38 - SUM($M38:O38)), 0)</f>
        <v>7.314679183547768</v>
      </c>
      <c r="Q38" s="288">
        <f>IF($I38 &gt; 0, MIN(P38, $I38 - SUM($M38:P38)), 0)</f>
        <v>7.314679183547768</v>
      </c>
      <c r="R38" s="288">
        <f>IF($I38 &gt; 0, MIN(Q38, $I38 - SUM($M38:Q38)), 0)</f>
        <v>7.314679183547768</v>
      </c>
      <c r="S38" s="288">
        <f>IF($I38 &gt; 0, MIN(R38, $I38 - SUM($M38:R38)), 0)</f>
        <v>7.314679183547768</v>
      </c>
      <c r="T38" s="288">
        <f>IF($I38 &gt; 0, MIN(S38, $I38 - SUM($M38:S38)), 0)</f>
        <v>7.3146791835477671</v>
      </c>
      <c r="U38" s="288">
        <f>IF($I38 &gt; 0, MIN(T38, $I38 - SUM($M38:T38)), 0)</f>
        <v>0</v>
      </c>
      <c r="V38" s="288">
        <f>IF($I38 &gt; 0, MIN(U38, $I38 - SUM($M38:U38)), 0)</f>
        <v>0</v>
      </c>
      <c r="W38" s="288">
        <f>IF($I38 &gt; 0, MIN(V38, $I38 - SUM($M38:V38)), 0)</f>
        <v>0</v>
      </c>
      <c r="X38" s="288">
        <f>IF($I38 &gt; 0, MIN(W38, $I38 - SUM($M38:W38)), 0)</f>
        <v>0</v>
      </c>
      <c r="Y38" s="288">
        <f>IF($I38 &gt; 0, MIN(X38, $I38 - SUM($M38:X38)), 0)</f>
        <v>0</v>
      </c>
      <c r="Z38" s="288">
        <f>IF($I38 &gt; 0, MIN(Y38, $I38 - SUM($M38:Y38)), 0)</f>
        <v>0</v>
      </c>
      <c r="AA38" s="288">
        <f>IF($I38 &gt; 0, MIN(Z38, $I38 - SUM($M38:Z38)), 0)</f>
        <v>0</v>
      </c>
      <c r="AB38" s="24"/>
    </row>
    <row r="39" spans="1:28" customFormat="1">
      <c r="A39" s="48"/>
      <c r="B39" s="48"/>
      <c r="C39" s="48"/>
      <c r="D39" s="63">
        <v>43555</v>
      </c>
      <c r="E39" s="64"/>
      <c r="F39" s="64"/>
      <c r="G39" s="64" t="s">
        <v>67</v>
      </c>
      <c r="H39" s="64"/>
      <c r="I39" s="289">
        <v>60.288958800578214</v>
      </c>
      <c r="J39" s="65"/>
      <c r="K39" s="290">
        <f t="shared" si="1"/>
        <v>0</v>
      </c>
      <c r="L39" s="65" t="s">
        <v>68</v>
      </c>
      <c r="M39" s="128"/>
      <c r="N39" s="128"/>
      <c r="O39" s="291">
        <f>$I39 / $I$35</f>
        <v>8.6127084000826013</v>
      </c>
      <c r="P39" s="292">
        <f>IF($I39 &gt; 0, MIN(O39, $I39 - SUM($M39:O39)), 0)</f>
        <v>8.6127084000826013</v>
      </c>
      <c r="Q39" s="293">
        <f>IF($I39 &gt; 0, MIN(P39, $I39 - SUM($M39:P39)), 0)</f>
        <v>8.6127084000826013</v>
      </c>
      <c r="R39" s="293">
        <f>IF($I39 &gt; 0, MIN(Q39, $I39 - SUM($M39:Q39)), 0)</f>
        <v>8.6127084000826013</v>
      </c>
      <c r="S39" s="293">
        <f>IF($I39 &gt; 0, MIN(R39, $I39 - SUM($M39:R39)), 0)</f>
        <v>8.6127084000826013</v>
      </c>
      <c r="T39" s="293">
        <f>IF($I39 &gt; 0, MIN(S39, $I39 - SUM($M39:S39)), 0)</f>
        <v>8.6127084000826013</v>
      </c>
      <c r="U39" s="293">
        <f>IF($I39 &gt; 0, MIN(T39, $I39 - SUM($M39:T39)), 0)</f>
        <v>8.6127084000826013</v>
      </c>
      <c r="V39" s="293">
        <f>IF($I39 &gt; 0, MIN(U39, $I39 - SUM($M39:U39)), 0)</f>
        <v>0</v>
      </c>
      <c r="W39" s="293">
        <f>IF($I39 &gt; 0, MIN(V39, $I39 - SUM($M39:V39)), 0)</f>
        <v>0</v>
      </c>
      <c r="X39" s="293">
        <f>IF($I39 &gt; 0, MIN(W39, $I39 - SUM($M39:W39)), 0)</f>
        <v>0</v>
      </c>
      <c r="Y39" s="293">
        <f>IF($I39 &gt; 0, MIN(X39, $I39 - SUM($M39:X39)), 0)</f>
        <v>0</v>
      </c>
      <c r="Z39" s="293">
        <f>IF($I39 &gt; 0, MIN(Y39, $I39 - SUM($M39:Y39)), 0)</f>
        <v>0</v>
      </c>
      <c r="AA39" s="293">
        <f>IF($I39 &gt; 0, MIN(Z39, $I39 - SUM($M39:Z39)), 0)</f>
        <v>0</v>
      </c>
      <c r="AB39" s="24"/>
    </row>
    <row r="40" spans="1:28" customFormat="1">
      <c r="A40" s="48"/>
      <c r="B40" s="48"/>
      <c r="C40" s="48"/>
      <c r="D40" s="63">
        <v>43921</v>
      </c>
      <c r="E40" s="64"/>
      <c r="F40" s="64"/>
      <c r="G40" s="64" t="s">
        <v>67</v>
      </c>
      <c r="H40" s="64"/>
      <c r="I40" s="289">
        <v>54.918379557716989</v>
      </c>
      <c r="J40" s="65"/>
      <c r="K40" s="290">
        <f t="shared" si="1"/>
        <v>0</v>
      </c>
      <c r="L40" s="65" t="s">
        <v>68</v>
      </c>
      <c r="M40" s="128"/>
      <c r="N40" s="128"/>
      <c r="O40" s="128"/>
      <c r="P40" s="291">
        <f>$I40 / $I$35</f>
        <v>7.8454827939595697</v>
      </c>
      <c r="Q40" s="292">
        <f>IF($I40 &gt; 0, MIN(P40, $I40 - SUM($M40:P40)), 0)</f>
        <v>7.8454827939595697</v>
      </c>
      <c r="R40" s="293">
        <f>IF($I40 &gt; 0, MIN(Q40, $I40 - SUM($M40:Q40)), 0)</f>
        <v>7.8454827939595697</v>
      </c>
      <c r="S40" s="293">
        <f>IF($I40 &gt; 0, MIN(R40, $I40 - SUM($M40:R40)), 0)</f>
        <v>7.8454827939595697</v>
      </c>
      <c r="T40" s="293">
        <f>IF($I40 &gt; 0, MIN(S40, $I40 - SUM($M40:S40)), 0)</f>
        <v>7.8454827939595697</v>
      </c>
      <c r="U40" s="293">
        <f>IF($I40 &gt; 0, MIN(T40, $I40 - SUM($M40:T40)), 0)</f>
        <v>7.8454827939595697</v>
      </c>
      <c r="V40" s="293">
        <f>IF($I40 &gt; 0, MIN(U40, $I40 - SUM($M40:U40)), 0)</f>
        <v>7.8454827939595688</v>
      </c>
      <c r="W40" s="293">
        <f>IF($I40 &gt; 0, MIN(V40, $I40 - SUM($M40:V40)), 0)</f>
        <v>0</v>
      </c>
      <c r="X40" s="293">
        <f>IF($I40 &gt; 0, MIN(W40, $I40 - SUM($M40:W40)), 0)</f>
        <v>0</v>
      </c>
      <c r="Y40" s="293">
        <f>IF($I40 &gt; 0, MIN(X40, $I40 - SUM($M40:X40)), 0)</f>
        <v>0</v>
      </c>
      <c r="Z40" s="293">
        <f>IF($I40 &gt; 0, MIN(Y40, $I40 - SUM($M40:Y40)), 0)</f>
        <v>0</v>
      </c>
      <c r="AA40" s="293">
        <f>IF($I40 &gt; 0, MIN(Z40, $I40 - SUM($M40:Z40)), 0)</f>
        <v>0</v>
      </c>
      <c r="AB40" s="24"/>
    </row>
    <row r="41" spans="1:28" customFormat="1">
      <c r="A41" s="48"/>
      <c r="B41" s="48"/>
      <c r="C41" s="48"/>
      <c r="D41" s="63">
        <v>44286</v>
      </c>
      <c r="E41" s="64"/>
      <c r="F41" s="64"/>
      <c r="G41" s="64" t="s">
        <v>67</v>
      </c>
      <c r="H41" s="64"/>
      <c r="I41" s="289">
        <v>53.789966850148303</v>
      </c>
      <c r="J41" s="65"/>
      <c r="K41" s="290">
        <f t="shared" si="1"/>
        <v>0</v>
      </c>
      <c r="L41" s="65" t="s">
        <v>68</v>
      </c>
      <c r="M41" s="128"/>
      <c r="N41" s="128"/>
      <c r="O41" s="128"/>
      <c r="P41" s="128"/>
      <c r="Q41" s="291">
        <f>$I41 / $I$35</f>
        <v>7.6842809785926152</v>
      </c>
      <c r="R41" s="292">
        <f>IF($I41 &gt; 0, MIN(Q41, $I41 - SUM($M41:Q41)), 0)</f>
        <v>7.6842809785926152</v>
      </c>
      <c r="S41" s="293">
        <f>IF($I41 &gt; 0, MIN(R41, $I41 - SUM($M41:R41)), 0)</f>
        <v>7.6842809785926152</v>
      </c>
      <c r="T41" s="293">
        <f>IF($I41 &gt; 0, MIN(S41, $I41 - SUM($M41:S41)), 0)</f>
        <v>7.6842809785926152</v>
      </c>
      <c r="U41" s="293">
        <f>IF($I41 &gt; 0, MIN(T41, $I41 - SUM($M41:T41)), 0)</f>
        <v>7.6842809785926152</v>
      </c>
      <c r="V41" s="293">
        <f>IF($I41 &gt; 0, MIN(U41, $I41 - SUM($M41:U41)), 0)</f>
        <v>7.6842809785926152</v>
      </c>
      <c r="W41" s="293">
        <f>IF($I41 &gt; 0, MIN(V41, $I41 - SUM($M41:V41)), 0)</f>
        <v>7.6842809785926107</v>
      </c>
      <c r="X41" s="293">
        <f>IF($I41 &gt; 0, MIN(W41, $I41 - SUM($M41:W41)), 0)</f>
        <v>0</v>
      </c>
      <c r="Y41" s="293">
        <f>IF($I41 &gt; 0, MIN(X41, $I41 - SUM($M41:X41)), 0)</f>
        <v>0</v>
      </c>
      <c r="Z41" s="293">
        <f>IF($I41 &gt; 0, MIN(Y41, $I41 - SUM($M41:Y41)), 0)</f>
        <v>0</v>
      </c>
      <c r="AA41" s="293">
        <f>IF($I41 &gt; 0, MIN(Z41, $I41 - SUM($M41:Z41)), 0)</f>
        <v>0</v>
      </c>
      <c r="AB41" s="24"/>
    </row>
    <row r="42" spans="1:28" customFormat="1">
      <c r="A42" s="48"/>
      <c r="B42" s="48"/>
      <c r="C42" s="48"/>
      <c r="D42" s="63">
        <v>44651</v>
      </c>
      <c r="E42" s="64"/>
      <c r="F42" s="64"/>
      <c r="G42" s="64" t="s">
        <v>67</v>
      </c>
      <c r="H42" s="64"/>
      <c r="I42" s="289">
        <v>89.636487606780619</v>
      </c>
      <c r="J42" s="65"/>
      <c r="K42" s="290">
        <f t="shared" si="1"/>
        <v>0</v>
      </c>
      <c r="L42" s="65" t="s">
        <v>68</v>
      </c>
      <c r="M42" s="128"/>
      <c r="N42" s="128"/>
      <c r="O42" s="128"/>
      <c r="P42" s="128"/>
      <c r="Q42" s="128"/>
      <c r="R42" s="291">
        <f>$I42 / $I$35</f>
        <v>12.805212515254373</v>
      </c>
      <c r="S42" s="292">
        <f>IF($I42 &gt; 0, MIN(R42, $I42 - SUM($M42:R42)), 0)</f>
        <v>12.805212515254373</v>
      </c>
      <c r="T42" s="293">
        <f>IF($I42 &gt; 0, MIN(S42, $I42 - SUM($M42:S42)), 0)</f>
        <v>12.805212515254373</v>
      </c>
      <c r="U42" s="293">
        <f>IF($I42 &gt; 0, MIN(T42, $I42 - SUM($M42:T42)), 0)</f>
        <v>12.805212515254373</v>
      </c>
      <c r="V42" s="293">
        <f>IF($I42 &gt; 0, MIN(U42, $I42 - SUM($M42:U42)), 0)</f>
        <v>12.805212515254373</v>
      </c>
      <c r="W42" s="293">
        <f>IF($I42 &gt; 0, MIN(V42, $I42 - SUM($M42:V42)), 0)</f>
        <v>12.805212515254373</v>
      </c>
      <c r="X42" s="293">
        <f>IF($I42 &gt; 0, MIN(W42, $I42 - SUM($M42:W42)), 0)</f>
        <v>12.805212515254373</v>
      </c>
      <c r="Y42" s="293">
        <f>IF($I42 &gt; 0, MIN(X42, $I42 - SUM($M42:X42)), 0)</f>
        <v>1.4210854715202004E-14</v>
      </c>
      <c r="Z42" s="293">
        <f>IF($I42 &gt; 0, MIN(Y42, $I42 - SUM($M42:Y42)), 0)</f>
        <v>0</v>
      </c>
      <c r="AA42" s="293">
        <f>IF($I42 &gt; 0, MIN(Z42, $I42 - SUM($M42:Z42)), 0)</f>
        <v>0</v>
      </c>
      <c r="AB42" s="24"/>
    </row>
    <row r="43" spans="1:28" customFormat="1">
      <c r="A43" s="48"/>
      <c r="B43" s="48"/>
      <c r="C43" s="48"/>
      <c r="D43" s="63">
        <v>45016</v>
      </c>
      <c r="E43" s="64"/>
      <c r="F43" s="64"/>
      <c r="G43" s="64" t="s">
        <v>67</v>
      </c>
      <c r="H43" s="64"/>
      <c r="I43" s="289">
        <v>85.980683991483914</v>
      </c>
      <c r="J43" s="65"/>
      <c r="K43" s="290">
        <f t="shared" si="1"/>
        <v>0</v>
      </c>
      <c r="L43" s="65" t="s">
        <v>68</v>
      </c>
      <c r="M43" s="128"/>
      <c r="N43" s="128"/>
      <c r="O43" s="128"/>
      <c r="P43" s="128"/>
      <c r="Q43" s="128"/>
      <c r="R43" s="128"/>
      <c r="S43" s="291">
        <f>$I43 / $I$35</f>
        <v>12.282954855926274</v>
      </c>
      <c r="T43" s="292">
        <f>IF($I43 &gt; 0, MIN(S43, $I43 - SUM($M43:S43)), 0)</f>
        <v>12.282954855926274</v>
      </c>
      <c r="U43" s="293">
        <f>IF($I43 &gt; 0, MIN(T43, $I43 - SUM($M43:T43)), 0)</f>
        <v>12.282954855926274</v>
      </c>
      <c r="V43" s="293">
        <f>IF($I43 &gt; 0, MIN(U43, $I43 - SUM($M43:U43)), 0)</f>
        <v>12.282954855926274</v>
      </c>
      <c r="W43" s="293">
        <f>IF($I43 &gt; 0, MIN(V43, $I43 - SUM($M43:V43)), 0)</f>
        <v>12.282954855926274</v>
      </c>
      <c r="X43" s="293">
        <f>IF($I43 &gt; 0, MIN(W43, $I43 - SUM($M43:W43)), 0)</f>
        <v>12.282954855926274</v>
      </c>
      <c r="Y43" s="293">
        <f>IF($I43 &gt; 0, MIN(X43, $I43 - SUM($M43:X43)), 0)</f>
        <v>12.282954855926263</v>
      </c>
      <c r="Z43" s="293">
        <f>IF($I43 &gt; 0, MIN(Y43, $I43 - SUM($M43:Y43)), 0)</f>
        <v>0</v>
      </c>
      <c r="AA43" s="293">
        <f>IF($I43 &gt; 0, MIN(Z43, $I43 - SUM($M43:Z43)), 0)</f>
        <v>0</v>
      </c>
      <c r="AB43" s="24"/>
    </row>
    <row r="44" spans="1:28" customFormat="1">
      <c r="A44" s="48"/>
      <c r="B44" s="48"/>
      <c r="C44" s="48"/>
      <c r="D44" s="63">
        <v>45382</v>
      </c>
      <c r="E44" s="64"/>
      <c r="F44" s="64"/>
      <c r="G44" s="64" t="s">
        <v>67</v>
      </c>
      <c r="H44" s="64"/>
      <c r="I44" s="289">
        <v>110.35731323183926</v>
      </c>
      <c r="J44" s="65"/>
      <c r="K44" s="290">
        <f t="shared" si="1"/>
        <v>0</v>
      </c>
      <c r="L44" s="65"/>
      <c r="M44" s="128"/>
      <c r="N44" s="128"/>
      <c r="O44" s="128"/>
      <c r="P44" s="128"/>
      <c r="Q44" s="128"/>
      <c r="R44" s="128"/>
      <c r="S44" s="128"/>
      <c r="T44" s="291">
        <f>$I44 / $I$35</f>
        <v>15.765330461691322</v>
      </c>
      <c r="U44" s="292">
        <f>IF($I44 &gt; 0, MIN(T44, $I44 - SUM($M44:T44)), 0)</f>
        <v>15.765330461691322</v>
      </c>
      <c r="V44" s="293">
        <f>IF($I44 &gt; 0, MIN(U44, $I44 - SUM($M44:U44)), 0)</f>
        <v>15.765330461691322</v>
      </c>
      <c r="W44" s="293">
        <f>IF($I44 &gt; 0, MIN(V44, $I44 - SUM($M44:V44)), 0)</f>
        <v>15.765330461691322</v>
      </c>
      <c r="X44" s="293">
        <f>IF($I44 &gt; 0, MIN(W44, $I44 - SUM($M44:W44)), 0)</f>
        <v>15.765330461691322</v>
      </c>
      <c r="Y44" s="293">
        <f>IF($I44 &gt; 0, MIN(X44, $I44 - SUM($M44:X44)), 0)</f>
        <v>15.765330461691322</v>
      </c>
      <c r="Z44" s="293">
        <f>IF($I44 &gt; 0, MIN(Y44, $I44 - SUM($M44:Y44)), 0)</f>
        <v>15.76533046169132</v>
      </c>
      <c r="AA44" s="293">
        <f>IF($I44 &gt; 0, MIN(Z44, $I44 - SUM($M44:Z44)), 0)</f>
        <v>0</v>
      </c>
      <c r="AB44" s="24"/>
    </row>
    <row r="45" spans="1:28" customFormat="1">
      <c r="A45" s="48"/>
      <c r="B45" s="48"/>
      <c r="C45" s="48"/>
      <c r="D45" s="66">
        <v>45747</v>
      </c>
      <c r="E45" s="67"/>
      <c r="F45" s="67"/>
      <c r="G45" s="67" t="s">
        <v>67</v>
      </c>
      <c r="H45" s="67"/>
      <c r="I45" s="294">
        <v>63.21371082131094</v>
      </c>
      <c r="J45" s="68"/>
      <c r="K45" s="295">
        <f t="shared" si="1"/>
        <v>0</v>
      </c>
      <c r="L45" s="68"/>
      <c r="M45" s="129"/>
      <c r="N45" s="129"/>
      <c r="O45" s="129"/>
      <c r="P45" s="129"/>
      <c r="Q45" s="129"/>
      <c r="R45" s="129"/>
      <c r="S45" s="129"/>
      <c r="T45" s="129"/>
      <c r="U45" s="296">
        <f>$I45 / $I$35</f>
        <v>9.0305301173301338</v>
      </c>
      <c r="V45" s="297">
        <f>IF($I45 &gt; 0, MIN(U45, $I45 - SUM($M45:U45)), 0)</f>
        <v>9.0305301173301338</v>
      </c>
      <c r="W45" s="297">
        <f>IF($I45 &gt; 0, MIN(V45, $I45 - SUM($M45:V45)), 0)</f>
        <v>9.0305301173301338</v>
      </c>
      <c r="X45" s="297">
        <f>IF($I45 &gt; 0, MIN(W45, $I45 - SUM($M45:W45)), 0)</f>
        <v>9.0305301173301338</v>
      </c>
      <c r="Y45" s="297">
        <f>IF($I45 &gt; 0, MIN(X45, $I45 - SUM($M45:X45)), 0)</f>
        <v>9.0305301173301338</v>
      </c>
      <c r="Z45" s="297">
        <f>IF($I45 &gt; 0, MIN(Y45, $I45 - SUM($M45:Y45)), 0)</f>
        <v>9.0305301173301338</v>
      </c>
      <c r="AA45" s="297">
        <f>IF($I45 &gt; 0, MIN(Z45, $I45 - SUM($M45:Z45)), 0)</f>
        <v>9.0305301173301338</v>
      </c>
      <c r="AB45" s="24"/>
    </row>
    <row r="46" spans="1:28" customFormat="1">
      <c r="A46" s="48"/>
      <c r="B46" s="48"/>
      <c r="C46" s="48"/>
      <c r="D46" s="298" t="s">
        <v>195</v>
      </c>
      <c r="E46" s="282"/>
      <c r="F46" s="282"/>
      <c r="G46" s="282" t="s">
        <v>67</v>
      </c>
      <c r="H46" s="282"/>
      <c r="I46" s="299"/>
      <c r="J46" s="283"/>
      <c r="K46" s="137"/>
      <c r="L46" s="283" t="s">
        <v>68</v>
      </c>
      <c r="M46" s="300"/>
      <c r="N46" s="131">
        <f t="shared" ref="N46:AA46" si="2">SUM(N38:N45)</f>
        <v>7.314679183547768</v>
      </c>
      <c r="O46" s="131">
        <f t="shared" si="2"/>
        <v>15.92738758363037</v>
      </c>
      <c r="P46" s="131">
        <f t="shared" si="2"/>
        <v>23.772870377589939</v>
      </c>
      <c r="Q46" s="131">
        <f t="shared" si="2"/>
        <v>31.457151356182553</v>
      </c>
      <c r="R46" s="131">
        <f t="shared" si="2"/>
        <v>44.262363871436925</v>
      </c>
      <c r="S46" s="131">
        <f t="shared" si="2"/>
        <v>56.545318727363195</v>
      </c>
      <c r="T46" s="131">
        <f t="shared" si="2"/>
        <v>72.310649189054516</v>
      </c>
      <c r="U46" s="131">
        <f t="shared" si="2"/>
        <v>74.026500122836879</v>
      </c>
      <c r="V46" s="131">
        <f t="shared" si="2"/>
        <v>65.413791722754283</v>
      </c>
      <c r="W46" s="131">
        <f t="shared" si="2"/>
        <v>57.568308928794707</v>
      </c>
      <c r="X46" s="131">
        <f t="shared" si="2"/>
        <v>49.884027950202096</v>
      </c>
      <c r="Y46" s="131">
        <f t="shared" si="2"/>
        <v>37.078815434947728</v>
      </c>
      <c r="Z46" s="131">
        <f t="shared" si="2"/>
        <v>24.795860579021454</v>
      </c>
      <c r="AA46" s="131">
        <f t="shared" si="2"/>
        <v>9.0305301173301338</v>
      </c>
      <c r="AB46" s="24"/>
    </row>
    <row r="47" spans="1:28">
      <c r="A47" s="48"/>
      <c r="B47" s="48"/>
      <c r="C47" s="48"/>
      <c r="D47" s="48"/>
      <c r="E47" s="48"/>
      <c r="F47" s="48"/>
      <c r="G47" s="48"/>
      <c r="H47" s="48"/>
      <c r="I47" s="24"/>
      <c r="J47" s="24"/>
      <c r="K47" s="24"/>
      <c r="L47" s="24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>
      <c r="A48" s="48"/>
      <c r="B48" s="48"/>
      <c r="C48" s="51" t="str">
        <f>Inputs!C47</f>
        <v>Wokingham asset life</v>
      </c>
      <c r="D48" s="48"/>
      <c r="E48" s="48"/>
      <c r="F48" s="48"/>
      <c r="G48" s="134"/>
      <c r="H48" s="134"/>
      <c r="I48" s="138"/>
      <c r="J48" s="24"/>
      <c r="K48" s="24"/>
      <c r="L48" s="24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>
      <c r="A49" s="48"/>
      <c r="B49" s="48"/>
      <c r="C49" s="48"/>
      <c r="D49" s="214" t="str">
        <f>Inputs!D48</f>
        <v>To end 2024-25</v>
      </c>
      <c r="E49" s="214"/>
      <c r="F49" s="214"/>
      <c r="G49" s="301" t="s">
        <v>59</v>
      </c>
      <c r="H49" s="301"/>
      <c r="I49" s="255">
        <f>Inputs!I48</f>
        <v>20</v>
      </c>
      <c r="J49" s="24"/>
      <c r="K49" s="24"/>
      <c r="L49" s="24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>
      <c r="A50" s="48"/>
      <c r="B50" s="48"/>
      <c r="C50" s="48"/>
      <c r="D50" s="67" t="str">
        <f>Inputs!D49</f>
        <v>From 2025-26</v>
      </c>
      <c r="E50" s="67"/>
      <c r="F50" s="67"/>
      <c r="G50" s="139" t="s">
        <v>59</v>
      </c>
      <c r="H50" s="139"/>
      <c r="I50" s="302">
        <f>Inputs!I49</f>
        <v>7</v>
      </c>
      <c r="J50" s="24"/>
      <c r="K50" s="24"/>
      <c r="L50" s="24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>
      <c r="A51" s="48"/>
      <c r="B51" s="48"/>
      <c r="C51" s="48"/>
      <c r="D51" s="48"/>
      <c r="E51" s="48"/>
      <c r="F51" s="48"/>
      <c r="G51" s="48"/>
      <c r="H51" s="48"/>
      <c r="I51" s="24"/>
      <c r="J51" s="24"/>
      <c r="K51" s="24"/>
      <c r="L51" s="24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24"/>
    </row>
    <row r="52" spans="1:28" customFormat="1">
      <c r="A52" s="48"/>
      <c r="B52" s="48"/>
      <c r="C52" s="51" t="s">
        <v>196</v>
      </c>
      <c r="D52" s="48"/>
      <c r="E52" s="48"/>
      <c r="F52" s="48"/>
      <c r="G52" s="134"/>
      <c r="H52" s="134"/>
      <c r="I52" s="135"/>
      <c r="J52" s="135"/>
      <c r="K52" s="135"/>
      <c r="L52" s="135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5"/>
    </row>
    <row r="53" spans="1:28" customFormat="1">
      <c r="A53" s="48"/>
      <c r="B53" s="48"/>
      <c r="C53" s="48"/>
      <c r="D53" s="214" t="str">
        <f>Inputs!D48</f>
        <v>To end 2024-25</v>
      </c>
      <c r="E53" s="214"/>
      <c r="F53" s="214"/>
      <c r="G53" s="301" t="s">
        <v>67</v>
      </c>
      <c r="H53" s="301"/>
      <c r="I53" s="303"/>
      <c r="J53" s="303"/>
      <c r="K53" s="303"/>
      <c r="L53" s="303" t="s">
        <v>68</v>
      </c>
      <c r="M53" s="254"/>
      <c r="N53" s="254"/>
      <c r="O53" s="254"/>
      <c r="P53" s="254"/>
      <c r="Q53" s="288">
        <f>$I$28 / $I49</f>
        <v>0.94864999999999999</v>
      </c>
      <c r="R53" s="288">
        <f>$I$28 / $I49</f>
        <v>0.94864999999999999</v>
      </c>
      <c r="S53" s="288">
        <f>$I$28 / $I49</f>
        <v>0.94864999999999999</v>
      </c>
      <c r="T53" s="288">
        <f>$I$28 / $I49</f>
        <v>0.94864999999999999</v>
      </c>
      <c r="U53" s="254"/>
      <c r="V53" s="254"/>
      <c r="W53" s="254"/>
      <c r="X53" s="254"/>
      <c r="Y53" s="254"/>
      <c r="Z53" s="254"/>
      <c r="AA53" s="254"/>
      <c r="AB53" s="135"/>
    </row>
    <row r="54" spans="1:28" customFormat="1">
      <c r="A54" s="48"/>
      <c r="B54" s="48"/>
      <c r="C54" s="48"/>
      <c r="D54" s="64" t="str">
        <f>Inputs!D49</f>
        <v>From 2025-26</v>
      </c>
      <c r="E54" s="64"/>
      <c r="F54" s="64"/>
      <c r="G54" s="140" t="s">
        <v>67</v>
      </c>
      <c r="H54" s="140"/>
      <c r="I54" s="141"/>
      <c r="J54" s="141"/>
      <c r="K54" s="141"/>
      <c r="L54" s="141"/>
      <c r="M54" s="128"/>
      <c r="N54" s="128"/>
      <c r="O54" s="128"/>
      <c r="P54" s="128"/>
      <c r="Q54" s="128"/>
      <c r="R54" s="128"/>
      <c r="S54" s="128"/>
      <c r="T54" s="128"/>
      <c r="U54" s="304">
        <f t="shared" ref="U54:AA54" si="3">($I$28 - SUM($M53:$T53)) / $I50</f>
        <v>2.1683428571428571</v>
      </c>
      <c r="V54" s="304">
        <f t="shared" si="3"/>
        <v>2.1683428571428571</v>
      </c>
      <c r="W54" s="304">
        <f t="shared" si="3"/>
        <v>2.1683428571428571</v>
      </c>
      <c r="X54" s="304">
        <f t="shared" si="3"/>
        <v>2.1683428571428571</v>
      </c>
      <c r="Y54" s="304">
        <f t="shared" si="3"/>
        <v>2.1683428571428571</v>
      </c>
      <c r="Z54" s="304">
        <f t="shared" si="3"/>
        <v>2.1683428571428571</v>
      </c>
      <c r="AA54" s="304">
        <f t="shared" si="3"/>
        <v>2.1683428571428571</v>
      </c>
      <c r="AB54" s="135"/>
    </row>
    <row r="55" spans="1:28" s="18" customFormat="1">
      <c r="A55" s="64"/>
      <c r="B55" s="64"/>
      <c r="C55" s="64"/>
      <c r="D55" s="298" t="s">
        <v>197</v>
      </c>
      <c r="E55" s="282"/>
      <c r="F55" s="298"/>
      <c r="G55" s="298" t="s">
        <v>67</v>
      </c>
      <c r="H55" s="298"/>
      <c r="I55" s="299"/>
      <c r="J55" s="305"/>
      <c r="K55" s="306"/>
      <c r="L55" s="305" t="s">
        <v>68</v>
      </c>
      <c r="M55" s="300"/>
      <c r="N55" s="300"/>
      <c r="O55" s="300"/>
      <c r="P55" s="300"/>
      <c r="Q55" s="131">
        <f t="shared" ref="Q55:AA55" si="4">SUM(Q53:Q54)</f>
        <v>0.94864999999999999</v>
      </c>
      <c r="R55" s="131">
        <f t="shared" si="4"/>
        <v>0.94864999999999999</v>
      </c>
      <c r="S55" s="131">
        <f t="shared" si="4"/>
        <v>0.94864999999999999</v>
      </c>
      <c r="T55" s="131">
        <f t="shared" si="4"/>
        <v>0.94864999999999999</v>
      </c>
      <c r="U55" s="131">
        <f t="shared" si="4"/>
        <v>2.1683428571428571</v>
      </c>
      <c r="V55" s="131">
        <f t="shared" si="4"/>
        <v>2.1683428571428571</v>
      </c>
      <c r="W55" s="131">
        <f t="shared" si="4"/>
        <v>2.1683428571428571</v>
      </c>
      <c r="X55" s="131">
        <f t="shared" si="4"/>
        <v>2.1683428571428571</v>
      </c>
      <c r="Y55" s="131">
        <f t="shared" si="4"/>
        <v>2.1683428571428571</v>
      </c>
      <c r="Z55" s="131">
        <f t="shared" si="4"/>
        <v>2.1683428571428571</v>
      </c>
      <c r="AA55" s="131">
        <f t="shared" si="4"/>
        <v>2.1683428571428571</v>
      </c>
      <c r="AB55" s="141"/>
    </row>
    <row r="56" spans="1:28" customFormat="1">
      <c r="A56" s="48"/>
      <c r="B56" s="48"/>
      <c r="C56" s="48"/>
      <c r="D56" s="48"/>
      <c r="E56" s="48"/>
      <c r="F56" s="48"/>
      <c r="G56" s="48"/>
      <c r="H56" s="48"/>
      <c r="I56" s="24"/>
      <c r="J56" s="24"/>
      <c r="K56" s="24"/>
      <c r="L56" s="24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24"/>
    </row>
    <row r="57" spans="1:28" customFormat="1">
      <c r="A57" s="48"/>
      <c r="B57" s="48"/>
      <c r="C57" s="48" t="s">
        <v>198</v>
      </c>
      <c r="D57" s="48"/>
      <c r="E57" s="48"/>
      <c r="F57" s="48"/>
      <c r="G57" s="48" t="s">
        <v>151</v>
      </c>
      <c r="H57" s="48"/>
      <c r="I57" s="24"/>
      <c r="J57" s="24"/>
      <c r="K57" s="293">
        <f>SUM(K38:K45)</f>
        <v>0</v>
      </c>
      <c r="L57" s="135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5"/>
    </row>
    <row r="58" spans="1:28" customFormat="1">
      <c r="A58" s="48"/>
      <c r="B58" s="48"/>
      <c r="C58" s="48" t="s">
        <v>199</v>
      </c>
      <c r="D58" s="48"/>
      <c r="E58" s="48"/>
      <c r="F58" s="48"/>
      <c r="G58" s="48" t="s">
        <v>151</v>
      </c>
      <c r="H58" s="48"/>
      <c r="I58" s="24"/>
      <c r="J58" s="24"/>
      <c r="K58" s="290">
        <f>IF(I28 = SUM(M55:AA55), 0, 1)</f>
        <v>0</v>
      </c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customFormat="1">
      <c r="A59" s="48"/>
      <c r="B59" s="48"/>
      <c r="C59" s="48"/>
      <c r="D59" s="48"/>
      <c r="E59" s="48"/>
      <c r="F59" s="48"/>
      <c r="G59" s="48"/>
      <c r="H59" s="48"/>
      <c r="I59" s="24"/>
      <c r="J59" s="24"/>
      <c r="K59" s="133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 s="17" customFormat="1" ht="18">
      <c r="A60" s="97" t="s">
        <v>13</v>
      </c>
      <c r="B60" s="97" t="s">
        <v>200</v>
      </c>
      <c r="C60" s="210"/>
      <c r="D60" s="210"/>
      <c r="E60" s="210"/>
      <c r="F60" s="210"/>
      <c r="G60" s="210"/>
      <c r="H60" s="210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</row>
    <row r="61" spans="1:28" customFormat="1">
      <c r="A61" s="48"/>
      <c r="B61" s="48"/>
      <c r="C61" s="48"/>
      <c r="D61" s="48"/>
      <c r="E61" s="48"/>
      <c r="F61" s="48"/>
      <c r="G61" s="48"/>
      <c r="H61" s="48"/>
      <c r="I61" s="24"/>
      <c r="J61" s="24"/>
      <c r="K61" s="24"/>
      <c r="L61" s="24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24"/>
    </row>
    <row r="62" spans="1:28" customFormat="1" ht="14.5">
      <c r="A62" s="48"/>
      <c r="B62" s="206" t="s">
        <v>201</v>
      </c>
      <c r="C62" s="48"/>
      <c r="D62" s="48"/>
      <c r="E62" s="48"/>
      <c r="F62" s="48"/>
      <c r="G62" s="48"/>
      <c r="H62" s="48"/>
      <c r="I62" s="24"/>
      <c r="J62" s="24"/>
      <c r="K62" s="24"/>
      <c r="L62" s="24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24"/>
    </row>
    <row r="63" spans="1:28" customFormat="1">
      <c r="A63" s="48"/>
      <c r="B63" s="48"/>
      <c r="C63" s="48"/>
      <c r="D63" s="48"/>
      <c r="E63" s="48"/>
      <c r="F63" s="48"/>
      <c r="G63" s="48"/>
      <c r="H63" s="48"/>
      <c r="I63" s="24"/>
      <c r="J63" s="24"/>
      <c r="K63" s="24"/>
      <c r="L63" s="24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24"/>
    </row>
    <row r="64" spans="1:28">
      <c r="A64" s="48"/>
      <c r="B64" s="48"/>
      <c r="C64" s="48" t="s">
        <v>202</v>
      </c>
      <c r="D64" s="48"/>
      <c r="E64" s="48"/>
      <c r="F64" s="48"/>
      <c r="G64" s="48" t="s">
        <v>9</v>
      </c>
      <c r="H64" s="48"/>
      <c r="I64" s="307">
        <f>T5</f>
        <v>45383</v>
      </c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28" customFormat="1">
      <c r="A65" s="48"/>
      <c r="B65" s="48"/>
      <c r="C65" s="48" t="str">
        <f>Inputs!C18</f>
        <v>'Day 1' date</v>
      </c>
      <c r="D65" s="48"/>
      <c r="E65" s="48"/>
      <c r="F65" s="48"/>
      <c r="G65" s="48" t="str">
        <f>Inputs!G18</f>
        <v>Date</v>
      </c>
      <c r="H65" s="48"/>
      <c r="I65" s="222">
        <f>Inputs!I18</f>
        <v>45566</v>
      </c>
      <c r="J65" s="24"/>
      <c r="K65" s="24"/>
      <c r="L65" s="24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24"/>
    </row>
    <row r="66" spans="1:28" customFormat="1">
      <c r="A66" s="48"/>
      <c r="B66" s="48"/>
      <c r="C66" s="48"/>
      <c r="D66" s="48"/>
      <c r="E66" s="48"/>
      <c r="F66" s="48"/>
      <c r="G66" s="48"/>
      <c r="H66" s="48"/>
      <c r="I66" s="24"/>
      <c r="J66" s="24"/>
      <c r="K66" s="24"/>
      <c r="L66" s="24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24"/>
    </row>
    <row r="67" spans="1:28" customFormat="1">
      <c r="A67" s="48"/>
      <c r="B67" s="48"/>
      <c r="C67" s="48" t="s">
        <v>203</v>
      </c>
      <c r="D67" s="48"/>
      <c r="E67" s="48"/>
      <c r="F67" s="48"/>
      <c r="G67" s="48" t="s">
        <v>89</v>
      </c>
      <c r="H67" s="48"/>
      <c r="I67" s="308">
        <f>DATEDIF(I64, I65, "m") / 12</f>
        <v>0.5</v>
      </c>
      <c r="J67" s="24"/>
      <c r="K67" s="24"/>
      <c r="L67" s="24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24"/>
    </row>
    <row r="68" spans="1:28" customFormat="1">
      <c r="A68" s="48"/>
      <c r="B68" s="48"/>
      <c r="C68" s="48" t="s">
        <v>204</v>
      </c>
      <c r="D68" s="48"/>
      <c r="E68" s="48"/>
      <c r="F68" s="48"/>
      <c r="G68" s="48" t="s">
        <v>89</v>
      </c>
      <c r="H68" s="48"/>
      <c r="I68" s="308">
        <f>1 - I67</f>
        <v>0.5</v>
      </c>
      <c r="J68" s="24"/>
      <c r="K68" s="24"/>
      <c r="L68" s="24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24"/>
    </row>
    <row r="69" spans="1:28" customFormat="1">
      <c r="A69" s="48"/>
      <c r="B69" s="48"/>
      <c r="C69" s="48"/>
      <c r="D69" s="48"/>
      <c r="E69" s="48"/>
      <c r="F69" s="48"/>
      <c r="G69" s="48"/>
      <c r="H69" s="48"/>
      <c r="I69" s="24"/>
      <c r="J69" s="24"/>
      <c r="K69" s="24"/>
      <c r="L69" s="24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24"/>
    </row>
    <row r="70" spans="1:28" customFormat="1">
      <c r="A70" s="48"/>
      <c r="B70" s="48"/>
      <c r="C70" s="51" t="s">
        <v>205</v>
      </c>
      <c r="D70" s="48"/>
      <c r="E70" s="48"/>
      <c r="F70" s="48"/>
      <c r="G70" s="48"/>
      <c r="H70" s="48"/>
      <c r="I70" s="24"/>
      <c r="J70" s="24"/>
      <c r="K70" s="24"/>
      <c r="L70" s="24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24"/>
    </row>
    <row r="71" spans="1:28" customFormat="1">
      <c r="A71" s="48"/>
      <c r="B71" s="48"/>
      <c r="C71" s="48"/>
      <c r="D71" s="214" t="s">
        <v>206</v>
      </c>
      <c r="E71" s="214"/>
      <c r="F71" s="214"/>
      <c r="G71" s="214" t="s">
        <v>67</v>
      </c>
      <c r="H71" s="214"/>
      <c r="I71" s="288">
        <f>(T$46 + T$55) * I67</f>
        <v>36.629649594527258</v>
      </c>
      <c r="J71" s="24"/>
      <c r="K71" s="24"/>
      <c r="L71" s="24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24"/>
    </row>
    <row r="72" spans="1:28" customFormat="1">
      <c r="A72" s="48"/>
      <c r="B72" s="48"/>
      <c r="C72" s="48"/>
      <c r="D72" s="67" t="s">
        <v>207</v>
      </c>
      <c r="E72" s="67"/>
      <c r="F72" s="67"/>
      <c r="G72" s="67" t="s">
        <v>67</v>
      </c>
      <c r="H72" s="67"/>
      <c r="I72" s="309">
        <f>(T$46 + T$55) * I68</f>
        <v>36.629649594527258</v>
      </c>
      <c r="J72" s="24"/>
      <c r="K72" s="24"/>
      <c r="L72" s="24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24"/>
    </row>
    <row r="73" spans="1:28" customFormat="1">
      <c r="A73" s="48"/>
      <c r="B73" s="48"/>
      <c r="C73" s="48"/>
      <c r="D73" s="48"/>
      <c r="E73" s="48"/>
      <c r="F73" s="48"/>
      <c r="G73" s="48"/>
      <c r="H73" s="48"/>
      <c r="I73" s="24"/>
      <c r="J73" s="24"/>
      <c r="K73" s="24"/>
      <c r="L73" s="24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24"/>
    </row>
    <row r="74" spans="1:28" customFormat="1">
      <c r="A74" s="48"/>
      <c r="B74" s="48"/>
      <c r="C74" s="51" t="s">
        <v>208</v>
      </c>
      <c r="D74" s="48"/>
      <c r="E74" s="48"/>
      <c r="F74" s="48"/>
      <c r="G74" s="134"/>
      <c r="H74" s="134"/>
      <c r="I74" s="135"/>
      <c r="J74" s="135"/>
      <c r="K74" s="135"/>
      <c r="L74" s="135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24"/>
    </row>
    <row r="75" spans="1:28" customFormat="1">
      <c r="A75" s="48"/>
      <c r="B75" s="48"/>
      <c r="C75" s="48"/>
      <c r="D75" s="214" t="s">
        <v>209</v>
      </c>
      <c r="E75" s="214"/>
      <c r="F75" s="214"/>
      <c r="G75" s="301" t="s">
        <v>67</v>
      </c>
      <c r="H75" s="301"/>
      <c r="I75" s="303"/>
      <c r="J75" s="303"/>
      <c r="K75" s="303"/>
      <c r="L75" s="303"/>
      <c r="M75" s="254"/>
      <c r="N75" s="254"/>
      <c r="O75" s="254"/>
      <c r="P75" s="254"/>
      <c r="Q75" s="254"/>
      <c r="R75" s="254"/>
      <c r="S75" s="254"/>
      <c r="T75" s="288">
        <f>$I72</f>
        <v>36.629649594527258</v>
      </c>
      <c r="U75" s="254"/>
      <c r="V75" s="254"/>
      <c r="W75" s="254"/>
      <c r="X75" s="254"/>
      <c r="Y75" s="254"/>
      <c r="Z75" s="254"/>
      <c r="AA75" s="254"/>
      <c r="AB75" s="24"/>
    </row>
    <row r="76" spans="1:28" customFormat="1">
      <c r="A76" s="48"/>
      <c r="B76" s="48"/>
      <c r="C76" s="48"/>
      <c r="D76" s="64" t="s">
        <v>210</v>
      </c>
      <c r="E76" s="64"/>
      <c r="F76" s="64"/>
      <c r="G76" s="140" t="s">
        <v>67</v>
      </c>
      <c r="H76" s="140"/>
      <c r="I76" s="141"/>
      <c r="J76" s="141"/>
      <c r="K76" s="141"/>
      <c r="L76" s="141"/>
      <c r="M76" s="128"/>
      <c r="N76" s="128"/>
      <c r="O76" s="128"/>
      <c r="P76" s="128"/>
      <c r="Q76" s="128"/>
      <c r="R76" s="128"/>
      <c r="S76" s="128"/>
      <c r="T76" s="128"/>
      <c r="U76" s="304">
        <f t="shared" ref="U76:AA76" si="5">U46 + U55</f>
        <v>76.19484297997974</v>
      </c>
      <c r="V76" s="304">
        <f t="shared" si="5"/>
        <v>67.582134579897144</v>
      </c>
      <c r="W76" s="304">
        <f t="shared" si="5"/>
        <v>59.736651785937568</v>
      </c>
      <c r="X76" s="304">
        <f t="shared" si="5"/>
        <v>52.052370807344957</v>
      </c>
      <c r="Y76" s="304">
        <f t="shared" si="5"/>
        <v>39.247158292090589</v>
      </c>
      <c r="Z76" s="304">
        <f t="shared" si="5"/>
        <v>26.964203436164311</v>
      </c>
      <c r="AA76" s="304">
        <f t="shared" si="5"/>
        <v>11.198872974472991</v>
      </c>
      <c r="AB76" s="24"/>
    </row>
    <row r="77" spans="1:28" customFormat="1">
      <c r="A77" s="48"/>
      <c r="B77" s="48"/>
      <c r="C77" s="64"/>
      <c r="D77" s="140" t="s">
        <v>211</v>
      </c>
      <c r="E77" s="64"/>
      <c r="F77" s="140"/>
      <c r="G77" s="140" t="s">
        <v>67</v>
      </c>
      <c r="H77" s="140"/>
      <c r="I77" s="142"/>
      <c r="J77" s="141"/>
      <c r="K77" s="133"/>
      <c r="L77" s="141"/>
      <c r="M77" s="128"/>
      <c r="N77" s="128"/>
      <c r="O77" s="128"/>
      <c r="P77" s="128"/>
      <c r="Q77" s="128"/>
      <c r="R77" s="128"/>
      <c r="S77" s="128"/>
      <c r="T77" s="310">
        <f t="shared" ref="T77:AA77" si="6">IF(T75 &lt;&gt; 0, T75, T76)</f>
        <v>36.629649594527258</v>
      </c>
      <c r="U77" s="131">
        <f t="shared" si="6"/>
        <v>76.19484297997974</v>
      </c>
      <c r="V77" s="131">
        <f t="shared" si="6"/>
        <v>67.582134579897144</v>
      </c>
      <c r="W77" s="131">
        <f t="shared" si="6"/>
        <v>59.736651785937568</v>
      </c>
      <c r="X77" s="131">
        <f t="shared" si="6"/>
        <v>52.052370807344957</v>
      </c>
      <c r="Y77" s="131">
        <f t="shared" si="6"/>
        <v>39.247158292090589</v>
      </c>
      <c r="Z77" s="131">
        <f t="shared" si="6"/>
        <v>26.964203436164311</v>
      </c>
      <c r="AA77" s="131">
        <f t="shared" si="6"/>
        <v>11.198872974472991</v>
      </c>
      <c r="AB77" s="135"/>
    </row>
    <row r="78" spans="1:28" customFormat="1">
      <c r="A78" s="48"/>
      <c r="B78" s="48"/>
      <c r="C78" s="48"/>
      <c r="D78" s="64" t="str">
        <f>Indexation!C$93</f>
        <v>Real 2018-19 prices to nominal conversion factor (regulatory year)</v>
      </c>
      <c r="E78" s="140"/>
      <c r="F78" s="140"/>
      <c r="G78" s="64" t="str">
        <f>Indexation!G$93</f>
        <v>2018-19 = 1</v>
      </c>
      <c r="H78" s="64"/>
      <c r="I78" s="65"/>
      <c r="J78" s="65"/>
      <c r="K78" s="65"/>
      <c r="L78" s="65"/>
      <c r="M78" s="128"/>
      <c r="N78" s="128"/>
      <c r="O78" s="128"/>
      <c r="P78" s="128"/>
      <c r="Q78" s="128"/>
      <c r="R78" s="128"/>
      <c r="S78" s="128"/>
      <c r="T78" s="311">
        <f>Indexation!T$93</f>
        <v>1.2854532992282626</v>
      </c>
      <c r="U78" s="312">
        <f>Indexation!U$93</f>
        <v>1.3359507869324412</v>
      </c>
      <c r="V78" s="312">
        <f>Indexation!V$93</f>
        <v>1.3676578701425417</v>
      </c>
      <c r="W78" s="312">
        <f>Indexation!W$93</f>
        <v>1.3954354888856206</v>
      </c>
      <c r="X78" s="312">
        <f>Indexation!X$93</f>
        <v>1.4238410785362665</v>
      </c>
      <c r="Y78" s="312">
        <f>Indexation!Y$93</f>
        <v>1.4527033797722277</v>
      </c>
      <c r="Z78" s="312">
        <f>Indexation!Z$93</f>
        <v>1.4817988185207256</v>
      </c>
      <c r="AA78" s="312">
        <f>Indexation!AA$93</f>
        <v>1.5114357425740597</v>
      </c>
      <c r="AB78" s="24"/>
    </row>
    <row r="79" spans="1:28">
      <c r="A79" s="48"/>
      <c r="B79" s="48"/>
      <c r="C79" s="48"/>
      <c r="D79" s="67" t="s">
        <v>211</v>
      </c>
      <c r="E79" s="67"/>
      <c r="F79" s="67" t="s">
        <v>212</v>
      </c>
      <c r="G79" s="67" t="s">
        <v>29</v>
      </c>
      <c r="H79" s="67"/>
      <c r="I79" s="68"/>
      <c r="J79" s="68"/>
      <c r="K79" s="68"/>
      <c r="L79" s="68"/>
      <c r="M79" s="129"/>
      <c r="N79" s="129"/>
      <c r="O79" s="129"/>
      <c r="P79" s="129"/>
      <c r="Q79" s="129"/>
      <c r="R79" s="129"/>
      <c r="S79" s="129"/>
      <c r="T79" s="216">
        <f t="shared" ref="T79:AA79" si="7">T77 * T78</f>
        <v>47.085703920860254</v>
      </c>
      <c r="U79" s="216">
        <f t="shared" si="7"/>
        <v>101.79256043929773</v>
      </c>
      <c r="V79" s="216">
        <f t="shared" si="7"/>
        <v>92.429238239228738</v>
      </c>
      <c r="W79" s="216">
        <f t="shared" si="7"/>
        <v>83.35864388929987</v>
      </c>
      <c r="X79" s="216">
        <f t="shared" si="7"/>
        <v>74.114303790699722</v>
      </c>
      <c r="Y79" s="216">
        <f t="shared" si="7"/>
        <v>57.014479497375611</v>
      </c>
      <c r="Z79" s="216">
        <f t="shared" si="7"/>
        <v>39.955524794060764</v>
      </c>
      <c r="AA79" s="216">
        <f t="shared" si="7"/>
        <v>16.926376890165152</v>
      </c>
      <c r="AB79" s="24"/>
    </row>
    <row r="80" spans="1:28" customFormat="1">
      <c r="A80" s="48"/>
      <c r="B80" s="48"/>
      <c r="C80" s="48"/>
      <c r="D80" s="134"/>
      <c r="E80" s="134"/>
      <c r="F80" s="134"/>
      <c r="G80" s="134"/>
      <c r="H80" s="134"/>
      <c r="I80" s="142"/>
      <c r="J80" s="135"/>
      <c r="K80" s="135"/>
      <c r="L80" s="135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5"/>
    </row>
    <row r="81" spans="1:28">
      <c r="A81" s="48"/>
      <c r="B81" s="48"/>
      <c r="C81" s="48" t="s">
        <v>213</v>
      </c>
      <c r="D81" s="48"/>
      <c r="E81" s="48"/>
      <c r="F81" s="48"/>
      <c r="G81" s="143" t="s">
        <v>151</v>
      </c>
      <c r="H81" s="48"/>
      <c r="I81" s="24"/>
      <c r="J81" s="24"/>
      <c r="K81" s="290">
        <f>IF(ABS(I71 + I72 - T46 - T55) &lt; Tolerance, 0, 1)</f>
        <v>0</v>
      </c>
      <c r="L81" s="24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24"/>
    </row>
    <row r="82" spans="1:28" customFormat="1">
      <c r="A82" s="48"/>
      <c r="B82" s="48"/>
      <c r="C82" s="48"/>
      <c r="D82" s="48"/>
      <c r="E82" s="48"/>
      <c r="F82" s="48"/>
      <c r="G82" s="48"/>
      <c r="H82" s="48"/>
      <c r="I82" s="24"/>
      <c r="J82" s="24"/>
      <c r="K82" s="133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</row>
    <row r="83" spans="1:28" customFormat="1" ht="18">
      <c r="A83" s="97" t="s">
        <v>13</v>
      </c>
      <c r="B83" s="97" t="s">
        <v>214</v>
      </c>
      <c r="C83" s="210"/>
      <c r="D83" s="210"/>
      <c r="E83" s="210"/>
      <c r="F83" s="210"/>
      <c r="G83" s="210"/>
      <c r="H83" s="210"/>
      <c r="I83" s="211"/>
      <c r="J83" s="211"/>
      <c r="K83" s="211"/>
      <c r="L83" s="211"/>
      <c r="M83" s="211"/>
      <c r="N83" s="211"/>
      <c r="O83" s="211"/>
      <c r="P83" s="211"/>
      <c r="Q83" s="211"/>
      <c r="R83" s="211"/>
      <c r="S83" s="211"/>
      <c r="T83" s="211"/>
      <c r="U83" s="211"/>
      <c r="V83" s="211"/>
      <c r="W83" s="211"/>
      <c r="X83" s="211"/>
      <c r="Y83" s="211"/>
      <c r="Z83" s="211"/>
      <c r="AA83" s="211"/>
      <c r="AB83" s="211"/>
    </row>
    <row r="84" spans="1:28" customFormat="1">
      <c r="A84" s="48"/>
      <c r="B84" s="48"/>
      <c r="C84" s="48"/>
      <c r="D84" s="134"/>
      <c r="E84" s="134"/>
      <c r="F84" s="134"/>
      <c r="G84" s="134"/>
      <c r="H84" s="134"/>
      <c r="I84" s="142"/>
      <c r="J84" s="135"/>
      <c r="K84" s="135"/>
      <c r="L84" s="135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5"/>
    </row>
    <row r="85" spans="1:28" customFormat="1" ht="14.5">
      <c r="A85" s="48"/>
      <c r="B85" s="206" t="s">
        <v>215</v>
      </c>
      <c r="C85" s="48"/>
      <c r="D85" s="134"/>
      <c r="E85" s="134"/>
      <c r="F85" s="134"/>
      <c r="G85" s="134"/>
      <c r="H85" s="134"/>
      <c r="I85" s="142"/>
      <c r="J85" s="135"/>
      <c r="K85" s="135"/>
      <c r="L85" s="135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135"/>
    </row>
    <row r="86" spans="1:28" customFormat="1">
      <c r="A86" s="48"/>
      <c r="B86" s="48"/>
      <c r="C86" s="48"/>
      <c r="D86" s="134"/>
      <c r="E86" s="134"/>
      <c r="F86" s="134"/>
      <c r="G86" s="134"/>
      <c r="H86" s="134"/>
      <c r="I86" s="142"/>
      <c r="J86" s="135"/>
      <c r="K86" s="135"/>
      <c r="L86" s="135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135"/>
    </row>
    <row r="87" spans="1:28" customFormat="1">
      <c r="A87" s="48"/>
      <c r="B87" s="48"/>
      <c r="C87" s="51" t="s">
        <v>216</v>
      </c>
      <c r="D87" s="134"/>
      <c r="E87" s="134"/>
      <c r="F87" s="134"/>
      <c r="G87" s="134"/>
      <c r="H87" s="134"/>
      <c r="I87" s="142"/>
      <c r="J87" s="135"/>
      <c r="K87" s="135"/>
      <c r="L87" s="135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5"/>
    </row>
    <row r="88" spans="1:28" customFormat="1">
      <c r="A88" s="48"/>
      <c r="B88" s="48"/>
      <c r="C88" s="48"/>
      <c r="D88" s="301" t="s">
        <v>217</v>
      </c>
      <c r="E88" s="301"/>
      <c r="F88" s="301"/>
      <c r="G88" s="301" t="s">
        <v>67</v>
      </c>
      <c r="H88" s="301"/>
      <c r="I88" s="288">
        <f>SUM(I38:I44) - SUM(N46:S46)</f>
        <v>326.89477322363098</v>
      </c>
      <c r="J88" s="135"/>
      <c r="K88" s="135"/>
      <c r="L88" s="135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5"/>
    </row>
    <row r="89" spans="1:28" customFormat="1">
      <c r="A89" s="48"/>
      <c r="B89" s="48"/>
      <c r="C89" s="48"/>
      <c r="D89" s="140" t="s">
        <v>218</v>
      </c>
      <c r="E89" s="140"/>
      <c r="F89" s="140"/>
      <c r="G89" s="140" t="s">
        <v>67</v>
      </c>
      <c r="H89" s="140"/>
      <c r="I89" s="304">
        <f>I28 - SUM(Q55:S55)</f>
        <v>16.127049999999997</v>
      </c>
      <c r="J89" s="135"/>
      <c r="K89" s="135"/>
      <c r="L89" s="135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  <c r="Z89" s="136"/>
      <c r="AA89" s="136"/>
      <c r="AB89" s="135"/>
    </row>
    <row r="90" spans="1:28" customFormat="1">
      <c r="A90" s="48"/>
      <c r="B90" s="48"/>
      <c r="C90" s="48"/>
      <c r="D90" s="298" t="s">
        <v>219</v>
      </c>
      <c r="E90" s="298"/>
      <c r="F90" s="298"/>
      <c r="G90" s="298" t="s">
        <v>67</v>
      </c>
      <c r="H90" s="298"/>
      <c r="I90" s="131">
        <f>SUM(I88:I89)</f>
        <v>343.02182322363097</v>
      </c>
      <c r="J90" s="135"/>
      <c r="K90" s="135"/>
      <c r="L90" s="135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135"/>
    </row>
    <row r="91" spans="1:28" customFormat="1">
      <c r="A91" s="48"/>
      <c r="B91" s="48"/>
      <c r="C91" s="48"/>
      <c r="D91" s="134"/>
      <c r="E91" s="134"/>
      <c r="F91" s="134"/>
      <c r="G91" s="134"/>
      <c r="H91" s="134"/>
      <c r="I91" s="135"/>
      <c r="J91" s="135"/>
      <c r="K91" s="135"/>
      <c r="L91" s="135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  <c r="AA91" s="136"/>
      <c r="AB91" s="135"/>
    </row>
    <row r="92" spans="1:28" customFormat="1">
      <c r="A92" s="48"/>
      <c r="B92" s="48"/>
      <c r="C92" s="51" t="s">
        <v>220</v>
      </c>
      <c r="D92" s="134"/>
      <c r="E92" s="134"/>
      <c r="F92" s="134"/>
      <c r="G92" s="134"/>
      <c r="H92" s="134"/>
      <c r="I92" s="135"/>
      <c r="J92" s="135"/>
      <c r="K92" s="135"/>
      <c r="L92" s="135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5"/>
    </row>
    <row r="93" spans="1:28" customFormat="1">
      <c r="A93" s="48"/>
      <c r="B93" s="48"/>
      <c r="C93" s="48"/>
      <c r="D93" s="301" t="str">
        <f>C87</f>
        <v>2024-25 Opening RAV balance</v>
      </c>
      <c r="E93" s="301"/>
      <c r="F93" s="301"/>
      <c r="G93" s="301" t="str">
        <f>G90</f>
        <v>£m 2018-19 prices</v>
      </c>
      <c r="H93" s="301"/>
      <c r="I93" s="288">
        <f>I90</f>
        <v>343.02182322363097</v>
      </c>
      <c r="J93" s="135"/>
      <c r="K93" s="135"/>
      <c r="L93" s="135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5"/>
    </row>
    <row r="94" spans="1:28" customFormat="1">
      <c r="A94" s="48"/>
      <c r="B94" s="48"/>
      <c r="C94" s="48"/>
      <c r="D94" s="140" t="s">
        <v>221</v>
      </c>
      <c r="E94" s="140"/>
      <c r="F94" s="140"/>
      <c r="G94" s="140" t="str">
        <f>G25</f>
        <v>£m 2018-19 prices</v>
      </c>
      <c r="H94" s="140"/>
      <c r="I94" s="293">
        <f>I45</f>
        <v>63.21371082131094</v>
      </c>
      <c r="J94" s="135"/>
      <c r="K94" s="135"/>
      <c r="L94" s="135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5"/>
    </row>
    <row r="95" spans="1:28" customFormat="1">
      <c r="A95" s="48"/>
      <c r="B95" s="48"/>
      <c r="C95" s="48"/>
      <c r="D95" s="140" t="s">
        <v>222</v>
      </c>
      <c r="E95" s="140"/>
      <c r="F95" s="140"/>
      <c r="G95" s="140" t="str">
        <f>G77</f>
        <v>£m 2018-19 prices</v>
      </c>
      <c r="H95" s="140"/>
      <c r="I95" s="304">
        <f>(-1) * I71</f>
        <v>-36.629649594527258</v>
      </c>
      <c r="J95" s="135"/>
      <c r="K95" s="135"/>
      <c r="L95" s="135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5"/>
    </row>
    <row r="96" spans="1:28" customFormat="1">
      <c r="A96" s="48"/>
      <c r="B96" s="48"/>
      <c r="C96" s="48"/>
      <c r="D96" s="298" t="s">
        <v>223</v>
      </c>
      <c r="E96" s="298"/>
      <c r="F96" s="298"/>
      <c r="G96" s="298" t="s">
        <v>67</v>
      </c>
      <c r="H96" s="298"/>
      <c r="I96" s="313">
        <f>SUM(I93:I95)</f>
        <v>369.60588445041464</v>
      </c>
      <c r="J96" s="135"/>
      <c r="K96" s="135"/>
      <c r="L96" s="135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5"/>
    </row>
    <row r="97" spans="1:28" customFormat="1">
      <c r="A97" s="48"/>
      <c r="B97" s="48"/>
      <c r="C97" s="48"/>
      <c r="D97" s="134"/>
      <c r="E97" s="134"/>
      <c r="F97" s="134"/>
      <c r="G97" s="134"/>
      <c r="H97" s="134"/>
      <c r="I97" s="142"/>
      <c r="J97" s="135"/>
      <c r="K97" s="135"/>
      <c r="L97" s="135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5"/>
    </row>
    <row r="98" spans="1:28" customFormat="1">
      <c r="A98" s="48"/>
      <c r="B98" s="48"/>
      <c r="C98" s="51" t="s">
        <v>224</v>
      </c>
      <c r="D98" s="134"/>
      <c r="E98" s="134"/>
      <c r="F98" s="134"/>
      <c r="G98" s="134"/>
      <c r="H98" s="134"/>
      <c r="I98" s="142"/>
      <c r="J98" s="135"/>
      <c r="K98" s="135"/>
      <c r="L98" s="135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5"/>
    </row>
    <row r="99" spans="1:28" customFormat="1">
      <c r="A99" s="48"/>
      <c r="B99" s="48"/>
      <c r="C99" s="48"/>
      <c r="D99" s="301" t="s">
        <v>225</v>
      </c>
      <c r="E99" s="301"/>
      <c r="F99" s="301"/>
      <c r="G99" s="301" t="s">
        <v>67</v>
      </c>
      <c r="H99" s="301"/>
      <c r="I99" s="199"/>
      <c r="J99" s="303"/>
      <c r="K99" s="303"/>
      <c r="L99" s="303"/>
      <c r="M99" s="254"/>
      <c r="N99" s="254"/>
      <c r="O99" s="254"/>
      <c r="P99" s="254"/>
      <c r="Q99" s="254"/>
      <c r="R99" s="254"/>
      <c r="S99" s="254"/>
      <c r="T99" s="286">
        <f>I96</f>
        <v>369.60588445041464</v>
      </c>
      <c r="U99" s="287">
        <f t="shared" ref="U99:AA99" si="8">T102</f>
        <v>332.97623485588736</v>
      </c>
      <c r="V99" s="288">
        <f t="shared" si="8"/>
        <v>256.78139187590762</v>
      </c>
      <c r="W99" s="288">
        <f t="shared" si="8"/>
        <v>189.19925729601047</v>
      </c>
      <c r="X99" s="288">
        <f t="shared" si="8"/>
        <v>129.4626055100729</v>
      </c>
      <c r="Y99" s="288">
        <f t="shared" si="8"/>
        <v>77.410234702727948</v>
      </c>
      <c r="Z99" s="288">
        <f t="shared" si="8"/>
        <v>38.163076410637359</v>
      </c>
      <c r="AA99" s="288">
        <f t="shared" si="8"/>
        <v>11.198872974473048</v>
      </c>
      <c r="AB99" s="135"/>
    </row>
    <row r="100" spans="1:28" customFormat="1">
      <c r="A100" s="48"/>
      <c r="B100" s="48"/>
      <c r="C100" s="48"/>
      <c r="D100" s="140" t="s">
        <v>193</v>
      </c>
      <c r="E100" s="140"/>
      <c r="F100" s="140"/>
      <c r="G100" s="140" t="str">
        <f>G26</f>
        <v>£m 2018-19 prices</v>
      </c>
      <c r="H100" s="140"/>
      <c r="I100" s="142"/>
      <c r="J100" s="141"/>
      <c r="K100" s="141"/>
      <c r="L100" s="141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35"/>
    </row>
    <row r="101" spans="1:28" customFormat="1">
      <c r="A101" s="48"/>
      <c r="B101" s="48"/>
      <c r="C101" s="48"/>
      <c r="D101" s="140" t="s">
        <v>226</v>
      </c>
      <c r="E101" s="140"/>
      <c r="F101" s="140"/>
      <c r="G101" s="140" t="str">
        <f>G77</f>
        <v>£m 2018-19 prices</v>
      </c>
      <c r="H101" s="140"/>
      <c r="I101" s="142"/>
      <c r="J101" s="141"/>
      <c r="K101" s="141"/>
      <c r="L101" s="141"/>
      <c r="M101" s="128"/>
      <c r="N101" s="128"/>
      <c r="O101" s="128"/>
      <c r="P101" s="128"/>
      <c r="Q101" s="128"/>
      <c r="R101" s="128"/>
      <c r="S101" s="128"/>
      <c r="T101" s="304">
        <f t="shared" ref="T101:AA101" si="9">(-1) * T77</f>
        <v>-36.629649594527258</v>
      </c>
      <c r="U101" s="304">
        <f t="shared" si="9"/>
        <v>-76.19484297997974</v>
      </c>
      <c r="V101" s="304">
        <f t="shared" si="9"/>
        <v>-67.582134579897144</v>
      </c>
      <c r="W101" s="304">
        <f t="shared" si="9"/>
        <v>-59.736651785937568</v>
      </c>
      <c r="X101" s="304">
        <f t="shared" si="9"/>
        <v>-52.052370807344957</v>
      </c>
      <c r="Y101" s="304">
        <f t="shared" si="9"/>
        <v>-39.247158292090589</v>
      </c>
      <c r="Z101" s="304">
        <f t="shared" si="9"/>
        <v>-26.964203436164311</v>
      </c>
      <c r="AA101" s="304">
        <f t="shared" si="9"/>
        <v>-11.198872974472991</v>
      </c>
      <c r="AB101" s="135"/>
    </row>
    <row r="102" spans="1:28" customFormat="1">
      <c r="A102" s="48"/>
      <c r="B102" s="48"/>
      <c r="C102" s="48"/>
      <c r="D102" s="298" t="s">
        <v>227</v>
      </c>
      <c r="E102" s="298"/>
      <c r="F102" s="298"/>
      <c r="G102" s="298" t="s">
        <v>67</v>
      </c>
      <c r="H102" s="298"/>
      <c r="I102" s="299"/>
      <c r="J102" s="305"/>
      <c r="K102" s="305"/>
      <c r="L102" s="305"/>
      <c r="M102" s="300"/>
      <c r="N102" s="300"/>
      <c r="O102" s="300"/>
      <c r="P102" s="300"/>
      <c r="Q102" s="300"/>
      <c r="R102" s="300"/>
      <c r="S102" s="300"/>
      <c r="T102" s="131">
        <f t="shared" ref="T102:AA102" si="10">SUM(T99:T101)</f>
        <v>332.97623485588736</v>
      </c>
      <c r="U102" s="131">
        <f t="shared" si="10"/>
        <v>256.78139187590762</v>
      </c>
      <c r="V102" s="131">
        <f t="shared" si="10"/>
        <v>189.19925729601047</v>
      </c>
      <c r="W102" s="131">
        <f t="shared" si="10"/>
        <v>129.4626055100729</v>
      </c>
      <c r="X102" s="131">
        <f t="shared" si="10"/>
        <v>77.410234702727948</v>
      </c>
      <c r="Y102" s="131">
        <f t="shared" si="10"/>
        <v>38.163076410637359</v>
      </c>
      <c r="Z102" s="131">
        <f t="shared" si="10"/>
        <v>11.198872974473048</v>
      </c>
      <c r="AA102" s="131">
        <f t="shared" si="10"/>
        <v>5.6843418860808015E-14</v>
      </c>
      <c r="AB102" s="135"/>
    </row>
    <row r="103" spans="1:28" customFormat="1">
      <c r="A103" s="48"/>
      <c r="B103" s="48"/>
      <c r="C103" s="48"/>
      <c r="D103" s="134"/>
      <c r="E103" s="134"/>
      <c r="F103" s="134"/>
      <c r="G103" s="134"/>
      <c r="H103" s="134"/>
      <c r="I103" s="142"/>
      <c r="J103" s="135"/>
      <c r="K103" s="135"/>
      <c r="L103" s="135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5"/>
    </row>
    <row r="104" spans="1:28" customFormat="1">
      <c r="A104" s="48"/>
      <c r="B104" s="48"/>
      <c r="C104" s="48" t="s">
        <v>228</v>
      </c>
      <c r="D104" s="134"/>
      <c r="E104" s="134"/>
      <c r="F104" s="134"/>
      <c r="G104" s="134" t="s">
        <v>151</v>
      </c>
      <c r="H104" s="134"/>
      <c r="I104" s="142"/>
      <c r="J104" s="135"/>
      <c r="K104" s="290">
        <f>IF(ABS(AA102) &gt; Tolerance, 1, 0)</f>
        <v>0</v>
      </c>
      <c r="L104" s="135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  <c r="AA104" s="136"/>
      <c r="AB104" s="135"/>
    </row>
    <row r="105" spans="1:28" customFormat="1">
      <c r="A105" s="48"/>
      <c r="B105" s="48"/>
      <c r="C105" s="48"/>
      <c r="D105" s="134"/>
      <c r="E105" s="134"/>
      <c r="F105" s="134"/>
      <c r="G105" s="134"/>
      <c r="H105" s="134"/>
      <c r="I105" s="142"/>
      <c r="J105" s="135"/>
      <c r="K105" s="132"/>
      <c r="L105" s="135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5"/>
    </row>
    <row r="106" spans="1:28" customFormat="1" ht="18">
      <c r="A106" s="97" t="s">
        <v>13</v>
      </c>
      <c r="B106" s="97" t="s">
        <v>229</v>
      </c>
      <c r="C106" s="210"/>
      <c r="D106" s="210"/>
      <c r="E106" s="210"/>
      <c r="F106" s="210"/>
      <c r="G106" s="210"/>
      <c r="H106" s="210"/>
      <c r="I106" s="211"/>
      <c r="J106" s="211"/>
      <c r="K106" s="211"/>
      <c r="L106" s="211"/>
      <c r="M106" s="211"/>
      <c r="N106" s="211"/>
      <c r="O106" s="211"/>
      <c r="P106" s="211"/>
      <c r="Q106" s="211"/>
      <c r="R106" s="211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</row>
    <row r="107" spans="1:28" customFormat="1">
      <c r="A107" s="48"/>
      <c r="B107" s="48"/>
      <c r="C107" s="48"/>
      <c r="D107" s="134"/>
      <c r="E107" s="134"/>
      <c r="F107" s="134"/>
      <c r="G107" s="134"/>
      <c r="H107" s="134"/>
      <c r="I107" s="142"/>
      <c r="J107" s="135"/>
      <c r="K107" s="135"/>
      <c r="L107" s="135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  <c r="AA107" s="136"/>
      <c r="AB107" s="135"/>
    </row>
    <row r="108" spans="1:28" customFormat="1" ht="14.5">
      <c r="A108" s="48"/>
      <c r="B108" s="206" t="s">
        <v>230</v>
      </c>
      <c r="C108" s="48"/>
      <c r="D108" s="134"/>
      <c r="E108" s="134"/>
      <c r="F108" s="134"/>
      <c r="G108" s="134"/>
      <c r="H108" s="134"/>
      <c r="I108" s="142"/>
      <c r="J108" s="135"/>
      <c r="K108" s="135"/>
      <c r="L108" s="135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  <c r="AB108" s="135"/>
    </row>
    <row r="109" spans="1:28" customFormat="1" ht="14.5">
      <c r="A109" s="48"/>
      <c r="B109" s="60"/>
      <c r="C109" s="48"/>
      <c r="D109" s="134"/>
      <c r="E109" s="134"/>
      <c r="F109" s="134"/>
      <c r="G109" s="134"/>
      <c r="H109" s="134"/>
      <c r="I109" s="142"/>
      <c r="J109" s="135"/>
      <c r="K109" s="135"/>
      <c r="L109" s="135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  <c r="AB109" s="135"/>
    </row>
    <row r="110" spans="1:28">
      <c r="A110" s="48"/>
      <c r="B110" s="48"/>
      <c r="C110" s="48" t="str">
        <f>C$67</f>
        <v>Share of 2024-25 before Day 1</v>
      </c>
      <c r="D110" s="48"/>
      <c r="E110" s="48"/>
      <c r="F110" s="48"/>
      <c r="G110" s="48" t="str">
        <f>G$67</f>
        <v>%</v>
      </c>
      <c r="H110" s="48"/>
      <c r="I110" s="308">
        <f>I$67</f>
        <v>0.5</v>
      </c>
      <c r="J110" s="25"/>
      <c r="K110" s="25"/>
      <c r="L110" s="25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24"/>
    </row>
    <row r="111" spans="1:28">
      <c r="A111" s="48"/>
      <c r="B111" s="48"/>
      <c r="C111" s="48" t="str">
        <f>C$68</f>
        <v>Share of 2024-25 from Day 1</v>
      </c>
      <c r="D111" s="48"/>
      <c r="E111" s="48"/>
      <c r="F111" s="48"/>
      <c r="G111" s="48" t="str">
        <f>G$68</f>
        <v>%</v>
      </c>
      <c r="H111" s="48"/>
      <c r="I111" s="308">
        <f>I$68</f>
        <v>0.5</v>
      </c>
      <c r="J111" s="24"/>
      <c r="K111" s="24"/>
      <c r="L111" s="24"/>
      <c r="M111" s="117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</row>
    <row r="112" spans="1:28">
      <c r="A112" s="48"/>
      <c r="B112" s="48"/>
      <c r="C112" s="48"/>
      <c r="D112" s="48"/>
      <c r="E112" s="48"/>
      <c r="F112" s="48"/>
      <c r="G112" s="48"/>
      <c r="H112" s="48"/>
      <c r="I112" s="24"/>
      <c r="J112" s="24"/>
      <c r="K112" s="24"/>
      <c r="L112" s="24"/>
      <c r="M112" s="117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</row>
    <row r="113" spans="1:28">
      <c r="A113" s="48"/>
      <c r="B113" s="48"/>
      <c r="C113" s="144" t="str">
        <f>Inputs!C$42</f>
        <v>Discount Rate for 2024-25 before Day 1</v>
      </c>
      <c r="D113" s="48"/>
      <c r="E113" s="144"/>
      <c r="F113" s="144"/>
      <c r="G113" s="144" t="str">
        <f>Inputs!G$42</f>
        <v>% annual, real</v>
      </c>
      <c r="H113" s="64"/>
      <c r="I113" s="314">
        <f>Inputs!I$42</f>
        <v>5.6770825600000005E-2</v>
      </c>
      <c r="J113" s="65"/>
      <c r="K113" s="65"/>
      <c r="L113" s="65"/>
      <c r="M113" s="117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  <c r="AA113" s="136"/>
      <c r="AB113" s="135"/>
    </row>
    <row r="114" spans="1:28">
      <c r="A114" s="48"/>
      <c r="B114" s="48"/>
      <c r="C114" s="144" t="str">
        <f>Inputs!C$43</f>
        <v>Discount Rate from Day 1</v>
      </c>
      <c r="D114" s="48"/>
      <c r="E114" s="144"/>
      <c r="F114" s="144"/>
      <c r="G114" s="144" t="str">
        <f>Inputs!G$43</f>
        <v>% annual, real</v>
      </c>
      <c r="H114" s="64"/>
      <c r="I114" s="314">
        <f>Inputs!I$43</f>
        <v>3.5000000000000003E-2</v>
      </c>
      <c r="J114" s="65"/>
      <c r="K114" s="65"/>
      <c r="L114" s="65"/>
      <c r="M114" s="117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5"/>
    </row>
    <row r="115" spans="1:28">
      <c r="A115" s="48"/>
      <c r="B115" s="48"/>
      <c r="C115" s="144"/>
      <c r="D115" s="48"/>
      <c r="E115" s="144"/>
      <c r="F115" s="144"/>
      <c r="G115" s="144"/>
      <c r="H115" s="64"/>
      <c r="I115" s="145"/>
      <c r="J115" s="65"/>
      <c r="K115" s="65"/>
      <c r="L115" s="65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  <c r="AB115" s="135"/>
    </row>
    <row r="116" spans="1:28">
      <c r="A116" s="48"/>
      <c r="B116" s="48"/>
      <c r="C116" s="146" t="s">
        <v>231</v>
      </c>
      <c r="D116" s="48"/>
      <c r="E116" s="144"/>
      <c r="F116" s="144"/>
      <c r="G116" s="144"/>
      <c r="H116" s="64"/>
      <c r="I116" s="145"/>
      <c r="J116" s="65"/>
      <c r="K116" s="65"/>
      <c r="L116" s="65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5"/>
    </row>
    <row r="117" spans="1:28">
      <c r="A117" s="48"/>
      <c r="B117" s="48"/>
      <c r="C117" s="144"/>
      <c r="D117" s="214" t="s">
        <v>206</v>
      </c>
      <c r="E117" s="200"/>
      <c r="F117" s="200"/>
      <c r="G117" s="200" t="s">
        <v>57</v>
      </c>
      <c r="H117" s="214"/>
      <c r="I117" s="315">
        <f>I110 * I113</f>
        <v>2.8385412800000002E-2</v>
      </c>
      <c r="J117" s="65"/>
      <c r="K117" s="65"/>
      <c r="L117" s="65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6"/>
      <c r="AA117" s="136"/>
      <c r="AB117" s="135"/>
    </row>
    <row r="118" spans="1:28">
      <c r="A118" s="48"/>
      <c r="B118" s="48"/>
      <c r="C118" s="144"/>
      <c r="D118" s="67" t="s">
        <v>207</v>
      </c>
      <c r="E118" s="147"/>
      <c r="F118" s="147"/>
      <c r="G118" s="147" t="s">
        <v>57</v>
      </c>
      <c r="H118" s="67"/>
      <c r="I118" s="316">
        <f>I111 * I114</f>
        <v>1.7500000000000002E-2</v>
      </c>
      <c r="J118" s="65"/>
      <c r="K118" s="65"/>
      <c r="L118" s="65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5"/>
    </row>
    <row r="119" spans="1:28">
      <c r="A119" s="48"/>
      <c r="B119" s="48"/>
      <c r="C119" s="144"/>
      <c r="D119" s="64"/>
      <c r="E119" s="144"/>
      <c r="F119" s="144"/>
      <c r="G119" s="144"/>
      <c r="H119" s="64"/>
      <c r="I119" s="24"/>
      <c r="J119" s="65"/>
      <c r="K119" s="65"/>
      <c r="L119" s="65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  <c r="AB119" s="135"/>
    </row>
    <row r="120" spans="1:28">
      <c r="A120" s="48"/>
      <c r="B120" s="24"/>
      <c r="C120" s="48" t="s">
        <v>232</v>
      </c>
      <c r="D120" s="48"/>
      <c r="E120" s="48"/>
      <c r="F120" s="48"/>
      <c r="G120" s="48" t="s">
        <v>57</v>
      </c>
      <c r="H120" s="48"/>
      <c r="I120" s="308">
        <f>SUM(I117:I118)</f>
        <v>4.5885412800000004E-2</v>
      </c>
      <c r="J120" s="65"/>
      <c r="K120" s="65"/>
      <c r="L120" s="65"/>
      <c r="M120" s="117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  <c r="Z120" s="136"/>
      <c r="AA120" s="136"/>
      <c r="AB120" s="135"/>
    </row>
    <row r="121" spans="1:28">
      <c r="A121" s="48"/>
      <c r="B121" s="48"/>
      <c r="C121" s="144"/>
      <c r="D121" s="48"/>
      <c r="E121" s="144"/>
      <c r="F121" s="144"/>
      <c r="G121" s="144"/>
      <c r="H121" s="64"/>
      <c r="I121" s="145"/>
      <c r="J121" s="65"/>
      <c r="K121" s="65"/>
      <c r="L121" s="65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  <c r="Z121" s="136"/>
      <c r="AA121" s="136"/>
      <c r="AB121" s="135"/>
    </row>
    <row r="122" spans="1:28">
      <c r="A122" s="48"/>
      <c r="B122" s="48"/>
      <c r="C122" s="146" t="s">
        <v>229</v>
      </c>
      <c r="D122" s="48"/>
      <c r="E122" s="144"/>
      <c r="F122" s="144"/>
      <c r="G122" s="144"/>
      <c r="H122" s="64"/>
      <c r="I122" s="145"/>
      <c r="J122" s="65"/>
      <c r="K122" s="65"/>
      <c r="L122" s="65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  <c r="AA122" s="136"/>
      <c r="AB122" s="135"/>
    </row>
    <row r="123" spans="1:28">
      <c r="A123" s="48"/>
      <c r="B123" s="48"/>
      <c r="C123" s="144"/>
      <c r="D123" s="214" t="s">
        <v>209</v>
      </c>
      <c r="E123" s="200"/>
      <c r="F123" s="200"/>
      <c r="G123" s="200" t="str">
        <f>Inputs!G$43</f>
        <v>% annual, real</v>
      </c>
      <c r="H123" s="214"/>
      <c r="I123" s="317"/>
      <c r="J123" s="215"/>
      <c r="K123" s="215"/>
      <c r="L123" s="215"/>
      <c r="M123" s="254"/>
      <c r="N123" s="254"/>
      <c r="O123" s="254"/>
      <c r="P123" s="254"/>
      <c r="Q123" s="254"/>
      <c r="R123" s="254"/>
      <c r="S123" s="254"/>
      <c r="T123" s="318">
        <f>I118</f>
        <v>1.7500000000000002E-2</v>
      </c>
      <c r="U123" s="254"/>
      <c r="V123" s="254"/>
      <c r="W123" s="254"/>
      <c r="X123" s="254"/>
      <c r="Y123" s="254"/>
      <c r="Z123" s="254"/>
      <c r="AA123" s="254"/>
      <c r="AB123" s="135"/>
    </row>
    <row r="124" spans="1:28">
      <c r="A124" s="48"/>
      <c r="B124" s="48"/>
      <c r="C124" s="144"/>
      <c r="D124" s="64" t="s">
        <v>210</v>
      </c>
      <c r="E124" s="144"/>
      <c r="F124" s="144"/>
      <c r="G124" s="144" t="str">
        <f>Inputs!G$43</f>
        <v>% annual, real</v>
      </c>
      <c r="H124" s="64"/>
      <c r="I124" s="145"/>
      <c r="J124" s="65"/>
      <c r="K124" s="65"/>
      <c r="L124" s="65"/>
      <c r="M124" s="128"/>
      <c r="N124" s="128"/>
      <c r="O124" s="128"/>
      <c r="P124" s="128"/>
      <c r="Q124" s="128"/>
      <c r="R124" s="128"/>
      <c r="S124" s="128"/>
      <c r="T124" s="128"/>
      <c r="U124" s="319">
        <f t="shared" ref="U124:AA124" si="11">$I114</f>
        <v>3.5000000000000003E-2</v>
      </c>
      <c r="V124" s="319">
        <f t="shared" si="11"/>
        <v>3.5000000000000003E-2</v>
      </c>
      <c r="W124" s="319">
        <f t="shared" si="11"/>
        <v>3.5000000000000003E-2</v>
      </c>
      <c r="X124" s="319">
        <f t="shared" si="11"/>
        <v>3.5000000000000003E-2</v>
      </c>
      <c r="Y124" s="319">
        <f t="shared" si="11"/>
        <v>3.5000000000000003E-2</v>
      </c>
      <c r="Z124" s="319">
        <f t="shared" si="11"/>
        <v>3.5000000000000003E-2</v>
      </c>
      <c r="AA124" s="319">
        <f t="shared" si="11"/>
        <v>3.5000000000000003E-2</v>
      </c>
      <c r="AB124" s="135"/>
    </row>
    <row r="125" spans="1:28">
      <c r="A125" s="48"/>
      <c r="B125" s="48"/>
      <c r="C125" s="144"/>
      <c r="D125" s="67" t="s">
        <v>233</v>
      </c>
      <c r="E125" s="147"/>
      <c r="F125" s="147"/>
      <c r="G125" s="147" t="str">
        <f>Inputs!G$43</f>
        <v>% annual, real</v>
      </c>
      <c r="H125" s="67"/>
      <c r="I125" s="148"/>
      <c r="J125" s="68"/>
      <c r="K125" s="68"/>
      <c r="L125" s="68"/>
      <c r="M125" s="129"/>
      <c r="N125" s="129"/>
      <c r="O125" s="129"/>
      <c r="P125" s="129"/>
      <c r="Q125" s="129"/>
      <c r="R125" s="129"/>
      <c r="S125" s="129"/>
      <c r="T125" s="320">
        <f>SUM(T123:T124)</f>
        <v>1.7500000000000002E-2</v>
      </c>
      <c r="U125" s="320">
        <f t="shared" ref="U125:AA125" si="12">SUM(U123:U124)</f>
        <v>3.5000000000000003E-2</v>
      </c>
      <c r="V125" s="320">
        <f t="shared" si="12"/>
        <v>3.5000000000000003E-2</v>
      </c>
      <c r="W125" s="320">
        <f t="shared" si="12"/>
        <v>3.5000000000000003E-2</v>
      </c>
      <c r="X125" s="320">
        <f t="shared" si="12"/>
        <v>3.5000000000000003E-2</v>
      </c>
      <c r="Y125" s="320">
        <f t="shared" si="12"/>
        <v>3.5000000000000003E-2</v>
      </c>
      <c r="Z125" s="320">
        <f t="shared" si="12"/>
        <v>3.5000000000000003E-2</v>
      </c>
      <c r="AA125" s="320">
        <f t="shared" si="12"/>
        <v>3.5000000000000003E-2</v>
      </c>
      <c r="AB125" s="135"/>
    </row>
    <row r="126" spans="1:28">
      <c r="A126" s="48"/>
      <c r="B126" s="48"/>
      <c r="C126" s="144"/>
      <c r="D126" s="48"/>
      <c r="E126" s="144"/>
      <c r="F126" s="144"/>
      <c r="G126" s="144"/>
      <c r="H126" s="64"/>
      <c r="I126" s="145"/>
      <c r="J126" s="65"/>
      <c r="K126" s="65"/>
      <c r="L126" s="65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  <c r="Z126" s="136"/>
      <c r="AA126" s="136"/>
      <c r="AB126" s="135"/>
    </row>
    <row r="127" spans="1:28">
      <c r="A127" s="48"/>
      <c r="B127" s="48"/>
      <c r="C127" s="146" t="s">
        <v>234</v>
      </c>
      <c r="D127" s="48"/>
      <c r="E127" s="144"/>
      <c r="F127" s="144"/>
      <c r="G127" s="144"/>
      <c r="H127" s="64"/>
      <c r="I127" s="145"/>
      <c r="J127" s="65"/>
      <c r="K127" s="65"/>
      <c r="L127" s="65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  <c r="Z127" s="136"/>
      <c r="AA127" s="136"/>
      <c r="AB127" s="135"/>
    </row>
    <row r="128" spans="1:28">
      <c r="A128" s="48"/>
      <c r="B128" s="48"/>
      <c r="C128" s="144"/>
      <c r="D128" s="214" t="s">
        <v>235</v>
      </c>
      <c r="E128" s="200"/>
      <c r="F128" s="200"/>
      <c r="G128" s="200" t="s">
        <v>236</v>
      </c>
      <c r="H128" s="214"/>
      <c r="I128" s="317"/>
      <c r="J128" s="215"/>
      <c r="K128" s="215"/>
      <c r="L128" s="215"/>
      <c r="M128" s="254"/>
      <c r="N128" s="254"/>
      <c r="O128" s="254"/>
      <c r="P128" s="254"/>
      <c r="Q128" s="254"/>
      <c r="R128" s="254"/>
      <c r="S128" s="254"/>
      <c r="T128" s="321">
        <f>(1 + $I120) ^ (-1)</f>
        <v>0.95612768641914847</v>
      </c>
      <c r="U128" s="201"/>
      <c r="V128" s="201"/>
      <c r="W128" s="201"/>
      <c r="X128" s="201"/>
      <c r="Y128" s="201"/>
      <c r="Z128" s="201"/>
      <c r="AA128" s="201"/>
      <c r="AB128" s="135"/>
    </row>
    <row r="129" spans="1:28">
      <c r="A129" s="48"/>
      <c r="B129" s="48"/>
      <c r="C129" s="144"/>
      <c r="D129" s="64" t="s">
        <v>210</v>
      </c>
      <c r="E129" s="144"/>
      <c r="F129" s="144"/>
      <c r="G129" s="144" t="s">
        <v>236</v>
      </c>
      <c r="H129" s="64"/>
      <c r="I129" s="145"/>
      <c r="J129" s="65"/>
      <c r="K129" s="65"/>
      <c r="L129" s="65"/>
      <c r="M129" s="128"/>
      <c r="N129" s="128"/>
      <c r="O129" s="128"/>
      <c r="P129" s="128"/>
      <c r="Q129" s="128"/>
      <c r="R129" s="128"/>
      <c r="S129" s="128"/>
      <c r="T129" s="149"/>
      <c r="U129" s="322">
        <f t="shared" ref="U129:AA129" si="13">(1 + $I114) ^ (-1)</f>
        <v>0.96618357487922713</v>
      </c>
      <c r="V129" s="322">
        <f t="shared" si="13"/>
        <v>0.96618357487922713</v>
      </c>
      <c r="W129" s="322">
        <f t="shared" si="13"/>
        <v>0.96618357487922713</v>
      </c>
      <c r="X129" s="322">
        <f t="shared" si="13"/>
        <v>0.96618357487922713</v>
      </c>
      <c r="Y129" s="322">
        <f t="shared" si="13"/>
        <v>0.96618357487922713</v>
      </c>
      <c r="Z129" s="322">
        <f t="shared" si="13"/>
        <v>0.96618357487922713</v>
      </c>
      <c r="AA129" s="322">
        <f t="shared" si="13"/>
        <v>0.96618357487922713</v>
      </c>
      <c r="AB129" s="135"/>
    </row>
    <row r="130" spans="1:28">
      <c r="A130" s="48"/>
      <c r="B130" s="48"/>
      <c r="C130" s="144"/>
      <c r="D130" s="67" t="s">
        <v>237</v>
      </c>
      <c r="E130" s="147"/>
      <c r="F130" s="147"/>
      <c r="G130" s="147" t="s">
        <v>236</v>
      </c>
      <c r="H130" s="67"/>
      <c r="I130" s="148"/>
      <c r="J130" s="68"/>
      <c r="K130" s="68"/>
      <c r="L130" s="68"/>
      <c r="M130" s="129"/>
      <c r="N130" s="129"/>
      <c r="O130" s="129"/>
      <c r="P130" s="129"/>
      <c r="Q130" s="129"/>
      <c r="R130" s="129"/>
      <c r="S130" s="129"/>
      <c r="T130" s="323">
        <f>SUM(T128:T129)</f>
        <v>0.95612768641914847</v>
      </c>
      <c r="U130" s="323">
        <f t="shared" ref="U130:AA130" si="14">SUM(U128:U129)</f>
        <v>0.96618357487922713</v>
      </c>
      <c r="V130" s="323">
        <f t="shared" si="14"/>
        <v>0.96618357487922713</v>
      </c>
      <c r="W130" s="323">
        <f t="shared" si="14"/>
        <v>0.96618357487922713</v>
      </c>
      <c r="X130" s="323">
        <f t="shared" si="14"/>
        <v>0.96618357487922713</v>
      </c>
      <c r="Y130" s="323">
        <f t="shared" si="14"/>
        <v>0.96618357487922713</v>
      </c>
      <c r="Z130" s="323">
        <f t="shared" si="14"/>
        <v>0.96618357487922713</v>
      </c>
      <c r="AA130" s="323">
        <f t="shared" si="14"/>
        <v>0.96618357487922713</v>
      </c>
      <c r="AB130" s="135"/>
    </row>
    <row r="131" spans="1:28" customFormat="1">
      <c r="A131" s="48"/>
      <c r="B131" s="48"/>
      <c r="C131" s="48"/>
      <c r="D131" s="134"/>
      <c r="E131" s="134"/>
      <c r="F131" s="134"/>
      <c r="G131" s="134"/>
      <c r="H131" s="134"/>
      <c r="I131" s="142"/>
      <c r="J131" s="135"/>
      <c r="K131" s="135"/>
      <c r="L131" s="135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  <c r="Z131" s="136"/>
      <c r="AA131" s="136"/>
      <c r="AB131" s="135"/>
    </row>
    <row r="132" spans="1:28" customFormat="1" ht="18">
      <c r="A132" s="97" t="s">
        <v>13</v>
      </c>
      <c r="B132" s="97" t="s">
        <v>238</v>
      </c>
      <c r="C132" s="210"/>
      <c r="D132" s="210"/>
      <c r="E132" s="210"/>
      <c r="F132" s="210"/>
      <c r="G132" s="210"/>
      <c r="H132" s="210"/>
      <c r="I132" s="211"/>
      <c r="J132" s="211"/>
      <c r="K132" s="211"/>
      <c r="L132" s="211"/>
      <c r="M132" s="211"/>
      <c r="N132" s="211"/>
      <c r="O132" s="211"/>
      <c r="P132" s="211"/>
      <c r="Q132" s="211"/>
      <c r="R132" s="211"/>
      <c r="S132" s="211"/>
      <c r="T132" s="211"/>
      <c r="U132" s="211"/>
      <c r="V132" s="211"/>
      <c r="W132" s="211"/>
      <c r="X132" s="211"/>
      <c r="Y132" s="211"/>
      <c r="Z132" s="211"/>
      <c r="AA132" s="211"/>
      <c r="AB132" s="211"/>
    </row>
    <row r="133" spans="1:28" customFormat="1">
      <c r="A133" s="48"/>
      <c r="B133" s="48"/>
      <c r="C133" s="48"/>
      <c r="D133" s="134"/>
      <c r="E133" s="134"/>
      <c r="F133" s="134"/>
      <c r="G133" s="134"/>
      <c r="H133" s="134"/>
      <c r="I133" s="142"/>
      <c r="J133" s="135"/>
      <c r="K133" s="135"/>
      <c r="L133" s="135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  <c r="Z133" s="136"/>
      <c r="AA133" s="136"/>
      <c r="AB133" s="135"/>
    </row>
    <row r="134" spans="1:28" customFormat="1" ht="14.5">
      <c r="A134" s="48"/>
      <c r="B134" s="206" t="s">
        <v>239</v>
      </c>
      <c r="C134" s="48"/>
      <c r="D134" s="134"/>
      <c r="E134" s="134"/>
      <c r="F134" s="134"/>
      <c r="G134" s="134"/>
      <c r="H134" s="134"/>
      <c r="I134" s="142"/>
      <c r="J134" s="135"/>
      <c r="K134" s="135"/>
      <c r="L134" s="135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  <c r="Z134" s="136"/>
      <c r="AA134" s="136"/>
      <c r="AB134" s="135"/>
    </row>
    <row r="135" spans="1:28" customFormat="1">
      <c r="A135" s="48"/>
      <c r="B135" s="48"/>
      <c r="C135" s="48"/>
      <c r="D135" s="134"/>
      <c r="E135" s="134"/>
      <c r="F135" s="134"/>
      <c r="G135" s="134"/>
      <c r="H135" s="134"/>
      <c r="I135" s="142"/>
      <c r="J135" s="135"/>
      <c r="K135" s="135"/>
      <c r="L135" s="135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5"/>
    </row>
    <row r="136" spans="1:28">
      <c r="A136" s="48"/>
      <c r="B136" s="48"/>
      <c r="C136" s="150" t="s">
        <v>238</v>
      </c>
      <c r="D136" s="48"/>
      <c r="E136" s="144"/>
      <c r="F136" s="144"/>
      <c r="G136" s="144"/>
      <c r="H136" s="64"/>
      <c r="I136" s="145"/>
      <c r="J136" s="65"/>
      <c r="K136" s="65"/>
      <c r="L136" s="65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  <c r="AA136" s="136"/>
      <c r="AB136" s="135"/>
    </row>
    <row r="137" spans="1:28">
      <c r="A137" s="48"/>
      <c r="B137" s="48"/>
      <c r="C137" s="144"/>
      <c r="D137" s="214" t="s">
        <v>235</v>
      </c>
      <c r="E137" s="200"/>
      <c r="F137" s="200"/>
      <c r="G137" s="214" t="s">
        <v>67</v>
      </c>
      <c r="H137" s="214"/>
      <c r="I137" s="317"/>
      <c r="J137" s="215"/>
      <c r="K137" s="215"/>
      <c r="L137" s="215"/>
      <c r="M137" s="254"/>
      <c r="N137" s="254"/>
      <c r="O137" s="254"/>
      <c r="P137" s="254"/>
      <c r="Q137" s="254"/>
      <c r="R137" s="254"/>
      <c r="S137" s="254"/>
      <c r="T137" s="287">
        <f>(I90 + T102 * T130) / 2</f>
        <v>330.69481014447479</v>
      </c>
      <c r="U137" s="254"/>
      <c r="V137" s="254"/>
      <c r="W137" s="254"/>
      <c r="X137" s="254"/>
      <c r="Y137" s="254"/>
      <c r="Z137" s="254"/>
      <c r="AA137" s="254"/>
      <c r="AB137" s="135"/>
    </row>
    <row r="138" spans="1:28">
      <c r="A138" s="48"/>
      <c r="B138" s="48"/>
      <c r="C138" s="144"/>
      <c r="D138" s="64" t="s">
        <v>210</v>
      </c>
      <c r="E138" s="144"/>
      <c r="F138" s="144"/>
      <c r="G138" s="64" t="s">
        <v>67</v>
      </c>
      <c r="H138" s="64"/>
      <c r="I138" s="145"/>
      <c r="J138" s="65"/>
      <c r="K138" s="65"/>
      <c r="L138" s="65"/>
      <c r="M138" s="128"/>
      <c r="N138" s="128"/>
      <c r="O138" s="128"/>
      <c r="P138" s="128"/>
      <c r="Q138" s="128"/>
      <c r="R138" s="128"/>
      <c r="S138" s="128"/>
      <c r="T138" s="128"/>
      <c r="U138" s="304">
        <f t="shared" ref="U138:AA138" si="15">(U99 + U102 * U130) / 2</f>
        <v>290.53709901050775</v>
      </c>
      <c r="V138" s="304">
        <f t="shared" si="15"/>
        <v>219.79130332733087</v>
      </c>
      <c r="W138" s="304">
        <f t="shared" si="15"/>
        <v>157.14195015045593</v>
      </c>
      <c r="X138" s="304">
        <f t="shared" si="15"/>
        <v>102.1275514036973</v>
      </c>
      <c r="Y138" s="304">
        <f t="shared" si="15"/>
        <v>57.141386148773329</v>
      </c>
      <c r="Z138" s="304">
        <f t="shared" si="15"/>
        <v>24.491621767866047</v>
      </c>
      <c r="AA138" s="304">
        <f t="shared" si="15"/>
        <v>5.5994364872365514</v>
      </c>
      <c r="AB138" s="135"/>
    </row>
    <row r="139" spans="1:28">
      <c r="A139" s="48"/>
      <c r="B139" s="48"/>
      <c r="C139" s="144"/>
      <c r="D139" s="64" t="s">
        <v>240</v>
      </c>
      <c r="E139" s="144"/>
      <c r="F139" s="144"/>
      <c r="G139" s="64" t="s">
        <v>67</v>
      </c>
      <c r="H139" s="64"/>
      <c r="I139" s="145"/>
      <c r="J139" s="65"/>
      <c r="K139" s="65"/>
      <c r="L139" s="65"/>
      <c r="M139" s="128"/>
      <c r="N139" s="128"/>
      <c r="O139" s="128"/>
      <c r="P139" s="128"/>
      <c r="Q139" s="128"/>
      <c r="R139" s="128"/>
      <c r="S139" s="128"/>
      <c r="T139" s="310">
        <f>SUM(T137:T138)</f>
        <v>330.69481014447479</v>
      </c>
      <c r="U139" s="131">
        <f t="shared" ref="U139:AA139" si="16">SUM(U137:U138)</f>
        <v>290.53709901050775</v>
      </c>
      <c r="V139" s="131">
        <f t="shared" si="16"/>
        <v>219.79130332733087</v>
      </c>
      <c r="W139" s="131">
        <f t="shared" si="16"/>
        <v>157.14195015045593</v>
      </c>
      <c r="X139" s="131">
        <f t="shared" si="16"/>
        <v>102.1275514036973</v>
      </c>
      <c r="Y139" s="131">
        <f t="shared" si="16"/>
        <v>57.141386148773329</v>
      </c>
      <c r="Z139" s="131">
        <f t="shared" si="16"/>
        <v>24.491621767866047</v>
      </c>
      <c r="AA139" s="131">
        <f t="shared" si="16"/>
        <v>5.5994364872365514</v>
      </c>
      <c r="AB139" s="135"/>
    </row>
    <row r="140" spans="1:28" customFormat="1">
      <c r="A140" s="48"/>
      <c r="B140" s="48"/>
      <c r="C140" s="48"/>
      <c r="D140" s="64" t="str">
        <f>Indexation!C$93</f>
        <v>Real 2018-19 prices to nominal conversion factor (regulatory year)</v>
      </c>
      <c r="E140" s="140"/>
      <c r="F140" s="140"/>
      <c r="G140" s="64" t="str">
        <f>Indexation!G$93</f>
        <v>2018-19 = 1</v>
      </c>
      <c r="H140" s="64"/>
      <c r="I140" s="65"/>
      <c r="J140" s="65"/>
      <c r="K140" s="65"/>
      <c r="L140" s="65"/>
      <c r="M140" s="128"/>
      <c r="N140" s="128"/>
      <c r="O140" s="128"/>
      <c r="P140" s="128"/>
      <c r="Q140" s="128"/>
      <c r="R140" s="128"/>
      <c r="S140" s="128"/>
      <c r="T140" s="324">
        <f>Indexation!T$93</f>
        <v>1.2854532992282626</v>
      </c>
      <c r="U140" s="325">
        <f>Indexation!U$93</f>
        <v>1.3359507869324412</v>
      </c>
      <c r="V140" s="325">
        <f>Indexation!V$93</f>
        <v>1.3676578701425417</v>
      </c>
      <c r="W140" s="325">
        <f>Indexation!W$93</f>
        <v>1.3954354888856206</v>
      </c>
      <c r="X140" s="325">
        <f>Indexation!X$93</f>
        <v>1.4238410785362665</v>
      </c>
      <c r="Y140" s="325">
        <f>Indexation!Y$93</f>
        <v>1.4527033797722277</v>
      </c>
      <c r="Z140" s="325">
        <f>Indexation!Z$93</f>
        <v>1.4817988185207256</v>
      </c>
      <c r="AA140" s="325">
        <f>Indexation!AA$93</f>
        <v>1.5114357425740597</v>
      </c>
      <c r="AB140" s="24"/>
    </row>
    <row r="141" spans="1:28">
      <c r="A141" s="48"/>
      <c r="B141" s="48"/>
      <c r="C141" s="24"/>
      <c r="D141" s="67" t="str">
        <f>D139</f>
        <v>Regulatory Asset Value (for RTNOₜ)</v>
      </c>
      <c r="E141" s="67" t="s">
        <v>241</v>
      </c>
      <c r="F141" s="67" t="s">
        <v>242</v>
      </c>
      <c r="G141" s="67" t="s">
        <v>29</v>
      </c>
      <c r="H141" s="67"/>
      <c r="I141" s="68"/>
      <c r="J141" s="68"/>
      <c r="K141" s="68"/>
      <c r="L141" s="68"/>
      <c r="M141" s="129"/>
      <c r="N141" s="129"/>
      <c r="O141" s="129"/>
      <c r="P141" s="129"/>
      <c r="Q141" s="129"/>
      <c r="R141" s="129"/>
      <c r="S141" s="129"/>
      <c r="T141" s="326">
        <f t="shared" ref="T141:AA141" si="17">T139 * T140</f>
        <v>425.09273473787903</v>
      </c>
      <c r="U141" s="216">
        <f t="shared" si="17"/>
        <v>388.14326605615639</v>
      </c>
      <c r="V141" s="216">
        <f t="shared" si="17"/>
        <v>300.59930578451065</v>
      </c>
      <c r="W141" s="216">
        <f t="shared" si="17"/>
        <v>219.28145403264131</v>
      </c>
      <c r="X141" s="216">
        <f t="shared" si="17"/>
        <v>145.41340293890835</v>
      </c>
      <c r="Y141" s="216">
        <f t="shared" si="17"/>
        <v>83.009484783192974</v>
      </c>
      <c r="Z141" s="216">
        <f t="shared" si="17"/>
        <v>36.291656199280389</v>
      </c>
      <c r="AA141" s="216">
        <f t="shared" si="17"/>
        <v>8.4631884450826611</v>
      </c>
      <c r="AB141" s="24"/>
    </row>
    <row r="142" spans="1:28">
      <c r="A142" s="48"/>
      <c r="B142" s="48"/>
      <c r="C142" s="48"/>
      <c r="D142" s="48"/>
      <c r="E142" s="48"/>
      <c r="F142" s="48"/>
      <c r="G142" s="48"/>
      <c r="H142" s="48"/>
      <c r="I142" s="24"/>
      <c r="J142" s="24"/>
      <c r="K142" s="24"/>
      <c r="L142" s="24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24"/>
    </row>
    <row r="143" spans="1:28" s="17" customFormat="1" ht="18">
      <c r="A143" s="97" t="s">
        <v>13</v>
      </c>
      <c r="B143" s="97" t="s">
        <v>5</v>
      </c>
      <c r="C143" s="210"/>
      <c r="D143" s="210"/>
      <c r="E143" s="210"/>
      <c r="F143" s="210"/>
      <c r="G143" s="210"/>
      <c r="H143" s="210"/>
      <c r="I143" s="211"/>
      <c r="J143" s="211"/>
      <c r="K143" s="211"/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</row>
    <row r="144" spans="1:28">
      <c r="A144" s="48"/>
      <c r="B144" s="48"/>
      <c r="C144" s="48"/>
      <c r="D144" s="48"/>
      <c r="E144" s="48"/>
      <c r="F144" s="48"/>
      <c r="G144" s="48"/>
      <c r="H144" s="48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151"/>
      <c r="U144" s="24"/>
      <c r="V144" s="24"/>
      <c r="W144" s="24"/>
      <c r="X144" s="24"/>
      <c r="Y144" s="24"/>
      <c r="Z144" s="24"/>
      <c r="AA144" s="24"/>
      <c r="AB144" s="24"/>
    </row>
    <row r="145" spans="1:28">
      <c r="A145" s="48"/>
      <c r="B145" s="48"/>
      <c r="C145" s="48" t="s">
        <v>150</v>
      </c>
      <c r="D145" s="48"/>
      <c r="E145" s="48"/>
      <c r="F145" s="48"/>
      <c r="G145" s="48" t="s">
        <v>151</v>
      </c>
      <c r="H145" s="48"/>
      <c r="I145" s="24"/>
      <c r="J145" s="24"/>
      <c r="K145" s="327">
        <f>SUM(K4:K144)</f>
        <v>0</v>
      </c>
      <c r="L145" s="24"/>
      <c r="M145" s="24"/>
      <c r="N145" s="24"/>
      <c r="O145" s="24"/>
      <c r="P145" s="24"/>
      <c r="Q145" s="24"/>
      <c r="R145" s="24"/>
      <c r="S145" s="24"/>
      <c r="T145" s="72"/>
      <c r="U145" s="72"/>
      <c r="V145" s="72"/>
      <c r="W145" s="72"/>
      <c r="X145" s="72"/>
      <c r="Y145" s="72"/>
      <c r="Z145" s="72"/>
      <c r="AA145" s="72"/>
      <c r="AB145" s="24"/>
    </row>
    <row r="146" spans="1:28">
      <c r="A146" s="48"/>
      <c r="B146" s="48"/>
      <c r="C146" s="48"/>
      <c r="D146" s="48"/>
      <c r="E146" s="48"/>
      <c r="F146" s="48"/>
      <c r="G146" s="48"/>
      <c r="H146" s="48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72"/>
      <c r="U146" s="72"/>
      <c r="V146" s="72"/>
      <c r="W146" s="72"/>
      <c r="X146" s="72"/>
      <c r="Y146" s="72"/>
      <c r="Z146" s="72"/>
      <c r="AA146" s="72"/>
      <c r="AB146" s="24"/>
    </row>
    <row r="147" spans="1:28" s="17" customFormat="1" ht="18">
      <c r="A147" s="97" t="s">
        <v>13</v>
      </c>
      <c r="B147" s="97" t="s">
        <v>152</v>
      </c>
      <c r="C147" s="210"/>
      <c r="D147" s="210"/>
      <c r="E147" s="210"/>
      <c r="F147" s="210"/>
      <c r="G147" s="210"/>
      <c r="H147" s="210"/>
      <c r="I147" s="211"/>
      <c r="J147" s="211"/>
      <c r="K147" s="211"/>
      <c r="L147" s="211"/>
      <c r="M147" s="211"/>
      <c r="N147" s="211"/>
      <c r="O147" s="211"/>
      <c r="P147" s="211"/>
      <c r="Q147" s="211"/>
      <c r="R147" s="211"/>
      <c r="S147" s="211"/>
      <c r="T147" s="211"/>
      <c r="U147" s="211"/>
      <c r="V147" s="211"/>
      <c r="W147" s="211"/>
      <c r="X147" s="211"/>
      <c r="Y147" s="211"/>
      <c r="Z147" s="211"/>
      <c r="AA147" s="211"/>
      <c r="AB147" s="211"/>
    </row>
  </sheetData>
  <pageMargins left="0.7" right="0.7" top="0.75" bottom="0.75" header="0.3" footer="0.3"/>
  <pageSetup paperSize="9" orientation="portrait" horizontalDpi="4294967292" r:id="rId1"/>
  <headerFooter>
    <oddHeader>&amp;L&amp;"Poppins"&amp;12&amp;KFF00FF Public&amp;1#_x000D_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" id="{F71AD643-ECF6-48CB-A0EB-2D45BC72923C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0" id="{19AECC48-C77F-436C-9B4D-21E18B19E352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A8:XFD8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B8F97-F560-46B0-8811-E354F5FBB34C}">
  <sheetPr codeName="Sheet20">
    <tabColor rgb="FFFFA78B"/>
  </sheetPr>
  <dimension ref="A1:AP138"/>
  <sheetViews>
    <sheetView showGridLines="0" zoomScale="81" zoomScaleNormal="81" workbookViewId="0">
      <pane xSplit="12" ySplit="10" topLeftCell="U34" activePane="bottomRight" state="frozen"/>
      <selection pane="topRight"/>
      <selection pane="bottomLeft"/>
      <selection pane="bottomRight" activeCell="W151" sqref="W151"/>
    </sheetView>
  </sheetViews>
  <sheetFormatPr defaultColWidth="0" defaultRowHeight="14" outlineLevelCol="1"/>
  <cols>
    <col min="1" max="3" width="2.5" style="21" customWidth="1"/>
    <col min="4" max="4" width="55.5" style="21" customWidth="1"/>
    <col min="5" max="5" width="20.75" style="21" customWidth="1"/>
    <col min="6" max="7" width="20.5" style="21" customWidth="1"/>
    <col min="8" max="8" width="2.5" style="21" customWidth="1"/>
    <col min="9" max="9" width="12.5" style="3" customWidth="1"/>
    <col min="10" max="10" width="2.5" style="3" customWidth="1"/>
    <col min="11" max="11" width="12.5" style="3" customWidth="1"/>
    <col min="12" max="12" width="2.5" style="3" customWidth="1"/>
    <col min="13" max="19" width="12.5" style="3" customWidth="1" outlineLevel="1"/>
    <col min="20" max="27" width="12.5" style="3" customWidth="1"/>
    <col min="28" max="28" width="2.5" style="3" customWidth="1"/>
    <col min="29" max="42" width="0" style="3" hidden="1" customWidth="1"/>
    <col min="43" max="16384" width="9.5" style="3" hidden="1"/>
  </cols>
  <sheetData>
    <row r="1" spans="1:28" s="11" customFormat="1" ht="23">
      <c r="A1" s="109"/>
      <c r="B1" s="109" t="str" cm="1">
        <f t="array" aca="1" ref="B1" ca="1">MID(CELL("filename", A1), FIND("]", CELL("filename", A1)) + 1, 255)</f>
        <v>Tax</v>
      </c>
      <c r="C1" s="109"/>
      <c r="D1" s="109"/>
      <c r="E1" s="109"/>
      <c r="F1" s="109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13" customFormat="1" ht="14.5" customHeight="1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s="13" customFormat="1" ht="14.5" customHeight="1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s="13" customFormat="1" ht="14.5" customHeight="1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26"/>
      <c r="J8" s="26"/>
      <c r="K8" s="26"/>
      <c r="L8" s="26"/>
      <c r="M8" s="26"/>
      <c r="N8" s="127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1" customFormat="1" ht="23">
      <c r="A10" s="109"/>
      <c r="B10" s="109" t="str">
        <f>Project_Name</f>
        <v>NESO Financial Model</v>
      </c>
      <c r="C10" s="109"/>
      <c r="D10" s="109"/>
      <c r="E10" s="109"/>
      <c r="F10" s="109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customFormat="1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7" customFormat="1" ht="18">
      <c r="A12" s="97" t="s">
        <v>13</v>
      </c>
      <c r="B12" s="328" t="s">
        <v>243</v>
      </c>
      <c r="C12" s="328"/>
      <c r="D12" s="328"/>
      <c r="E12" s="328"/>
      <c r="F12" s="328"/>
      <c r="G12" s="328"/>
      <c r="H12" s="328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</row>
    <row r="13" spans="1:28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ht="14.5">
      <c r="A14" s="48"/>
      <c r="B14" s="206" t="s">
        <v>244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>
      <c r="A15" s="48"/>
      <c r="B15" s="48"/>
      <c r="C15" s="48"/>
      <c r="D15" s="48"/>
      <c r="E15" s="48"/>
      <c r="F15" s="48"/>
      <c r="G15" s="48"/>
      <c r="H15" s="48"/>
      <c r="I15" s="10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>
      <c r="A16" s="48"/>
      <c r="B16" s="48"/>
      <c r="C16" s="51" t="str">
        <f>Inputs!C126</f>
        <v>PCFM tax book value brought forward (01 Apr 2024)</v>
      </c>
      <c r="D16" s="48"/>
      <c r="E16" s="48"/>
      <c r="F16" s="48"/>
      <c r="G16" s="48"/>
      <c r="H16" s="48"/>
      <c r="I16" s="113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>
      <c r="A17" s="48"/>
      <c r="B17" s="48"/>
      <c r="C17" s="48"/>
      <c r="D17" s="330" t="str">
        <f>Inputs!D127</f>
        <v>General pool</v>
      </c>
      <c r="E17" s="331"/>
      <c r="F17" s="330"/>
      <c r="G17" s="330" t="str">
        <f>Inputs!G127</f>
        <v>£m nominal</v>
      </c>
      <c r="H17" s="330"/>
      <c r="I17" s="332">
        <f>Inputs!I127</f>
        <v>89.997098135837248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>
      <c r="A18" s="48"/>
      <c r="B18" s="48"/>
      <c r="C18" s="48"/>
      <c r="D18" s="64" t="str">
        <f>Inputs!D128</f>
        <v>Special rates pool</v>
      </c>
      <c r="E18" s="71"/>
      <c r="F18" s="64"/>
      <c r="G18" s="64" t="str">
        <f>Inputs!G128</f>
        <v>£m nominal</v>
      </c>
      <c r="H18" s="64"/>
      <c r="I18" s="333">
        <f>Inputs!I128</f>
        <v>20.673146887512001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>
      <c r="A19" s="48"/>
      <c r="B19" s="48"/>
      <c r="C19" s="48"/>
      <c r="D19" s="64" t="str">
        <f>Inputs!D129</f>
        <v>Deferred revenue pool</v>
      </c>
      <c r="E19" s="71"/>
      <c r="F19" s="64"/>
      <c r="G19" s="64" t="str">
        <f>Inputs!G129</f>
        <v>£m nominal</v>
      </c>
      <c r="H19" s="64"/>
      <c r="I19" s="333">
        <f>Inputs!I129</f>
        <v>6.5109681026000015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>
      <c r="A20" s="48"/>
      <c r="B20" s="48"/>
      <c r="C20" s="48"/>
      <c r="D20" s="67" t="str">
        <f>Inputs!D130</f>
        <v>Intangible assets pool</v>
      </c>
      <c r="E20" s="106"/>
      <c r="F20" s="67"/>
      <c r="G20" s="67" t="str">
        <f>Inputs!G130</f>
        <v>£m nominal</v>
      </c>
      <c r="H20" s="67"/>
      <c r="I20" s="334">
        <f>Inputs!I130</f>
        <v>357.43586916718471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>
      <c r="A21" s="48"/>
      <c r="B21" s="48"/>
      <c r="C21" s="48"/>
      <c r="D21" s="48"/>
      <c r="E21" s="48"/>
      <c r="F21" s="48"/>
      <c r="G21" s="48"/>
      <c r="H21" s="48"/>
      <c r="I21" s="11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>
      <c r="A22" s="48"/>
      <c r="B22" s="48"/>
      <c r="C22" s="51" t="str">
        <f>Inputs!C132</f>
        <v>PCFM tax book value revisions (01 Apr 2024)</v>
      </c>
      <c r="D22" s="48"/>
      <c r="E22" s="48"/>
      <c r="F22" s="48"/>
      <c r="G22" s="48"/>
      <c r="H22" s="48"/>
      <c r="I22" s="115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>
      <c r="A23" s="48"/>
      <c r="B23" s="48"/>
      <c r="C23" s="48"/>
      <c r="D23" s="330" t="str">
        <f>Inputs!D133</f>
        <v>General pool</v>
      </c>
      <c r="E23" s="331"/>
      <c r="F23" s="330"/>
      <c r="G23" s="330" t="str">
        <f>Inputs!G133</f>
        <v>£m nominal</v>
      </c>
      <c r="H23" s="330"/>
      <c r="I23" s="332">
        <f>Inputs!I133</f>
        <v>-12.517570229586767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>
      <c r="A24" s="48"/>
      <c r="B24" s="48"/>
      <c r="C24" s="48"/>
      <c r="D24" s="64" t="str">
        <f>Inputs!D134</f>
        <v>Special rates pool</v>
      </c>
      <c r="E24" s="71"/>
      <c r="F24" s="64"/>
      <c r="G24" s="64" t="str">
        <f>Inputs!G134</f>
        <v>£m nominal</v>
      </c>
      <c r="H24" s="64"/>
      <c r="I24" s="333">
        <f>Inputs!I134</f>
        <v>0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>
      <c r="A25" s="48"/>
      <c r="B25" s="48"/>
      <c r="C25" s="48"/>
      <c r="D25" s="64" t="str">
        <f>Inputs!D135</f>
        <v>Deferred revenue pool</v>
      </c>
      <c r="E25" s="71"/>
      <c r="F25" s="64"/>
      <c r="G25" s="64" t="str">
        <f>Inputs!G135</f>
        <v>£m nominal</v>
      </c>
      <c r="H25" s="64"/>
      <c r="I25" s="333">
        <f>Inputs!I135</f>
        <v>0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>
      <c r="A26" s="48"/>
      <c r="B26" s="48"/>
      <c r="C26" s="48"/>
      <c r="D26" s="67" t="str">
        <f>Inputs!D136</f>
        <v>Intangible assets pool</v>
      </c>
      <c r="E26" s="106"/>
      <c r="F26" s="67"/>
      <c r="G26" s="67" t="str">
        <f>Inputs!G136</f>
        <v>£m nominal</v>
      </c>
      <c r="H26" s="67"/>
      <c r="I26" s="334">
        <f>Inputs!I136</f>
        <v>0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>
      <c r="A27" s="48"/>
      <c r="B27" s="48"/>
      <c r="C27" s="48"/>
      <c r="D27" s="64"/>
      <c r="E27" s="71"/>
      <c r="F27" s="64"/>
      <c r="G27" s="64"/>
      <c r="H27" s="64"/>
      <c r="I27" s="116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>
      <c r="A28" s="48"/>
      <c r="B28" s="48"/>
      <c r="C28" s="64" t="str">
        <f>Inputs!C138</f>
        <v>Actual totex (2024-25 before Day 1)</v>
      </c>
      <c r="D28" s="64"/>
      <c r="E28" s="71"/>
      <c r="F28" s="64"/>
      <c r="G28" s="64" t="str">
        <f>Inputs!G138</f>
        <v>£m nominal</v>
      </c>
      <c r="H28" s="64"/>
      <c r="I28" s="333">
        <f>Inputs!I138</f>
        <v>214.35235840570846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>
      <c r="A29" s="48"/>
      <c r="B29" s="48"/>
      <c r="C29" s="48"/>
      <c r="D29" s="48"/>
      <c r="E29" s="48"/>
      <c r="F29" s="48"/>
      <c r="G29" s="48"/>
      <c r="H29" s="48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>
      <c r="A30" s="48"/>
      <c r="B30" s="48"/>
      <c r="C30" s="51" t="str">
        <f>Inputs!C140</f>
        <v>Capital allowance pool allocations (2024-25 before Day 1)</v>
      </c>
      <c r="D30" s="48"/>
      <c r="E30" s="48"/>
      <c r="F30" s="48"/>
      <c r="G30" s="48"/>
      <c r="H30" s="48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spans="1:28">
      <c r="A31" s="48"/>
      <c r="B31" s="48"/>
      <c r="C31" s="48"/>
      <c r="D31" s="330" t="str">
        <f>Inputs!D141</f>
        <v>General pool</v>
      </c>
      <c r="E31" s="331"/>
      <c r="F31" s="330"/>
      <c r="G31" s="330" t="str">
        <f>Inputs!G141</f>
        <v>%</v>
      </c>
      <c r="H31" s="330"/>
      <c r="I31" s="335">
        <f>Inputs!I141</f>
        <v>5.2988822488409325E-2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</row>
    <row r="32" spans="1:28">
      <c r="A32" s="48"/>
      <c r="B32" s="48"/>
      <c r="C32" s="48"/>
      <c r="D32" s="64" t="str">
        <f>Inputs!D142</f>
        <v>Special rates pool</v>
      </c>
      <c r="E32" s="71"/>
      <c r="F32" s="64"/>
      <c r="G32" s="64" t="str">
        <f>Inputs!G142</f>
        <v>%</v>
      </c>
      <c r="H32" s="64"/>
      <c r="I32" s="336">
        <f>Inputs!I142</f>
        <v>0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</row>
    <row r="33" spans="1:28">
      <c r="A33" s="48"/>
      <c r="B33" s="48"/>
      <c r="C33" s="48"/>
      <c r="D33" s="64" t="str">
        <f>Inputs!D143</f>
        <v>Deferred revenue pool</v>
      </c>
      <c r="E33" s="71"/>
      <c r="F33" s="64"/>
      <c r="G33" s="64" t="str">
        <f>Inputs!G143</f>
        <v>%</v>
      </c>
      <c r="H33" s="64"/>
      <c r="I33" s="336">
        <f>Inputs!I143</f>
        <v>0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>
      <c r="A34" s="48"/>
      <c r="B34" s="48"/>
      <c r="C34" s="48"/>
      <c r="D34" s="67" t="str">
        <f>Inputs!D144</f>
        <v>Intangible assets pool</v>
      </c>
      <c r="E34" s="106"/>
      <c r="F34" s="67"/>
      <c r="G34" s="67" t="str">
        <f>Inputs!G144</f>
        <v>%</v>
      </c>
      <c r="H34" s="67"/>
      <c r="I34" s="337">
        <f>Inputs!I144</f>
        <v>0.34202776975332594</v>
      </c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spans="1:28">
      <c r="A35" s="48"/>
      <c r="B35" s="48"/>
      <c r="C35" s="48"/>
      <c r="D35" s="48"/>
      <c r="E35" s="48"/>
      <c r="F35" s="48"/>
      <c r="G35" s="48"/>
      <c r="H35" s="48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>
      <c r="A36" s="48"/>
      <c r="B36" s="48"/>
      <c r="C36" s="51" t="s">
        <v>245</v>
      </c>
      <c r="D36" s="48"/>
      <c r="E36" s="48"/>
      <c r="F36" s="48"/>
      <c r="G36" s="48"/>
      <c r="H36" s="48"/>
      <c r="I36" s="25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1:28">
      <c r="A37" s="48"/>
      <c r="B37" s="48"/>
      <c r="C37" s="48"/>
      <c r="D37" s="330" t="str">
        <f>Inputs!D147</f>
        <v>General pool</v>
      </c>
      <c r="E37" s="331"/>
      <c r="F37" s="330"/>
      <c r="G37" s="330" t="s">
        <v>29</v>
      </c>
      <c r="H37" s="330"/>
      <c r="I37" s="338">
        <f t="shared" ref="I37:I39" si="0">I$28 * I31</f>
        <v>11.35827906953198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</row>
    <row r="38" spans="1:28">
      <c r="A38" s="48"/>
      <c r="B38" s="48"/>
      <c r="C38" s="48"/>
      <c r="D38" s="64" t="str">
        <f>Inputs!D148</f>
        <v>Special rates pool</v>
      </c>
      <c r="E38" s="71"/>
      <c r="F38" s="64"/>
      <c r="G38" s="64" t="s">
        <v>29</v>
      </c>
      <c r="H38" s="64"/>
      <c r="I38" s="339">
        <f t="shared" si="0"/>
        <v>0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1:28">
      <c r="A39" s="48"/>
      <c r="B39" s="48"/>
      <c r="C39" s="48"/>
      <c r="D39" s="64" t="str">
        <f>Inputs!D149</f>
        <v>Deferred revenue pool</v>
      </c>
      <c r="E39" s="71"/>
      <c r="F39" s="64"/>
      <c r="G39" s="64" t="s">
        <v>29</v>
      </c>
      <c r="H39" s="64"/>
      <c r="I39" s="339">
        <f t="shared" si="0"/>
        <v>0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1:28">
      <c r="A40" s="48"/>
      <c r="B40" s="48"/>
      <c r="C40" s="48"/>
      <c r="D40" s="67" t="str">
        <f>Inputs!D150</f>
        <v>Intangible assets pool</v>
      </c>
      <c r="E40" s="106"/>
      <c r="F40" s="67"/>
      <c r="G40" s="67" t="s">
        <v>29</v>
      </c>
      <c r="H40" s="67"/>
      <c r="I40" s="340">
        <f>I$28 * I34</f>
        <v>73.314459086870059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spans="1:28">
      <c r="A41" s="48"/>
      <c r="B41" s="48"/>
      <c r="C41" s="48"/>
      <c r="D41" s="48"/>
      <c r="E41" s="48"/>
      <c r="F41" s="48"/>
      <c r="G41" s="48"/>
      <c r="H41" s="48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spans="1:28">
      <c r="A42" s="48"/>
      <c r="B42" s="48"/>
      <c r="C42" s="51" t="str">
        <f>Inputs!C146</f>
        <v>PCFM full-year capital allowance rate (2024-25)</v>
      </c>
      <c r="D42" s="48"/>
      <c r="E42" s="48"/>
      <c r="F42" s="48"/>
      <c r="G42" s="48"/>
      <c r="H42" s="48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spans="1:28">
      <c r="A43" s="48"/>
      <c r="B43" s="48"/>
      <c r="C43" s="48"/>
      <c r="D43" s="330" t="str">
        <f>Inputs!D147</f>
        <v>General pool</v>
      </c>
      <c r="E43" s="331"/>
      <c r="F43" s="330"/>
      <c r="G43" s="330" t="str">
        <f>Inputs!G147</f>
        <v>%</v>
      </c>
      <c r="H43" s="330"/>
      <c r="I43" s="341">
        <f>Inputs!I147</f>
        <v>0.18</v>
      </c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">
      <c r="A44" s="48"/>
      <c r="B44" s="48"/>
      <c r="C44" s="48"/>
      <c r="D44" s="64" t="str">
        <f>Inputs!D148</f>
        <v>Special rates pool</v>
      </c>
      <c r="E44" s="71"/>
      <c r="F44" s="64"/>
      <c r="G44" s="64" t="str">
        <f>Inputs!G148</f>
        <v>%</v>
      </c>
      <c r="H44" s="64"/>
      <c r="I44" s="342">
        <f>Inputs!I148</f>
        <v>0.06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</row>
    <row r="45" spans="1:28">
      <c r="A45" s="48"/>
      <c r="B45" s="48"/>
      <c r="C45" s="48"/>
      <c r="D45" s="64" t="str">
        <f>Inputs!D149</f>
        <v>Deferred revenue pool</v>
      </c>
      <c r="E45" s="71"/>
      <c r="F45" s="64"/>
      <c r="G45" s="64" t="str">
        <f>Inputs!G149</f>
        <v>%</v>
      </c>
      <c r="H45" s="64"/>
      <c r="I45" s="342">
        <f>Inputs!I149</f>
        <v>2.2200000000000001E-2</v>
      </c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1:28">
      <c r="A46" s="48"/>
      <c r="B46" s="48"/>
      <c r="C46" s="48"/>
      <c r="D46" s="67" t="str">
        <f>Inputs!D150</f>
        <v>Intangible assets pool</v>
      </c>
      <c r="E46" s="106"/>
      <c r="F46" s="67"/>
      <c r="G46" s="67" t="str">
        <f>Inputs!G150</f>
        <v>%</v>
      </c>
      <c r="H46" s="67"/>
      <c r="I46" s="343">
        <f>Inputs!I150</f>
        <v>0.14000000000000001</v>
      </c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</row>
    <row r="47" spans="1:28">
      <c r="A47" s="48"/>
      <c r="B47" s="48"/>
      <c r="C47" s="48"/>
      <c r="D47" s="48"/>
      <c r="E47" s="48"/>
      <c r="F47" s="48"/>
      <c r="G47" s="48"/>
      <c r="H47" s="48"/>
      <c r="I47" s="126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</row>
    <row r="48" spans="1:28">
      <c r="A48" s="48"/>
      <c r="B48" s="48"/>
      <c r="C48" s="48" t="str">
        <f>Inputs!C$18</f>
        <v>'Day 1' date</v>
      </c>
      <c r="D48" s="48"/>
      <c r="E48" s="48"/>
      <c r="F48" s="48"/>
      <c r="G48" s="48" t="str">
        <f>Inputs!G$18</f>
        <v>Date</v>
      </c>
      <c r="H48" s="48"/>
      <c r="I48" s="344">
        <f>Inputs!I$18</f>
        <v>45566</v>
      </c>
      <c r="J48" s="25"/>
      <c r="K48" s="25"/>
      <c r="L48" s="25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24"/>
    </row>
    <row r="49" spans="1:28">
      <c r="A49" s="48"/>
      <c r="B49" s="48"/>
      <c r="C49" s="48" t="s">
        <v>246</v>
      </c>
      <c r="D49" s="48"/>
      <c r="E49" s="48"/>
      <c r="F49" s="48"/>
      <c r="G49" s="48" t="s">
        <v>89</v>
      </c>
      <c r="H49" s="48"/>
      <c r="I49" s="345">
        <f>DATEDIF(T5, I48, "m") / 12</f>
        <v>0.5</v>
      </c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</row>
    <row r="50" spans="1:28">
      <c r="A50" s="48"/>
      <c r="B50" s="48"/>
      <c r="C50" s="48"/>
      <c r="D50" s="48"/>
      <c r="E50" s="48"/>
      <c r="F50" s="48"/>
      <c r="G50" s="48"/>
      <c r="H50" s="48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</row>
    <row r="51" spans="1:28">
      <c r="A51" s="48"/>
      <c r="B51" s="48"/>
      <c r="C51" s="51" t="s">
        <v>247</v>
      </c>
      <c r="D51" s="48"/>
      <c r="E51" s="48"/>
      <c r="F51" s="48"/>
      <c r="G51" s="48"/>
      <c r="H51" s="48"/>
      <c r="I51" s="25"/>
      <c r="J51" s="25"/>
      <c r="K51" s="24"/>
      <c r="L51" s="25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24"/>
    </row>
    <row r="52" spans="1:28">
      <c r="A52" s="48"/>
      <c r="B52" s="48"/>
      <c r="C52" s="48"/>
      <c r="D52" s="330" t="s">
        <v>131</v>
      </c>
      <c r="E52" s="331"/>
      <c r="F52" s="330"/>
      <c r="G52" s="330" t="s">
        <v>29</v>
      </c>
      <c r="H52" s="330"/>
      <c r="I52" s="338">
        <f>(I17 + I23 + I37) * (1 - (I43 * I$49))</f>
        <v>80.842404347962031</v>
      </c>
      <c r="J52" s="25"/>
      <c r="K52" s="24"/>
      <c r="L52" s="25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24"/>
    </row>
    <row r="53" spans="1:28">
      <c r="A53" s="48"/>
      <c r="B53" s="48"/>
      <c r="C53" s="48"/>
      <c r="D53" s="64" t="s">
        <v>132</v>
      </c>
      <c r="E53" s="71"/>
      <c r="F53" s="64"/>
      <c r="G53" s="64" t="s">
        <v>29</v>
      </c>
      <c r="H53" s="64"/>
      <c r="I53" s="339">
        <f t="shared" ref="I53:I55" si="1">(I18 + I24 + I38) * (1 - (I44 * I$49))</f>
        <v>20.052952480886642</v>
      </c>
      <c r="J53" s="25"/>
      <c r="K53" s="24"/>
      <c r="L53" s="25"/>
      <c r="M53" s="117"/>
      <c r="N53" s="117"/>
      <c r="O53" s="24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24"/>
    </row>
    <row r="54" spans="1:28">
      <c r="A54" s="48"/>
      <c r="B54" s="48"/>
      <c r="C54" s="48"/>
      <c r="D54" s="64" t="s">
        <v>133</v>
      </c>
      <c r="E54" s="71"/>
      <c r="F54" s="64"/>
      <c r="G54" s="64" t="s">
        <v>29</v>
      </c>
      <c r="H54" s="64"/>
      <c r="I54" s="339">
        <f t="shared" si="1"/>
        <v>6.4386963566611417</v>
      </c>
      <c r="J54" s="25"/>
      <c r="K54" s="24"/>
      <c r="L54" s="25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24"/>
    </row>
    <row r="55" spans="1:28">
      <c r="A55" s="48"/>
      <c r="B55" s="48"/>
      <c r="C55" s="48"/>
      <c r="D55" s="67" t="s">
        <v>134</v>
      </c>
      <c r="E55" s="106"/>
      <c r="F55" s="67"/>
      <c r="G55" s="67" t="s">
        <v>29</v>
      </c>
      <c r="H55" s="67"/>
      <c r="I55" s="340">
        <f t="shared" si="1"/>
        <v>400.59780527627089</v>
      </c>
      <c r="J55" s="25"/>
      <c r="K55" s="24"/>
      <c r="L55" s="25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24"/>
    </row>
    <row r="56" spans="1:28">
      <c r="A56" s="48"/>
      <c r="B56" s="48"/>
      <c r="C56" s="48"/>
      <c r="D56" s="48"/>
      <c r="E56" s="48"/>
      <c r="F56" s="48"/>
      <c r="G56" s="48"/>
      <c r="H56" s="48"/>
      <c r="I56" s="25"/>
      <c r="J56" s="25"/>
      <c r="K56" s="25"/>
      <c r="L56" s="25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24"/>
    </row>
    <row r="57" spans="1:28" s="17" customFormat="1" ht="18">
      <c r="A57" s="97" t="s">
        <v>13</v>
      </c>
      <c r="B57" s="328" t="s">
        <v>248</v>
      </c>
      <c r="C57" s="328"/>
      <c r="D57" s="328"/>
      <c r="E57" s="328"/>
      <c r="F57" s="328"/>
      <c r="G57" s="328"/>
      <c r="H57" s="328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329"/>
      <c r="Z57" s="329"/>
      <c r="AA57" s="329"/>
      <c r="AB57" s="329"/>
    </row>
    <row r="58" spans="1:28">
      <c r="A58" s="48"/>
      <c r="B58" s="48"/>
      <c r="C58" s="48"/>
      <c r="D58" s="48"/>
      <c r="E58" s="48"/>
      <c r="F58" s="48"/>
      <c r="G58" s="48"/>
      <c r="H58" s="48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ht="14.5">
      <c r="A59" s="48"/>
      <c r="B59" s="206" t="s">
        <v>249</v>
      </c>
      <c r="C59" s="48"/>
      <c r="D59" s="48"/>
      <c r="E59" s="48"/>
      <c r="F59" s="48"/>
      <c r="G59" s="48"/>
      <c r="H59" s="48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>
      <c r="A60" s="48"/>
      <c r="B60" s="48"/>
      <c r="C60" s="48"/>
      <c r="D60" s="48"/>
      <c r="E60" s="48"/>
      <c r="F60" s="48"/>
      <c r="G60" s="48"/>
      <c r="H60" s="48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spans="1:28">
      <c r="A61" s="48"/>
      <c r="B61" s="48"/>
      <c r="C61" s="48" t="str">
        <f>Inputs!C$18</f>
        <v>'Day 1' date</v>
      </c>
      <c r="D61" s="48"/>
      <c r="E61" s="48"/>
      <c r="F61" s="48"/>
      <c r="G61" s="48" t="str">
        <f>Inputs!G$18</f>
        <v>Date</v>
      </c>
      <c r="H61" s="48"/>
      <c r="I61" s="344">
        <f>Inputs!I$18</f>
        <v>45566</v>
      </c>
      <c r="J61" s="25"/>
      <c r="K61" s="25"/>
      <c r="L61" s="25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24"/>
    </row>
    <row r="62" spans="1:28">
      <c r="A62" s="48"/>
      <c r="B62" s="48"/>
      <c r="C62" s="48" t="s">
        <v>250</v>
      </c>
      <c r="D62" s="48"/>
      <c r="E62" s="48"/>
      <c r="F62" s="48"/>
      <c r="G62" s="48" t="s">
        <v>89</v>
      </c>
      <c r="H62" s="48"/>
      <c r="I62" s="25"/>
      <c r="J62" s="25"/>
      <c r="K62" s="25"/>
      <c r="L62" s="25"/>
      <c r="M62" s="75"/>
      <c r="N62" s="75"/>
      <c r="O62" s="75"/>
      <c r="P62" s="75"/>
      <c r="Q62" s="75"/>
      <c r="R62" s="75"/>
      <c r="S62" s="75"/>
      <c r="T62" s="345">
        <f t="shared" ref="T62:AA62" si="2">IF($I61 &lt; T$5, 1, (T$6 - $I61 + 1) / (T$6 - T$5))</f>
        <v>0.5</v>
      </c>
      <c r="U62" s="345">
        <f t="shared" si="2"/>
        <v>1</v>
      </c>
      <c r="V62" s="345">
        <f t="shared" si="2"/>
        <v>1</v>
      </c>
      <c r="W62" s="345">
        <f t="shared" si="2"/>
        <v>1</v>
      </c>
      <c r="X62" s="345">
        <f t="shared" si="2"/>
        <v>1</v>
      </c>
      <c r="Y62" s="345">
        <f t="shared" si="2"/>
        <v>1</v>
      </c>
      <c r="Z62" s="345">
        <f t="shared" si="2"/>
        <v>1</v>
      </c>
      <c r="AA62" s="345">
        <f t="shared" si="2"/>
        <v>1</v>
      </c>
      <c r="AB62" s="24"/>
    </row>
    <row r="63" spans="1:28">
      <c r="A63" s="48"/>
      <c r="B63" s="48"/>
      <c r="C63" s="48"/>
      <c r="D63" s="48"/>
      <c r="E63" s="48"/>
      <c r="F63" s="48"/>
      <c r="G63" s="48"/>
      <c r="H63" s="48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118"/>
      <c r="U63" s="118"/>
      <c r="V63" s="118"/>
      <c r="W63" s="118"/>
      <c r="X63" s="118"/>
      <c r="Y63" s="118"/>
      <c r="Z63" s="118"/>
      <c r="AA63" s="118"/>
      <c r="AB63" s="24"/>
    </row>
    <row r="64" spans="1:28">
      <c r="A64" s="48"/>
      <c r="B64" s="48"/>
      <c r="C64" s="51" t="str">
        <f>Inputs!C156</f>
        <v>Tax depreciation profile as share of Day 1 opening balance</v>
      </c>
      <c r="D64" s="48"/>
      <c r="E64" s="48"/>
      <c r="F64" s="48"/>
      <c r="G64" s="48"/>
      <c r="H64" s="48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118"/>
      <c r="U64" s="118"/>
      <c r="V64" s="118"/>
      <c r="W64" s="118"/>
      <c r="X64" s="118"/>
      <c r="Y64" s="118"/>
      <c r="Z64" s="118"/>
      <c r="AA64" s="118"/>
      <c r="AB64" s="24"/>
    </row>
    <row r="65" spans="1:28">
      <c r="A65" s="48"/>
      <c r="B65" s="48"/>
      <c r="C65" s="48"/>
      <c r="D65" s="330" t="str">
        <f>Inputs!D157</f>
        <v xml:space="preserve">Deferred revenue </v>
      </c>
      <c r="E65" s="330"/>
      <c r="F65" s="330"/>
      <c r="G65" s="346" t="str">
        <f>Inputs!G157</f>
        <v>%</v>
      </c>
      <c r="H65" s="330"/>
      <c r="I65" s="347"/>
      <c r="J65" s="347"/>
      <c r="K65" s="347"/>
      <c r="L65" s="347"/>
      <c r="M65" s="348"/>
      <c r="N65" s="348"/>
      <c r="O65" s="348"/>
      <c r="P65" s="348"/>
      <c r="Q65" s="348"/>
      <c r="R65" s="348"/>
      <c r="S65" s="348"/>
      <c r="T65" s="341">
        <f>Inputs!T157</f>
        <v>6.6666666666666666E-2</v>
      </c>
      <c r="U65" s="341">
        <f>Inputs!U157</f>
        <v>0.13333333333333333</v>
      </c>
      <c r="V65" s="341">
        <f>Inputs!V157</f>
        <v>0.13333333333333333</v>
      </c>
      <c r="W65" s="341">
        <f>Inputs!W157</f>
        <v>0.13333333333333333</v>
      </c>
      <c r="X65" s="341">
        <f>Inputs!X157</f>
        <v>0.13333333333333333</v>
      </c>
      <c r="Y65" s="341">
        <f>Inputs!Y157</f>
        <v>0.13333333333333333</v>
      </c>
      <c r="Z65" s="341">
        <f>Inputs!Z157</f>
        <v>0.13333333333333333</v>
      </c>
      <c r="AA65" s="341">
        <f>Inputs!AA157</f>
        <v>0.13333333333333333</v>
      </c>
      <c r="AB65" s="24"/>
    </row>
    <row r="66" spans="1:28">
      <c r="A66" s="48"/>
      <c r="B66" s="48"/>
      <c r="C66" s="48"/>
      <c r="D66" s="67" t="str">
        <f>Inputs!D158</f>
        <v>Intangible assets</v>
      </c>
      <c r="E66" s="67"/>
      <c r="F66" s="67"/>
      <c r="G66" s="93" t="str">
        <f>Inputs!G158</f>
        <v>%</v>
      </c>
      <c r="H66" s="67"/>
      <c r="I66" s="119"/>
      <c r="J66" s="119"/>
      <c r="K66" s="119"/>
      <c r="L66" s="119"/>
      <c r="M66" s="94"/>
      <c r="N66" s="94"/>
      <c r="O66" s="94"/>
      <c r="P66" s="94"/>
      <c r="Q66" s="94"/>
      <c r="R66" s="94"/>
      <c r="S66" s="94"/>
      <c r="T66" s="343">
        <f>Inputs!T158</f>
        <v>9.1842855052917005E-2</v>
      </c>
      <c r="U66" s="343">
        <f>Inputs!U158</f>
        <v>0.19855112264234173</v>
      </c>
      <c r="V66" s="343">
        <f>Inputs!V158</f>
        <v>0.18028752728269556</v>
      </c>
      <c r="W66" s="343">
        <f>Inputs!W158</f>
        <v>0.16259491120702821</v>
      </c>
      <c r="X66" s="343">
        <f>Inputs!X158</f>
        <v>0.14456339596914175</v>
      </c>
      <c r="Y66" s="343">
        <f>Inputs!Y158</f>
        <v>0.11120939351774499</v>
      </c>
      <c r="Z66" s="343">
        <f>Inputs!Z158</f>
        <v>7.7935109102158034E-2</v>
      </c>
      <c r="AA66" s="343">
        <f>Inputs!AA158</f>
        <v>3.3015685225972938E-2</v>
      </c>
      <c r="AB66" s="24"/>
    </row>
    <row r="67" spans="1:28">
      <c r="A67" s="48"/>
      <c r="B67" s="48"/>
      <c r="C67" s="48"/>
      <c r="D67" s="48"/>
      <c r="E67" s="48"/>
      <c r="F67" s="48"/>
      <c r="G67" s="48"/>
      <c r="H67" s="48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118"/>
      <c r="U67" s="118"/>
      <c r="V67" s="118"/>
      <c r="W67" s="118"/>
      <c r="X67" s="118"/>
      <c r="Y67" s="118"/>
      <c r="Z67" s="118"/>
      <c r="AA67" s="118"/>
      <c r="AB67" s="24"/>
    </row>
    <row r="68" spans="1:28">
      <c r="A68" s="48"/>
      <c r="B68" s="48"/>
      <c r="C68" s="51" t="s">
        <v>251</v>
      </c>
      <c r="D68" s="48"/>
      <c r="E68" s="48"/>
      <c r="F68" s="48"/>
      <c r="G68" s="48"/>
      <c r="H68" s="48"/>
      <c r="I68" s="120" t="s">
        <v>252</v>
      </c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</row>
    <row r="69" spans="1:28">
      <c r="A69" s="48"/>
      <c r="B69" s="48"/>
      <c r="C69" s="48"/>
      <c r="D69" s="330" t="str">
        <f>Inputs!D153</f>
        <v>General pool</v>
      </c>
      <c r="E69" s="330"/>
      <c r="F69" s="330"/>
      <c r="G69" s="346" t="str">
        <f>Inputs!G153</f>
        <v>%</v>
      </c>
      <c r="H69" s="330"/>
      <c r="I69" s="341">
        <f>Inputs!I153</f>
        <v>0.18</v>
      </c>
      <c r="J69" s="349"/>
      <c r="K69" s="349"/>
      <c r="L69" s="349"/>
      <c r="M69" s="350"/>
      <c r="N69" s="350"/>
      <c r="O69" s="350"/>
      <c r="P69" s="350"/>
      <c r="Q69" s="350"/>
      <c r="R69" s="350"/>
      <c r="S69" s="350"/>
      <c r="T69" s="351">
        <f>$I69 * T$62 / (1 - $I69 * (1 - T$62))</f>
        <v>9.8901098901098897E-2</v>
      </c>
      <c r="U69" s="351">
        <f t="shared" ref="U69:AA70" si="3">$I69 * U$62 / (1 - $I69 * (1 - U$62))</f>
        <v>0.18</v>
      </c>
      <c r="V69" s="351">
        <f t="shared" si="3"/>
        <v>0.18</v>
      </c>
      <c r="W69" s="351">
        <f t="shared" si="3"/>
        <v>0.18</v>
      </c>
      <c r="X69" s="351">
        <f t="shared" si="3"/>
        <v>0.18</v>
      </c>
      <c r="Y69" s="351">
        <f t="shared" si="3"/>
        <v>0.18</v>
      </c>
      <c r="Z69" s="351">
        <f t="shared" si="3"/>
        <v>0.18</v>
      </c>
      <c r="AA69" s="351">
        <f t="shared" si="3"/>
        <v>0.18</v>
      </c>
      <c r="AB69" s="24"/>
    </row>
    <row r="70" spans="1:28">
      <c r="A70" s="48"/>
      <c r="B70" s="48"/>
      <c r="C70" s="48"/>
      <c r="D70" s="64" t="str">
        <f>Inputs!D154</f>
        <v>Special rates pool</v>
      </c>
      <c r="E70" s="64"/>
      <c r="F70" s="64"/>
      <c r="G70" s="88" t="str">
        <f>Inputs!G154</f>
        <v>%</v>
      </c>
      <c r="H70" s="64"/>
      <c r="I70" s="342">
        <f>Inputs!I154</f>
        <v>0.06</v>
      </c>
      <c r="J70" s="65"/>
      <c r="K70" s="65"/>
      <c r="L70" s="65"/>
      <c r="M70" s="75"/>
      <c r="N70" s="75"/>
      <c r="O70" s="75"/>
      <c r="P70" s="75"/>
      <c r="Q70" s="75"/>
      <c r="R70" s="75"/>
      <c r="S70" s="75"/>
      <c r="T70" s="352">
        <f>$I70 * T$62 / (1 - $I70 * (1 - T$62))</f>
        <v>3.0927835051546393E-2</v>
      </c>
      <c r="U70" s="352">
        <f t="shared" si="3"/>
        <v>0.06</v>
      </c>
      <c r="V70" s="352">
        <f t="shared" si="3"/>
        <v>0.06</v>
      </c>
      <c r="W70" s="352">
        <f t="shared" si="3"/>
        <v>0.06</v>
      </c>
      <c r="X70" s="352">
        <f t="shared" si="3"/>
        <v>0.06</v>
      </c>
      <c r="Y70" s="352">
        <f t="shared" si="3"/>
        <v>0.06</v>
      </c>
      <c r="Z70" s="352">
        <f t="shared" si="3"/>
        <v>0.06</v>
      </c>
      <c r="AA70" s="352">
        <f t="shared" si="3"/>
        <v>0.06</v>
      </c>
      <c r="AB70" s="24"/>
    </row>
    <row r="71" spans="1:28">
      <c r="A71" s="48"/>
      <c r="B71" s="48"/>
      <c r="C71" s="48"/>
      <c r="D71" s="64" t="str">
        <f>D54</f>
        <v>Deferred revenue pool</v>
      </c>
      <c r="E71" s="64"/>
      <c r="F71" s="64"/>
      <c r="G71" s="88" t="s">
        <v>89</v>
      </c>
      <c r="H71" s="64"/>
      <c r="I71" s="65"/>
      <c r="J71" s="65"/>
      <c r="K71" s="65"/>
      <c r="L71" s="65"/>
      <c r="M71" s="75"/>
      <c r="N71" s="75"/>
      <c r="O71" s="75"/>
      <c r="P71" s="75"/>
      <c r="Q71" s="75"/>
      <c r="R71" s="75"/>
      <c r="S71" s="75"/>
      <c r="T71" s="353">
        <f>T65 / SUM(T65:$AA65)</f>
        <v>6.666666666666668E-2</v>
      </c>
      <c r="U71" s="353">
        <f>U65 / SUM(U65:$AA65)</f>
        <v>0.14285714285714288</v>
      </c>
      <c r="V71" s="353">
        <f>V65 / SUM(V65:$AA65)</f>
        <v>0.16666666666666669</v>
      </c>
      <c r="W71" s="353">
        <f>W65 / SUM(W65:$AA65)</f>
        <v>0.2</v>
      </c>
      <c r="X71" s="353">
        <f>X65 / SUM(X65:$AA65)</f>
        <v>0.25</v>
      </c>
      <c r="Y71" s="353">
        <f>Y65 / SUM(Y65:$AA65)</f>
        <v>0.33333333333333331</v>
      </c>
      <c r="Z71" s="353">
        <f>Z65 / SUM(Z65:$AA65)</f>
        <v>0.5</v>
      </c>
      <c r="AA71" s="353">
        <f>AA65 / SUM(AA65:$AA65)</f>
        <v>1</v>
      </c>
      <c r="AB71" s="24"/>
    </row>
    <row r="72" spans="1:28">
      <c r="A72" s="48"/>
      <c r="B72" s="48"/>
      <c r="C72" s="48"/>
      <c r="D72" s="67" t="str">
        <f>D55</f>
        <v>Intangible assets pool</v>
      </c>
      <c r="E72" s="67"/>
      <c r="F72" s="67"/>
      <c r="G72" s="93" t="s">
        <v>89</v>
      </c>
      <c r="H72" s="67"/>
      <c r="I72" s="68"/>
      <c r="J72" s="68"/>
      <c r="K72" s="68"/>
      <c r="L72" s="68"/>
      <c r="M72" s="95"/>
      <c r="N72" s="95"/>
      <c r="O72" s="95"/>
      <c r="P72" s="95"/>
      <c r="Q72" s="95"/>
      <c r="R72" s="95"/>
      <c r="S72" s="95"/>
      <c r="T72" s="353">
        <f>T66 / SUM(T66:$AA66)</f>
        <v>9.1842855052916991E-2</v>
      </c>
      <c r="U72" s="353">
        <f>U66 / SUM(U66:$AA66)</f>
        <v>0.218630799467983</v>
      </c>
      <c r="V72" s="353">
        <f>V66 / SUM(V66:$AA66)</f>
        <v>0.25406707611800788</v>
      </c>
      <c r="W72" s="353">
        <f>W66 / SUM(W66:$AA66)</f>
        <v>0.30717783855305525</v>
      </c>
      <c r="X72" s="353">
        <f>X66 / SUM(X66:$AA66)</f>
        <v>0.39420261567377746</v>
      </c>
      <c r="Y72" s="353">
        <f>Y66 / SUM(Y66:$AA66)</f>
        <v>0.50058201064763563</v>
      </c>
      <c r="Z72" s="353">
        <f>Z66 / SUM(Z66:$AA66)</f>
        <v>0.7024294830343365</v>
      </c>
      <c r="AA72" s="353">
        <f>AA66 / SUM(AA66:$AA66)</f>
        <v>1</v>
      </c>
      <c r="AB72" s="24"/>
    </row>
    <row r="73" spans="1:28">
      <c r="A73" s="48"/>
      <c r="B73" s="48"/>
      <c r="C73" s="48"/>
      <c r="D73" s="48"/>
      <c r="E73" s="48"/>
      <c r="F73" s="48"/>
      <c r="G73" s="48"/>
      <c r="H73" s="48"/>
      <c r="I73" s="24"/>
      <c r="J73" s="24"/>
      <c r="K73" s="24"/>
      <c r="L73" s="24"/>
      <c r="M73" s="24"/>
      <c r="N73" s="24"/>
      <c r="O73" s="24"/>
      <c r="P73" s="24"/>
      <c r="Q73" s="24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24"/>
    </row>
    <row r="74" spans="1:28">
      <c r="A74" s="48"/>
      <c r="B74" s="48"/>
      <c r="C74" s="48" t="s">
        <v>253</v>
      </c>
      <c r="D74" s="48"/>
      <c r="E74" s="48"/>
      <c r="F74" s="48"/>
      <c r="G74" s="48" t="s">
        <v>151</v>
      </c>
      <c r="H74" s="48"/>
      <c r="I74" s="24"/>
      <c r="J74" s="24"/>
      <c r="K74" s="354">
        <f>IF(SUM(T65:AA65) = 1, 0, 1)</f>
        <v>0</v>
      </c>
      <c r="L74" s="24"/>
      <c r="M74" s="24"/>
      <c r="N74" s="24"/>
      <c r="O74" s="24"/>
      <c r="P74" s="24"/>
      <c r="Q74" s="24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24"/>
    </row>
    <row r="75" spans="1:28">
      <c r="A75" s="48"/>
      <c r="B75" s="48"/>
      <c r="C75" s="48" t="s">
        <v>254</v>
      </c>
      <c r="D75" s="48"/>
      <c r="E75" s="48"/>
      <c r="F75" s="48"/>
      <c r="G75" s="48" t="s">
        <v>151</v>
      </c>
      <c r="H75" s="48"/>
      <c r="I75" s="24"/>
      <c r="J75" s="24"/>
      <c r="K75" s="354">
        <f>IF(SUM(T66:AA66) = 1, 0, 1)</f>
        <v>0</v>
      </c>
      <c r="L75" s="24"/>
      <c r="M75" s="24"/>
      <c r="N75" s="24"/>
      <c r="O75" s="24"/>
      <c r="P75" s="24"/>
      <c r="Q75" s="24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24"/>
    </row>
    <row r="76" spans="1:28">
      <c r="A76" s="48"/>
      <c r="B76" s="48"/>
      <c r="C76" s="48"/>
      <c r="D76" s="48"/>
      <c r="E76" s="48"/>
      <c r="F76" s="48"/>
      <c r="G76" s="48"/>
      <c r="H76" s="48"/>
      <c r="I76" s="24"/>
      <c r="J76" s="24"/>
      <c r="K76" s="24"/>
      <c r="L76" s="24"/>
      <c r="M76" s="24"/>
      <c r="N76" s="24"/>
      <c r="O76" s="24"/>
      <c r="P76" s="24"/>
      <c r="Q76" s="24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24"/>
    </row>
    <row r="77" spans="1:28" s="17" customFormat="1" ht="18">
      <c r="A77" s="97" t="s">
        <v>13</v>
      </c>
      <c r="B77" s="328" t="s">
        <v>255</v>
      </c>
      <c r="C77" s="328"/>
      <c r="D77" s="328"/>
      <c r="E77" s="328"/>
      <c r="F77" s="328"/>
      <c r="G77" s="328"/>
      <c r="H77" s="328"/>
      <c r="I77" s="329"/>
      <c r="J77" s="329"/>
      <c r="K77" s="329"/>
      <c r="L77" s="329"/>
      <c r="M77" s="329"/>
      <c r="N77" s="329"/>
      <c r="O77" s="329"/>
      <c r="P77" s="329"/>
      <c r="Q77" s="329"/>
      <c r="R77" s="329"/>
      <c r="S77" s="329"/>
      <c r="T77" s="329"/>
      <c r="U77" s="329"/>
      <c r="V77" s="329"/>
      <c r="W77" s="329"/>
      <c r="X77" s="329"/>
      <c r="Y77" s="329"/>
      <c r="Z77" s="329"/>
      <c r="AA77" s="329"/>
      <c r="AB77" s="355"/>
    </row>
    <row r="78" spans="1:28">
      <c r="A78" s="48"/>
      <c r="B78" s="48"/>
      <c r="C78" s="48"/>
      <c r="D78" s="48"/>
      <c r="E78" s="48"/>
      <c r="F78" s="48"/>
      <c r="G78" s="48"/>
      <c r="H78" s="48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spans="1:28" ht="14.5">
      <c r="A79" s="48"/>
      <c r="B79" s="206" t="s">
        <v>256</v>
      </c>
      <c r="C79" s="48"/>
      <c r="D79" s="48"/>
      <c r="E79" s="48"/>
      <c r="F79" s="48"/>
      <c r="G79" s="48"/>
      <c r="H79" s="48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</row>
    <row r="80" spans="1:28">
      <c r="A80" s="48"/>
      <c r="B80" s="48"/>
      <c r="C80" s="48"/>
      <c r="D80" s="48"/>
      <c r="E80" s="48"/>
      <c r="F80" s="48"/>
      <c r="G80" s="48"/>
      <c r="H80" s="48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</row>
    <row r="81" spans="1:28">
      <c r="A81" s="48"/>
      <c r="B81" s="48"/>
      <c r="C81" s="51" t="s">
        <v>131</v>
      </c>
      <c r="D81" s="48"/>
      <c r="E81" s="48"/>
      <c r="F81" s="48"/>
      <c r="G81" s="48"/>
      <c r="H81" s="48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</row>
    <row r="82" spans="1:28">
      <c r="A82" s="48"/>
      <c r="B82" s="48"/>
      <c r="C82" s="48"/>
      <c r="D82" s="330" t="s">
        <v>257</v>
      </c>
      <c r="E82" s="330"/>
      <c r="F82" s="330"/>
      <c r="G82" s="346" t="s">
        <v>29</v>
      </c>
      <c r="H82" s="330"/>
      <c r="I82" s="349"/>
      <c r="J82" s="349"/>
      <c r="K82" s="349"/>
      <c r="L82" s="349"/>
      <c r="M82" s="350"/>
      <c r="N82" s="350"/>
      <c r="O82" s="350"/>
      <c r="P82" s="350"/>
      <c r="Q82" s="350"/>
      <c r="R82" s="350"/>
      <c r="S82" s="350"/>
      <c r="T82" s="356">
        <f>I52</f>
        <v>80.842404347962031</v>
      </c>
      <c r="U82" s="357">
        <f t="shared" ref="U82:AA82" si="4">T87</f>
        <v>72.847001720141606</v>
      </c>
      <c r="V82" s="357">
        <f t="shared" si="4"/>
        <v>59.734541410516115</v>
      </c>
      <c r="W82" s="357">
        <f t="shared" si="4"/>
        <v>48.982323956623219</v>
      </c>
      <c r="X82" s="357">
        <f t="shared" si="4"/>
        <v>40.165505644431036</v>
      </c>
      <c r="Y82" s="357">
        <f t="shared" si="4"/>
        <v>32.935714628433452</v>
      </c>
      <c r="Z82" s="357">
        <f t="shared" si="4"/>
        <v>27.007285995315431</v>
      </c>
      <c r="AA82" s="357">
        <f t="shared" si="4"/>
        <v>22.145974516158653</v>
      </c>
      <c r="AB82" s="24"/>
    </row>
    <row r="83" spans="1:28">
      <c r="A83" s="48"/>
      <c r="B83" s="48"/>
      <c r="C83" s="48"/>
      <c r="D83" s="64" t="s">
        <v>258</v>
      </c>
      <c r="E83" s="64"/>
      <c r="F83" s="64"/>
      <c r="G83" s="88" t="s">
        <v>29</v>
      </c>
      <c r="H83" s="64"/>
      <c r="I83" s="65"/>
      <c r="J83" s="65"/>
      <c r="K83" s="65"/>
      <c r="L83" s="6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24"/>
    </row>
    <row r="84" spans="1:28">
      <c r="A84" s="48"/>
      <c r="B84" s="48"/>
      <c r="C84" s="48"/>
      <c r="D84" s="64" t="s">
        <v>259</v>
      </c>
      <c r="E84" s="64"/>
      <c r="F84" s="64"/>
      <c r="G84" s="88" t="s">
        <v>29</v>
      </c>
      <c r="H84" s="64"/>
      <c r="I84" s="65"/>
      <c r="J84" s="65"/>
      <c r="K84" s="65"/>
      <c r="L84" s="6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24"/>
    </row>
    <row r="85" spans="1:28">
      <c r="A85" s="48"/>
      <c r="B85" s="48"/>
      <c r="C85" s="48"/>
      <c r="D85" s="64" t="s">
        <v>260</v>
      </c>
      <c r="E85" s="64"/>
      <c r="F85" s="64"/>
      <c r="G85" s="88" t="s">
        <v>29</v>
      </c>
      <c r="H85" s="64"/>
      <c r="I85" s="65"/>
      <c r="J85" s="65"/>
      <c r="K85" s="65"/>
      <c r="L85" s="65"/>
      <c r="M85" s="75"/>
      <c r="N85" s="75"/>
      <c r="O85" s="75"/>
      <c r="P85" s="75"/>
      <c r="Q85" s="75"/>
      <c r="R85" s="75"/>
      <c r="S85" s="75"/>
      <c r="T85" s="358">
        <f t="shared" ref="T85:AA85" si="5">SUM(T82:T84)</f>
        <v>80.842404347962031</v>
      </c>
      <c r="U85" s="359">
        <f t="shared" si="5"/>
        <v>72.847001720141606</v>
      </c>
      <c r="V85" s="359">
        <f t="shared" si="5"/>
        <v>59.734541410516115</v>
      </c>
      <c r="W85" s="359">
        <f t="shared" si="5"/>
        <v>48.982323956623219</v>
      </c>
      <c r="X85" s="359">
        <f t="shared" si="5"/>
        <v>40.165505644431036</v>
      </c>
      <c r="Y85" s="359">
        <f t="shared" si="5"/>
        <v>32.935714628433452</v>
      </c>
      <c r="Z85" s="359">
        <f t="shared" si="5"/>
        <v>27.007285995315431</v>
      </c>
      <c r="AA85" s="359">
        <f t="shared" si="5"/>
        <v>22.145974516158653</v>
      </c>
      <c r="AB85" s="24"/>
    </row>
    <row r="86" spans="1:28">
      <c r="A86" s="48"/>
      <c r="B86" s="48"/>
      <c r="C86" s="48"/>
      <c r="D86" s="64" t="s">
        <v>261</v>
      </c>
      <c r="E86" s="64"/>
      <c r="F86" s="64"/>
      <c r="G86" s="88" t="s">
        <v>29</v>
      </c>
      <c r="H86" s="64"/>
      <c r="I86" s="65"/>
      <c r="J86" s="65"/>
      <c r="K86" s="65"/>
      <c r="L86" s="65"/>
      <c r="M86" s="75"/>
      <c r="N86" s="75"/>
      <c r="O86" s="75"/>
      <c r="P86" s="75"/>
      <c r="Q86" s="75"/>
      <c r="R86" s="75"/>
      <c r="S86" s="75"/>
      <c r="T86" s="122">
        <f t="shared" ref="T86:AA86" si="6">(-1) * T69 * T85</f>
        <v>-7.99540262782042</v>
      </c>
      <c r="U86" s="123">
        <f t="shared" si="6"/>
        <v>-13.112460309625488</v>
      </c>
      <c r="V86" s="123">
        <f t="shared" si="6"/>
        <v>-10.7522174538929</v>
      </c>
      <c r="W86" s="123">
        <f t="shared" si="6"/>
        <v>-8.8168183121921793</v>
      </c>
      <c r="X86" s="123">
        <f t="shared" si="6"/>
        <v>-7.229791015997586</v>
      </c>
      <c r="Y86" s="123">
        <f t="shared" si="6"/>
        <v>-5.9284286331180214</v>
      </c>
      <c r="Z86" s="123">
        <f t="shared" si="6"/>
        <v>-4.8613114791567771</v>
      </c>
      <c r="AA86" s="123">
        <f t="shared" si="6"/>
        <v>-3.9862754129085571</v>
      </c>
      <c r="AB86" s="24"/>
    </row>
    <row r="87" spans="1:28">
      <c r="A87" s="48"/>
      <c r="B87" s="48"/>
      <c r="C87" s="48"/>
      <c r="D87" s="67" t="s">
        <v>262</v>
      </c>
      <c r="E87" s="67"/>
      <c r="F87" s="67"/>
      <c r="G87" s="93" t="s">
        <v>29</v>
      </c>
      <c r="H87" s="67"/>
      <c r="I87" s="68"/>
      <c r="J87" s="68"/>
      <c r="K87" s="68"/>
      <c r="L87" s="68"/>
      <c r="M87" s="95"/>
      <c r="N87" s="95"/>
      <c r="O87" s="95"/>
      <c r="P87" s="95"/>
      <c r="Q87" s="95"/>
      <c r="R87" s="95"/>
      <c r="S87" s="95"/>
      <c r="T87" s="358">
        <f t="shared" ref="T87:AA87" si="7">SUM(T85:T86)</f>
        <v>72.847001720141606</v>
      </c>
      <c r="U87" s="359">
        <f t="shared" si="7"/>
        <v>59.734541410516115</v>
      </c>
      <c r="V87" s="359">
        <f t="shared" si="7"/>
        <v>48.982323956623219</v>
      </c>
      <c r="W87" s="359">
        <f t="shared" si="7"/>
        <v>40.165505644431036</v>
      </c>
      <c r="X87" s="359">
        <f t="shared" si="7"/>
        <v>32.935714628433452</v>
      </c>
      <c r="Y87" s="359">
        <f t="shared" si="7"/>
        <v>27.007285995315431</v>
      </c>
      <c r="Z87" s="359">
        <f t="shared" si="7"/>
        <v>22.145974516158653</v>
      </c>
      <c r="AA87" s="359">
        <f t="shared" si="7"/>
        <v>18.159699103250095</v>
      </c>
      <c r="AB87" s="24"/>
    </row>
    <row r="88" spans="1:28">
      <c r="A88" s="48"/>
      <c r="B88" s="48"/>
      <c r="C88" s="48"/>
      <c r="D88" s="48"/>
      <c r="E88" s="48"/>
      <c r="F88" s="48"/>
      <c r="G88" s="48"/>
      <c r="H88" s="48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</row>
    <row r="89" spans="1:28">
      <c r="A89" s="48"/>
      <c r="B89" s="48"/>
      <c r="C89" s="51" t="s">
        <v>263</v>
      </c>
      <c r="D89" s="48"/>
      <c r="E89" s="48"/>
      <c r="F89" s="48"/>
      <c r="G89" s="48"/>
      <c r="H89" s="48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</row>
    <row r="90" spans="1:28">
      <c r="A90" s="48"/>
      <c r="B90" s="48"/>
      <c r="C90" s="48"/>
      <c r="D90" s="330" t="s">
        <v>257</v>
      </c>
      <c r="E90" s="330"/>
      <c r="F90" s="330"/>
      <c r="G90" s="346" t="s">
        <v>29</v>
      </c>
      <c r="H90" s="330"/>
      <c r="I90" s="349"/>
      <c r="J90" s="349"/>
      <c r="K90" s="349"/>
      <c r="L90" s="349"/>
      <c r="M90" s="350"/>
      <c r="N90" s="350"/>
      <c r="O90" s="350"/>
      <c r="P90" s="350"/>
      <c r="Q90" s="350"/>
      <c r="R90" s="350"/>
      <c r="S90" s="350"/>
      <c r="T90" s="360">
        <f>I53</f>
        <v>20.052952480886642</v>
      </c>
      <c r="U90" s="357">
        <f t="shared" ref="U90:AA90" si="8">T95</f>
        <v>19.432758074261283</v>
      </c>
      <c r="V90" s="357">
        <f t="shared" si="8"/>
        <v>18.266792589805608</v>
      </c>
      <c r="W90" s="357">
        <f t="shared" si="8"/>
        <v>17.170785034417271</v>
      </c>
      <c r="X90" s="357">
        <f t="shared" si="8"/>
        <v>16.140537932352235</v>
      </c>
      <c r="Y90" s="357">
        <f t="shared" si="8"/>
        <v>15.1721056564111</v>
      </c>
      <c r="Z90" s="357">
        <f t="shared" si="8"/>
        <v>14.261779317026434</v>
      </c>
      <c r="AA90" s="357">
        <f t="shared" si="8"/>
        <v>13.406072558004848</v>
      </c>
      <c r="AB90" s="24"/>
    </row>
    <row r="91" spans="1:28">
      <c r="A91" s="48"/>
      <c r="B91" s="48"/>
      <c r="C91" s="48"/>
      <c r="D91" s="64" t="s">
        <v>258</v>
      </c>
      <c r="E91" s="64"/>
      <c r="F91" s="64"/>
      <c r="G91" s="88" t="s">
        <v>29</v>
      </c>
      <c r="H91" s="64"/>
      <c r="I91" s="65"/>
      <c r="J91" s="65"/>
      <c r="K91" s="65"/>
      <c r="L91" s="6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24"/>
    </row>
    <row r="92" spans="1:28">
      <c r="A92" s="48"/>
      <c r="B92" s="48"/>
      <c r="C92" s="48"/>
      <c r="D92" s="64" t="s">
        <v>259</v>
      </c>
      <c r="E92" s="64"/>
      <c r="F92" s="64"/>
      <c r="G92" s="88" t="s">
        <v>29</v>
      </c>
      <c r="H92" s="64"/>
      <c r="I92" s="65"/>
      <c r="J92" s="65"/>
      <c r="K92" s="65"/>
      <c r="L92" s="6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24"/>
    </row>
    <row r="93" spans="1:28">
      <c r="A93" s="48"/>
      <c r="B93" s="48"/>
      <c r="C93" s="48"/>
      <c r="D93" s="64" t="s">
        <v>260</v>
      </c>
      <c r="E93" s="64"/>
      <c r="F93" s="64"/>
      <c r="G93" s="88" t="s">
        <v>29</v>
      </c>
      <c r="H93" s="64"/>
      <c r="I93" s="65"/>
      <c r="J93" s="65"/>
      <c r="K93" s="65"/>
      <c r="L93" s="65"/>
      <c r="M93" s="75"/>
      <c r="N93" s="75"/>
      <c r="O93" s="75"/>
      <c r="P93" s="75"/>
      <c r="Q93" s="75"/>
      <c r="R93" s="75"/>
      <c r="S93" s="75"/>
      <c r="T93" s="359">
        <f t="shared" ref="T93:AA93" si="9">SUM(T90:T92)</f>
        <v>20.052952480886642</v>
      </c>
      <c r="U93" s="359">
        <f t="shared" si="9"/>
        <v>19.432758074261283</v>
      </c>
      <c r="V93" s="359">
        <f t="shared" si="9"/>
        <v>18.266792589805608</v>
      </c>
      <c r="W93" s="359">
        <f t="shared" si="9"/>
        <v>17.170785034417271</v>
      </c>
      <c r="X93" s="359">
        <f t="shared" si="9"/>
        <v>16.140537932352235</v>
      </c>
      <c r="Y93" s="359">
        <f t="shared" si="9"/>
        <v>15.1721056564111</v>
      </c>
      <c r="Z93" s="359">
        <f t="shared" si="9"/>
        <v>14.261779317026434</v>
      </c>
      <c r="AA93" s="359">
        <f t="shared" si="9"/>
        <v>13.406072558004848</v>
      </c>
      <c r="AB93" s="24"/>
    </row>
    <row r="94" spans="1:28">
      <c r="A94" s="48"/>
      <c r="B94" s="48"/>
      <c r="C94" s="48"/>
      <c r="D94" s="64" t="s">
        <v>261</v>
      </c>
      <c r="E94" s="64"/>
      <c r="F94" s="64"/>
      <c r="G94" s="88" t="s">
        <v>29</v>
      </c>
      <c r="H94" s="64"/>
      <c r="I94" s="65"/>
      <c r="J94" s="65"/>
      <c r="K94" s="65"/>
      <c r="L94" s="65"/>
      <c r="M94" s="75"/>
      <c r="N94" s="75"/>
      <c r="O94" s="75"/>
      <c r="P94" s="75"/>
      <c r="Q94" s="75"/>
      <c r="R94" s="75"/>
      <c r="S94" s="75"/>
      <c r="T94" s="123">
        <f t="shared" ref="T94:AA94" si="10">(-1) * T70 * T93</f>
        <v>-0.62019440662536007</v>
      </c>
      <c r="U94" s="123">
        <f t="shared" si="10"/>
        <v>-1.165965484455677</v>
      </c>
      <c r="V94" s="123">
        <f t="shared" si="10"/>
        <v>-1.0960075553883364</v>
      </c>
      <c r="W94" s="123">
        <f t="shared" si="10"/>
        <v>-1.0302471020650363</v>
      </c>
      <c r="X94" s="123">
        <f t="shared" si="10"/>
        <v>-0.96843227594113401</v>
      </c>
      <c r="Y94" s="123">
        <f t="shared" si="10"/>
        <v>-0.91032633938466601</v>
      </c>
      <c r="Z94" s="123">
        <f t="shared" si="10"/>
        <v>-0.85570675902158599</v>
      </c>
      <c r="AA94" s="123">
        <f t="shared" si="10"/>
        <v>-0.80436435348029078</v>
      </c>
      <c r="AB94" s="24"/>
    </row>
    <row r="95" spans="1:28">
      <c r="A95" s="48"/>
      <c r="B95" s="48"/>
      <c r="C95" s="48"/>
      <c r="D95" s="67" t="s">
        <v>262</v>
      </c>
      <c r="E95" s="67"/>
      <c r="F95" s="67"/>
      <c r="G95" s="93" t="s">
        <v>29</v>
      </c>
      <c r="H95" s="67"/>
      <c r="I95" s="68"/>
      <c r="J95" s="68"/>
      <c r="K95" s="68"/>
      <c r="L95" s="68"/>
      <c r="M95" s="95"/>
      <c r="N95" s="95"/>
      <c r="O95" s="95"/>
      <c r="P95" s="95"/>
      <c r="Q95" s="95"/>
      <c r="R95" s="95"/>
      <c r="S95" s="95"/>
      <c r="T95" s="359">
        <f t="shared" ref="T95:AA95" si="11">SUM(T93:T94)</f>
        <v>19.432758074261283</v>
      </c>
      <c r="U95" s="359">
        <f t="shared" si="11"/>
        <v>18.266792589805608</v>
      </c>
      <c r="V95" s="359">
        <f t="shared" si="11"/>
        <v>17.170785034417271</v>
      </c>
      <c r="W95" s="359">
        <f t="shared" si="11"/>
        <v>16.140537932352235</v>
      </c>
      <c r="X95" s="359">
        <f t="shared" si="11"/>
        <v>15.1721056564111</v>
      </c>
      <c r="Y95" s="359">
        <f t="shared" si="11"/>
        <v>14.261779317026434</v>
      </c>
      <c r="Z95" s="359">
        <f t="shared" si="11"/>
        <v>13.406072558004848</v>
      </c>
      <c r="AA95" s="359">
        <f t="shared" si="11"/>
        <v>12.601708204524558</v>
      </c>
      <c r="AB95" s="24"/>
    </row>
    <row r="96" spans="1:28">
      <c r="A96" s="48"/>
      <c r="B96" s="48"/>
      <c r="C96" s="48"/>
      <c r="D96" s="48"/>
      <c r="E96" s="48"/>
      <c r="F96" s="48"/>
      <c r="G96" s="48"/>
      <c r="H96" s="48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spans="1:28">
      <c r="A97" s="48"/>
      <c r="B97" s="48"/>
      <c r="C97" s="51" t="s">
        <v>264</v>
      </c>
      <c r="D97" s="48"/>
      <c r="E97" s="48"/>
      <c r="F97" s="48"/>
      <c r="G97" s="48"/>
      <c r="H97" s="48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</row>
    <row r="98" spans="1:28">
      <c r="A98" s="48"/>
      <c r="B98" s="48"/>
      <c r="C98" s="48"/>
      <c r="D98" s="330" t="s">
        <v>257</v>
      </c>
      <c r="E98" s="330"/>
      <c r="F98" s="330"/>
      <c r="G98" s="346" t="s">
        <v>29</v>
      </c>
      <c r="H98" s="330"/>
      <c r="I98" s="349"/>
      <c r="J98" s="349"/>
      <c r="K98" s="349"/>
      <c r="L98" s="349"/>
      <c r="M98" s="350"/>
      <c r="N98" s="350"/>
      <c r="O98" s="350"/>
      <c r="P98" s="350"/>
      <c r="Q98" s="350"/>
      <c r="R98" s="350"/>
      <c r="S98" s="350"/>
      <c r="T98" s="360">
        <f>I54</f>
        <v>6.4386963566611417</v>
      </c>
      <c r="U98" s="357">
        <f t="shared" ref="U98:AA98" si="12">T103</f>
        <v>6.0094499328837321</v>
      </c>
      <c r="V98" s="357">
        <f t="shared" si="12"/>
        <v>5.1509570853289128</v>
      </c>
      <c r="W98" s="357">
        <f t="shared" si="12"/>
        <v>4.2924642377740936</v>
      </c>
      <c r="X98" s="357">
        <f t="shared" si="12"/>
        <v>3.4339713902192748</v>
      </c>
      <c r="Y98" s="357">
        <f t="shared" si="12"/>
        <v>2.575478542664456</v>
      </c>
      <c r="Z98" s="357">
        <f t="shared" si="12"/>
        <v>1.7169856951096374</v>
      </c>
      <c r="AA98" s="357">
        <f t="shared" si="12"/>
        <v>0.85849284755481869</v>
      </c>
      <c r="AB98" s="24"/>
    </row>
    <row r="99" spans="1:28">
      <c r="A99" s="48"/>
      <c r="B99" s="48"/>
      <c r="C99" s="48"/>
      <c r="D99" s="64" t="s">
        <v>258</v>
      </c>
      <c r="E99" s="64"/>
      <c r="F99" s="64"/>
      <c r="G99" s="88" t="s">
        <v>29</v>
      </c>
      <c r="H99" s="64"/>
      <c r="I99" s="65"/>
      <c r="J99" s="65"/>
      <c r="K99" s="65"/>
      <c r="L99" s="6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24"/>
    </row>
    <row r="100" spans="1:28">
      <c r="A100" s="48"/>
      <c r="B100" s="48"/>
      <c r="C100" s="48"/>
      <c r="D100" s="64" t="s">
        <v>259</v>
      </c>
      <c r="E100" s="64"/>
      <c r="F100" s="64"/>
      <c r="G100" s="88" t="s">
        <v>29</v>
      </c>
      <c r="H100" s="64"/>
      <c r="I100" s="65"/>
      <c r="J100" s="65"/>
      <c r="K100" s="65"/>
      <c r="L100" s="6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24"/>
    </row>
    <row r="101" spans="1:28">
      <c r="A101" s="48"/>
      <c r="B101" s="48"/>
      <c r="C101" s="48"/>
      <c r="D101" s="64" t="s">
        <v>260</v>
      </c>
      <c r="E101" s="64"/>
      <c r="F101" s="64"/>
      <c r="G101" s="88" t="s">
        <v>29</v>
      </c>
      <c r="H101" s="64"/>
      <c r="I101" s="65"/>
      <c r="J101" s="65"/>
      <c r="K101" s="65"/>
      <c r="L101" s="65"/>
      <c r="M101" s="75"/>
      <c r="N101" s="75"/>
      <c r="O101" s="75"/>
      <c r="P101" s="75"/>
      <c r="Q101" s="75"/>
      <c r="R101" s="75"/>
      <c r="S101" s="75"/>
      <c r="T101" s="359">
        <f t="shared" ref="T101:AA101" si="13">SUM(T98:T100)</f>
        <v>6.4386963566611417</v>
      </c>
      <c r="U101" s="359">
        <f t="shared" si="13"/>
        <v>6.0094499328837321</v>
      </c>
      <c r="V101" s="359">
        <f t="shared" si="13"/>
        <v>5.1509570853289128</v>
      </c>
      <c r="W101" s="359">
        <f t="shared" si="13"/>
        <v>4.2924642377740936</v>
      </c>
      <c r="X101" s="359">
        <f t="shared" si="13"/>
        <v>3.4339713902192748</v>
      </c>
      <c r="Y101" s="359">
        <f t="shared" si="13"/>
        <v>2.575478542664456</v>
      </c>
      <c r="Z101" s="359">
        <f t="shared" si="13"/>
        <v>1.7169856951096374</v>
      </c>
      <c r="AA101" s="359">
        <f t="shared" si="13"/>
        <v>0.85849284755481869</v>
      </c>
      <c r="AB101" s="24"/>
    </row>
    <row r="102" spans="1:28">
      <c r="A102" s="48"/>
      <c r="B102" s="48"/>
      <c r="C102" s="48"/>
      <c r="D102" s="64" t="s">
        <v>261</v>
      </c>
      <c r="E102" s="64"/>
      <c r="F102" s="64"/>
      <c r="G102" s="88" t="s">
        <v>29</v>
      </c>
      <c r="H102" s="64"/>
      <c r="I102" s="65"/>
      <c r="J102" s="65"/>
      <c r="K102" s="65"/>
      <c r="L102" s="65"/>
      <c r="M102" s="75"/>
      <c r="N102" s="75"/>
      <c r="O102" s="75"/>
      <c r="P102" s="75"/>
      <c r="Q102" s="75"/>
      <c r="R102" s="75"/>
      <c r="S102" s="75"/>
      <c r="T102" s="123">
        <f t="shared" ref="T102:AA102" si="14">(-1) * T71 * T101</f>
        <v>-0.42924642377740951</v>
      </c>
      <c r="U102" s="123">
        <f t="shared" si="14"/>
        <v>-0.85849284755481903</v>
      </c>
      <c r="V102" s="123">
        <f t="shared" si="14"/>
        <v>-0.85849284755481892</v>
      </c>
      <c r="W102" s="123">
        <f t="shared" si="14"/>
        <v>-0.85849284755481881</v>
      </c>
      <c r="X102" s="123">
        <f t="shared" si="14"/>
        <v>-0.85849284755481869</v>
      </c>
      <c r="Y102" s="123">
        <f t="shared" si="14"/>
        <v>-0.85849284755481858</v>
      </c>
      <c r="Z102" s="123">
        <f t="shared" si="14"/>
        <v>-0.85849284755481869</v>
      </c>
      <c r="AA102" s="123">
        <f t="shared" si="14"/>
        <v>-0.85849284755481869</v>
      </c>
      <c r="AB102" s="24"/>
    </row>
    <row r="103" spans="1:28">
      <c r="A103" s="48"/>
      <c r="B103" s="48"/>
      <c r="C103" s="48"/>
      <c r="D103" s="67" t="s">
        <v>262</v>
      </c>
      <c r="E103" s="67"/>
      <c r="F103" s="67"/>
      <c r="G103" s="93" t="s">
        <v>29</v>
      </c>
      <c r="H103" s="67"/>
      <c r="I103" s="68"/>
      <c r="J103" s="68"/>
      <c r="K103" s="68"/>
      <c r="L103" s="68"/>
      <c r="M103" s="95"/>
      <c r="N103" s="95"/>
      <c r="O103" s="95"/>
      <c r="P103" s="95"/>
      <c r="Q103" s="95"/>
      <c r="R103" s="95"/>
      <c r="S103" s="95"/>
      <c r="T103" s="359">
        <f t="shared" ref="T103:AA103" si="15">SUM(T101:T102)</f>
        <v>6.0094499328837321</v>
      </c>
      <c r="U103" s="359">
        <f t="shared" si="15"/>
        <v>5.1509570853289128</v>
      </c>
      <c r="V103" s="359">
        <f t="shared" si="15"/>
        <v>4.2924642377740936</v>
      </c>
      <c r="W103" s="359">
        <f t="shared" si="15"/>
        <v>3.4339713902192748</v>
      </c>
      <c r="X103" s="359">
        <f t="shared" si="15"/>
        <v>2.575478542664456</v>
      </c>
      <c r="Y103" s="359">
        <f t="shared" si="15"/>
        <v>1.7169856951096374</v>
      </c>
      <c r="Z103" s="359">
        <f t="shared" si="15"/>
        <v>0.85849284755481869</v>
      </c>
      <c r="AA103" s="359">
        <f t="shared" si="15"/>
        <v>0</v>
      </c>
      <c r="AB103" s="24"/>
    </row>
    <row r="104" spans="1:28">
      <c r="A104" s="48"/>
      <c r="B104" s="48"/>
      <c r="C104" s="48"/>
      <c r="D104" s="48"/>
      <c r="E104" s="48"/>
      <c r="F104" s="48"/>
      <c r="G104" s="48"/>
      <c r="H104" s="48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</row>
    <row r="105" spans="1:28">
      <c r="A105" s="48"/>
      <c r="B105" s="48"/>
      <c r="C105" s="51" t="s">
        <v>143</v>
      </c>
      <c r="D105" s="48"/>
      <c r="E105" s="48"/>
      <c r="F105" s="48"/>
      <c r="G105" s="48"/>
      <c r="H105" s="48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</row>
    <row r="106" spans="1:28">
      <c r="A106" s="48"/>
      <c r="B106" s="48"/>
      <c r="C106" s="48"/>
      <c r="D106" s="330" t="s">
        <v>257</v>
      </c>
      <c r="E106" s="330"/>
      <c r="F106" s="330"/>
      <c r="G106" s="346" t="s">
        <v>29</v>
      </c>
      <c r="H106" s="330"/>
      <c r="I106" s="349"/>
      <c r="J106" s="349"/>
      <c r="K106" s="349"/>
      <c r="L106" s="349"/>
      <c r="M106" s="350"/>
      <c r="N106" s="350"/>
      <c r="O106" s="350"/>
      <c r="P106" s="350"/>
      <c r="Q106" s="350"/>
      <c r="R106" s="350"/>
      <c r="S106" s="350"/>
      <c r="T106" s="360">
        <f>I55</f>
        <v>400.59780527627089</v>
      </c>
      <c r="U106" s="357">
        <f t="shared" ref="U106:AA106" si="16">T111</f>
        <v>363.80575911176567</v>
      </c>
      <c r="V106" s="357">
        <f t="shared" si="16"/>
        <v>284.2666151461039</v>
      </c>
      <c r="W106" s="357">
        <f t="shared" si="16"/>
        <v>212.04382739797029</v>
      </c>
      <c r="X106" s="357">
        <f t="shared" si="16"/>
        <v>146.90866281934467</v>
      </c>
      <c r="Y106" s="357">
        <f t="shared" si="16"/>
        <v>88.996883670821987</v>
      </c>
      <c r="Z106" s="357">
        <f t="shared" si="16"/>
        <v>44.446644701508184</v>
      </c>
      <c r="AA106" s="357">
        <f t="shared" si="16"/>
        <v>13.22601104121696</v>
      </c>
      <c r="AB106" s="24"/>
    </row>
    <row r="107" spans="1:28">
      <c r="A107" s="48"/>
      <c r="B107" s="48"/>
      <c r="C107" s="48"/>
      <c r="D107" s="64" t="s">
        <v>258</v>
      </c>
      <c r="E107" s="64"/>
      <c r="F107" s="64"/>
      <c r="G107" s="88" t="s">
        <v>29</v>
      </c>
      <c r="H107" s="64"/>
      <c r="I107" s="65"/>
      <c r="J107" s="65"/>
      <c r="K107" s="65"/>
      <c r="L107" s="6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24"/>
    </row>
    <row r="108" spans="1:28">
      <c r="A108" s="48"/>
      <c r="B108" s="48"/>
      <c r="C108" s="48"/>
      <c r="D108" s="64" t="s">
        <v>259</v>
      </c>
      <c r="E108" s="64"/>
      <c r="F108" s="64"/>
      <c r="G108" s="88" t="s">
        <v>29</v>
      </c>
      <c r="H108" s="64"/>
      <c r="I108" s="65"/>
      <c r="J108" s="65"/>
      <c r="K108" s="65"/>
      <c r="L108" s="6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24"/>
    </row>
    <row r="109" spans="1:28">
      <c r="A109" s="48"/>
      <c r="B109" s="48"/>
      <c r="C109" s="48"/>
      <c r="D109" s="64" t="s">
        <v>260</v>
      </c>
      <c r="E109" s="64"/>
      <c r="F109" s="64"/>
      <c r="G109" s="88" t="s">
        <v>29</v>
      </c>
      <c r="H109" s="64"/>
      <c r="I109" s="65"/>
      <c r="J109" s="65"/>
      <c r="K109" s="65"/>
      <c r="L109" s="65"/>
      <c r="M109" s="75"/>
      <c r="N109" s="75"/>
      <c r="O109" s="75"/>
      <c r="P109" s="75"/>
      <c r="Q109" s="75"/>
      <c r="R109" s="75"/>
      <c r="S109" s="75"/>
      <c r="T109" s="359">
        <f t="shared" ref="T109:AA109" si="17">SUM(T106:T108)</f>
        <v>400.59780527627089</v>
      </c>
      <c r="U109" s="359">
        <f t="shared" si="17"/>
        <v>363.80575911176567</v>
      </c>
      <c r="V109" s="359">
        <f t="shared" si="17"/>
        <v>284.2666151461039</v>
      </c>
      <c r="W109" s="359">
        <f t="shared" si="17"/>
        <v>212.04382739797029</v>
      </c>
      <c r="X109" s="359">
        <f t="shared" si="17"/>
        <v>146.90866281934467</v>
      </c>
      <c r="Y109" s="359">
        <f t="shared" si="17"/>
        <v>88.996883670821987</v>
      </c>
      <c r="Z109" s="359">
        <f t="shared" si="17"/>
        <v>44.446644701508184</v>
      </c>
      <c r="AA109" s="359">
        <f t="shared" si="17"/>
        <v>13.22601104121696</v>
      </c>
      <c r="AB109" s="24"/>
    </row>
    <row r="110" spans="1:28">
      <c r="A110" s="48"/>
      <c r="B110" s="48"/>
      <c r="C110" s="48"/>
      <c r="D110" s="64" t="s">
        <v>261</v>
      </c>
      <c r="E110" s="64"/>
      <c r="F110" s="64"/>
      <c r="G110" s="88" t="s">
        <v>29</v>
      </c>
      <c r="H110" s="64"/>
      <c r="I110" s="65"/>
      <c r="J110" s="65"/>
      <c r="K110" s="65"/>
      <c r="L110" s="65"/>
      <c r="M110" s="75"/>
      <c r="N110" s="75"/>
      <c r="O110" s="75"/>
      <c r="P110" s="75"/>
      <c r="Q110" s="75"/>
      <c r="R110" s="75"/>
      <c r="S110" s="75"/>
      <c r="T110" s="123">
        <f t="shared" ref="T110:AA110" si="18">(-1) * T72 * T109</f>
        <v>-36.792046164505216</v>
      </c>
      <c r="U110" s="123">
        <f t="shared" si="18"/>
        <v>-79.539143965661765</v>
      </c>
      <c r="V110" s="123">
        <f t="shared" si="18"/>
        <v>-72.222787748133626</v>
      </c>
      <c r="W110" s="123">
        <f t="shared" si="18"/>
        <v>-65.135164578625634</v>
      </c>
      <c r="X110" s="123">
        <f t="shared" si="18"/>
        <v>-57.911779148522683</v>
      </c>
      <c r="Y110" s="123">
        <f t="shared" si="18"/>
        <v>-44.550238969313803</v>
      </c>
      <c r="Z110" s="123">
        <f t="shared" si="18"/>
        <v>-31.220633660291224</v>
      </c>
      <c r="AA110" s="123">
        <f t="shared" si="18"/>
        <v>-13.22601104121696</v>
      </c>
      <c r="AB110" s="24"/>
    </row>
    <row r="111" spans="1:28">
      <c r="A111" s="48"/>
      <c r="B111" s="48"/>
      <c r="C111" s="48"/>
      <c r="D111" s="67" t="s">
        <v>262</v>
      </c>
      <c r="E111" s="67"/>
      <c r="F111" s="67"/>
      <c r="G111" s="93" t="s">
        <v>29</v>
      </c>
      <c r="H111" s="67"/>
      <c r="I111" s="68"/>
      <c r="J111" s="68"/>
      <c r="K111" s="68"/>
      <c r="L111" s="68"/>
      <c r="M111" s="95"/>
      <c r="N111" s="95"/>
      <c r="O111" s="95"/>
      <c r="P111" s="95"/>
      <c r="Q111" s="95"/>
      <c r="R111" s="95"/>
      <c r="S111" s="95"/>
      <c r="T111" s="359">
        <f t="shared" ref="T111:AA111" si="19">SUM(T109:T110)</f>
        <v>363.80575911176567</v>
      </c>
      <c r="U111" s="359">
        <f t="shared" si="19"/>
        <v>284.2666151461039</v>
      </c>
      <c r="V111" s="359">
        <f t="shared" si="19"/>
        <v>212.04382739797029</v>
      </c>
      <c r="W111" s="359">
        <f t="shared" si="19"/>
        <v>146.90866281934467</v>
      </c>
      <c r="X111" s="359">
        <f t="shared" si="19"/>
        <v>88.996883670821987</v>
      </c>
      <c r="Y111" s="359">
        <f t="shared" si="19"/>
        <v>44.446644701508184</v>
      </c>
      <c r="Z111" s="359">
        <f t="shared" si="19"/>
        <v>13.22601104121696</v>
      </c>
      <c r="AA111" s="359">
        <f t="shared" si="19"/>
        <v>0</v>
      </c>
      <c r="AB111" s="24"/>
    </row>
    <row r="112" spans="1:28">
      <c r="A112" s="48"/>
      <c r="B112" s="48"/>
      <c r="C112" s="48"/>
      <c r="D112" s="48"/>
      <c r="E112" s="48"/>
      <c r="F112" s="48"/>
      <c r="G112" s="48"/>
      <c r="H112" s="48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</row>
    <row r="113" spans="1:28">
      <c r="A113" s="48"/>
      <c r="B113" s="48"/>
      <c r="C113" s="48" t="s">
        <v>265</v>
      </c>
      <c r="D113" s="48"/>
      <c r="E113" s="48"/>
      <c r="F113" s="48"/>
      <c r="G113" s="49" t="s">
        <v>29</v>
      </c>
      <c r="H113" s="48"/>
      <c r="I113" s="24"/>
      <c r="J113" s="24"/>
      <c r="K113" s="24"/>
      <c r="L113" s="24"/>
      <c r="M113" s="75"/>
      <c r="N113" s="75"/>
      <c r="O113" s="75"/>
      <c r="P113" s="75"/>
      <c r="Q113" s="75"/>
      <c r="R113" s="75"/>
      <c r="S113" s="75"/>
      <c r="T113" s="339">
        <f t="shared" ref="T113:AA113" si="20">(-1) * (T86 + T94 + T102 + T110)</f>
        <v>45.836889622728407</v>
      </c>
      <c r="U113" s="339">
        <f t="shared" si="20"/>
        <v>94.676062607297752</v>
      </c>
      <c r="V113" s="339">
        <f t="shared" si="20"/>
        <v>84.929505604969677</v>
      </c>
      <c r="W113" s="339">
        <f t="shared" si="20"/>
        <v>75.840722840437664</v>
      </c>
      <c r="X113" s="339">
        <f t="shared" si="20"/>
        <v>66.968495288016229</v>
      </c>
      <c r="Y113" s="339">
        <f t="shared" si="20"/>
        <v>52.247486789371308</v>
      </c>
      <c r="Z113" s="339">
        <f t="shared" si="20"/>
        <v>37.796144746024403</v>
      </c>
      <c r="AA113" s="339">
        <f t="shared" si="20"/>
        <v>18.875143655160628</v>
      </c>
      <c r="AB113" s="24"/>
    </row>
    <row r="114" spans="1:28">
      <c r="A114" s="48"/>
      <c r="B114" s="48"/>
      <c r="C114" s="48"/>
      <c r="D114" s="48"/>
      <c r="E114" s="48"/>
      <c r="F114" s="48"/>
      <c r="G114" s="48"/>
      <c r="H114" s="48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spans="1:28">
      <c r="A115" s="48"/>
      <c r="B115" s="48"/>
      <c r="C115" s="48" t="s">
        <v>266</v>
      </c>
      <c r="D115" s="48"/>
      <c r="E115" s="48"/>
      <c r="F115" s="48"/>
      <c r="G115" s="49" t="s">
        <v>151</v>
      </c>
      <c r="H115" s="48"/>
      <c r="I115" s="24"/>
      <c r="J115" s="24"/>
      <c r="K115" s="354">
        <f>IF(ABS(AA103) &lt; Tolerance, 0, 1)</f>
        <v>0</v>
      </c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>
      <c r="A116" s="48"/>
      <c r="B116" s="48"/>
      <c r="C116" s="48" t="s">
        <v>267</v>
      </c>
      <c r="D116" s="48"/>
      <c r="E116" s="48"/>
      <c r="F116" s="48"/>
      <c r="G116" s="49" t="s">
        <v>151</v>
      </c>
      <c r="H116" s="48"/>
      <c r="I116" s="24"/>
      <c r="J116" s="24"/>
      <c r="K116" s="354">
        <f>IF(ABS(AA111) &lt; Tolerance, 0, 1)</f>
        <v>0</v>
      </c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</row>
    <row r="117" spans="1:28">
      <c r="A117" s="48"/>
      <c r="B117" s="48"/>
      <c r="C117" s="48"/>
      <c r="D117" s="48"/>
      <c r="E117" s="48"/>
      <c r="F117" s="48"/>
      <c r="G117" s="48"/>
      <c r="H117" s="48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</row>
    <row r="118" spans="1:28" s="17" customFormat="1" ht="18">
      <c r="A118" s="97" t="s">
        <v>13</v>
      </c>
      <c r="B118" s="97" t="s">
        <v>128</v>
      </c>
      <c r="C118" s="328"/>
      <c r="D118" s="328"/>
      <c r="E118" s="328"/>
      <c r="F118" s="328"/>
      <c r="G118" s="328"/>
      <c r="H118" s="328"/>
      <c r="I118" s="329"/>
      <c r="J118" s="329"/>
      <c r="K118" s="329"/>
      <c r="L118" s="329"/>
      <c r="M118" s="329"/>
      <c r="N118" s="329"/>
      <c r="O118" s="329"/>
      <c r="P118" s="329"/>
      <c r="Q118" s="329"/>
      <c r="R118" s="329"/>
      <c r="S118" s="329"/>
      <c r="T118" s="329"/>
      <c r="U118" s="329"/>
      <c r="V118" s="329"/>
      <c r="W118" s="329"/>
      <c r="X118" s="329"/>
      <c r="Y118" s="329"/>
      <c r="Z118" s="329"/>
      <c r="AA118" s="329"/>
      <c r="AB118" s="329"/>
    </row>
    <row r="119" spans="1:28">
      <c r="A119" s="48"/>
      <c r="B119" s="48"/>
      <c r="C119" s="48"/>
      <c r="D119" s="48"/>
      <c r="E119" s="48"/>
      <c r="F119" s="48"/>
      <c r="G119" s="48"/>
      <c r="H119" s="48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</row>
    <row r="120" spans="1:28" ht="14.5">
      <c r="A120" s="48"/>
      <c r="B120" s="206" t="s">
        <v>268</v>
      </c>
      <c r="C120" s="48"/>
      <c r="D120" s="48"/>
      <c r="E120" s="48"/>
      <c r="F120" s="48"/>
      <c r="G120" s="48"/>
      <c r="H120" s="48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spans="1:28">
      <c r="A121" s="48"/>
      <c r="B121" s="48"/>
      <c r="C121" s="48"/>
      <c r="D121" s="48"/>
      <c r="E121" s="48"/>
      <c r="F121" s="48"/>
      <c r="G121" s="48"/>
      <c r="H121" s="48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1:28">
      <c r="A122" s="48"/>
      <c r="B122" s="48"/>
      <c r="C122" s="51" t="s">
        <v>269</v>
      </c>
      <c r="D122" s="48"/>
      <c r="E122" s="48"/>
      <c r="F122" s="48"/>
      <c r="G122" s="48"/>
      <c r="H122" s="48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</row>
    <row r="123" spans="1:28">
      <c r="A123" s="48"/>
      <c r="B123" s="48"/>
      <c r="C123" s="48"/>
      <c r="D123" s="346" t="str">
        <f>Elec!D$91</f>
        <v>Return BSUoS Income (published and forecast)</v>
      </c>
      <c r="E123" s="346"/>
      <c r="F123" s="346" t="str">
        <f>Elec!F$91</f>
        <v>RTNₜ</v>
      </c>
      <c r="G123" s="346" t="str">
        <f>Elec!G$91</f>
        <v>£m nominal</v>
      </c>
      <c r="H123" s="346"/>
      <c r="I123" s="347"/>
      <c r="J123" s="347"/>
      <c r="K123" s="347"/>
      <c r="L123" s="347"/>
      <c r="M123" s="348"/>
      <c r="N123" s="348"/>
      <c r="O123" s="348"/>
      <c r="P123" s="348"/>
      <c r="Q123" s="348"/>
      <c r="R123" s="348"/>
      <c r="S123" s="348"/>
      <c r="T123" s="361">
        <f>Elec!T$91</f>
        <v>61.088605477935758</v>
      </c>
      <c r="U123" s="362">
        <f>Elec!U$91</f>
        <v>108.74166317206712</v>
      </c>
      <c r="V123" s="362">
        <f>Elec!V$91</f>
        <v>103.02234682172009</v>
      </c>
      <c r="W123" s="362">
        <f>Elec!W$91</f>
        <v>91.033494780442311</v>
      </c>
      <c r="X123" s="362">
        <f>Elec!X$91</f>
        <v>79.203772893561521</v>
      </c>
      <c r="Y123" s="362">
        <f>Elec!Y$91</f>
        <v>59.919811464787365</v>
      </c>
      <c r="Z123" s="362">
        <f>Elec!Z$91</f>
        <v>41.22573276103558</v>
      </c>
      <c r="AA123" s="362">
        <f>Elec!AA$91</f>
        <v>17.222588485743046</v>
      </c>
      <c r="AB123" s="24"/>
    </row>
    <row r="124" spans="1:28">
      <c r="A124" s="48"/>
      <c r="B124" s="48"/>
      <c r="C124" s="48"/>
      <c r="D124" s="88" t="str">
        <f>"Less capital allowances " &amp; C113</f>
        <v>Less capital allowances Total Capital Allowances</v>
      </c>
      <c r="E124" s="88"/>
      <c r="F124" s="88"/>
      <c r="G124" s="88" t="s">
        <v>29</v>
      </c>
      <c r="H124" s="88"/>
      <c r="I124" s="124"/>
      <c r="J124" s="124"/>
      <c r="K124" s="124"/>
      <c r="L124" s="124"/>
      <c r="M124" s="81"/>
      <c r="N124" s="81"/>
      <c r="O124" s="81"/>
      <c r="P124" s="81"/>
      <c r="Q124" s="81"/>
      <c r="R124" s="81"/>
      <c r="S124" s="81"/>
      <c r="T124" s="363">
        <f t="shared" ref="T124:AA124" si="21">(-1) * T113</f>
        <v>-45.836889622728407</v>
      </c>
      <c r="U124" s="364">
        <f t="shared" si="21"/>
        <v>-94.676062607297752</v>
      </c>
      <c r="V124" s="364">
        <f t="shared" si="21"/>
        <v>-84.929505604969677</v>
      </c>
      <c r="W124" s="364">
        <f t="shared" si="21"/>
        <v>-75.840722840437664</v>
      </c>
      <c r="X124" s="364">
        <f t="shared" si="21"/>
        <v>-66.968495288016229</v>
      </c>
      <c r="Y124" s="364">
        <f t="shared" si="21"/>
        <v>-52.247486789371308</v>
      </c>
      <c r="Z124" s="364">
        <f t="shared" si="21"/>
        <v>-37.796144746024403</v>
      </c>
      <c r="AA124" s="364">
        <f t="shared" si="21"/>
        <v>-18.875143655160628</v>
      </c>
      <c r="AB124" s="24"/>
    </row>
    <row r="125" spans="1:28">
      <c r="A125" s="48"/>
      <c r="B125" s="48"/>
      <c r="C125" s="48"/>
      <c r="D125" s="88" t="str">
        <f>"Add " &amp; Inputs!C$160</f>
        <v>Add Tax permanent differences recovery</v>
      </c>
      <c r="E125" s="88"/>
      <c r="F125" s="88" t="str">
        <f>Inputs!F$160</f>
        <v>TAXPₜ</v>
      </c>
      <c r="G125" s="88" t="str">
        <f>Inputs!G$160</f>
        <v>£m nominal</v>
      </c>
      <c r="H125" s="88"/>
      <c r="I125" s="124"/>
      <c r="J125" s="124"/>
      <c r="K125" s="124"/>
      <c r="L125" s="124"/>
      <c r="M125" s="81"/>
      <c r="N125" s="81"/>
      <c r="O125" s="81"/>
      <c r="P125" s="81"/>
      <c r="Q125" s="81"/>
      <c r="R125" s="81"/>
      <c r="S125" s="81"/>
      <c r="T125" s="365">
        <f>Inputs!T$160</f>
        <v>0</v>
      </c>
      <c r="U125" s="366">
        <f>Inputs!U$160</f>
        <v>0</v>
      </c>
      <c r="V125" s="366">
        <f>Inputs!V$160</f>
        <v>0</v>
      </c>
      <c r="W125" s="366">
        <f>Inputs!W$160</f>
        <v>0</v>
      </c>
      <c r="X125" s="366">
        <f>Inputs!X$160</f>
        <v>0</v>
      </c>
      <c r="Y125" s="366">
        <f>Inputs!Y$160</f>
        <v>0</v>
      </c>
      <c r="Z125" s="366">
        <f>Inputs!Z$160</f>
        <v>0</v>
      </c>
      <c r="AA125" s="366">
        <f>Inputs!AA$160</f>
        <v>0</v>
      </c>
      <c r="AB125" s="24"/>
    </row>
    <row r="126" spans="1:28">
      <c r="A126" s="48"/>
      <c r="B126" s="48"/>
      <c r="C126" s="48"/>
      <c r="D126" s="93" t="s">
        <v>270</v>
      </c>
      <c r="E126" s="93"/>
      <c r="F126" s="93"/>
      <c r="G126" s="93" t="s">
        <v>29</v>
      </c>
      <c r="H126" s="93"/>
      <c r="I126" s="119"/>
      <c r="J126" s="119"/>
      <c r="K126" s="119"/>
      <c r="L126" s="119"/>
      <c r="M126" s="94"/>
      <c r="N126" s="94"/>
      <c r="O126" s="94"/>
      <c r="P126" s="94"/>
      <c r="Q126" s="94"/>
      <c r="R126" s="94"/>
      <c r="S126" s="94"/>
      <c r="T126" s="125">
        <f t="shared" ref="T126:AA126" si="22">SUM(T123:T125)</f>
        <v>15.251715855207351</v>
      </c>
      <c r="U126" s="358">
        <f t="shared" si="22"/>
        <v>14.065600564769369</v>
      </c>
      <c r="V126" s="358">
        <f t="shared" si="22"/>
        <v>18.092841216750415</v>
      </c>
      <c r="W126" s="358">
        <f t="shared" si="22"/>
        <v>15.192771940004647</v>
      </c>
      <c r="X126" s="358">
        <f t="shared" si="22"/>
        <v>12.235277605545292</v>
      </c>
      <c r="Y126" s="358">
        <f t="shared" si="22"/>
        <v>7.672324675416057</v>
      </c>
      <c r="Z126" s="358">
        <f t="shared" si="22"/>
        <v>3.429588015011177</v>
      </c>
      <c r="AA126" s="358">
        <f t="shared" si="22"/>
        <v>-1.6525551694175817</v>
      </c>
      <c r="AB126" s="24"/>
    </row>
    <row r="127" spans="1:28">
      <c r="A127" s="48"/>
      <c r="B127" s="48"/>
      <c r="C127" s="48"/>
      <c r="D127" s="48"/>
      <c r="E127" s="48"/>
      <c r="F127" s="48"/>
      <c r="G127" s="48"/>
      <c r="H127" s="48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</row>
    <row r="128" spans="1:28">
      <c r="A128" s="48"/>
      <c r="B128" s="48"/>
      <c r="C128" s="64" t="str">
        <f>Inputs!C$161</f>
        <v>Corporation tax rate</v>
      </c>
      <c r="D128" s="48"/>
      <c r="E128" s="64"/>
      <c r="F128" s="64"/>
      <c r="G128" s="64" t="str">
        <f>Inputs!G$161</f>
        <v>%</v>
      </c>
      <c r="H128" s="64"/>
      <c r="I128" s="65"/>
      <c r="J128" s="65"/>
      <c r="K128" s="65"/>
      <c r="L128" s="65"/>
      <c r="M128" s="75"/>
      <c r="N128" s="75"/>
      <c r="O128" s="75"/>
      <c r="P128" s="75"/>
      <c r="Q128" s="75"/>
      <c r="R128" s="75"/>
      <c r="S128" s="75"/>
      <c r="T128" s="342">
        <f>Inputs!T$161</f>
        <v>0.25</v>
      </c>
      <c r="U128" s="342">
        <f>Inputs!U$161</f>
        <v>0.25</v>
      </c>
      <c r="V128" s="342">
        <f>Inputs!V$161</f>
        <v>0.25</v>
      </c>
      <c r="W128" s="342">
        <f>Inputs!W$161</f>
        <v>0</v>
      </c>
      <c r="X128" s="342">
        <f>Inputs!X$161</f>
        <v>0</v>
      </c>
      <c r="Y128" s="342">
        <f>Inputs!Y$161</f>
        <v>0</v>
      </c>
      <c r="Z128" s="342">
        <f>Inputs!Z$161</f>
        <v>0</v>
      </c>
      <c r="AA128" s="342">
        <f>Inputs!AA$161</f>
        <v>0</v>
      </c>
      <c r="AB128" s="24"/>
    </row>
    <row r="129" spans="1:29">
      <c r="A129" s="48"/>
      <c r="B129" s="48"/>
      <c r="C129" s="48" t="str">
        <f>Inputs!C$162</f>
        <v>NESO CT Exempt flag</v>
      </c>
      <c r="D129" s="48"/>
      <c r="E129" s="48"/>
      <c r="F129" s="48"/>
      <c r="G129" s="48" t="str">
        <f>Inputs!G$162</f>
        <v>Flag (1 = Exempt; 0 = Not exempt)</v>
      </c>
      <c r="H129" s="48"/>
      <c r="I129" s="24"/>
      <c r="J129" s="24"/>
      <c r="K129" s="24"/>
      <c r="L129" s="24"/>
      <c r="M129" s="75"/>
      <c r="N129" s="75"/>
      <c r="O129" s="75"/>
      <c r="P129" s="75"/>
      <c r="Q129" s="75"/>
      <c r="R129" s="75"/>
      <c r="S129" s="75"/>
      <c r="T129" s="367">
        <f>Inputs!T$162</f>
        <v>0</v>
      </c>
      <c r="U129" s="367">
        <f>Inputs!U$162</f>
        <v>0</v>
      </c>
      <c r="V129" s="367">
        <f>Inputs!V$162</f>
        <v>0</v>
      </c>
      <c r="W129" s="367">
        <f>Inputs!W$162</f>
        <v>0</v>
      </c>
      <c r="X129" s="367">
        <f>Inputs!X$162</f>
        <v>0</v>
      </c>
      <c r="Y129" s="367">
        <f>Inputs!Y$162</f>
        <v>0</v>
      </c>
      <c r="Z129" s="367">
        <f>Inputs!Z$162</f>
        <v>0</v>
      </c>
      <c r="AA129" s="367">
        <f>Inputs!AA$162</f>
        <v>0</v>
      </c>
      <c r="AB129" s="24"/>
    </row>
    <row r="130" spans="1:29">
      <c r="A130" s="48"/>
      <c r="B130" s="48"/>
      <c r="C130" s="48" t="s">
        <v>271</v>
      </c>
      <c r="D130" s="48"/>
      <c r="E130" s="48"/>
      <c r="F130" s="48"/>
      <c r="G130" s="48" t="s">
        <v>176</v>
      </c>
      <c r="H130" s="48"/>
      <c r="I130" s="24"/>
      <c r="J130" s="24"/>
      <c r="K130" s="24"/>
      <c r="L130" s="24"/>
      <c r="M130" s="75"/>
      <c r="N130" s="75"/>
      <c r="O130" s="75"/>
      <c r="P130" s="75"/>
      <c r="Q130" s="75"/>
      <c r="R130" s="75"/>
      <c r="S130" s="75"/>
      <c r="T130" s="368">
        <f>IF(T129 = 1, 0, 1)</f>
        <v>1</v>
      </c>
      <c r="U130" s="368">
        <f t="shared" ref="U130:AA130" si="23">IF(U129 = 1, 0, 1)</f>
        <v>1</v>
      </c>
      <c r="V130" s="368">
        <f t="shared" si="23"/>
        <v>1</v>
      </c>
      <c r="W130" s="368">
        <f t="shared" si="23"/>
        <v>1</v>
      </c>
      <c r="X130" s="368">
        <f t="shared" si="23"/>
        <v>1</v>
      </c>
      <c r="Y130" s="368">
        <f t="shared" si="23"/>
        <v>1</v>
      </c>
      <c r="Z130" s="368">
        <f t="shared" si="23"/>
        <v>1</v>
      </c>
      <c r="AA130" s="368">
        <f t="shared" si="23"/>
        <v>1</v>
      </c>
      <c r="AB130" s="24"/>
    </row>
    <row r="131" spans="1:29">
      <c r="A131" s="48"/>
      <c r="B131" s="48"/>
      <c r="C131" s="48"/>
      <c r="D131" s="48"/>
      <c r="E131" s="48"/>
      <c r="F131" s="48"/>
      <c r="G131" s="48"/>
      <c r="H131" s="48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</row>
    <row r="132" spans="1:29">
      <c r="A132" s="48"/>
      <c r="B132" s="48"/>
      <c r="C132" s="48" t="s">
        <v>128</v>
      </c>
      <c r="D132" s="48"/>
      <c r="E132" s="48"/>
      <c r="F132" s="64" t="s">
        <v>272</v>
      </c>
      <c r="G132" s="49" t="s">
        <v>29</v>
      </c>
      <c r="H132" s="48"/>
      <c r="I132" s="24"/>
      <c r="J132" s="24"/>
      <c r="K132" s="24"/>
      <c r="L132" s="24"/>
      <c r="M132" s="75"/>
      <c r="N132" s="75"/>
      <c r="O132" s="75"/>
      <c r="P132" s="75"/>
      <c r="Q132" s="75"/>
      <c r="R132" s="75"/>
      <c r="S132" s="75"/>
      <c r="T132" s="369">
        <f>T130 * MAX(T126, 0) * T128 / (1 - T128)</f>
        <v>5.0839052850691173</v>
      </c>
      <c r="U132" s="369">
        <f t="shared" ref="U132:AA132" si="24">U130 * MAX(U126, 0) * U128 / (1 - U128)</f>
        <v>4.6885335215897896</v>
      </c>
      <c r="V132" s="369">
        <f t="shared" si="24"/>
        <v>6.0309470722501386</v>
      </c>
      <c r="W132" s="369">
        <f t="shared" si="24"/>
        <v>0</v>
      </c>
      <c r="X132" s="369">
        <f t="shared" si="24"/>
        <v>0</v>
      </c>
      <c r="Y132" s="369">
        <f t="shared" si="24"/>
        <v>0</v>
      </c>
      <c r="Z132" s="369">
        <f t="shared" si="24"/>
        <v>0</v>
      </c>
      <c r="AA132" s="369">
        <f t="shared" si="24"/>
        <v>0</v>
      </c>
      <c r="AB132" s="24"/>
    </row>
    <row r="133" spans="1:29">
      <c r="A133" s="48"/>
      <c r="B133" s="48"/>
      <c r="C133" s="48"/>
      <c r="D133" s="48"/>
      <c r="E133" s="48"/>
      <c r="F133" s="48"/>
      <c r="G133" s="49"/>
      <c r="H133" s="49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</row>
    <row r="134" spans="1:29" s="17" customFormat="1" ht="18">
      <c r="A134" s="97" t="s">
        <v>13</v>
      </c>
      <c r="B134" s="97" t="s">
        <v>5</v>
      </c>
      <c r="C134" s="328"/>
      <c r="D134" s="328"/>
      <c r="E134" s="328"/>
      <c r="F134" s="328"/>
      <c r="G134" s="328"/>
      <c r="H134" s="328"/>
      <c r="I134" s="329"/>
      <c r="J134" s="329"/>
      <c r="K134" s="329"/>
      <c r="L134" s="329"/>
      <c r="M134" s="329"/>
      <c r="N134" s="329"/>
      <c r="O134" s="329"/>
      <c r="P134" s="329"/>
      <c r="Q134" s="329"/>
      <c r="R134" s="329"/>
      <c r="S134" s="329"/>
      <c r="T134" s="329"/>
      <c r="U134" s="329"/>
      <c r="V134" s="329"/>
      <c r="W134" s="329"/>
      <c r="X134" s="329"/>
      <c r="Y134" s="329"/>
      <c r="Z134" s="329"/>
      <c r="AA134" s="329"/>
      <c r="AB134" s="329"/>
      <c r="AC134" s="370"/>
    </row>
    <row r="135" spans="1:29">
      <c r="A135" s="48"/>
      <c r="B135" s="48"/>
      <c r="C135" s="48"/>
      <c r="D135" s="48"/>
      <c r="E135" s="48"/>
      <c r="F135" s="48"/>
      <c r="G135" s="48"/>
      <c r="H135" s="48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121"/>
      <c r="U135" s="121"/>
      <c r="V135" s="121"/>
      <c r="W135" s="121"/>
      <c r="X135" s="121"/>
      <c r="Y135" s="121"/>
      <c r="Z135" s="121"/>
      <c r="AA135" s="121"/>
      <c r="AB135" s="24"/>
    </row>
    <row r="136" spans="1:29">
      <c r="A136" s="48"/>
      <c r="B136" s="48"/>
      <c r="C136" s="48" t="s">
        <v>150</v>
      </c>
      <c r="D136" s="48"/>
      <c r="E136" s="48"/>
      <c r="F136" s="48"/>
      <c r="G136" s="48" t="s">
        <v>151</v>
      </c>
      <c r="H136" s="48"/>
      <c r="I136" s="24"/>
      <c r="J136" s="24"/>
      <c r="K136" s="327">
        <f>SUM(K4:K135)</f>
        <v>0</v>
      </c>
      <c r="L136" s="24"/>
      <c r="M136" s="24"/>
      <c r="N136" s="24"/>
      <c r="O136" s="24"/>
      <c r="P136" s="24"/>
      <c r="Q136" s="24"/>
      <c r="R136" s="24"/>
      <c r="S136" s="24"/>
      <c r="T136" s="72"/>
      <c r="U136" s="72"/>
      <c r="V136" s="72"/>
      <c r="W136" s="72"/>
      <c r="X136" s="72"/>
      <c r="Y136" s="72"/>
      <c r="Z136" s="72"/>
      <c r="AA136" s="72"/>
      <c r="AB136" s="24"/>
    </row>
    <row r="137" spans="1:29">
      <c r="A137" s="48"/>
      <c r="B137" s="48"/>
      <c r="C137" s="48"/>
      <c r="D137" s="48"/>
      <c r="E137" s="48"/>
      <c r="F137" s="48"/>
      <c r="G137" s="48"/>
      <c r="H137" s="48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72"/>
      <c r="U137" s="72"/>
      <c r="V137" s="72"/>
      <c r="W137" s="72"/>
      <c r="X137" s="72"/>
      <c r="Y137" s="72"/>
      <c r="Z137" s="72"/>
      <c r="AA137" s="72"/>
      <c r="AB137" s="24"/>
    </row>
    <row r="138" spans="1:29" s="17" customFormat="1" ht="18">
      <c r="A138" s="97" t="s">
        <v>13</v>
      </c>
      <c r="B138" s="97" t="s">
        <v>152</v>
      </c>
      <c r="C138" s="328"/>
      <c r="D138" s="328"/>
      <c r="E138" s="328"/>
      <c r="F138" s="328"/>
      <c r="G138" s="328"/>
      <c r="H138" s="328"/>
      <c r="I138" s="329"/>
      <c r="J138" s="329"/>
      <c r="K138" s="329"/>
      <c r="L138" s="329"/>
      <c r="M138" s="329"/>
      <c r="N138" s="329"/>
      <c r="O138" s="329"/>
      <c r="P138" s="329"/>
      <c r="Q138" s="329"/>
      <c r="R138" s="329"/>
      <c r="S138" s="329"/>
      <c r="T138" s="329"/>
      <c r="U138" s="329"/>
      <c r="V138" s="329"/>
      <c r="W138" s="329"/>
      <c r="X138" s="329"/>
      <c r="Y138" s="329"/>
      <c r="Z138" s="329"/>
      <c r="AA138" s="329"/>
      <c r="AB138" s="329"/>
      <c r="AC138" s="370" t="s">
        <v>273</v>
      </c>
    </row>
  </sheetData>
  <pageMargins left="0.7" right="0.7" top="0.75" bottom="0.75" header="0.3" footer="0.3"/>
  <pageSetup paperSize="9" orientation="portrait" horizontalDpi="4294967292" r:id="rId1"/>
  <headerFooter>
    <oddHeader>&amp;L&amp;"Poppins"&amp;12&amp;KFF00FF Public&amp;1#_x000D_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DCDDD72-B4CE-429C-A124-3D3FE7F72EA7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9" id="{9FB84EC9-A987-4E86-9A94-7B054D67384A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A8:XFD8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>
    <tabColor rgb="FFFFA78B"/>
  </sheetPr>
  <dimension ref="A1:AH140"/>
  <sheetViews>
    <sheetView showGridLines="0" zoomScale="70" zoomScaleNormal="70" workbookViewId="0">
      <pane xSplit="12" ySplit="10" topLeftCell="T11" activePane="bottomRight" state="frozen"/>
      <selection pane="topRight"/>
      <selection pane="bottomLeft"/>
      <selection pane="bottomRight" activeCell="T39" sqref="T39"/>
    </sheetView>
  </sheetViews>
  <sheetFormatPr defaultColWidth="0" defaultRowHeight="14" outlineLevelCol="1"/>
  <cols>
    <col min="1" max="3" width="2.5" style="21" customWidth="1"/>
    <col min="4" max="4" width="55.5" style="21" customWidth="1"/>
    <col min="5" max="5" width="25.5" style="21" customWidth="1"/>
    <col min="6" max="7" width="20.5" style="21" customWidth="1"/>
    <col min="8" max="8" width="2.5" style="21" customWidth="1"/>
    <col min="9" max="9" width="12.5" style="3" customWidth="1"/>
    <col min="10" max="10" width="2.5" style="3" customWidth="1"/>
    <col min="11" max="11" width="12.5" style="3" customWidth="1"/>
    <col min="12" max="12" width="2.5" style="3" customWidth="1"/>
    <col min="13" max="19" width="12.5" style="3" hidden="1" customWidth="1" outlineLevel="1"/>
    <col min="20" max="20" width="12.5" style="3" customWidth="1" collapsed="1"/>
    <col min="21" max="27" width="12.5" style="3" customWidth="1"/>
    <col min="28" max="28" width="2.5" style="3" customWidth="1"/>
    <col min="29" max="34" width="0" style="3" hidden="1" customWidth="1"/>
    <col min="35" max="16384" width="9.5" style="3" hidden="1"/>
  </cols>
  <sheetData>
    <row r="1" spans="1:28" s="11" customFormat="1" ht="23">
      <c r="A1" s="109"/>
      <c r="B1" s="109" t="str" cm="1">
        <f t="array" aca="1" ref="B1" ca="1">MID(CELL("filename", A1), FIND("]", CELL("filename", A1)) + 1, 255)</f>
        <v>Elec</v>
      </c>
      <c r="C1" s="109"/>
      <c r="D1" s="109"/>
      <c r="E1" s="109"/>
      <c r="F1" s="110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13" customFormat="1" ht="14.5" customHeight="1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s="13" customFormat="1" ht="14.5" customHeight="1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s="13" customFormat="1" ht="14.5" customHeight="1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26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1" customFormat="1" ht="23">
      <c r="A10" s="109"/>
      <c r="B10" s="109" t="str">
        <f>Project_Name</f>
        <v>NESO Financial Model</v>
      </c>
      <c r="C10" s="109"/>
      <c r="D10" s="109"/>
      <c r="E10" s="109"/>
      <c r="F10" s="110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customFormat="1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customFormat="1" ht="18">
      <c r="A12" s="97" t="s">
        <v>13</v>
      </c>
      <c r="B12" s="97" t="s">
        <v>274</v>
      </c>
      <c r="C12" s="328"/>
      <c r="D12" s="328"/>
      <c r="E12" s="328"/>
      <c r="F12" s="371"/>
      <c r="G12" s="328"/>
      <c r="H12" s="328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</row>
    <row r="13" spans="1:28" customFormat="1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customFormat="1" ht="14.5">
      <c r="A14" s="48"/>
      <c r="B14" s="206" t="s">
        <v>275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customFormat="1">
      <c r="A15" s="48"/>
      <c r="B15" s="48"/>
      <c r="C15" s="48"/>
      <c r="D15" s="48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customFormat="1">
      <c r="A16" s="48"/>
      <c r="B16" s="48"/>
      <c r="C16" s="77" t="str">
        <f>Inputs!C$17</f>
        <v xml:space="preserve">Year t </v>
      </c>
      <c r="D16" s="78"/>
      <c r="E16" s="79"/>
      <c r="F16" s="79"/>
      <c r="G16" s="79" t="str">
        <f>Inputs!G$17</f>
        <v>12 months ending</v>
      </c>
      <c r="H16" s="79"/>
      <c r="I16" s="344">
        <f>Inputs!I$17</f>
        <v>46477</v>
      </c>
      <c r="J16" s="24"/>
      <c r="K16" s="24"/>
      <c r="L16" s="48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>
      <c r="A17" s="48"/>
      <c r="B17" s="48"/>
      <c r="C17" s="77" t="s">
        <v>276</v>
      </c>
      <c r="D17" s="61"/>
      <c r="E17" s="48"/>
      <c r="F17" s="48"/>
      <c r="G17" s="48" t="s">
        <v>176</v>
      </c>
      <c r="H17" s="48"/>
      <c r="I17" s="24"/>
      <c r="J17" s="24"/>
      <c r="K17" s="24"/>
      <c r="L17" s="80"/>
      <c r="M17" s="81"/>
      <c r="N17" s="81"/>
      <c r="O17" s="81"/>
      <c r="P17" s="81"/>
      <c r="Q17" s="81"/>
      <c r="R17" s="81"/>
      <c r="S17" s="81"/>
      <c r="T17" s="372">
        <f t="shared" ref="T17:Z17" si="0">IF(T$6 &lt; $I$16, 1, 0)</f>
        <v>1</v>
      </c>
      <c r="U17" s="372">
        <f t="shared" si="0"/>
        <v>1</v>
      </c>
      <c r="V17" s="372">
        <f t="shared" si="0"/>
        <v>0</v>
      </c>
      <c r="W17" s="372">
        <f t="shared" si="0"/>
        <v>0</v>
      </c>
      <c r="X17" s="372">
        <f t="shared" si="0"/>
        <v>0</v>
      </c>
      <c r="Y17" s="372">
        <f t="shared" si="0"/>
        <v>0</v>
      </c>
      <c r="Z17" s="372">
        <f t="shared" si="0"/>
        <v>0</v>
      </c>
      <c r="AA17" s="81"/>
      <c r="AB17" s="24"/>
    </row>
    <row r="18" spans="1:28" customFormat="1">
      <c r="A18" s="48"/>
      <c r="B18" s="48"/>
      <c r="C18" s="77" t="s">
        <v>277</v>
      </c>
      <c r="D18" s="78"/>
      <c r="E18" s="79"/>
      <c r="F18" s="79"/>
      <c r="G18" s="48" t="s">
        <v>176</v>
      </c>
      <c r="H18" s="79"/>
      <c r="I18" s="82"/>
      <c r="J18" s="24"/>
      <c r="K18" s="24"/>
      <c r="L18" s="80"/>
      <c r="M18" s="81"/>
      <c r="N18" s="81"/>
      <c r="O18" s="81"/>
      <c r="P18" s="81"/>
      <c r="Q18" s="81"/>
      <c r="R18" s="81"/>
      <c r="S18" s="81"/>
      <c r="T18" s="81"/>
      <c r="U18" s="372">
        <f t="shared" ref="U18:AA18" si="1">IF(U$6 = $I$16, 1, 0)</f>
        <v>0</v>
      </c>
      <c r="V18" s="372">
        <f t="shared" si="1"/>
        <v>1</v>
      </c>
      <c r="W18" s="372">
        <f t="shared" si="1"/>
        <v>0</v>
      </c>
      <c r="X18" s="372">
        <f t="shared" si="1"/>
        <v>0</v>
      </c>
      <c r="Y18" s="372">
        <f t="shared" si="1"/>
        <v>0</v>
      </c>
      <c r="Z18" s="372">
        <f t="shared" si="1"/>
        <v>0</v>
      </c>
      <c r="AA18" s="372">
        <f t="shared" si="1"/>
        <v>0</v>
      </c>
      <c r="AB18" s="24"/>
    </row>
    <row r="19" spans="1:28">
      <c r="A19" s="48"/>
      <c r="B19" s="48"/>
      <c r="C19" s="48" t="s">
        <v>278</v>
      </c>
      <c r="D19" s="48"/>
      <c r="E19" s="48"/>
      <c r="F19" s="48"/>
      <c r="G19" s="48" t="s">
        <v>176</v>
      </c>
      <c r="H19" s="48"/>
      <c r="I19" s="24"/>
      <c r="J19" s="24"/>
      <c r="K19" s="24"/>
      <c r="L19" s="24"/>
      <c r="M19" s="81"/>
      <c r="N19" s="81"/>
      <c r="O19" s="81"/>
      <c r="P19" s="81"/>
      <c r="Q19" s="81"/>
      <c r="R19" s="81"/>
      <c r="S19" s="81"/>
      <c r="T19" s="81"/>
      <c r="U19" s="81"/>
      <c r="V19" s="372">
        <f t="shared" ref="V19:AA19" si="2">IF(V$6 &gt; $I$16, 1, 0)</f>
        <v>0</v>
      </c>
      <c r="W19" s="372">
        <f t="shared" si="2"/>
        <v>1</v>
      </c>
      <c r="X19" s="372">
        <f t="shared" si="2"/>
        <v>1</v>
      </c>
      <c r="Y19" s="372">
        <f t="shared" si="2"/>
        <v>1</v>
      </c>
      <c r="Z19" s="372">
        <f t="shared" si="2"/>
        <v>1</v>
      </c>
      <c r="AA19" s="372">
        <f t="shared" si="2"/>
        <v>1</v>
      </c>
      <c r="AB19" s="24"/>
    </row>
    <row r="20" spans="1:28" customForma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>
      <c r="A21" s="48"/>
      <c r="B21" s="48"/>
      <c r="C21" s="48" t="str">
        <f>Inputs!C63</f>
        <v>External BSUoS Income reporting delay from year t</v>
      </c>
      <c r="D21" s="48"/>
      <c r="E21" s="48"/>
      <c r="F21" s="48"/>
      <c r="G21" s="48" t="str">
        <f>Inputs!G63</f>
        <v>Years</v>
      </c>
      <c r="H21" s="48"/>
      <c r="I21" s="373">
        <f>Inputs!I63</f>
        <v>2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72"/>
      <c r="U21" s="72"/>
      <c r="V21" s="72"/>
      <c r="W21" s="72"/>
      <c r="X21" s="72"/>
      <c r="Y21" s="72"/>
      <c r="Z21" s="72"/>
      <c r="AA21" s="72"/>
      <c r="AB21" s="24"/>
    </row>
    <row r="22" spans="1:28">
      <c r="A22" s="48"/>
      <c r="B22" s="48"/>
      <c r="C22" s="48" t="s">
        <v>279</v>
      </c>
      <c r="D22" s="48"/>
      <c r="E22" s="48"/>
      <c r="F22" s="48"/>
      <c r="G22" s="79" t="s">
        <v>19</v>
      </c>
      <c r="H22" s="48"/>
      <c r="I22" s="374">
        <f>DATE(YEAR(I16) - I21, MONTH(I16), DAY(I16))</f>
        <v>45747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72"/>
      <c r="U22" s="72"/>
      <c r="V22" s="72"/>
      <c r="W22" s="72"/>
      <c r="X22" s="72"/>
      <c r="Y22" s="72"/>
      <c r="Z22" s="72"/>
      <c r="AA22" s="72"/>
      <c r="AB22" s="24"/>
    </row>
    <row r="23" spans="1:28">
      <c r="A23" s="48"/>
      <c r="B23" s="48"/>
      <c r="C23" s="48" t="s">
        <v>280</v>
      </c>
      <c r="D23" s="48"/>
      <c r="E23" s="48"/>
      <c r="F23" s="48"/>
      <c r="G23" s="48" t="s">
        <v>176</v>
      </c>
      <c r="H23" s="48"/>
      <c r="I23" s="24"/>
      <c r="J23" s="24"/>
      <c r="K23" s="24"/>
      <c r="L23" s="24"/>
      <c r="M23" s="75"/>
      <c r="N23" s="75"/>
      <c r="O23" s="75"/>
      <c r="P23" s="75"/>
      <c r="Q23" s="75"/>
      <c r="R23" s="75"/>
      <c r="S23" s="75"/>
      <c r="T23" s="372">
        <f t="shared" ref="T23:AA23" si="3">IF(T$6 &lt;= $I$22, 1, 0)</f>
        <v>1</v>
      </c>
      <c r="U23" s="372">
        <f t="shared" si="3"/>
        <v>0</v>
      </c>
      <c r="V23" s="372">
        <f t="shared" si="3"/>
        <v>0</v>
      </c>
      <c r="W23" s="372">
        <f t="shared" si="3"/>
        <v>0</v>
      </c>
      <c r="X23" s="372">
        <f t="shared" si="3"/>
        <v>0</v>
      </c>
      <c r="Y23" s="372">
        <f t="shared" si="3"/>
        <v>0</v>
      </c>
      <c r="Z23" s="372">
        <f t="shared" si="3"/>
        <v>0</v>
      </c>
      <c r="AA23" s="372">
        <f t="shared" si="3"/>
        <v>0</v>
      </c>
      <c r="AB23" s="24"/>
    </row>
    <row r="24" spans="1:28">
      <c r="A24" s="48"/>
      <c r="B24" s="48"/>
      <c r="C24" s="48"/>
      <c r="D24" s="48"/>
      <c r="E24" s="48"/>
      <c r="F24" s="48"/>
      <c r="G24" s="48"/>
      <c r="H24" s="48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72"/>
      <c r="U24" s="72"/>
      <c r="V24" s="72"/>
      <c r="W24" s="72"/>
      <c r="X24" s="72"/>
      <c r="Y24" s="72"/>
      <c r="Z24" s="72"/>
      <c r="AA24" s="72"/>
      <c r="AB24" s="24"/>
    </row>
    <row r="25" spans="1:28" s="17" customFormat="1" ht="18">
      <c r="A25" s="97" t="s">
        <v>13</v>
      </c>
      <c r="B25" s="97" t="s">
        <v>281</v>
      </c>
      <c r="C25" s="328"/>
      <c r="D25" s="328"/>
      <c r="E25" s="328"/>
      <c r="F25" s="371"/>
      <c r="G25" s="328"/>
      <c r="H25" s="328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29"/>
    </row>
    <row r="26" spans="1:28">
      <c r="A26" s="48"/>
      <c r="B26" s="48"/>
      <c r="C26" s="48"/>
      <c r="D26" s="48"/>
      <c r="E26" s="48"/>
      <c r="F26" s="48"/>
      <c r="G26" s="48"/>
      <c r="H26" s="48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ht="14.5">
      <c r="A27" s="48"/>
      <c r="B27" s="206" t="s">
        <v>282</v>
      </c>
      <c r="C27" s="48"/>
      <c r="D27" s="48"/>
      <c r="E27" s="48"/>
      <c r="F27" s="48"/>
      <c r="G27" s="48"/>
      <c r="H27" s="48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customFormat="1">
      <c r="A28" s="24"/>
      <c r="B28" s="24"/>
      <c r="C28" s="24"/>
      <c r="D28" s="24"/>
      <c r="E28" s="24"/>
      <c r="F28" s="24"/>
      <c r="G28" s="48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>
      <c r="A29" s="48"/>
      <c r="B29" s="48"/>
      <c r="C29" s="51" t="s">
        <v>283</v>
      </c>
      <c r="D29" s="48"/>
      <c r="E29" s="51"/>
      <c r="F29" s="51"/>
      <c r="G29" s="51"/>
      <c r="H29" s="48"/>
      <c r="I29" s="52"/>
      <c r="J29" s="24"/>
      <c r="K29" s="52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>
      <c r="A30" s="48"/>
      <c r="B30" s="48"/>
      <c r="C30" s="48"/>
      <c r="D30" s="195" t="str">
        <f>Inputs!C$26</f>
        <v>Controllable Expenditure</v>
      </c>
      <c r="E30" s="195"/>
      <c r="F30" s="195" t="s">
        <v>284</v>
      </c>
      <c r="G30" s="195" t="str">
        <f>Inputs!G$26</f>
        <v>£m nominal</v>
      </c>
      <c r="H30" s="195"/>
      <c r="I30" s="197"/>
      <c r="J30" s="197"/>
      <c r="K30" s="197"/>
      <c r="L30" s="197"/>
      <c r="M30" s="202"/>
      <c r="N30" s="202"/>
      <c r="O30" s="202"/>
      <c r="P30" s="202"/>
      <c r="Q30" s="202"/>
      <c r="R30" s="202"/>
      <c r="S30" s="202"/>
      <c r="T30" s="362">
        <f>Inputs!T$26</f>
        <v>559.84330845094973</v>
      </c>
      <c r="U30" s="375">
        <f>Inputs!U$26</f>
        <v>656.06964251899217</v>
      </c>
      <c r="V30" s="375">
        <f>Inputs!V$26</f>
        <v>726.80786712216059</v>
      </c>
      <c r="W30" s="375">
        <f>Inputs!W$26</f>
        <v>0</v>
      </c>
      <c r="X30" s="375">
        <f>Inputs!X$26</f>
        <v>0</v>
      </c>
      <c r="Y30" s="375">
        <f>Inputs!Y$26</f>
        <v>0</v>
      </c>
      <c r="Z30" s="375">
        <f>Inputs!Z$26</f>
        <v>0</v>
      </c>
      <c r="AA30" s="375">
        <f>Inputs!AA$26</f>
        <v>0</v>
      </c>
      <c r="AB30" s="24"/>
    </row>
    <row r="31" spans="1:28">
      <c r="A31" s="48"/>
      <c r="B31" s="48"/>
      <c r="C31" s="48"/>
      <c r="D31" s="71" t="str">
        <f>Inputs!C$27</f>
        <v>Network Innovation Allowance Expenditure</v>
      </c>
      <c r="E31" s="71"/>
      <c r="F31" s="71" t="s">
        <v>285</v>
      </c>
      <c r="G31" s="71" t="str">
        <f>Inputs!G$27</f>
        <v>£m nominal</v>
      </c>
      <c r="H31" s="64"/>
      <c r="I31" s="65"/>
      <c r="J31" s="65"/>
      <c r="K31" s="65"/>
      <c r="L31" s="65"/>
      <c r="M31" s="75"/>
      <c r="N31" s="75"/>
      <c r="O31" s="75"/>
      <c r="P31" s="75"/>
      <c r="Q31" s="75"/>
      <c r="R31" s="75"/>
      <c r="S31" s="75"/>
      <c r="T31" s="376">
        <f>Inputs!T$27</f>
        <v>14.558099999999996</v>
      </c>
      <c r="U31" s="376">
        <f>Inputs!U$27</f>
        <v>18</v>
      </c>
      <c r="V31" s="376">
        <f>Inputs!V$27</f>
        <v>21</v>
      </c>
      <c r="W31" s="376">
        <f>Inputs!W$27</f>
        <v>0</v>
      </c>
      <c r="X31" s="376">
        <f>Inputs!X$27</f>
        <v>0</v>
      </c>
      <c r="Y31" s="376">
        <f>Inputs!Y$27</f>
        <v>0</v>
      </c>
      <c r="Z31" s="376">
        <f>Inputs!Z$27</f>
        <v>0</v>
      </c>
      <c r="AA31" s="376">
        <f>Inputs!AA$27</f>
        <v>0</v>
      </c>
      <c r="AB31" s="24"/>
    </row>
    <row r="32" spans="1:28">
      <c r="A32" s="48"/>
      <c r="B32" s="48"/>
      <c r="C32" s="48"/>
      <c r="D32" s="64" t="str">
        <f>Tax!C$132</f>
        <v>Tax</v>
      </c>
      <c r="E32" s="64"/>
      <c r="F32" s="71" t="s">
        <v>286</v>
      </c>
      <c r="G32" s="64" t="str">
        <f>Tax!G$132</f>
        <v>£m nominal</v>
      </c>
      <c r="H32" s="64"/>
      <c r="I32" s="65"/>
      <c r="J32" s="65"/>
      <c r="K32" s="65"/>
      <c r="L32" s="65"/>
      <c r="M32" s="75"/>
      <c r="N32" s="75"/>
      <c r="O32" s="75"/>
      <c r="P32" s="75"/>
      <c r="Q32" s="75"/>
      <c r="R32" s="75"/>
      <c r="S32" s="75"/>
      <c r="T32" s="111">
        <f>Tax!T$132</f>
        <v>5.0839052850691173</v>
      </c>
      <c r="U32" s="112">
        <f>Tax!U$132</f>
        <v>4.6885335215897896</v>
      </c>
      <c r="V32" s="112">
        <f>Tax!V$132</f>
        <v>6.0309470722501386</v>
      </c>
      <c r="W32" s="112">
        <f>Tax!W$132</f>
        <v>0</v>
      </c>
      <c r="X32" s="112">
        <f>Tax!X$132</f>
        <v>0</v>
      </c>
      <c r="Y32" s="112">
        <f>Tax!Y$132</f>
        <v>0</v>
      </c>
      <c r="Z32" s="112">
        <f>Tax!Z$132</f>
        <v>0</v>
      </c>
      <c r="AA32" s="112">
        <f>Tax!AA$132</f>
        <v>0</v>
      </c>
      <c r="AB32" s="24"/>
    </row>
    <row r="33" spans="1:28">
      <c r="A33" s="48"/>
      <c r="B33" s="48"/>
      <c r="C33" s="48"/>
      <c r="D33" s="71" t="str">
        <f>Inputs!C28</f>
        <v>Bad Debt Allowance</v>
      </c>
      <c r="E33" s="71"/>
      <c r="F33" s="71" t="s">
        <v>287</v>
      </c>
      <c r="G33" s="71" t="str">
        <f>Inputs!G28</f>
        <v>£m nominal</v>
      </c>
      <c r="H33" s="64"/>
      <c r="I33" s="65"/>
      <c r="J33" s="65"/>
      <c r="K33" s="65"/>
      <c r="L33" s="65"/>
      <c r="M33" s="75"/>
      <c r="N33" s="75"/>
      <c r="O33" s="75"/>
      <c r="P33" s="75"/>
      <c r="Q33" s="75"/>
      <c r="R33" s="75"/>
      <c r="S33" s="75"/>
      <c r="T33" s="376">
        <f>Inputs!T$28</f>
        <v>5.6569240000000021E-2</v>
      </c>
      <c r="U33" s="376">
        <f>Inputs!U$28</f>
        <v>1.9174018158333324</v>
      </c>
      <c r="V33" s="376">
        <f>Inputs!V$28</f>
        <v>1.1000000000000001</v>
      </c>
      <c r="W33" s="376">
        <f>Inputs!W$28</f>
        <v>0</v>
      </c>
      <c r="X33" s="376">
        <f>Inputs!X$28</f>
        <v>0</v>
      </c>
      <c r="Y33" s="376">
        <f>Inputs!Y$28</f>
        <v>0</v>
      </c>
      <c r="Z33" s="376">
        <f>Inputs!Z$28</f>
        <v>0</v>
      </c>
      <c r="AA33" s="376">
        <f>Inputs!AA$28</f>
        <v>0</v>
      </c>
      <c r="AB33" s="24"/>
    </row>
    <row r="34" spans="1:28">
      <c r="A34" s="48"/>
      <c r="B34" s="48"/>
      <c r="C34" s="48"/>
      <c r="D34" s="71" t="str">
        <f>Inputs!C$29</f>
        <v>FSO Transition Payments</v>
      </c>
      <c r="E34" s="71"/>
      <c r="F34" s="71" t="s">
        <v>288</v>
      </c>
      <c r="G34" s="71" t="str">
        <f>Inputs!G$29</f>
        <v>£m nominal</v>
      </c>
      <c r="H34" s="64"/>
      <c r="I34" s="65"/>
      <c r="J34" s="65"/>
      <c r="K34" s="65"/>
      <c r="L34" s="65"/>
      <c r="M34" s="75"/>
      <c r="N34" s="75"/>
      <c r="O34" s="75"/>
      <c r="P34" s="75"/>
      <c r="Q34" s="75"/>
      <c r="R34" s="75"/>
      <c r="S34" s="75"/>
      <c r="T34" s="377">
        <f>Inputs!T$29</f>
        <v>41.274294850000004</v>
      </c>
      <c r="U34" s="376">
        <f>Inputs!U$29</f>
        <v>26</v>
      </c>
      <c r="V34" s="376">
        <f>Inputs!V$29</f>
        <v>28.6</v>
      </c>
      <c r="W34" s="376">
        <f>Inputs!W$29</f>
        <v>0</v>
      </c>
      <c r="X34" s="376">
        <f>Inputs!X$29</f>
        <v>0</v>
      </c>
      <c r="Y34" s="376">
        <f>Inputs!Y$29</f>
        <v>0</v>
      </c>
      <c r="Z34" s="376">
        <f>Inputs!Z$29</f>
        <v>0</v>
      </c>
      <c r="AA34" s="376">
        <f>Inputs!AA$29</f>
        <v>0</v>
      </c>
      <c r="AB34" s="24"/>
    </row>
    <row r="35" spans="1:28">
      <c r="A35" s="48"/>
      <c r="B35" s="48"/>
      <c r="C35" s="48"/>
      <c r="D35" s="71" t="str">
        <f>Inputs!C$30</f>
        <v>Fines and Penalties</v>
      </c>
      <c r="E35" s="71"/>
      <c r="F35" s="71" t="s">
        <v>289</v>
      </c>
      <c r="G35" s="71" t="str">
        <f>Inputs!G$30</f>
        <v>£m nominal</v>
      </c>
      <c r="H35" s="64"/>
      <c r="I35" s="65"/>
      <c r="J35" s="65"/>
      <c r="K35" s="65"/>
      <c r="L35" s="65"/>
      <c r="M35" s="75"/>
      <c r="N35" s="75"/>
      <c r="O35" s="75"/>
      <c r="P35" s="75"/>
      <c r="Q35" s="75"/>
      <c r="R35" s="75"/>
      <c r="S35" s="75"/>
      <c r="T35" s="377">
        <f>Inputs!T$30</f>
        <v>0</v>
      </c>
      <c r="U35" s="376">
        <f>Inputs!U$30</f>
        <v>0</v>
      </c>
      <c r="V35" s="376">
        <f>Inputs!V$30</f>
        <v>0</v>
      </c>
      <c r="W35" s="376">
        <f>Inputs!W$30</f>
        <v>0</v>
      </c>
      <c r="X35" s="376">
        <f>Inputs!X$30</f>
        <v>0</v>
      </c>
      <c r="Y35" s="376">
        <f>Inputs!Y$30</f>
        <v>0</v>
      </c>
      <c r="Z35" s="376">
        <f>Inputs!Z$30</f>
        <v>0</v>
      </c>
      <c r="AA35" s="376">
        <f>Inputs!AA$30</f>
        <v>0</v>
      </c>
      <c r="AB35" s="24"/>
    </row>
    <row r="36" spans="1:28">
      <c r="A36" s="48"/>
      <c r="B36" s="48"/>
      <c r="C36" s="48"/>
      <c r="D36" s="71" t="str">
        <f>Inputs!C$31</f>
        <v>Interest costs</v>
      </c>
      <c r="E36" s="71"/>
      <c r="F36" s="71" t="s">
        <v>290</v>
      </c>
      <c r="G36" s="71" t="str">
        <f>Inputs!G$31</f>
        <v>£m nominal</v>
      </c>
      <c r="H36" s="64"/>
      <c r="I36" s="65"/>
      <c r="J36" s="65"/>
      <c r="K36" s="65"/>
      <c r="L36" s="65"/>
      <c r="M36" s="75"/>
      <c r="N36" s="75"/>
      <c r="O36" s="75"/>
      <c r="P36" s="75"/>
      <c r="Q36" s="75"/>
      <c r="R36" s="75"/>
      <c r="S36" s="75"/>
      <c r="T36" s="378">
        <f>Inputs!T$31</f>
        <v>-12.343158683408276</v>
      </c>
      <c r="U36" s="379">
        <f>Inputs!U$31</f>
        <v>-12.444315393520917</v>
      </c>
      <c r="V36" s="379">
        <f>Inputs!V$31</f>
        <v>-16</v>
      </c>
      <c r="W36" s="379">
        <f>Inputs!W$31</f>
        <v>0</v>
      </c>
      <c r="X36" s="379">
        <f>Inputs!X$31</f>
        <v>0</v>
      </c>
      <c r="Y36" s="379">
        <f>Inputs!Y$31</f>
        <v>0</v>
      </c>
      <c r="Z36" s="379">
        <f>Inputs!Z$31</f>
        <v>0</v>
      </c>
      <c r="AA36" s="379">
        <f>Inputs!AA$31</f>
        <v>0</v>
      </c>
      <c r="AB36" s="24"/>
    </row>
    <row r="37" spans="1:28">
      <c r="A37" s="48"/>
      <c r="B37" s="48"/>
      <c r="C37" s="48"/>
      <c r="D37" s="64" t="str">
        <f>"Less " &amp; Inputs!C$32</f>
        <v>Less Other Net Revenues</v>
      </c>
      <c r="E37" s="64"/>
      <c r="F37" s="98" t="s">
        <v>291</v>
      </c>
      <c r="G37" s="64" t="str">
        <f>Inputs!G$32</f>
        <v>£m nominal</v>
      </c>
      <c r="H37" s="64"/>
      <c r="I37" s="65"/>
      <c r="J37" s="65"/>
      <c r="K37" s="65"/>
      <c r="L37" s="65"/>
      <c r="M37" s="75"/>
      <c r="N37" s="75"/>
      <c r="O37" s="75"/>
      <c r="P37" s="75"/>
      <c r="Q37" s="75"/>
      <c r="R37" s="75"/>
      <c r="S37" s="75"/>
      <c r="T37" s="380">
        <f>(-1) * Inputs!T$32</f>
        <v>-7.3677259999999967E-2</v>
      </c>
      <c r="U37" s="381">
        <f>(-1) * Inputs!U$32</f>
        <v>-0.15164254000000002</v>
      </c>
      <c r="V37" s="381">
        <f>(-1) * Inputs!V$32</f>
        <v>-0.15770824160000002</v>
      </c>
      <c r="W37" s="381">
        <f>(-1) * Inputs!W$32</f>
        <v>0</v>
      </c>
      <c r="X37" s="381">
        <f>(-1) * Inputs!X$32</f>
        <v>0</v>
      </c>
      <c r="Y37" s="381">
        <f>(-1) * Inputs!Y$32</f>
        <v>0</v>
      </c>
      <c r="Z37" s="381">
        <f>(-1) * Inputs!Z$32</f>
        <v>0</v>
      </c>
      <c r="AA37" s="381">
        <f>(-1) * Inputs!AA$32</f>
        <v>0</v>
      </c>
      <c r="AB37" s="24"/>
    </row>
    <row r="38" spans="1:28">
      <c r="A38" s="48"/>
      <c r="B38" s="48"/>
      <c r="C38" s="48"/>
      <c r="D38" s="64" t="str">
        <f>Inputs!C$33</f>
        <v>Other Adjustments</v>
      </c>
      <c r="E38" s="64"/>
      <c r="F38" s="64" t="s">
        <v>292</v>
      </c>
      <c r="G38" s="64" t="str">
        <f>Inputs!G$33</f>
        <v>£m nominal</v>
      </c>
      <c r="H38" s="64"/>
      <c r="I38" s="65"/>
      <c r="J38" s="65"/>
      <c r="K38" s="65"/>
      <c r="L38" s="65"/>
      <c r="M38" s="75"/>
      <c r="N38" s="75"/>
      <c r="O38" s="75"/>
      <c r="P38" s="75"/>
      <c r="Q38" s="75"/>
      <c r="R38" s="75"/>
      <c r="S38" s="75"/>
      <c r="T38" s="377">
        <f>Inputs!T$33</f>
        <v>0</v>
      </c>
      <c r="U38" s="376">
        <f>Inputs!U$33</f>
        <v>0</v>
      </c>
      <c r="V38" s="376">
        <f>Inputs!V$33</f>
        <v>0</v>
      </c>
      <c r="W38" s="376">
        <f>Inputs!W$33</f>
        <v>0</v>
      </c>
      <c r="X38" s="376">
        <f>Inputs!X$33</f>
        <v>0</v>
      </c>
      <c r="Y38" s="376">
        <f>Inputs!Y$33</f>
        <v>0</v>
      </c>
      <c r="Z38" s="376">
        <f>Inputs!Z$33</f>
        <v>0</v>
      </c>
      <c r="AA38" s="376">
        <f>Inputs!AA$33</f>
        <v>0</v>
      </c>
      <c r="AB38" s="24"/>
    </row>
    <row r="39" spans="1:28">
      <c r="A39" s="48"/>
      <c r="B39" s="48"/>
      <c r="C39" s="48"/>
      <c r="D39" s="64" t="str">
        <f>Inputs!C$34</f>
        <v>Legacy Revenue Adjustments</v>
      </c>
      <c r="E39" s="64"/>
      <c r="F39" s="64" t="s">
        <v>293</v>
      </c>
      <c r="G39" s="64" t="str">
        <f>Inputs!G$34</f>
        <v>£m nominal</v>
      </c>
      <c r="H39" s="64"/>
      <c r="I39" s="65"/>
      <c r="J39" s="65"/>
      <c r="K39" s="65"/>
      <c r="L39" s="65"/>
      <c r="M39" s="75"/>
      <c r="N39" s="75"/>
      <c r="O39" s="75"/>
      <c r="P39" s="75"/>
      <c r="Q39" s="75"/>
      <c r="R39" s="75"/>
      <c r="S39" s="75"/>
      <c r="T39" s="111">
        <f>Inputs!T$34</f>
        <v>-107.82411092957645</v>
      </c>
      <c r="U39" s="111">
        <f>Inputs!U$34</f>
        <v>0</v>
      </c>
      <c r="V39" s="111">
        <f>Inputs!V$34</f>
        <v>0</v>
      </c>
      <c r="W39" s="111">
        <f>Inputs!W$34</f>
        <v>0</v>
      </c>
      <c r="X39" s="111">
        <f>Inputs!X$34</f>
        <v>0</v>
      </c>
      <c r="Y39" s="111">
        <f>Inputs!Y$34</f>
        <v>0</v>
      </c>
      <c r="Z39" s="111">
        <f>Inputs!Z$34</f>
        <v>0</v>
      </c>
      <c r="AA39" s="111">
        <f>Inputs!AA$34</f>
        <v>0</v>
      </c>
      <c r="AB39" s="24"/>
    </row>
    <row r="40" spans="1:28">
      <c r="A40" s="48"/>
      <c r="B40" s="48"/>
      <c r="C40" s="48"/>
      <c r="D40" s="67" t="s">
        <v>294</v>
      </c>
      <c r="E40" s="67"/>
      <c r="F40" s="67" t="s">
        <v>295</v>
      </c>
      <c r="G40" s="67" t="s">
        <v>29</v>
      </c>
      <c r="H40" s="67"/>
      <c r="I40" s="68"/>
      <c r="J40" s="68"/>
      <c r="K40" s="68"/>
      <c r="L40" s="68"/>
      <c r="M40" s="95"/>
      <c r="N40" s="95"/>
      <c r="O40" s="95"/>
      <c r="P40" s="95"/>
      <c r="Q40" s="95"/>
      <c r="R40" s="95"/>
      <c r="S40" s="95"/>
      <c r="T40" s="382">
        <f t="shared" ref="T40:AA40" si="4">SUM(T30:T39)</f>
        <v>500.57523095303418</v>
      </c>
      <c r="U40" s="383">
        <f t="shared" si="4"/>
        <v>694.07961992289438</v>
      </c>
      <c r="V40" s="383">
        <f t="shared" si="4"/>
        <v>767.3811059528108</v>
      </c>
      <c r="W40" s="383">
        <f t="shared" si="4"/>
        <v>0</v>
      </c>
      <c r="X40" s="383">
        <f t="shared" si="4"/>
        <v>0</v>
      </c>
      <c r="Y40" s="383">
        <f t="shared" si="4"/>
        <v>0</v>
      </c>
      <c r="Z40" s="383">
        <f t="shared" si="4"/>
        <v>0</v>
      </c>
      <c r="AA40" s="383">
        <f t="shared" si="4"/>
        <v>0</v>
      </c>
      <c r="AB40" s="24"/>
    </row>
    <row r="41" spans="1:28">
      <c r="A41" s="48"/>
      <c r="B41" s="48"/>
      <c r="C41" s="48"/>
      <c r="D41" s="48"/>
      <c r="E41" s="48"/>
      <c r="F41" s="48"/>
      <c r="G41" s="48"/>
      <c r="H41" s="48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72"/>
      <c r="U41" s="72"/>
      <c r="V41" s="72"/>
      <c r="W41" s="72"/>
      <c r="X41" s="72"/>
      <c r="Y41" s="72"/>
      <c r="Z41" s="72"/>
      <c r="AA41" s="72"/>
      <c r="AB41" s="24"/>
    </row>
    <row r="42" spans="1:28">
      <c r="A42" s="48"/>
      <c r="B42" s="48"/>
      <c r="C42" s="64" t="s">
        <v>296</v>
      </c>
      <c r="D42" s="64"/>
      <c r="E42" s="64"/>
      <c r="F42" s="64" t="s">
        <v>297</v>
      </c>
      <c r="G42" s="64" t="s">
        <v>29</v>
      </c>
      <c r="H42" s="64"/>
      <c r="I42" s="65"/>
      <c r="J42" s="65"/>
      <c r="K42" s="65"/>
      <c r="L42" s="65"/>
      <c r="M42" s="75"/>
      <c r="N42" s="75"/>
      <c r="O42" s="75"/>
      <c r="P42" s="75"/>
      <c r="Q42" s="75"/>
      <c r="R42" s="75"/>
      <c r="S42" s="75"/>
      <c r="T42" s="384">
        <f>Inputs!$I$36 - T76</f>
        <v>534.54598574268368</v>
      </c>
      <c r="U42" s="384">
        <f>'Saved results'!U$34 * U$17</f>
        <v>732.79455812175911</v>
      </c>
      <c r="V42" s="384">
        <f>'Saved results'!V$34 * V$17</f>
        <v>0</v>
      </c>
      <c r="W42" s="384">
        <f>'Saved results'!W$34 * W$17</f>
        <v>0</v>
      </c>
      <c r="X42" s="384">
        <f>'Saved results'!X$34 * X$17</f>
        <v>0</v>
      </c>
      <c r="Y42" s="384">
        <f>'Saved results'!Y$34 * Y$17</f>
        <v>0</v>
      </c>
      <c r="Z42" s="384">
        <f>'Saved results'!Z$34 * Z$17</f>
        <v>0</v>
      </c>
      <c r="AA42" s="75"/>
      <c r="AB42" s="24"/>
    </row>
    <row r="43" spans="1:28" customFormat="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">
      <c r="A44" s="48"/>
      <c r="B44" s="48"/>
      <c r="C44" s="51" t="s">
        <v>298</v>
      </c>
      <c r="D44" s="48"/>
      <c r="E44" s="48"/>
      <c r="F44" s="48"/>
      <c r="G44" s="48"/>
      <c r="H44" s="48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72"/>
      <c r="U44" s="72"/>
      <c r="V44" s="72"/>
      <c r="W44" s="72"/>
      <c r="X44" s="72"/>
      <c r="Y44" s="72"/>
      <c r="Z44" s="72"/>
      <c r="AA44" s="24"/>
      <c r="AB44" s="24"/>
    </row>
    <row r="45" spans="1:28">
      <c r="A45" s="48"/>
      <c r="B45" s="48"/>
      <c r="C45" s="48"/>
      <c r="D45" s="195" t="s">
        <v>294</v>
      </c>
      <c r="E45" s="195"/>
      <c r="F45" s="195" t="s">
        <v>299</v>
      </c>
      <c r="G45" s="195" t="s">
        <v>29</v>
      </c>
      <c r="H45" s="195"/>
      <c r="I45" s="197"/>
      <c r="J45" s="197"/>
      <c r="K45" s="197"/>
      <c r="L45" s="197"/>
      <c r="M45" s="202"/>
      <c r="N45" s="202"/>
      <c r="O45" s="202"/>
      <c r="P45" s="202"/>
      <c r="Q45" s="202"/>
      <c r="R45" s="202"/>
      <c r="S45" s="202"/>
      <c r="T45" s="338">
        <f t="shared" ref="T45:Z45" si="5">T40 * T$17</f>
        <v>500.57523095303418</v>
      </c>
      <c r="U45" s="338">
        <f t="shared" si="5"/>
        <v>694.07961992289438</v>
      </c>
      <c r="V45" s="338">
        <f t="shared" si="5"/>
        <v>0</v>
      </c>
      <c r="W45" s="338">
        <f t="shared" si="5"/>
        <v>0</v>
      </c>
      <c r="X45" s="338">
        <f t="shared" si="5"/>
        <v>0</v>
      </c>
      <c r="Y45" s="338">
        <f t="shared" si="5"/>
        <v>0</v>
      </c>
      <c r="Z45" s="338">
        <f t="shared" si="5"/>
        <v>0</v>
      </c>
      <c r="AA45" s="202"/>
      <c r="AB45" s="24"/>
    </row>
    <row r="46" spans="1:28">
      <c r="A46" s="48"/>
      <c r="B46" s="48"/>
      <c r="C46" s="48"/>
      <c r="D46" s="64" t="s">
        <v>300</v>
      </c>
      <c r="E46" s="64"/>
      <c r="F46" s="64" t="s">
        <v>301</v>
      </c>
      <c r="G46" s="64" t="s">
        <v>29</v>
      </c>
      <c r="H46" s="64"/>
      <c r="I46" s="65"/>
      <c r="J46" s="65"/>
      <c r="K46" s="65"/>
      <c r="L46" s="65"/>
      <c r="M46" s="75"/>
      <c r="N46" s="75"/>
      <c r="O46" s="75"/>
      <c r="P46" s="75"/>
      <c r="Q46" s="75"/>
      <c r="R46" s="75"/>
      <c r="S46" s="75"/>
      <c r="T46" s="99"/>
      <c r="U46" s="100">
        <f t="shared" ref="U46:Z46" si="6">U$17 * (T47 - T42)</f>
        <v>-33.970754789649504</v>
      </c>
      <c r="V46" s="100">
        <f t="shared" si="6"/>
        <v>0</v>
      </c>
      <c r="W46" s="100">
        <f>W$17 * (V47 - V42)</f>
        <v>0</v>
      </c>
      <c r="X46" s="100">
        <f t="shared" si="6"/>
        <v>0</v>
      </c>
      <c r="Y46" s="100">
        <f t="shared" si="6"/>
        <v>0</v>
      </c>
      <c r="Z46" s="100">
        <f t="shared" si="6"/>
        <v>0</v>
      </c>
      <c r="AA46" s="75"/>
      <c r="AB46" s="24"/>
    </row>
    <row r="47" spans="1:28">
      <c r="A47" s="48"/>
      <c r="B47" s="48"/>
      <c r="C47" s="48"/>
      <c r="D47" s="67" t="s">
        <v>281</v>
      </c>
      <c r="E47" s="67"/>
      <c r="F47" s="67" t="s">
        <v>302</v>
      </c>
      <c r="G47" s="67" t="s">
        <v>29</v>
      </c>
      <c r="H47" s="67"/>
      <c r="I47" s="68"/>
      <c r="J47" s="68"/>
      <c r="K47" s="68"/>
      <c r="L47" s="68"/>
      <c r="M47" s="95"/>
      <c r="N47" s="95"/>
      <c r="O47" s="95"/>
      <c r="P47" s="95"/>
      <c r="Q47" s="95"/>
      <c r="R47" s="95"/>
      <c r="S47" s="95"/>
      <c r="T47" s="382">
        <f t="shared" ref="T47:Z47" si="7">SUM(T45:T46)</f>
        <v>500.57523095303418</v>
      </c>
      <c r="U47" s="382">
        <f t="shared" si="7"/>
        <v>660.10886513324488</v>
      </c>
      <c r="V47" s="382">
        <f t="shared" si="7"/>
        <v>0</v>
      </c>
      <c r="W47" s="382">
        <f t="shared" si="7"/>
        <v>0</v>
      </c>
      <c r="X47" s="382">
        <f t="shared" si="7"/>
        <v>0</v>
      </c>
      <c r="Y47" s="382">
        <f t="shared" si="7"/>
        <v>0</v>
      </c>
      <c r="Z47" s="382">
        <f t="shared" si="7"/>
        <v>0</v>
      </c>
      <c r="AA47" s="95"/>
      <c r="AB47" s="24"/>
    </row>
    <row r="48" spans="1:28">
      <c r="A48" s="48"/>
      <c r="B48" s="48"/>
      <c r="C48" s="48"/>
      <c r="D48" s="48"/>
      <c r="E48" s="48"/>
      <c r="F48" s="48"/>
      <c r="G48" s="48"/>
      <c r="H48" s="48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72"/>
      <c r="U48" s="72"/>
      <c r="V48" s="72"/>
      <c r="W48" s="72"/>
      <c r="X48" s="72"/>
      <c r="Y48" s="72"/>
      <c r="Z48" s="72"/>
      <c r="AA48" s="72"/>
      <c r="AB48" s="24"/>
    </row>
    <row r="49" spans="1:28">
      <c r="A49" s="48"/>
      <c r="B49" s="48"/>
      <c r="C49" s="48" t="s">
        <v>303</v>
      </c>
      <c r="D49" s="48"/>
      <c r="E49" s="48"/>
      <c r="F49" s="48" t="s">
        <v>304</v>
      </c>
      <c r="G49" s="64" t="s">
        <v>29</v>
      </c>
      <c r="H49" s="48"/>
      <c r="I49" s="24"/>
      <c r="J49" s="24"/>
      <c r="K49" s="24"/>
      <c r="L49" s="24"/>
      <c r="M49" s="101"/>
      <c r="N49" s="101"/>
      <c r="O49" s="101"/>
      <c r="P49" s="101"/>
      <c r="Q49" s="101"/>
      <c r="R49" s="101"/>
      <c r="S49" s="101"/>
      <c r="T49" s="101"/>
      <c r="U49" s="333">
        <f t="shared" ref="U49:AA49" si="8">U$18 * (T47 - T42)</f>
        <v>0</v>
      </c>
      <c r="V49" s="333">
        <f t="shared" si="8"/>
        <v>-72.685692988514234</v>
      </c>
      <c r="W49" s="333">
        <f t="shared" si="8"/>
        <v>0</v>
      </c>
      <c r="X49" s="333">
        <f>X$18 * (W47 - W42)</f>
        <v>0</v>
      </c>
      <c r="Y49" s="333">
        <f t="shared" si="8"/>
        <v>0</v>
      </c>
      <c r="Z49" s="333">
        <f t="shared" si="8"/>
        <v>0</v>
      </c>
      <c r="AA49" s="333">
        <f t="shared" si="8"/>
        <v>0</v>
      </c>
      <c r="AB49" s="24"/>
    </row>
    <row r="50" spans="1:28">
      <c r="A50" s="48"/>
      <c r="B50" s="48"/>
      <c r="C50" s="48"/>
      <c r="D50" s="48"/>
      <c r="E50" s="48"/>
      <c r="F50" s="48"/>
      <c r="G50" s="64"/>
      <c r="H50" s="48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72"/>
      <c r="U50" s="72"/>
      <c r="V50" s="72"/>
      <c r="W50" s="72"/>
      <c r="X50" s="72"/>
      <c r="Y50" s="72"/>
      <c r="Z50" s="72"/>
      <c r="AA50" s="72"/>
      <c r="AB50" s="24"/>
    </row>
    <row r="51" spans="1:28">
      <c r="A51" s="48"/>
      <c r="B51" s="48"/>
      <c r="C51" s="48" t="s">
        <v>305</v>
      </c>
      <c r="D51" s="48"/>
      <c r="E51" s="48"/>
      <c r="F51" s="48" t="s">
        <v>306</v>
      </c>
      <c r="G51" s="64" t="s">
        <v>29</v>
      </c>
      <c r="H51" s="48"/>
      <c r="I51" s="24"/>
      <c r="J51" s="24"/>
      <c r="K51" s="24"/>
      <c r="L51" s="24"/>
      <c r="M51" s="101"/>
      <c r="N51" s="101"/>
      <c r="O51" s="101"/>
      <c r="P51" s="101"/>
      <c r="Q51" s="101"/>
      <c r="R51" s="101"/>
      <c r="S51" s="101"/>
      <c r="T51" s="101"/>
      <c r="U51" s="369">
        <f t="shared" ref="U51:AA51" si="9">U$18 * (U40 + U49)</f>
        <v>0</v>
      </c>
      <c r="V51" s="369">
        <f t="shared" si="9"/>
        <v>694.69541296429657</v>
      </c>
      <c r="W51" s="369">
        <f t="shared" si="9"/>
        <v>0</v>
      </c>
      <c r="X51" s="369">
        <f t="shared" si="9"/>
        <v>0</v>
      </c>
      <c r="Y51" s="369">
        <f t="shared" si="9"/>
        <v>0</v>
      </c>
      <c r="Z51" s="369">
        <f t="shared" si="9"/>
        <v>0</v>
      </c>
      <c r="AA51" s="339">
        <f t="shared" si="9"/>
        <v>0</v>
      </c>
      <c r="AB51" s="24"/>
    </row>
    <row r="52" spans="1:28">
      <c r="A52" s="48"/>
      <c r="B52" s="48"/>
      <c r="C52" s="48"/>
      <c r="D52" s="48"/>
      <c r="E52" s="48"/>
      <c r="F52" s="48"/>
      <c r="G52" s="48"/>
      <c r="H52" s="48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72"/>
      <c r="U52" s="72"/>
      <c r="V52" s="72"/>
      <c r="W52" s="72"/>
      <c r="X52" s="72"/>
      <c r="Y52" s="72"/>
      <c r="Z52" s="72"/>
      <c r="AA52" s="72"/>
      <c r="AB52" s="24"/>
    </row>
    <row r="53" spans="1:28">
      <c r="A53" s="48"/>
      <c r="B53" s="48"/>
      <c r="C53" s="51" t="s">
        <v>307</v>
      </c>
      <c r="D53" s="48"/>
      <c r="E53" s="48"/>
      <c r="F53" s="48"/>
      <c r="G53" s="48"/>
      <c r="H53" s="48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72"/>
      <c r="U53" s="72"/>
      <c r="V53" s="72"/>
      <c r="W53" s="72"/>
      <c r="X53" s="72"/>
      <c r="Y53" s="72"/>
      <c r="Z53" s="72"/>
      <c r="AA53" s="72"/>
      <c r="AB53" s="24"/>
    </row>
    <row r="54" spans="1:28">
      <c r="A54" s="48"/>
      <c r="B54" s="48"/>
      <c r="C54" s="48"/>
      <c r="D54" s="195" t="s">
        <v>308</v>
      </c>
      <c r="E54" s="195"/>
      <c r="F54" s="195" t="str">
        <f>'Saved results'!F$34</f>
        <v>INT*ₜ</v>
      </c>
      <c r="G54" s="195" t="str">
        <f>'Saved results'!G$34</f>
        <v>£m nominal</v>
      </c>
      <c r="H54" s="195"/>
      <c r="I54" s="197"/>
      <c r="J54" s="197"/>
      <c r="K54" s="197"/>
      <c r="L54" s="197"/>
      <c r="M54" s="202"/>
      <c r="N54" s="202"/>
      <c r="O54" s="202"/>
      <c r="P54" s="202"/>
      <c r="Q54" s="202"/>
      <c r="R54" s="202"/>
      <c r="S54" s="202"/>
      <c r="T54" s="338">
        <f>T42</f>
        <v>534.54598574268368</v>
      </c>
      <c r="U54" s="338">
        <f t="shared" ref="U54:Z54" si="10">U42</f>
        <v>732.79455812175911</v>
      </c>
      <c r="V54" s="338">
        <f t="shared" si="10"/>
        <v>0</v>
      </c>
      <c r="W54" s="338">
        <f t="shared" si="10"/>
        <v>0</v>
      </c>
      <c r="X54" s="338">
        <f t="shared" si="10"/>
        <v>0</v>
      </c>
      <c r="Y54" s="338">
        <f t="shared" si="10"/>
        <v>0</v>
      </c>
      <c r="Z54" s="338">
        <f t="shared" si="10"/>
        <v>0</v>
      </c>
      <c r="AA54" s="202"/>
      <c r="AB54" s="24"/>
    </row>
    <row r="55" spans="1:28">
      <c r="A55" s="48"/>
      <c r="B55" s="48"/>
      <c r="C55" s="48"/>
      <c r="D55" s="64" t="s">
        <v>309</v>
      </c>
      <c r="E55" s="64"/>
      <c r="F55" s="64" t="s">
        <v>302</v>
      </c>
      <c r="G55" s="64" t="str">
        <f>G51</f>
        <v>£m nominal</v>
      </c>
      <c r="H55" s="64"/>
      <c r="I55" s="65"/>
      <c r="J55" s="65"/>
      <c r="K55" s="65"/>
      <c r="L55" s="65"/>
      <c r="M55" s="75"/>
      <c r="N55" s="75"/>
      <c r="O55" s="75"/>
      <c r="P55" s="75"/>
      <c r="Q55" s="75"/>
      <c r="R55" s="75"/>
      <c r="S55" s="75"/>
      <c r="T55" s="75"/>
      <c r="U55" s="364">
        <f t="shared" ref="U55:AA55" si="11">U51</f>
        <v>0</v>
      </c>
      <c r="V55" s="364">
        <f t="shared" si="11"/>
        <v>694.69541296429657</v>
      </c>
      <c r="W55" s="364">
        <f t="shared" si="11"/>
        <v>0</v>
      </c>
      <c r="X55" s="364">
        <f t="shared" si="11"/>
        <v>0</v>
      </c>
      <c r="Y55" s="364">
        <f t="shared" si="11"/>
        <v>0</v>
      </c>
      <c r="Z55" s="364">
        <f t="shared" si="11"/>
        <v>0</v>
      </c>
      <c r="AA55" s="364">
        <f t="shared" si="11"/>
        <v>0</v>
      </c>
      <c r="AB55" s="24"/>
    </row>
    <row r="56" spans="1:28">
      <c r="A56" s="48"/>
      <c r="B56" s="48"/>
      <c r="C56" s="48"/>
      <c r="D56" s="64" t="s">
        <v>310</v>
      </c>
      <c r="E56" s="64"/>
      <c r="F56" s="64" t="s">
        <v>302</v>
      </c>
      <c r="G56" s="64" t="s">
        <v>29</v>
      </c>
      <c r="H56" s="64"/>
      <c r="I56" s="65"/>
      <c r="J56" s="65"/>
      <c r="K56" s="65"/>
      <c r="L56" s="65"/>
      <c r="M56" s="75"/>
      <c r="N56" s="75"/>
      <c r="O56" s="75"/>
      <c r="P56" s="75"/>
      <c r="Q56" s="75"/>
      <c r="R56" s="75"/>
      <c r="S56" s="75"/>
      <c r="T56" s="75"/>
      <c r="U56" s="75"/>
      <c r="V56" s="364">
        <f t="shared" ref="V56:AA56" si="12">V40 * V$19</f>
        <v>0</v>
      </c>
      <c r="W56" s="364">
        <f t="shared" si="12"/>
        <v>0</v>
      </c>
      <c r="X56" s="364">
        <f t="shared" si="12"/>
        <v>0</v>
      </c>
      <c r="Y56" s="364">
        <f t="shared" si="12"/>
        <v>0</v>
      </c>
      <c r="Z56" s="364">
        <f t="shared" si="12"/>
        <v>0</v>
      </c>
      <c r="AA56" s="364">
        <f t="shared" si="12"/>
        <v>0</v>
      </c>
      <c r="AB56" s="24"/>
    </row>
    <row r="57" spans="1:28">
      <c r="A57" s="48"/>
      <c r="B57" s="48"/>
      <c r="C57" s="48"/>
      <c r="D57" s="67" t="str">
        <f>C53</f>
        <v>Internal BSUoS Income (published and forecast)</v>
      </c>
      <c r="E57" s="67"/>
      <c r="F57" s="67" t="s">
        <v>302</v>
      </c>
      <c r="G57" s="67" t="s">
        <v>29</v>
      </c>
      <c r="H57" s="67"/>
      <c r="I57" s="68"/>
      <c r="J57" s="68"/>
      <c r="K57" s="68"/>
      <c r="L57" s="68"/>
      <c r="M57" s="95"/>
      <c r="N57" s="95"/>
      <c r="O57" s="95"/>
      <c r="P57" s="95"/>
      <c r="Q57" s="95"/>
      <c r="R57" s="95"/>
      <c r="S57" s="95"/>
      <c r="T57" s="383">
        <f t="shared" ref="T57:U57" si="13">SUM(T54:T56)</f>
        <v>534.54598574268368</v>
      </c>
      <c r="U57" s="383">
        <f t="shared" si="13"/>
        <v>732.79455812175911</v>
      </c>
      <c r="V57" s="383">
        <f>SUM(V54:V56)</f>
        <v>694.69541296429657</v>
      </c>
      <c r="W57" s="383">
        <f t="shared" ref="W57:AA57" si="14">SUM(W54:W56)</f>
        <v>0</v>
      </c>
      <c r="X57" s="383">
        <f t="shared" si="14"/>
        <v>0</v>
      </c>
      <c r="Y57" s="383">
        <f t="shared" si="14"/>
        <v>0</v>
      </c>
      <c r="Z57" s="383">
        <f t="shared" si="14"/>
        <v>0</v>
      </c>
      <c r="AA57" s="383">
        <f t="shared" si="14"/>
        <v>0</v>
      </c>
      <c r="AB57" s="24"/>
    </row>
    <row r="58" spans="1:28">
      <c r="A58" s="48"/>
      <c r="B58" s="48"/>
      <c r="C58" s="48"/>
      <c r="D58" s="48"/>
      <c r="E58" s="48"/>
      <c r="F58" s="48"/>
      <c r="G58" s="48"/>
      <c r="H58" s="48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72"/>
      <c r="U58" s="72"/>
      <c r="V58" s="72"/>
      <c r="W58" s="72"/>
      <c r="X58" s="72"/>
      <c r="Y58" s="72"/>
      <c r="Z58" s="72"/>
      <c r="AA58" s="72"/>
      <c r="AB58" s="24"/>
    </row>
    <row r="59" spans="1:28">
      <c r="A59" s="48"/>
      <c r="B59" s="48"/>
      <c r="C59" s="48" t="s">
        <v>311</v>
      </c>
      <c r="D59" s="48"/>
      <c r="E59" s="48"/>
      <c r="F59" s="48"/>
      <c r="G59" s="48" t="s">
        <v>151</v>
      </c>
      <c r="H59" s="48"/>
      <c r="I59" s="24"/>
      <c r="J59" s="24"/>
      <c r="K59" s="372">
        <f>SUM(T59:AA59)</f>
        <v>0</v>
      </c>
      <c r="L59" s="24"/>
      <c r="M59" s="81"/>
      <c r="N59" s="81"/>
      <c r="O59" s="81"/>
      <c r="P59" s="81"/>
      <c r="Q59" s="81"/>
      <c r="R59" s="81"/>
      <c r="S59" s="81"/>
      <c r="T59" s="372">
        <f>IF(COUNTIFS(T54:T56, "&lt;&gt;0", T54:T56, "&lt;&gt;") &gt; 1, 1, 0)</f>
        <v>0</v>
      </c>
      <c r="U59" s="372">
        <f t="shared" ref="U59:AA59" si="15">IF(COUNTIFS(U54:U56, "&lt;&gt;0", U54:U56, "&lt;&gt;") &gt; 1, 1, 0)</f>
        <v>0</v>
      </c>
      <c r="V59" s="372">
        <f t="shared" si="15"/>
        <v>0</v>
      </c>
      <c r="W59" s="372">
        <f t="shared" si="15"/>
        <v>0</v>
      </c>
      <c r="X59" s="372">
        <f t="shared" si="15"/>
        <v>0</v>
      </c>
      <c r="Y59" s="372">
        <f t="shared" si="15"/>
        <v>0</v>
      </c>
      <c r="Z59" s="372">
        <f t="shared" si="15"/>
        <v>0</v>
      </c>
      <c r="AA59" s="372">
        <f t="shared" si="15"/>
        <v>0</v>
      </c>
      <c r="AB59" s="24"/>
    </row>
    <row r="60" spans="1:28">
      <c r="A60" s="48"/>
      <c r="B60" s="48"/>
      <c r="C60" s="71" t="s">
        <v>312</v>
      </c>
      <c r="D60" s="71"/>
      <c r="E60" s="71"/>
      <c r="F60" s="71"/>
      <c r="G60" s="71" t="s">
        <v>151</v>
      </c>
      <c r="H60" s="48"/>
      <c r="I60" s="24"/>
      <c r="J60" s="24"/>
      <c r="K60" s="372">
        <f>SUM(T60:AA60)</f>
        <v>0</v>
      </c>
      <c r="L60" s="49"/>
      <c r="M60" s="81"/>
      <c r="N60" s="81"/>
      <c r="O60" s="81"/>
      <c r="P60" s="81"/>
      <c r="Q60" s="81"/>
      <c r="R60" s="81"/>
      <c r="S60" s="81"/>
      <c r="T60" s="81"/>
      <c r="U60" s="81"/>
      <c r="V60" s="372">
        <f t="shared" ref="V60:AA60" si="16">IF(AND(V$6 &gt; $I$16, V49 &lt;&gt; 0), 1, 0)</f>
        <v>0</v>
      </c>
      <c r="W60" s="372">
        <f t="shared" si="16"/>
        <v>0</v>
      </c>
      <c r="X60" s="372">
        <f t="shared" si="16"/>
        <v>0</v>
      </c>
      <c r="Y60" s="372">
        <f t="shared" si="16"/>
        <v>0</v>
      </c>
      <c r="Z60" s="372">
        <f t="shared" si="16"/>
        <v>0</v>
      </c>
      <c r="AA60" s="372">
        <f t="shared" si="16"/>
        <v>0</v>
      </c>
      <c r="AB60" s="24"/>
    </row>
    <row r="61" spans="1:28">
      <c r="A61" s="48"/>
      <c r="B61" s="48"/>
      <c r="C61" s="48"/>
      <c r="D61" s="64"/>
      <c r="E61" s="48"/>
      <c r="F61" s="48"/>
      <c r="G61" s="48"/>
      <c r="H61" s="48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72"/>
      <c r="U61" s="72"/>
      <c r="V61" s="72"/>
      <c r="W61" s="72"/>
      <c r="X61" s="72"/>
      <c r="Y61" s="72"/>
      <c r="Z61" s="72"/>
      <c r="AA61" s="72"/>
      <c r="AB61" s="24"/>
    </row>
    <row r="62" spans="1:28" s="17" customFormat="1" ht="18">
      <c r="A62" s="97" t="s">
        <v>13</v>
      </c>
      <c r="B62" s="97" t="s">
        <v>313</v>
      </c>
      <c r="C62" s="328"/>
      <c r="D62" s="328"/>
      <c r="E62" s="328"/>
      <c r="F62" s="371"/>
      <c r="G62" s="328"/>
      <c r="H62" s="328"/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85"/>
      <c r="U62" s="385"/>
      <c r="V62" s="385"/>
      <c r="W62" s="385"/>
      <c r="X62" s="385"/>
      <c r="Y62" s="385"/>
      <c r="Z62" s="385"/>
      <c r="AA62" s="385"/>
      <c r="AB62" s="329"/>
    </row>
    <row r="63" spans="1:28">
      <c r="A63" s="48"/>
      <c r="B63" s="48"/>
      <c r="C63" s="48"/>
      <c r="D63" s="48"/>
      <c r="E63" s="48"/>
      <c r="F63" s="48"/>
      <c r="G63" s="48"/>
      <c r="H63" s="48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72"/>
      <c r="U63" s="72"/>
      <c r="V63" s="72"/>
      <c r="W63" s="72"/>
      <c r="X63" s="72"/>
      <c r="Y63" s="72"/>
      <c r="Z63" s="72"/>
      <c r="AA63" s="72"/>
      <c r="AB63" s="24"/>
    </row>
    <row r="64" spans="1:28" ht="14.5">
      <c r="A64" s="48"/>
      <c r="B64" s="206" t="s">
        <v>314</v>
      </c>
      <c r="C64" s="48"/>
      <c r="D64" s="48"/>
      <c r="E64" s="48"/>
      <c r="F64" s="48"/>
      <c r="G64" s="48"/>
      <c r="H64" s="48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72"/>
      <c r="U64" s="72"/>
      <c r="V64" s="72"/>
      <c r="W64" s="72"/>
      <c r="X64" s="72"/>
      <c r="Y64" s="72"/>
      <c r="Z64" s="72"/>
      <c r="AA64" s="72"/>
      <c r="AB64" s="24"/>
    </row>
    <row r="65" spans="1:28">
      <c r="A65" s="48"/>
      <c r="B65" s="48"/>
      <c r="C65" s="48"/>
      <c r="D65" s="48"/>
      <c r="E65" s="48"/>
      <c r="F65" s="48"/>
      <c r="G65" s="48"/>
      <c r="H65" s="48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72"/>
      <c r="U65" s="102"/>
      <c r="V65" s="72"/>
      <c r="W65" s="72"/>
      <c r="X65" s="72"/>
      <c r="Y65" s="72"/>
      <c r="Z65" s="72"/>
      <c r="AA65" s="72"/>
      <c r="AB65" s="24"/>
    </row>
    <row r="66" spans="1:28">
      <c r="A66" s="48"/>
      <c r="B66" s="48"/>
      <c r="C66" s="51" t="s">
        <v>315</v>
      </c>
      <c r="D66" s="48"/>
      <c r="E66" s="48"/>
      <c r="F66" s="48"/>
      <c r="G66" s="48"/>
      <c r="H66" s="48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72"/>
      <c r="U66" s="72"/>
      <c r="V66" s="72"/>
      <c r="W66" s="72"/>
      <c r="X66" s="72"/>
      <c r="Y66" s="72"/>
      <c r="Z66" s="72"/>
      <c r="AA66" s="72"/>
      <c r="AB66" s="24"/>
    </row>
    <row r="67" spans="1:28">
      <c r="A67" s="48"/>
      <c r="B67" s="48"/>
      <c r="C67" s="48"/>
      <c r="D67" s="195" t="str">
        <f>RAV!D141</f>
        <v>Regulatory Asset Value (for RTNOₜ)</v>
      </c>
      <c r="E67" s="195"/>
      <c r="F67" s="195" t="s">
        <v>316</v>
      </c>
      <c r="G67" s="195" t="str">
        <f>RAV!G141</f>
        <v>£m nominal</v>
      </c>
      <c r="H67" s="195"/>
      <c r="I67" s="197"/>
      <c r="J67" s="197"/>
      <c r="K67" s="197"/>
      <c r="L67" s="197"/>
      <c r="M67" s="202"/>
      <c r="N67" s="202"/>
      <c r="O67" s="202"/>
      <c r="P67" s="202"/>
      <c r="Q67" s="202"/>
      <c r="R67" s="202"/>
      <c r="S67" s="202"/>
      <c r="T67" s="386">
        <f>RAV!T141</f>
        <v>425.09273473787903</v>
      </c>
      <c r="U67" s="332">
        <f>RAV!U141</f>
        <v>388.14326605615639</v>
      </c>
      <c r="V67" s="332">
        <f>RAV!V141</f>
        <v>300.59930578451065</v>
      </c>
      <c r="W67" s="332">
        <f>RAV!W141</f>
        <v>219.28145403264131</v>
      </c>
      <c r="X67" s="332">
        <f>RAV!X141</f>
        <v>145.41340293890835</v>
      </c>
      <c r="Y67" s="332">
        <f>RAV!Y141</f>
        <v>83.009484783192974</v>
      </c>
      <c r="Z67" s="332">
        <f>RAV!Z141</f>
        <v>36.291656199280389</v>
      </c>
      <c r="AA67" s="332">
        <f>RAV!AA141</f>
        <v>8.4631884450826611</v>
      </c>
      <c r="AB67" s="24"/>
    </row>
    <row r="68" spans="1:28" s="10" customFormat="1">
      <c r="A68" s="79"/>
      <c r="B68" s="79"/>
      <c r="C68" s="79"/>
      <c r="D68" s="64" t="str">
        <f>RAV!D$125</f>
        <v>Discount rate for Return on RAV</v>
      </c>
      <c r="E68" s="64"/>
      <c r="F68" s="64" t="s">
        <v>317</v>
      </c>
      <c r="G68" s="64" t="str">
        <f>RAV!G$125</f>
        <v>% annual, real</v>
      </c>
      <c r="H68" s="71"/>
      <c r="I68" s="103"/>
      <c r="J68" s="103"/>
      <c r="K68" s="103"/>
      <c r="L68" s="103"/>
      <c r="M68" s="75"/>
      <c r="N68" s="75"/>
      <c r="O68" s="75"/>
      <c r="P68" s="75"/>
      <c r="Q68" s="75"/>
      <c r="R68" s="75"/>
      <c r="S68" s="75"/>
      <c r="T68" s="387">
        <f>RAV!T$125</f>
        <v>1.7500000000000002E-2</v>
      </c>
      <c r="U68" s="387">
        <f>RAV!U$125</f>
        <v>3.5000000000000003E-2</v>
      </c>
      <c r="V68" s="387">
        <f>RAV!V$125</f>
        <v>3.5000000000000003E-2</v>
      </c>
      <c r="W68" s="387">
        <f>RAV!W$125</f>
        <v>3.5000000000000003E-2</v>
      </c>
      <c r="X68" s="387">
        <f>RAV!X$125</f>
        <v>3.5000000000000003E-2</v>
      </c>
      <c r="Y68" s="387">
        <f>RAV!Y$125</f>
        <v>3.5000000000000003E-2</v>
      </c>
      <c r="Z68" s="387">
        <f>RAV!Z$125</f>
        <v>3.5000000000000003E-2</v>
      </c>
      <c r="AA68" s="387">
        <f>RAV!AA$125</f>
        <v>3.5000000000000003E-2</v>
      </c>
      <c r="AB68" s="104"/>
    </row>
    <row r="69" spans="1:28">
      <c r="A69" s="48"/>
      <c r="B69" s="48"/>
      <c r="C69" s="48"/>
      <c r="D69" s="67" t="s">
        <v>315</v>
      </c>
      <c r="E69" s="67"/>
      <c r="F69" s="67" t="s">
        <v>318</v>
      </c>
      <c r="G69" s="67" t="s">
        <v>29</v>
      </c>
      <c r="H69" s="67"/>
      <c r="I69" s="68"/>
      <c r="J69" s="68"/>
      <c r="K69" s="68"/>
      <c r="L69" s="68"/>
      <c r="M69" s="95"/>
      <c r="N69" s="95"/>
      <c r="O69" s="95"/>
      <c r="P69" s="95"/>
      <c r="Q69" s="95"/>
      <c r="R69" s="95"/>
      <c r="S69" s="95"/>
      <c r="T69" s="388">
        <f t="shared" ref="T69:AA69" si="17">T67 * T68</f>
        <v>7.4391228579128841</v>
      </c>
      <c r="U69" s="389">
        <f t="shared" si="17"/>
        <v>13.585014311965475</v>
      </c>
      <c r="V69" s="389">
        <f t="shared" si="17"/>
        <v>10.520975702457873</v>
      </c>
      <c r="W69" s="389">
        <f t="shared" si="17"/>
        <v>7.6748508911424462</v>
      </c>
      <c r="X69" s="389">
        <f t="shared" si="17"/>
        <v>5.0894691028617931</v>
      </c>
      <c r="Y69" s="389">
        <f t="shared" si="17"/>
        <v>2.9053319674117546</v>
      </c>
      <c r="Z69" s="389">
        <f t="shared" si="17"/>
        <v>1.2702079669748136</v>
      </c>
      <c r="AA69" s="389">
        <f t="shared" si="17"/>
        <v>0.29621159557789317</v>
      </c>
      <c r="AB69" s="24"/>
    </row>
    <row r="70" spans="1:28">
      <c r="A70" s="48"/>
      <c r="B70" s="48"/>
      <c r="C70" s="48"/>
      <c r="D70" s="61"/>
      <c r="E70" s="48"/>
      <c r="F70" s="48"/>
      <c r="G70" s="48"/>
      <c r="H70" s="48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72"/>
      <c r="U70" s="72"/>
      <c r="V70" s="72"/>
      <c r="W70" s="72"/>
      <c r="X70" s="72"/>
      <c r="Y70" s="72"/>
      <c r="Z70" s="72"/>
      <c r="AA70" s="72"/>
      <c r="AB70" s="24"/>
    </row>
    <row r="71" spans="1:28">
      <c r="A71" s="48"/>
      <c r="B71" s="48"/>
      <c r="C71" s="51" t="s">
        <v>319</v>
      </c>
      <c r="D71" s="48"/>
      <c r="E71" s="48"/>
      <c r="F71" s="48"/>
      <c r="G71" s="48"/>
      <c r="H71" s="48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72"/>
      <c r="U71" s="72"/>
      <c r="V71" s="72"/>
      <c r="W71" s="72"/>
      <c r="X71" s="72"/>
      <c r="Y71" s="72"/>
      <c r="Z71" s="72"/>
      <c r="AA71" s="72"/>
      <c r="AB71" s="24"/>
    </row>
    <row r="72" spans="1:28">
      <c r="A72" s="48"/>
      <c r="B72" s="48"/>
      <c r="C72" s="51"/>
      <c r="D72" s="195" t="str">
        <f>RAV!D79</f>
        <v>Regulatory Depreciation</v>
      </c>
      <c r="E72" s="195"/>
      <c r="F72" s="195" t="s">
        <v>320</v>
      </c>
      <c r="G72" s="195" t="str">
        <f>RAV!G79</f>
        <v>£m nominal</v>
      </c>
      <c r="H72" s="195"/>
      <c r="I72" s="197"/>
      <c r="J72" s="197"/>
      <c r="K72" s="197"/>
      <c r="L72" s="197"/>
      <c r="M72" s="202"/>
      <c r="N72" s="202"/>
      <c r="O72" s="202"/>
      <c r="P72" s="202"/>
      <c r="Q72" s="202"/>
      <c r="R72" s="202"/>
      <c r="S72" s="202"/>
      <c r="T72" s="386">
        <f>RAV!T79</f>
        <v>47.085703920860254</v>
      </c>
      <c r="U72" s="332">
        <f>RAV!U79</f>
        <v>101.79256043929773</v>
      </c>
      <c r="V72" s="332">
        <f>RAV!V79</f>
        <v>92.429238239228738</v>
      </c>
      <c r="W72" s="332">
        <f>RAV!W79</f>
        <v>83.35864388929987</v>
      </c>
      <c r="X72" s="332">
        <f>RAV!X79</f>
        <v>74.114303790699722</v>
      </c>
      <c r="Y72" s="332">
        <f>RAV!Y79</f>
        <v>57.014479497375611</v>
      </c>
      <c r="Z72" s="332">
        <f>RAV!Z79</f>
        <v>39.955524794060764</v>
      </c>
      <c r="AA72" s="332">
        <f>RAV!AA79</f>
        <v>16.926376890165152</v>
      </c>
      <c r="AB72" s="24"/>
    </row>
    <row r="73" spans="1:28">
      <c r="A73" s="48"/>
      <c r="B73" s="48"/>
      <c r="C73" s="51"/>
      <c r="D73" s="64" t="str">
        <f>D69</f>
        <v>Return on RAV</v>
      </c>
      <c r="E73" s="64"/>
      <c r="F73" s="64" t="s">
        <v>321</v>
      </c>
      <c r="G73" s="64" t="str">
        <f>G69</f>
        <v>£m nominal</v>
      </c>
      <c r="H73" s="64"/>
      <c r="I73" s="65"/>
      <c r="J73" s="65"/>
      <c r="K73" s="65"/>
      <c r="L73" s="65"/>
      <c r="M73" s="75"/>
      <c r="N73" s="75"/>
      <c r="O73" s="75"/>
      <c r="P73" s="75"/>
      <c r="Q73" s="75"/>
      <c r="R73" s="75"/>
      <c r="S73" s="75"/>
      <c r="T73" s="364">
        <f t="shared" ref="T73:AA73" si="18">T69</f>
        <v>7.4391228579128841</v>
      </c>
      <c r="U73" s="390">
        <f t="shared" si="18"/>
        <v>13.585014311965475</v>
      </c>
      <c r="V73" s="390">
        <f t="shared" si="18"/>
        <v>10.520975702457873</v>
      </c>
      <c r="W73" s="390">
        <f t="shared" si="18"/>
        <v>7.6748508911424462</v>
      </c>
      <c r="X73" s="390">
        <f t="shared" si="18"/>
        <v>5.0894691028617931</v>
      </c>
      <c r="Y73" s="390">
        <f t="shared" si="18"/>
        <v>2.9053319674117546</v>
      </c>
      <c r="Z73" s="390">
        <f t="shared" si="18"/>
        <v>1.2702079669748136</v>
      </c>
      <c r="AA73" s="390">
        <f t="shared" si="18"/>
        <v>0.29621159557789317</v>
      </c>
      <c r="AB73" s="24"/>
    </row>
    <row r="74" spans="1:28">
      <c r="A74" s="48"/>
      <c r="B74" s="48"/>
      <c r="C74" s="48"/>
      <c r="D74" s="67" t="s">
        <v>319</v>
      </c>
      <c r="E74" s="67"/>
      <c r="F74" s="67" t="s">
        <v>322</v>
      </c>
      <c r="G74" s="67" t="s">
        <v>29</v>
      </c>
      <c r="H74" s="67"/>
      <c r="I74" s="68"/>
      <c r="J74" s="68"/>
      <c r="K74" s="68"/>
      <c r="L74" s="68"/>
      <c r="M74" s="95"/>
      <c r="N74" s="95"/>
      <c r="O74" s="95"/>
      <c r="P74" s="95"/>
      <c r="Q74" s="95"/>
      <c r="R74" s="95"/>
      <c r="S74" s="95"/>
      <c r="T74" s="382">
        <f t="shared" ref="T74:AA74" si="19">SUM(T72:T73)</f>
        <v>54.524826778773139</v>
      </c>
      <c r="U74" s="383">
        <f t="shared" si="19"/>
        <v>115.37757475126321</v>
      </c>
      <c r="V74" s="383">
        <f t="shared" si="19"/>
        <v>102.95021394168661</v>
      </c>
      <c r="W74" s="383">
        <f t="shared" si="19"/>
        <v>91.033494780442311</v>
      </c>
      <c r="X74" s="383">
        <f t="shared" si="19"/>
        <v>79.203772893561521</v>
      </c>
      <c r="Y74" s="383">
        <f t="shared" si="19"/>
        <v>59.919811464787365</v>
      </c>
      <c r="Z74" s="383">
        <f t="shared" si="19"/>
        <v>41.22573276103558</v>
      </c>
      <c r="AA74" s="383">
        <f t="shared" si="19"/>
        <v>17.222588485743046</v>
      </c>
      <c r="AB74" s="24"/>
    </row>
    <row r="75" spans="1:28">
      <c r="A75" s="48"/>
      <c r="B75" s="48"/>
      <c r="C75" s="48"/>
      <c r="D75" s="48"/>
      <c r="E75" s="48"/>
      <c r="F75" s="48"/>
      <c r="G75" s="48"/>
      <c r="H75" s="48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72"/>
      <c r="U75" s="72"/>
      <c r="V75" s="72"/>
      <c r="W75" s="72"/>
      <c r="X75" s="72"/>
      <c r="Y75" s="72"/>
      <c r="Z75" s="72"/>
      <c r="AA75" s="72"/>
      <c r="AB75" s="24"/>
    </row>
    <row r="76" spans="1:28">
      <c r="A76" s="48"/>
      <c r="B76" s="48"/>
      <c r="C76" s="71" t="s">
        <v>323</v>
      </c>
      <c r="D76" s="64"/>
      <c r="E76" s="64"/>
      <c r="F76" s="64" t="s">
        <v>324</v>
      </c>
      <c r="G76" s="64" t="s">
        <v>29</v>
      </c>
      <c r="H76" s="64"/>
      <c r="I76" s="65"/>
      <c r="J76" s="65"/>
      <c r="K76" s="65"/>
      <c r="L76" s="65"/>
      <c r="M76" s="75"/>
      <c r="N76" s="75"/>
      <c r="O76" s="75"/>
      <c r="P76" s="75"/>
      <c r="Q76" s="75"/>
      <c r="R76" s="75"/>
      <c r="S76" s="75"/>
      <c r="T76" s="391">
        <f xml:space="preserve"> 0.5 * (Inputs!I$56 + Inputs!I$57) * Inputs!I$88 / Indexation!$N$91</f>
        <v>61.088605477935758</v>
      </c>
      <c r="U76" s="384">
        <f>'Saved results'!U$53 * U$17</f>
        <v>108.74166317206712</v>
      </c>
      <c r="V76" s="384">
        <f>'Saved results'!V$53 * V$17</f>
        <v>0</v>
      </c>
      <c r="W76" s="384">
        <f>'Saved results'!W$53 * W$17</f>
        <v>0</v>
      </c>
      <c r="X76" s="384">
        <f>'Saved results'!X$53 * X$17</f>
        <v>0</v>
      </c>
      <c r="Y76" s="384">
        <f>'Saved results'!Y$53 * Y$17</f>
        <v>0</v>
      </c>
      <c r="Z76" s="384">
        <f>'Saved results'!Z$53 * Z$17</f>
        <v>0</v>
      </c>
      <c r="AA76" s="75"/>
      <c r="AB76" s="24"/>
    </row>
    <row r="77" spans="1:28">
      <c r="A77" s="48"/>
      <c r="B77" s="48"/>
      <c r="C77" s="48"/>
      <c r="D77" s="48"/>
      <c r="E77" s="48"/>
      <c r="F77" s="48"/>
      <c r="G77" s="48"/>
      <c r="H77" s="48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/>
      <c r="U77"/>
      <c r="V77" s="72"/>
      <c r="W77" s="72"/>
      <c r="X77" s="72"/>
      <c r="Y77" s="72"/>
      <c r="Z77" s="72"/>
      <c r="AA77" s="24"/>
      <c r="AB77" s="24"/>
    </row>
    <row r="78" spans="1:28">
      <c r="A78" s="48"/>
      <c r="B78" s="48"/>
      <c r="C78" s="51" t="s">
        <v>325</v>
      </c>
      <c r="D78" s="48"/>
      <c r="E78" s="48"/>
      <c r="F78" s="48"/>
      <c r="G78" s="48"/>
      <c r="H78" s="48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72"/>
      <c r="U78" s="72"/>
      <c r="V78" s="72"/>
      <c r="W78" s="72"/>
      <c r="X78" s="72"/>
      <c r="Y78" s="72"/>
      <c r="Z78" s="72"/>
      <c r="AA78" s="24"/>
      <c r="AB78" s="24"/>
    </row>
    <row r="79" spans="1:28">
      <c r="A79" s="48"/>
      <c r="B79" s="48"/>
      <c r="C79" s="48"/>
      <c r="D79" s="195" t="s">
        <v>319</v>
      </c>
      <c r="E79" s="195"/>
      <c r="F79" s="195" t="s">
        <v>326</v>
      </c>
      <c r="G79" s="195" t="s">
        <v>29</v>
      </c>
      <c r="H79" s="195"/>
      <c r="I79" s="197"/>
      <c r="J79" s="197"/>
      <c r="K79" s="197"/>
      <c r="L79" s="197"/>
      <c r="M79" s="202"/>
      <c r="N79" s="202"/>
      <c r="O79" s="202"/>
      <c r="P79" s="202"/>
      <c r="Q79" s="202"/>
      <c r="R79" s="202"/>
      <c r="S79" s="202"/>
      <c r="T79" s="338">
        <f t="shared" ref="T79:Z79" si="20">T74 * T$17</f>
        <v>54.524826778773139</v>
      </c>
      <c r="U79" s="338">
        <f t="shared" si="20"/>
        <v>115.37757475126321</v>
      </c>
      <c r="V79" s="338">
        <f t="shared" si="20"/>
        <v>0</v>
      </c>
      <c r="W79" s="338">
        <f t="shared" si="20"/>
        <v>0</v>
      </c>
      <c r="X79" s="338">
        <f t="shared" si="20"/>
        <v>0</v>
      </c>
      <c r="Y79" s="338">
        <f t="shared" si="20"/>
        <v>0</v>
      </c>
      <c r="Z79" s="338">
        <f t="shared" si="20"/>
        <v>0</v>
      </c>
      <c r="AA79" s="202"/>
      <c r="AB79" s="24"/>
    </row>
    <row r="80" spans="1:28">
      <c r="A80" s="48"/>
      <c r="B80" s="48"/>
      <c r="C80" s="48"/>
      <c r="D80" s="64" t="s">
        <v>327</v>
      </c>
      <c r="E80" s="64"/>
      <c r="F80" s="64" t="s">
        <v>328</v>
      </c>
      <c r="G80" s="64" t="s">
        <v>29</v>
      </c>
      <c r="H80" s="64"/>
      <c r="I80" s="65"/>
      <c r="J80" s="65"/>
      <c r="K80" s="65"/>
      <c r="L80" s="65"/>
      <c r="M80" s="75"/>
      <c r="N80" s="75"/>
      <c r="O80" s="75"/>
      <c r="P80" s="75"/>
      <c r="Q80" s="75"/>
      <c r="R80" s="75"/>
      <c r="S80" s="75"/>
      <c r="T80" s="99"/>
      <c r="U80" s="100">
        <f t="shared" ref="U80:Z80" si="21">U$17 * (T81 - T76)</f>
        <v>-6.5637786991626186</v>
      </c>
      <c r="V80" s="100">
        <f t="shared" si="21"/>
        <v>0</v>
      </c>
      <c r="W80" s="100">
        <f t="shared" si="21"/>
        <v>0</v>
      </c>
      <c r="X80" s="100">
        <f t="shared" si="21"/>
        <v>0</v>
      </c>
      <c r="Y80" s="100">
        <f t="shared" si="21"/>
        <v>0</v>
      </c>
      <c r="Z80" s="100">
        <f t="shared" si="21"/>
        <v>0</v>
      </c>
      <c r="AA80" s="75"/>
      <c r="AB80" s="24"/>
    </row>
    <row r="81" spans="1:28">
      <c r="A81" s="48"/>
      <c r="B81" s="48"/>
      <c r="C81" s="48"/>
      <c r="D81" s="67" t="s">
        <v>329</v>
      </c>
      <c r="E81" s="67"/>
      <c r="F81" s="67" t="s">
        <v>330</v>
      </c>
      <c r="G81" s="67" t="s">
        <v>29</v>
      </c>
      <c r="H81" s="67"/>
      <c r="I81" s="68"/>
      <c r="J81" s="68"/>
      <c r="K81" s="68"/>
      <c r="L81" s="68"/>
      <c r="M81" s="95"/>
      <c r="N81" s="95"/>
      <c r="O81" s="95"/>
      <c r="P81" s="95"/>
      <c r="Q81" s="95"/>
      <c r="R81" s="95"/>
      <c r="S81" s="95"/>
      <c r="T81" s="382">
        <f t="shared" ref="T81:Z81" si="22">SUM(T79:T80)</f>
        <v>54.524826778773139</v>
      </c>
      <c r="U81" s="382">
        <f t="shared" si="22"/>
        <v>108.8137960521006</v>
      </c>
      <c r="V81" s="382">
        <f t="shared" si="22"/>
        <v>0</v>
      </c>
      <c r="W81" s="382">
        <f t="shared" si="22"/>
        <v>0</v>
      </c>
      <c r="X81" s="382">
        <f t="shared" si="22"/>
        <v>0</v>
      </c>
      <c r="Y81" s="382">
        <f t="shared" si="22"/>
        <v>0</v>
      </c>
      <c r="Z81" s="382">
        <f t="shared" si="22"/>
        <v>0</v>
      </c>
      <c r="AA81" s="95"/>
      <c r="AB81" s="24"/>
    </row>
    <row r="82" spans="1:28">
      <c r="A82" s="48"/>
      <c r="B82" s="48"/>
      <c r="C82" s="48"/>
      <c r="D82" s="48"/>
      <c r="E82" s="48"/>
      <c r="F82" s="48"/>
      <c r="G82" s="48"/>
      <c r="H82" s="48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72"/>
      <c r="U82" s="72"/>
      <c r="V82" s="72"/>
      <c r="W82" s="72"/>
      <c r="X82" s="72"/>
      <c r="Y82" s="72"/>
      <c r="Z82" s="72"/>
      <c r="AA82" s="24"/>
      <c r="AB82" s="24"/>
    </row>
    <row r="83" spans="1:28">
      <c r="A83" s="48"/>
      <c r="B83" s="48"/>
      <c r="C83" s="48" t="s">
        <v>331</v>
      </c>
      <c r="D83" s="48"/>
      <c r="E83" s="48"/>
      <c r="F83" s="48" t="s">
        <v>304</v>
      </c>
      <c r="G83" s="64" t="s">
        <v>29</v>
      </c>
      <c r="H83" s="48"/>
      <c r="I83" s="24"/>
      <c r="J83" s="24"/>
      <c r="K83" s="24"/>
      <c r="L83" s="24"/>
      <c r="M83" s="101"/>
      <c r="N83" s="101"/>
      <c r="O83" s="101"/>
      <c r="P83" s="101"/>
      <c r="Q83" s="101"/>
      <c r="R83" s="101"/>
      <c r="S83" s="101"/>
      <c r="T83" s="101"/>
      <c r="U83" s="333">
        <f t="shared" ref="U83:AA83" si="23">U$18 * (T81 - T76)</f>
        <v>0</v>
      </c>
      <c r="V83" s="333">
        <f t="shared" si="23"/>
        <v>7.2132880033478841E-2</v>
      </c>
      <c r="W83" s="333">
        <f t="shared" si="23"/>
        <v>0</v>
      </c>
      <c r="X83" s="333">
        <f t="shared" si="23"/>
        <v>0</v>
      </c>
      <c r="Y83" s="333">
        <f t="shared" si="23"/>
        <v>0</v>
      </c>
      <c r="Z83" s="333">
        <f t="shared" si="23"/>
        <v>0</v>
      </c>
      <c r="AA83" s="333">
        <f t="shared" si="23"/>
        <v>0</v>
      </c>
      <c r="AB83" s="24"/>
    </row>
    <row r="84" spans="1:28">
      <c r="A84" s="48"/>
      <c r="B84" s="48"/>
      <c r="C84" s="48"/>
      <c r="D84" s="48"/>
      <c r="E84" s="48"/>
      <c r="F84" s="48"/>
      <c r="G84" s="48"/>
      <c r="H84" s="48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72"/>
      <c r="U84" s="72"/>
      <c r="V84" s="24"/>
      <c r="W84" s="24"/>
      <c r="X84" s="24"/>
      <c r="Y84" s="24"/>
      <c r="Z84" s="24"/>
      <c r="AA84" s="24"/>
      <c r="AB84" s="24"/>
    </row>
    <row r="85" spans="1:28">
      <c r="A85" s="48"/>
      <c r="B85" s="48"/>
      <c r="C85" s="48" t="s">
        <v>332</v>
      </c>
      <c r="D85" s="48"/>
      <c r="E85" s="48"/>
      <c r="F85" s="48" t="s">
        <v>333</v>
      </c>
      <c r="G85" s="64" t="s">
        <v>29</v>
      </c>
      <c r="H85" s="48"/>
      <c r="I85" s="24"/>
      <c r="J85" s="24"/>
      <c r="K85" s="24"/>
      <c r="L85" s="24"/>
      <c r="M85" s="101"/>
      <c r="N85" s="101"/>
      <c r="O85" s="101"/>
      <c r="P85" s="101"/>
      <c r="Q85" s="101"/>
      <c r="R85" s="101"/>
      <c r="S85" s="101"/>
      <c r="T85" s="101"/>
      <c r="U85" s="392">
        <f>U$18 * (U74 + U83)</f>
        <v>0</v>
      </c>
      <c r="V85" s="392">
        <f>V$18 * (V74 + V83)</f>
        <v>103.02234682172009</v>
      </c>
      <c r="W85" s="392">
        <f t="shared" ref="W85:AA85" si="24">W$18 * (W74 + W83)</f>
        <v>0</v>
      </c>
      <c r="X85" s="392">
        <f t="shared" si="24"/>
        <v>0</v>
      </c>
      <c r="Y85" s="392">
        <f t="shared" si="24"/>
        <v>0</v>
      </c>
      <c r="Z85" s="392">
        <f t="shared" si="24"/>
        <v>0</v>
      </c>
      <c r="AA85" s="393">
        <f t="shared" si="24"/>
        <v>0</v>
      </c>
      <c r="AB85" s="24"/>
    </row>
    <row r="86" spans="1:28">
      <c r="A86" s="48"/>
      <c r="B86" s="48"/>
      <c r="C86" s="48"/>
      <c r="D86" s="48"/>
      <c r="E86" s="48"/>
      <c r="F86" s="48"/>
      <c r="G86" s="48"/>
      <c r="H86" s="48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72"/>
      <c r="U86" s="72"/>
      <c r="V86" s="72"/>
      <c r="W86" s="72"/>
      <c r="X86" s="72"/>
      <c r="Y86" s="72"/>
      <c r="Z86" s="72"/>
      <c r="AA86" s="72"/>
      <c r="AB86" s="24"/>
    </row>
    <row r="87" spans="1:28">
      <c r="A87" s="48"/>
      <c r="B87" s="48"/>
      <c r="C87" s="51" t="s">
        <v>334</v>
      </c>
      <c r="D87" s="48"/>
      <c r="E87" s="48"/>
      <c r="F87" s="48"/>
      <c r="G87" s="48"/>
      <c r="H87" s="48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72"/>
      <c r="U87" s="72"/>
      <c r="V87" s="72"/>
      <c r="W87" s="72"/>
      <c r="X87" s="72"/>
      <c r="Y87" s="72"/>
      <c r="Z87" s="72"/>
      <c r="AA87" s="72"/>
      <c r="AB87" s="24"/>
    </row>
    <row r="88" spans="1:28">
      <c r="A88" s="48"/>
      <c r="B88" s="48"/>
      <c r="C88" s="48"/>
      <c r="D88" s="195" t="s">
        <v>308</v>
      </c>
      <c r="E88" s="195"/>
      <c r="F88" s="195" t="str">
        <f>'Saved results'!F$53</f>
        <v>RTN*ₜ</v>
      </c>
      <c r="G88" s="195" t="str">
        <f>'Saved results'!G$53</f>
        <v>£m nominal</v>
      </c>
      <c r="H88" s="195"/>
      <c r="I88" s="197"/>
      <c r="J88" s="197"/>
      <c r="K88" s="197"/>
      <c r="L88" s="197"/>
      <c r="M88" s="202"/>
      <c r="N88" s="202"/>
      <c r="O88" s="202"/>
      <c r="P88" s="202"/>
      <c r="Q88" s="202"/>
      <c r="R88" s="202"/>
      <c r="S88" s="202"/>
      <c r="T88" s="338">
        <f>T$76</f>
        <v>61.088605477935758</v>
      </c>
      <c r="U88" s="338">
        <f t="shared" ref="U88:Z88" si="25">U$76</f>
        <v>108.74166317206712</v>
      </c>
      <c r="V88" s="338">
        <f t="shared" si="25"/>
        <v>0</v>
      </c>
      <c r="W88" s="338">
        <f t="shared" si="25"/>
        <v>0</v>
      </c>
      <c r="X88" s="338">
        <f t="shared" si="25"/>
        <v>0</v>
      </c>
      <c r="Y88" s="338">
        <f t="shared" si="25"/>
        <v>0</v>
      </c>
      <c r="Z88" s="338">
        <f t="shared" si="25"/>
        <v>0</v>
      </c>
      <c r="AA88" s="202"/>
      <c r="AB88" s="24"/>
    </row>
    <row r="89" spans="1:28">
      <c r="A89" s="48"/>
      <c r="B89" s="48"/>
      <c r="C89" s="48"/>
      <c r="D89" s="64" t="s">
        <v>309</v>
      </c>
      <c r="E89" s="64"/>
      <c r="F89" s="64" t="s">
        <v>330</v>
      </c>
      <c r="G89" s="64" t="str">
        <f t="shared" ref="G89" si="26">G85</f>
        <v>£m nominal</v>
      </c>
      <c r="H89" s="64"/>
      <c r="I89" s="65"/>
      <c r="J89" s="65"/>
      <c r="K89" s="65"/>
      <c r="L89" s="65"/>
      <c r="M89" s="75"/>
      <c r="N89" s="75"/>
      <c r="O89" s="75"/>
      <c r="P89" s="75"/>
      <c r="Q89" s="75"/>
      <c r="R89" s="75"/>
      <c r="S89" s="75"/>
      <c r="T89" s="75"/>
      <c r="U89" s="364">
        <f t="shared" ref="U89:AA89" si="27">U85</f>
        <v>0</v>
      </c>
      <c r="V89" s="364">
        <f t="shared" si="27"/>
        <v>103.02234682172009</v>
      </c>
      <c r="W89" s="364">
        <f t="shared" si="27"/>
        <v>0</v>
      </c>
      <c r="X89" s="364">
        <f t="shared" si="27"/>
        <v>0</v>
      </c>
      <c r="Y89" s="364">
        <f t="shared" si="27"/>
        <v>0</v>
      </c>
      <c r="Z89" s="364">
        <f t="shared" si="27"/>
        <v>0</v>
      </c>
      <c r="AA89" s="364">
        <f t="shared" si="27"/>
        <v>0</v>
      </c>
      <c r="AB89" s="24"/>
    </row>
    <row r="90" spans="1:28">
      <c r="A90" s="48"/>
      <c r="B90" s="48"/>
      <c r="C90" s="48"/>
      <c r="D90" s="64" t="s">
        <v>310</v>
      </c>
      <c r="E90" s="64"/>
      <c r="F90" s="64" t="s">
        <v>330</v>
      </c>
      <c r="G90" s="64" t="str">
        <f>G$74</f>
        <v>£m nominal</v>
      </c>
      <c r="H90" s="64"/>
      <c r="I90" s="65"/>
      <c r="J90" s="65"/>
      <c r="K90" s="65"/>
      <c r="L90" s="65"/>
      <c r="M90" s="75"/>
      <c r="N90" s="75"/>
      <c r="O90" s="75"/>
      <c r="P90" s="75"/>
      <c r="Q90" s="75"/>
      <c r="R90" s="75"/>
      <c r="S90" s="75"/>
      <c r="T90" s="75"/>
      <c r="U90" s="75"/>
      <c r="V90" s="364">
        <f t="shared" ref="V90:AA90" si="28">V74 * V$19</f>
        <v>0</v>
      </c>
      <c r="W90" s="364">
        <f t="shared" si="28"/>
        <v>91.033494780442311</v>
      </c>
      <c r="X90" s="364">
        <f t="shared" si="28"/>
        <v>79.203772893561521</v>
      </c>
      <c r="Y90" s="364">
        <f t="shared" si="28"/>
        <v>59.919811464787365</v>
      </c>
      <c r="Z90" s="364">
        <f t="shared" si="28"/>
        <v>41.22573276103558</v>
      </c>
      <c r="AA90" s="364">
        <f t="shared" si="28"/>
        <v>17.222588485743046</v>
      </c>
      <c r="AB90" s="24"/>
    </row>
    <row r="91" spans="1:28">
      <c r="A91" s="48"/>
      <c r="B91" s="48"/>
      <c r="C91" s="48"/>
      <c r="D91" s="67" t="str">
        <f>C87</f>
        <v>Return BSUoS Income (published and forecast)</v>
      </c>
      <c r="E91" s="67"/>
      <c r="F91" s="67" t="s">
        <v>330</v>
      </c>
      <c r="G91" s="67" t="s">
        <v>29</v>
      </c>
      <c r="H91" s="67"/>
      <c r="I91" s="68"/>
      <c r="J91" s="68"/>
      <c r="K91" s="68"/>
      <c r="L91" s="68"/>
      <c r="M91" s="95"/>
      <c r="N91" s="95"/>
      <c r="O91" s="95"/>
      <c r="P91" s="95"/>
      <c r="Q91" s="95"/>
      <c r="R91" s="95"/>
      <c r="S91" s="95"/>
      <c r="T91" s="394">
        <f t="shared" ref="T91:AA91" si="29">SUM(T88:T90)</f>
        <v>61.088605477935758</v>
      </c>
      <c r="U91" s="394">
        <f t="shared" si="29"/>
        <v>108.74166317206712</v>
      </c>
      <c r="V91" s="394">
        <f t="shared" si="29"/>
        <v>103.02234682172009</v>
      </c>
      <c r="W91" s="394">
        <f t="shared" si="29"/>
        <v>91.033494780442311</v>
      </c>
      <c r="X91" s="394">
        <f t="shared" si="29"/>
        <v>79.203772893561521</v>
      </c>
      <c r="Y91" s="394">
        <f t="shared" si="29"/>
        <v>59.919811464787365</v>
      </c>
      <c r="Z91" s="394">
        <f t="shared" si="29"/>
        <v>41.22573276103558</v>
      </c>
      <c r="AA91" s="394">
        <f t="shared" si="29"/>
        <v>17.222588485743046</v>
      </c>
      <c r="AB91" s="24"/>
    </row>
    <row r="92" spans="1:28">
      <c r="A92" s="48"/>
      <c r="B92" s="48"/>
      <c r="C92" s="48"/>
      <c r="D92" s="48"/>
      <c r="E92" s="48"/>
      <c r="F92" s="48"/>
      <c r="G92" s="48"/>
      <c r="H92" s="48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72"/>
      <c r="U92" s="72"/>
      <c r="V92" s="72"/>
      <c r="W92" s="72"/>
      <c r="X92" s="72"/>
      <c r="Y92" s="72"/>
      <c r="Z92" s="72"/>
      <c r="AA92" s="72"/>
      <c r="AB92" s="24"/>
    </row>
    <row r="93" spans="1:28">
      <c r="A93" s="48"/>
      <c r="B93" s="48"/>
      <c r="C93" s="48" t="s">
        <v>311</v>
      </c>
      <c r="D93" s="48"/>
      <c r="E93" s="48"/>
      <c r="F93" s="48"/>
      <c r="G93" s="48" t="s">
        <v>151</v>
      </c>
      <c r="H93" s="48"/>
      <c r="I93" s="24"/>
      <c r="J93" s="24"/>
      <c r="K93" s="372">
        <f>SUM(T93:AA93)</f>
        <v>0</v>
      </c>
      <c r="L93" s="24"/>
      <c r="M93" s="81"/>
      <c r="N93" s="81"/>
      <c r="O93" s="81"/>
      <c r="P93" s="81"/>
      <c r="Q93" s="81"/>
      <c r="R93" s="81"/>
      <c r="S93" s="81"/>
      <c r="T93" s="372">
        <f>IF(COUNTIFS(T88:T90, "&lt;&gt;0", T88:T90, "&lt;&gt;") &gt; 1, 1, 0)</f>
        <v>0</v>
      </c>
      <c r="U93" s="372">
        <f t="shared" ref="U93:AA93" si="30">IF(COUNTIFS(U88:U90, "&lt;&gt;0", U88:U90, "&lt;&gt;") &gt; 1, 1, 0)</f>
        <v>0</v>
      </c>
      <c r="V93" s="372">
        <f t="shared" si="30"/>
        <v>0</v>
      </c>
      <c r="W93" s="372">
        <f t="shared" si="30"/>
        <v>0</v>
      </c>
      <c r="X93" s="372">
        <f t="shared" si="30"/>
        <v>0</v>
      </c>
      <c r="Y93" s="372">
        <f t="shared" si="30"/>
        <v>0</v>
      </c>
      <c r="Z93" s="372">
        <f t="shared" si="30"/>
        <v>0</v>
      </c>
      <c r="AA93" s="372">
        <f t="shared" si="30"/>
        <v>0</v>
      </c>
      <c r="AB93" s="24"/>
    </row>
    <row r="94" spans="1:28">
      <c r="A94" s="48"/>
      <c r="B94" s="48"/>
      <c r="C94" s="71" t="s">
        <v>312</v>
      </c>
      <c r="D94" s="71"/>
      <c r="E94" s="71"/>
      <c r="F94" s="71"/>
      <c r="G94" s="71" t="s">
        <v>151</v>
      </c>
      <c r="H94" s="48"/>
      <c r="I94" s="24"/>
      <c r="J94" s="24"/>
      <c r="K94" s="372">
        <f>SUM(T94:AA94)</f>
        <v>0</v>
      </c>
      <c r="L94" s="49"/>
      <c r="M94" s="81"/>
      <c r="N94" s="81"/>
      <c r="O94" s="81"/>
      <c r="P94" s="81"/>
      <c r="Q94" s="81"/>
      <c r="R94" s="81"/>
      <c r="S94" s="81"/>
      <c r="T94" s="81"/>
      <c r="U94" s="81"/>
      <c r="V94" s="372">
        <f t="shared" ref="V94:AA94" si="31">IF(AND(V$6 &gt; $I$16, V83 &lt;&gt; 0), 1, 0)</f>
        <v>0</v>
      </c>
      <c r="W94" s="372">
        <f t="shared" si="31"/>
        <v>0</v>
      </c>
      <c r="X94" s="372">
        <f t="shared" si="31"/>
        <v>0</v>
      </c>
      <c r="Y94" s="372">
        <f t="shared" si="31"/>
        <v>0</v>
      </c>
      <c r="Z94" s="372">
        <f t="shared" si="31"/>
        <v>0</v>
      </c>
      <c r="AA94" s="372">
        <f t="shared" si="31"/>
        <v>0</v>
      </c>
      <c r="AB94" s="24"/>
    </row>
    <row r="95" spans="1:28">
      <c r="A95" s="48"/>
      <c r="B95" s="48"/>
      <c r="C95" s="48"/>
      <c r="D95" s="48"/>
      <c r="E95" s="48"/>
      <c r="F95" s="48"/>
      <c r="G95" s="48"/>
      <c r="H95" s="48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72"/>
      <c r="U95" s="72"/>
      <c r="V95" s="72"/>
      <c r="W95" s="72"/>
      <c r="X95" s="72"/>
      <c r="Y95" s="72"/>
      <c r="Z95" s="72"/>
      <c r="AA95" s="72"/>
      <c r="AB95" s="24"/>
    </row>
    <row r="96" spans="1:28" s="17" customFormat="1" ht="18">
      <c r="A96" s="97" t="s">
        <v>13</v>
      </c>
      <c r="B96" s="97" t="s">
        <v>335</v>
      </c>
      <c r="C96" s="328"/>
      <c r="D96" s="328"/>
      <c r="E96" s="328"/>
      <c r="F96" s="371"/>
      <c r="G96" s="328"/>
      <c r="H96" s="328"/>
      <c r="I96" s="329"/>
      <c r="J96" s="329"/>
      <c r="K96" s="329"/>
      <c r="L96" s="329"/>
      <c r="M96" s="329"/>
      <c r="N96" s="329"/>
      <c r="O96" s="329"/>
      <c r="P96" s="329"/>
      <c r="Q96" s="329"/>
      <c r="R96" s="329"/>
      <c r="S96" s="329"/>
      <c r="T96" s="385"/>
      <c r="U96" s="385"/>
      <c r="V96" s="385"/>
      <c r="W96" s="385"/>
      <c r="X96" s="385"/>
      <c r="Y96" s="385"/>
      <c r="Z96" s="385"/>
      <c r="AA96" s="385"/>
      <c r="AB96" s="329"/>
    </row>
    <row r="97" spans="1:28">
      <c r="A97" s="48"/>
      <c r="B97" s="48"/>
      <c r="C97" s="48"/>
      <c r="D97" s="48"/>
      <c r="E97" s="48"/>
      <c r="F97" s="48"/>
      <c r="G97" s="48"/>
      <c r="H97" s="48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72"/>
      <c r="U97" s="72"/>
      <c r="V97" s="72"/>
      <c r="W97" s="72"/>
      <c r="X97" s="72"/>
      <c r="Y97" s="72"/>
      <c r="Z97" s="72"/>
      <c r="AA97" s="72"/>
      <c r="AB97" s="24"/>
    </row>
    <row r="98" spans="1:28" ht="14.5">
      <c r="A98" s="48"/>
      <c r="B98" s="206" t="s">
        <v>336</v>
      </c>
      <c r="C98" s="48"/>
      <c r="D98" s="48"/>
      <c r="E98" s="48"/>
      <c r="F98" s="48"/>
      <c r="G98" s="48"/>
      <c r="H98" s="48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72"/>
      <c r="U98" s="72"/>
      <c r="V98" s="72"/>
      <c r="W98" s="72"/>
      <c r="X98" s="72"/>
      <c r="Y98" s="72"/>
      <c r="Z98" s="72"/>
      <c r="AA98" s="72"/>
      <c r="AB98" s="24"/>
    </row>
    <row r="99" spans="1:28" ht="14.5">
      <c r="A99" s="48"/>
      <c r="B99" s="48"/>
      <c r="C99" s="60"/>
      <c r="D99" s="48"/>
      <c r="E99" s="48"/>
      <c r="F99" s="48"/>
      <c r="G99" s="48"/>
      <c r="H99" s="48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72"/>
      <c r="U99" s="72"/>
      <c r="V99" s="72"/>
      <c r="W99" s="72"/>
      <c r="X99" s="72"/>
      <c r="Y99" s="72"/>
      <c r="Z99" s="72"/>
      <c r="AA99" s="72"/>
      <c r="AB99" s="24"/>
    </row>
    <row r="100" spans="1:28">
      <c r="A100" s="48"/>
      <c r="B100" s="48"/>
      <c r="C100" s="51" t="s">
        <v>337</v>
      </c>
      <c r="D100" s="48"/>
      <c r="E100" s="48"/>
      <c r="F100" s="48"/>
      <c r="G100" s="48"/>
      <c r="H100" s="48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72"/>
      <c r="U100" s="72"/>
      <c r="V100" s="72"/>
      <c r="W100" s="72"/>
      <c r="X100" s="72"/>
      <c r="Y100" s="72"/>
      <c r="Z100" s="72"/>
      <c r="AA100" s="72"/>
      <c r="AB100" s="24"/>
    </row>
    <row r="101" spans="1:28">
      <c r="A101" s="48"/>
      <c r="B101" s="48"/>
      <c r="C101" s="48"/>
      <c r="D101" s="195" t="str">
        <f>Inputs!C67</f>
        <v>Balancing Services</v>
      </c>
      <c r="E101" s="203"/>
      <c r="F101" s="203" t="s">
        <v>338</v>
      </c>
      <c r="G101" s="203" t="str">
        <f>Inputs!G$67</f>
        <v>£m nominal</v>
      </c>
      <c r="H101" s="195"/>
      <c r="I101" s="197"/>
      <c r="J101" s="197"/>
      <c r="K101" s="197"/>
      <c r="L101" s="197"/>
      <c r="M101" s="202"/>
      <c r="N101" s="202"/>
      <c r="O101" s="202"/>
      <c r="P101" s="202"/>
      <c r="Q101" s="202"/>
      <c r="R101" s="202"/>
      <c r="S101" s="202"/>
      <c r="T101" s="395">
        <f>Inputs!T$67 * T$23</f>
        <v>2711.1606948029371</v>
      </c>
      <c r="U101" s="386">
        <f>Inputs!U$67 * U$23</f>
        <v>0</v>
      </c>
      <c r="V101" s="386">
        <f>Inputs!V$67 * V$23</f>
        <v>0</v>
      </c>
      <c r="W101" s="386">
        <f>Inputs!W$67 * W$23</f>
        <v>0</v>
      </c>
      <c r="X101" s="386">
        <f>Inputs!X$67 * X$23</f>
        <v>0</v>
      </c>
      <c r="Y101" s="386">
        <f>Inputs!Y$67 * Y$23</f>
        <v>0</v>
      </c>
      <c r="Z101" s="386">
        <f>Inputs!Z$67 * Z$23</f>
        <v>0</v>
      </c>
      <c r="AA101" s="386">
        <f>Inputs!AA$67 * AA$23</f>
        <v>0</v>
      </c>
      <c r="AB101" s="24"/>
    </row>
    <row r="102" spans="1:28">
      <c r="A102" s="48"/>
      <c r="B102" s="48"/>
      <c r="C102" s="48"/>
      <c r="D102" s="71" t="str">
        <f>"Less " &amp; Inputs!C68</f>
        <v>Less User System Agreement Charges</v>
      </c>
      <c r="E102" s="65"/>
      <c r="F102" s="105" t="s">
        <v>339</v>
      </c>
      <c r="G102" s="71" t="str">
        <f>Inputs!G$68</f>
        <v>£m nominal</v>
      </c>
      <c r="H102" s="64"/>
      <c r="I102" s="65"/>
      <c r="J102" s="65"/>
      <c r="K102" s="65"/>
      <c r="L102" s="65"/>
      <c r="M102" s="75"/>
      <c r="N102" s="75"/>
      <c r="O102" s="75"/>
      <c r="P102" s="75"/>
      <c r="Q102" s="75"/>
      <c r="R102" s="75"/>
      <c r="S102" s="75"/>
      <c r="T102" s="396">
        <f>(-1) * Inputs!T$68 * T$23</f>
        <v>0</v>
      </c>
      <c r="U102" s="384">
        <f>(-1) * Inputs!U$68 * U$23</f>
        <v>0</v>
      </c>
      <c r="V102" s="384">
        <f>(-1) * Inputs!V$68 * V$23</f>
        <v>0</v>
      </c>
      <c r="W102" s="384">
        <f>(-1) * Inputs!W$68 * W$23</f>
        <v>0</v>
      </c>
      <c r="X102" s="384">
        <f>(-1) * Inputs!X$68 * X$23</f>
        <v>0</v>
      </c>
      <c r="Y102" s="384">
        <f>(-1) * Inputs!Y$68 * Y$23</f>
        <v>0</v>
      </c>
      <c r="Z102" s="384">
        <f>(-1) * Inputs!Z$68 * Z$23</f>
        <v>0</v>
      </c>
      <c r="AA102" s="384">
        <f>(-1) * Inputs!AA$68 * AA$23</f>
        <v>0</v>
      </c>
      <c r="AB102" s="24"/>
    </row>
    <row r="103" spans="1:28">
      <c r="A103" s="48"/>
      <c r="B103" s="48"/>
      <c r="C103" s="48"/>
      <c r="D103" s="71" t="str">
        <f>Inputs!C69</f>
        <v>SO-TO Operational Payments</v>
      </c>
      <c r="E103" s="65"/>
      <c r="F103" s="71" t="s">
        <v>340</v>
      </c>
      <c r="G103" s="71" t="str">
        <f>Inputs!G$69</f>
        <v>£m nominal</v>
      </c>
      <c r="H103" s="64"/>
      <c r="I103" s="65"/>
      <c r="J103" s="65"/>
      <c r="K103" s="65"/>
      <c r="L103" s="65"/>
      <c r="M103" s="75"/>
      <c r="N103" s="75"/>
      <c r="O103" s="75"/>
      <c r="P103" s="75"/>
      <c r="Q103" s="75"/>
      <c r="R103" s="75"/>
      <c r="S103" s="75"/>
      <c r="T103" s="397">
        <f>Inputs!T$69 * T$23</f>
        <v>1.3844193899999995</v>
      </c>
      <c r="U103" s="398">
        <f>Inputs!U$69 * U$23</f>
        <v>0</v>
      </c>
      <c r="V103" s="398">
        <f>Inputs!V$69 * V$23</f>
        <v>0</v>
      </c>
      <c r="W103" s="398">
        <f>Inputs!W$69 * W$23</f>
        <v>0</v>
      </c>
      <c r="X103" s="398">
        <f>Inputs!X$69 * X$23</f>
        <v>0</v>
      </c>
      <c r="Y103" s="398">
        <f>Inputs!Y$69 * Y$23</f>
        <v>0</v>
      </c>
      <c r="Z103" s="398">
        <f>Inputs!Z$69 * Z$23</f>
        <v>0</v>
      </c>
      <c r="AA103" s="398">
        <f>Inputs!AA$69 * AA$23</f>
        <v>0</v>
      </c>
      <c r="AB103" s="24"/>
    </row>
    <row r="104" spans="1:28">
      <c r="A104" s="48"/>
      <c r="B104" s="48"/>
      <c r="C104" s="48"/>
      <c r="D104" s="106" t="s">
        <v>337</v>
      </c>
      <c r="E104" s="68"/>
      <c r="F104" s="106" t="s">
        <v>341</v>
      </c>
      <c r="G104" s="106" t="s">
        <v>29</v>
      </c>
      <c r="H104" s="67"/>
      <c r="I104" s="68"/>
      <c r="J104" s="68"/>
      <c r="K104" s="68"/>
      <c r="L104" s="68"/>
      <c r="M104" s="95"/>
      <c r="N104" s="95"/>
      <c r="O104" s="95"/>
      <c r="P104" s="95"/>
      <c r="Q104" s="95"/>
      <c r="R104" s="95"/>
      <c r="S104" s="95"/>
      <c r="T104" s="399">
        <f t="shared" ref="T104:AA104" si="32">SUM(T101:T103)</f>
        <v>2712.545114192937</v>
      </c>
      <c r="U104" s="388">
        <f t="shared" si="32"/>
        <v>0</v>
      </c>
      <c r="V104" s="388">
        <f t="shared" si="32"/>
        <v>0</v>
      </c>
      <c r="W104" s="388">
        <f t="shared" si="32"/>
        <v>0</v>
      </c>
      <c r="X104" s="388">
        <f t="shared" si="32"/>
        <v>0</v>
      </c>
      <c r="Y104" s="388">
        <f t="shared" si="32"/>
        <v>0</v>
      </c>
      <c r="Z104" s="388">
        <f t="shared" si="32"/>
        <v>0</v>
      </c>
      <c r="AA104" s="388">
        <f t="shared" si="32"/>
        <v>0</v>
      </c>
      <c r="AB104" s="24"/>
    </row>
    <row r="105" spans="1:28">
      <c r="A105" s="48"/>
      <c r="B105" s="48"/>
      <c r="C105" s="48"/>
      <c r="D105" s="48"/>
      <c r="E105" s="48"/>
      <c r="F105" s="48"/>
      <c r="G105" s="48"/>
      <c r="H105" s="48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 t="s">
        <v>342</v>
      </c>
      <c r="T105" s="72"/>
      <c r="U105" s="72"/>
      <c r="V105" s="72"/>
      <c r="W105" s="72"/>
      <c r="X105" s="72"/>
      <c r="Y105" s="72"/>
      <c r="Z105" s="72"/>
      <c r="AA105" s="72"/>
      <c r="AB105" s="24"/>
    </row>
    <row r="106" spans="1:28">
      <c r="A106" s="48"/>
      <c r="B106" s="48"/>
      <c r="C106" s="51" t="s">
        <v>343</v>
      </c>
      <c r="D106" s="48"/>
      <c r="E106" s="48"/>
      <c r="F106" s="48"/>
      <c r="G106" s="48"/>
      <c r="H106" s="48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72"/>
      <c r="U106" s="72"/>
      <c r="V106" s="72"/>
      <c r="W106" s="72"/>
      <c r="X106" s="72"/>
      <c r="Y106" s="72"/>
      <c r="Z106" s="72"/>
      <c r="AA106" s="72"/>
      <c r="AB106" s="24"/>
    </row>
    <row r="107" spans="1:28">
      <c r="A107" s="48"/>
      <c r="B107" s="48"/>
      <c r="C107" s="48"/>
      <c r="D107" s="195" t="str">
        <f>Inputs!C65</f>
        <v>Total revenue collected through Balancing Services Charges</v>
      </c>
      <c r="E107" s="195"/>
      <c r="F107" s="195"/>
      <c r="G107" s="195" t="str">
        <f>Inputs!G65</f>
        <v>£m nominal</v>
      </c>
      <c r="H107" s="195"/>
      <c r="I107" s="197"/>
      <c r="J107" s="197"/>
      <c r="K107" s="197"/>
      <c r="L107" s="197"/>
      <c r="M107" s="202"/>
      <c r="N107" s="202"/>
      <c r="O107" s="202"/>
      <c r="P107" s="202"/>
      <c r="Q107" s="202"/>
      <c r="R107" s="202"/>
      <c r="S107" s="202"/>
      <c r="T107" s="332">
        <f>Inputs!T$65 * T$23</f>
        <v>2813.2099233076469</v>
      </c>
      <c r="U107" s="332">
        <f>Inputs!U$65 * U$23</f>
        <v>0</v>
      </c>
      <c r="V107" s="332">
        <f>Inputs!V$65 * V$23</f>
        <v>0</v>
      </c>
      <c r="W107" s="332">
        <f>Inputs!W$65 * W$23</f>
        <v>0</v>
      </c>
      <c r="X107" s="332">
        <f>Inputs!X$65 * X$23</f>
        <v>0</v>
      </c>
      <c r="Y107" s="332">
        <f>Inputs!Y$65 * Y$23</f>
        <v>0</v>
      </c>
      <c r="Z107" s="332">
        <f>Inputs!Z$65 * Z$23</f>
        <v>0</v>
      </c>
      <c r="AA107" s="332">
        <f>Inputs!AA$65 * AA$23</f>
        <v>0</v>
      </c>
      <c r="AB107" s="24"/>
    </row>
    <row r="108" spans="1:28">
      <c r="A108" s="48"/>
      <c r="B108" s="48"/>
      <c r="C108" s="48"/>
      <c r="D108" s="64" t="s">
        <v>344</v>
      </c>
      <c r="E108" s="64"/>
      <c r="F108" s="98" t="s">
        <v>345</v>
      </c>
      <c r="G108" s="64" t="s">
        <v>29</v>
      </c>
      <c r="H108" s="64"/>
      <c r="I108" s="65"/>
      <c r="J108" s="65"/>
      <c r="K108" s="65"/>
      <c r="L108" s="65"/>
      <c r="M108" s="75"/>
      <c r="N108" s="75"/>
      <c r="O108" s="75"/>
      <c r="P108" s="75"/>
      <c r="Q108" s="75"/>
      <c r="R108" s="75"/>
      <c r="S108" s="75"/>
      <c r="T108" s="400">
        <f t="shared" ref="T108:AA108" si="33">(-1) * T54 * T$23</f>
        <v>-534.54598574268368</v>
      </c>
      <c r="U108" s="400">
        <f t="shared" si="33"/>
        <v>0</v>
      </c>
      <c r="V108" s="400">
        <f t="shared" si="33"/>
        <v>0</v>
      </c>
      <c r="W108" s="400">
        <f t="shared" si="33"/>
        <v>0</v>
      </c>
      <c r="X108" s="400">
        <f t="shared" si="33"/>
        <v>0</v>
      </c>
      <c r="Y108" s="400">
        <f t="shared" si="33"/>
        <v>0</v>
      </c>
      <c r="Z108" s="400">
        <f t="shared" si="33"/>
        <v>0</v>
      </c>
      <c r="AA108" s="400">
        <f t="shared" si="33"/>
        <v>0</v>
      </c>
      <c r="AB108" s="24"/>
    </row>
    <row r="109" spans="1:28">
      <c r="A109" s="48"/>
      <c r="B109" s="48"/>
      <c r="C109" s="48"/>
      <c r="D109" s="64" t="s">
        <v>346</v>
      </c>
      <c r="E109" s="64"/>
      <c r="F109" s="98" t="s">
        <v>347</v>
      </c>
      <c r="G109" s="64" t="s">
        <v>29</v>
      </c>
      <c r="H109" s="64"/>
      <c r="I109" s="65"/>
      <c r="J109" s="65"/>
      <c r="K109" s="65"/>
      <c r="L109" s="65"/>
      <c r="M109" s="75"/>
      <c r="N109" s="75"/>
      <c r="O109" s="75"/>
      <c r="P109" s="75"/>
      <c r="Q109" s="75"/>
      <c r="R109" s="75"/>
      <c r="S109" s="75"/>
      <c r="T109" s="390">
        <f t="shared" ref="T109:AA109" si="34">(-1) * T88 * T$23</f>
        <v>-61.088605477935758</v>
      </c>
      <c r="U109" s="390">
        <f t="shared" si="34"/>
        <v>0</v>
      </c>
      <c r="V109" s="390">
        <f t="shared" si="34"/>
        <v>0</v>
      </c>
      <c r="W109" s="390">
        <f t="shared" si="34"/>
        <v>0</v>
      </c>
      <c r="X109" s="390">
        <f t="shared" si="34"/>
        <v>0</v>
      </c>
      <c r="Y109" s="390">
        <f t="shared" si="34"/>
        <v>0</v>
      </c>
      <c r="Z109" s="390">
        <f t="shared" si="34"/>
        <v>0</v>
      </c>
      <c r="AA109" s="390">
        <f t="shared" si="34"/>
        <v>0</v>
      </c>
      <c r="AB109" s="24"/>
    </row>
    <row r="110" spans="1:28">
      <c r="A110" s="48"/>
      <c r="B110" s="48"/>
      <c r="C110" s="48"/>
      <c r="D110" s="67" t="str">
        <f>C106</f>
        <v>Revenue collected after INT*ₜ and RTN*ₜ</v>
      </c>
      <c r="E110" s="67"/>
      <c r="F110" s="67" t="s">
        <v>348</v>
      </c>
      <c r="G110" s="67" t="s">
        <v>29</v>
      </c>
      <c r="H110" s="67"/>
      <c r="I110" s="68"/>
      <c r="J110" s="68"/>
      <c r="K110" s="68"/>
      <c r="L110" s="68"/>
      <c r="M110" s="95"/>
      <c r="N110" s="95"/>
      <c r="O110" s="95"/>
      <c r="P110" s="95"/>
      <c r="Q110" s="95"/>
      <c r="R110" s="95"/>
      <c r="S110" s="95"/>
      <c r="T110" s="383">
        <f t="shared" ref="T110:AA110" si="35">SUM(T107:T109)</f>
        <v>2217.5753320870276</v>
      </c>
      <c r="U110" s="383">
        <f t="shared" si="35"/>
        <v>0</v>
      </c>
      <c r="V110" s="383">
        <f t="shared" si="35"/>
        <v>0</v>
      </c>
      <c r="W110" s="383">
        <f t="shared" si="35"/>
        <v>0</v>
      </c>
      <c r="X110" s="383">
        <f t="shared" si="35"/>
        <v>0</v>
      </c>
      <c r="Y110" s="383">
        <f t="shared" si="35"/>
        <v>0</v>
      </c>
      <c r="Z110" s="383">
        <f t="shared" si="35"/>
        <v>0</v>
      </c>
      <c r="AA110" s="383">
        <f t="shared" si="35"/>
        <v>0</v>
      </c>
      <c r="AB110" s="24"/>
    </row>
    <row r="111" spans="1:28">
      <c r="A111" s="48"/>
      <c r="B111" s="48"/>
      <c r="C111" s="48"/>
      <c r="D111" s="48"/>
      <c r="E111" s="48"/>
      <c r="F111" s="48"/>
      <c r="G111" s="48"/>
      <c r="H111" s="48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72"/>
      <c r="U111" s="72"/>
      <c r="V111" s="72"/>
      <c r="W111" s="72"/>
      <c r="X111" s="72"/>
      <c r="Y111" s="72"/>
      <c r="Z111" s="72"/>
      <c r="AA111" s="72"/>
      <c r="AB111" s="24"/>
    </row>
    <row r="112" spans="1:28">
      <c r="A112" s="48"/>
      <c r="B112" s="48"/>
      <c r="C112" s="51" t="s">
        <v>349</v>
      </c>
      <c r="D112" s="48"/>
      <c r="E112" s="48"/>
      <c r="F112" s="48"/>
      <c r="G112" s="48"/>
      <c r="H112" s="48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72"/>
      <c r="U112" s="72"/>
      <c r="V112" s="72"/>
      <c r="W112" s="72"/>
      <c r="X112" s="72"/>
      <c r="Y112" s="72"/>
      <c r="Z112" s="72"/>
      <c r="AA112" s="72"/>
      <c r="AB112" s="24"/>
    </row>
    <row r="113" spans="1:28">
      <c r="A113" s="48"/>
      <c r="B113" s="48"/>
      <c r="C113" s="48"/>
      <c r="D113" s="195" t="s">
        <v>235</v>
      </c>
      <c r="E113" s="203"/>
      <c r="F113" s="203" t="s">
        <v>84</v>
      </c>
      <c r="G113" s="203" t="str">
        <f>Inputs!G$71</f>
        <v>£m nominal</v>
      </c>
      <c r="H113" s="195"/>
      <c r="I113" s="197"/>
      <c r="J113" s="197"/>
      <c r="K113" s="197"/>
      <c r="L113" s="197"/>
      <c r="M113" s="202"/>
      <c r="N113" s="202"/>
      <c r="O113" s="202"/>
      <c r="P113" s="202"/>
      <c r="Q113" s="202"/>
      <c r="R113" s="202"/>
      <c r="S113" s="202"/>
      <c r="T113" s="401">
        <f>Inputs!$I$71 * T$23</f>
        <v>0</v>
      </c>
      <c r="U113" s="202"/>
      <c r="V113" s="202"/>
      <c r="W113" s="202"/>
      <c r="X113" s="202"/>
      <c r="Y113" s="202"/>
      <c r="Z113" s="202"/>
      <c r="AA113" s="202"/>
      <c r="AB113" s="24"/>
    </row>
    <row r="114" spans="1:28">
      <c r="A114" s="48"/>
      <c r="B114" s="48"/>
      <c r="C114" s="48"/>
      <c r="D114" s="71" t="s">
        <v>210</v>
      </c>
      <c r="E114" s="71"/>
      <c r="F114" s="71" t="s">
        <v>350</v>
      </c>
      <c r="G114" s="64" t="s">
        <v>29</v>
      </c>
      <c r="H114" s="64"/>
      <c r="I114" s="65"/>
      <c r="J114" s="65"/>
      <c r="K114" s="65"/>
      <c r="L114" s="65"/>
      <c r="M114" s="75"/>
      <c r="N114" s="75"/>
      <c r="O114" s="75"/>
      <c r="P114" s="75"/>
      <c r="Q114" s="75"/>
      <c r="R114" s="75"/>
      <c r="S114" s="75"/>
      <c r="T114" s="107"/>
      <c r="U114" s="402">
        <f t="shared" ref="U114:AA114" si="36">(T120 - T110) * U$23</f>
        <v>0</v>
      </c>
      <c r="V114" s="402">
        <f t="shared" si="36"/>
        <v>0</v>
      </c>
      <c r="W114" s="402">
        <f t="shared" si="36"/>
        <v>0</v>
      </c>
      <c r="X114" s="402">
        <f t="shared" si="36"/>
        <v>0</v>
      </c>
      <c r="Y114" s="402">
        <f t="shared" si="36"/>
        <v>0</v>
      </c>
      <c r="Z114" s="402">
        <f t="shared" si="36"/>
        <v>0</v>
      </c>
      <c r="AA114" s="402">
        <f t="shared" si="36"/>
        <v>0</v>
      </c>
      <c r="AB114" s="24"/>
    </row>
    <row r="115" spans="1:28">
      <c r="A115" s="48"/>
      <c r="B115" s="48"/>
      <c r="C115" s="48"/>
      <c r="D115" s="67" t="str">
        <f>C112</f>
        <v>External Expenditure Adjustment</v>
      </c>
      <c r="E115" s="67"/>
      <c r="F115" s="67" t="s">
        <v>351</v>
      </c>
      <c r="G115" s="67" t="s">
        <v>29</v>
      </c>
      <c r="H115" s="67"/>
      <c r="I115" s="68"/>
      <c r="J115" s="68"/>
      <c r="K115" s="68"/>
      <c r="L115" s="68"/>
      <c r="M115" s="95"/>
      <c r="N115" s="95"/>
      <c r="O115" s="95"/>
      <c r="P115" s="95"/>
      <c r="Q115" s="95"/>
      <c r="R115" s="95"/>
      <c r="S115" s="95"/>
      <c r="T115" s="388">
        <f>SUM(T113:T114)</f>
        <v>0</v>
      </c>
      <c r="U115" s="389">
        <f t="shared" ref="U115:AA115" si="37">SUM(U113:U114)</f>
        <v>0</v>
      </c>
      <c r="V115" s="389">
        <f t="shared" si="37"/>
        <v>0</v>
      </c>
      <c r="W115" s="389">
        <f t="shared" si="37"/>
        <v>0</v>
      </c>
      <c r="X115" s="389">
        <f t="shared" si="37"/>
        <v>0</v>
      </c>
      <c r="Y115" s="389">
        <f t="shared" si="37"/>
        <v>0</v>
      </c>
      <c r="Z115" s="389">
        <f t="shared" si="37"/>
        <v>0</v>
      </c>
      <c r="AA115" s="389">
        <f t="shared" si="37"/>
        <v>0</v>
      </c>
      <c r="AB115" s="24"/>
    </row>
    <row r="116" spans="1:28">
      <c r="A116" s="48"/>
      <c r="B116" s="48"/>
      <c r="C116" s="48"/>
      <c r="D116" s="48"/>
      <c r="E116" s="48"/>
      <c r="F116" s="48"/>
      <c r="G116" s="48"/>
      <c r="H116" s="48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72"/>
      <c r="U116" s="72"/>
      <c r="V116" s="72"/>
      <c r="W116" s="72"/>
      <c r="X116" s="72"/>
      <c r="Y116" s="72"/>
      <c r="Z116" s="72"/>
      <c r="AA116" s="72"/>
      <c r="AB116" s="24"/>
    </row>
    <row r="117" spans="1:28">
      <c r="A117" s="48"/>
      <c r="B117" s="48"/>
      <c r="C117" s="51" t="s">
        <v>335</v>
      </c>
      <c r="D117" s="48"/>
      <c r="E117" s="48"/>
      <c r="F117" s="48"/>
      <c r="G117" s="48"/>
      <c r="H117" s="48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72"/>
      <c r="U117" s="72"/>
      <c r="V117" s="72"/>
      <c r="W117" s="72"/>
      <c r="X117" s="72"/>
      <c r="Y117" s="72"/>
      <c r="Z117" s="72"/>
      <c r="AA117" s="72"/>
      <c r="AB117" s="24"/>
    </row>
    <row r="118" spans="1:28">
      <c r="A118" s="48"/>
      <c r="B118" s="48"/>
      <c r="C118" s="48"/>
      <c r="D118" s="195" t="str">
        <f>D104</f>
        <v>External Expenditure</v>
      </c>
      <c r="E118" s="203"/>
      <c r="F118" s="203" t="s">
        <v>352</v>
      </c>
      <c r="G118" s="203" t="str">
        <f>G104</f>
        <v>£m nominal</v>
      </c>
      <c r="H118" s="195"/>
      <c r="I118" s="197"/>
      <c r="J118" s="197"/>
      <c r="K118" s="197"/>
      <c r="L118" s="197"/>
      <c r="M118" s="202"/>
      <c r="N118" s="202"/>
      <c r="O118" s="202"/>
      <c r="P118" s="202"/>
      <c r="Q118" s="202"/>
      <c r="R118" s="202"/>
      <c r="S118" s="202"/>
      <c r="T118" s="403">
        <f t="shared" ref="T118:AA118" si="38">T104</f>
        <v>2712.545114192937</v>
      </c>
      <c r="U118" s="403">
        <f t="shared" si="38"/>
        <v>0</v>
      </c>
      <c r="V118" s="403">
        <f t="shared" si="38"/>
        <v>0</v>
      </c>
      <c r="W118" s="403">
        <f t="shared" si="38"/>
        <v>0</v>
      </c>
      <c r="X118" s="403">
        <f t="shared" si="38"/>
        <v>0</v>
      </c>
      <c r="Y118" s="403">
        <f t="shared" si="38"/>
        <v>0</v>
      </c>
      <c r="Z118" s="403">
        <f t="shared" si="38"/>
        <v>0</v>
      </c>
      <c r="AA118" s="403">
        <f t="shared" si="38"/>
        <v>0</v>
      </c>
      <c r="AB118" s="24"/>
    </row>
    <row r="119" spans="1:28">
      <c r="A119" s="48"/>
      <c r="B119" s="48"/>
      <c r="C119" s="48"/>
      <c r="D119" s="71" t="s">
        <v>349</v>
      </c>
      <c r="E119" s="71"/>
      <c r="F119" s="71" t="s">
        <v>350</v>
      </c>
      <c r="G119" s="71" t="str">
        <f t="shared" ref="G119" si="39">G115</f>
        <v>£m nominal</v>
      </c>
      <c r="H119" s="64"/>
      <c r="I119" s="65"/>
      <c r="J119" s="65"/>
      <c r="K119" s="65"/>
      <c r="L119" s="65"/>
      <c r="M119" s="75"/>
      <c r="N119" s="75"/>
      <c r="O119" s="75"/>
      <c r="P119" s="75"/>
      <c r="Q119" s="75"/>
      <c r="R119" s="75"/>
      <c r="S119" s="75"/>
      <c r="T119" s="402">
        <f t="shared" ref="T119" si="40">T115</f>
        <v>0</v>
      </c>
      <c r="U119" s="402">
        <f>U115</f>
        <v>0</v>
      </c>
      <c r="V119" s="402">
        <f>V115</f>
        <v>0</v>
      </c>
      <c r="W119" s="402">
        <f t="shared" ref="W119:AA119" si="41">W115</f>
        <v>0</v>
      </c>
      <c r="X119" s="402">
        <f t="shared" si="41"/>
        <v>0</v>
      </c>
      <c r="Y119" s="402">
        <f t="shared" si="41"/>
        <v>0</v>
      </c>
      <c r="Z119" s="402">
        <f t="shared" si="41"/>
        <v>0</v>
      </c>
      <c r="AA119" s="402">
        <f t="shared" si="41"/>
        <v>0</v>
      </c>
      <c r="AB119" s="24"/>
    </row>
    <row r="120" spans="1:28">
      <c r="A120" s="48"/>
      <c r="B120" s="48"/>
      <c r="C120" s="48"/>
      <c r="D120" s="67" t="str">
        <f>C117</f>
        <v>External BSUoS Income</v>
      </c>
      <c r="E120" s="67"/>
      <c r="F120" s="67" t="s">
        <v>353</v>
      </c>
      <c r="G120" s="67" t="s">
        <v>29</v>
      </c>
      <c r="H120" s="67"/>
      <c r="I120" s="68"/>
      <c r="J120" s="68"/>
      <c r="K120" s="68"/>
      <c r="L120" s="68"/>
      <c r="M120" s="95"/>
      <c r="N120" s="95"/>
      <c r="O120" s="95"/>
      <c r="P120" s="95"/>
      <c r="Q120" s="95"/>
      <c r="R120" s="95"/>
      <c r="S120" s="95"/>
      <c r="T120" s="388">
        <f t="shared" ref="T120" si="42">SUM(T118:T119)</f>
        <v>2712.545114192937</v>
      </c>
      <c r="U120" s="389">
        <f>SUM(U118:U119)</f>
        <v>0</v>
      </c>
      <c r="V120" s="389">
        <f t="shared" ref="V120:AA120" si="43">SUM(V118:V119)</f>
        <v>0</v>
      </c>
      <c r="W120" s="389">
        <f t="shared" si="43"/>
        <v>0</v>
      </c>
      <c r="X120" s="389">
        <f t="shared" si="43"/>
        <v>0</v>
      </c>
      <c r="Y120" s="389">
        <f t="shared" si="43"/>
        <v>0</v>
      </c>
      <c r="Z120" s="389">
        <f t="shared" si="43"/>
        <v>0</v>
      </c>
      <c r="AA120" s="389">
        <f t="shared" si="43"/>
        <v>0</v>
      </c>
      <c r="AB120" s="24"/>
    </row>
    <row r="121" spans="1:28" ht="14.5">
      <c r="A121" s="48"/>
      <c r="B121" s="48"/>
      <c r="C121" s="60"/>
      <c r="D121" s="48"/>
      <c r="E121" s="48"/>
      <c r="F121" s="48"/>
      <c r="G121" s="48"/>
      <c r="H121" s="48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72"/>
      <c r="U121" s="72"/>
      <c r="V121" s="72"/>
      <c r="W121" s="72"/>
      <c r="X121" s="72"/>
      <c r="Y121" s="72"/>
      <c r="Z121" s="72"/>
      <c r="AA121" s="72"/>
      <c r="AB121" s="24"/>
    </row>
    <row r="122" spans="1:28">
      <c r="A122" s="48"/>
      <c r="B122" s="48"/>
      <c r="C122" s="48" t="s">
        <v>354</v>
      </c>
      <c r="D122" s="48"/>
      <c r="E122" s="48"/>
      <c r="F122" s="48"/>
      <c r="G122" s="48" t="s">
        <v>151</v>
      </c>
      <c r="H122" s="48"/>
      <c r="I122" s="24"/>
      <c r="J122" s="24"/>
      <c r="K122" s="372">
        <f>SUM(T122:AA122)</f>
        <v>0</v>
      </c>
      <c r="L122" s="24"/>
      <c r="M122" s="81"/>
      <c r="N122" s="81"/>
      <c r="O122" s="81"/>
      <c r="P122" s="81"/>
      <c r="Q122" s="81"/>
      <c r="R122" s="81"/>
      <c r="S122" s="81"/>
      <c r="T122" s="372">
        <f t="shared" ref="T122:AA122" si="44">IF(AND(T23 = 0, T120 &lt;&gt; 0), 1, 0)</f>
        <v>0</v>
      </c>
      <c r="U122" s="372">
        <f t="shared" si="44"/>
        <v>0</v>
      </c>
      <c r="V122" s="372">
        <f t="shared" si="44"/>
        <v>0</v>
      </c>
      <c r="W122" s="372">
        <f t="shared" si="44"/>
        <v>0</v>
      </c>
      <c r="X122" s="372">
        <f t="shared" si="44"/>
        <v>0</v>
      </c>
      <c r="Y122" s="372">
        <f t="shared" si="44"/>
        <v>0</v>
      </c>
      <c r="Z122" s="372">
        <f t="shared" si="44"/>
        <v>0</v>
      </c>
      <c r="AA122" s="372">
        <f t="shared" si="44"/>
        <v>0</v>
      </c>
      <c r="AB122" s="24"/>
    </row>
    <row r="123" spans="1:28" ht="14.5">
      <c r="A123" s="48"/>
      <c r="B123" s="48"/>
      <c r="C123" s="60"/>
      <c r="D123" s="48"/>
      <c r="E123" s="48"/>
      <c r="F123" s="48"/>
      <c r="G123" s="48"/>
      <c r="H123" s="48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72"/>
      <c r="U123" s="72"/>
      <c r="V123" s="72"/>
      <c r="W123" s="72"/>
      <c r="X123" s="72"/>
      <c r="Y123" s="72"/>
      <c r="Z123" s="72"/>
      <c r="AA123" s="72"/>
      <c r="AB123" s="24"/>
    </row>
    <row r="124" spans="1:28" s="17" customFormat="1" ht="18">
      <c r="A124" s="97" t="s">
        <v>13</v>
      </c>
      <c r="B124" s="97" t="s">
        <v>355</v>
      </c>
      <c r="C124" s="328"/>
      <c r="D124" s="328"/>
      <c r="E124" s="328"/>
      <c r="F124" s="371"/>
      <c r="G124" s="328"/>
      <c r="H124" s="328"/>
      <c r="I124" s="329"/>
      <c r="J124" s="329"/>
      <c r="K124" s="329"/>
      <c r="L124" s="329"/>
      <c r="M124" s="329"/>
      <c r="N124" s="329"/>
      <c r="O124" s="329"/>
      <c r="P124" s="329"/>
      <c r="Q124" s="329"/>
      <c r="R124" s="329"/>
      <c r="S124" s="329"/>
      <c r="T124" s="385"/>
      <c r="U124" s="385"/>
      <c r="V124" s="385"/>
      <c r="W124" s="385"/>
      <c r="X124" s="385"/>
      <c r="Y124" s="385"/>
      <c r="Z124" s="385"/>
      <c r="AA124" s="385"/>
      <c r="AB124" s="329"/>
    </row>
    <row r="125" spans="1:28">
      <c r="A125" s="48"/>
      <c r="B125" s="48"/>
      <c r="C125" s="48"/>
      <c r="D125" s="48"/>
      <c r="E125" s="48"/>
      <c r="F125" s="48"/>
      <c r="G125" s="48"/>
      <c r="H125" s="48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72"/>
      <c r="U125" s="72"/>
      <c r="V125" s="72"/>
      <c r="W125" s="72"/>
      <c r="X125" s="72"/>
      <c r="Y125" s="72"/>
      <c r="Z125" s="72"/>
      <c r="AA125" s="72"/>
      <c r="AB125" s="24"/>
    </row>
    <row r="126" spans="1:28" ht="14.5">
      <c r="A126" s="48"/>
      <c r="B126" s="206" t="s">
        <v>356</v>
      </c>
      <c r="C126" s="48"/>
      <c r="D126" s="48"/>
      <c r="E126" s="48"/>
      <c r="F126" s="48"/>
      <c r="G126" s="48"/>
      <c r="H126" s="48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72"/>
      <c r="U126" s="72"/>
      <c r="V126" s="72"/>
      <c r="W126" s="72"/>
      <c r="X126" s="72"/>
      <c r="Y126" s="72"/>
      <c r="Z126" s="72"/>
      <c r="AA126" s="72"/>
      <c r="AB126" s="24"/>
    </row>
    <row r="127" spans="1:28">
      <c r="A127" s="48"/>
      <c r="B127" s="48"/>
      <c r="C127" s="48"/>
      <c r="D127" s="48"/>
      <c r="E127" s="48"/>
      <c r="F127" s="48"/>
      <c r="G127" s="48"/>
      <c r="H127" s="48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72"/>
      <c r="U127" s="72"/>
      <c r="V127" s="72"/>
      <c r="W127" s="72"/>
      <c r="X127" s="72"/>
      <c r="Y127" s="72"/>
      <c r="Z127" s="72"/>
      <c r="AA127" s="72"/>
      <c r="AB127" s="24"/>
    </row>
    <row r="128" spans="1:28">
      <c r="A128" s="48"/>
      <c r="B128" s="48"/>
      <c r="C128" s="51" t="s">
        <v>357</v>
      </c>
      <c r="D128" s="48"/>
      <c r="E128" s="48"/>
      <c r="F128" s="48"/>
      <c r="G128" s="48"/>
      <c r="H128" s="48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72"/>
      <c r="U128" s="72"/>
      <c r="V128" s="72"/>
      <c r="W128" s="72"/>
      <c r="X128" s="72"/>
      <c r="Y128" s="72"/>
      <c r="Z128" s="72"/>
      <c r="AA128" s="72"/>
      <c r="AB128" s="24"/>
    </row>
    <row r="129" spans="1:28">
      <c r="A129" s="48"/>
      <c r="B129" s="48"/>
      <c r="C129" s="48"/>
      <c r="D129" s="195" t="str">
        <f>D$57</f>
        <v>Internal BSUoS Income (published and forecast)</v>
      </c>
      <c r="E129" s="195"/>
      <c r="F129" s="203" t="str">
        <f>F$57</f>
        <v>INTₜ</v>
      </c>
      <c r="G129" s="203" t="str">
        <f>G$57</f>
        <v>£m nominal</v>
      </c>
      <c r="H129" s="195"/>
      <c r="I129" s="197"/>
      <c r="J129" s="197"/>
      <c r="K129" s="197"/>
      <c r="L129" s="197"/>
      <c r="M129" s="202"/>
      <c r="N129" s="202"/>
      <c r="O129" s="202"/>
      <c r="P129" s="202"/>
      <c r="Q129" s="202"/>
      <c r="R129" s="202"/>
      <c r="S129" s="202"/>
      <c r="T129" s="404">
        <f>T$57</f>
        <v>534.54598574268368</v>
      </c>
      <c r="U129" s="404">
        <f t="shared" ref="U129:AA129" si="45">U$57</f>
        <v>732.79455812175911</v>
      </c>
      <c r="V129" s="404">
        <f t="shared" si="45"/>
        <v>694.69541296429657</v>
      </c>
      <c r="W129" s="404">
        <f t="shared" si="45"/>
        <v>0</v>
      </c>
      <c r="X129" s="404">
        <f t="shared" si="45"/>
        <v>0</v>
      </c>
      <c r="Y129" s="404">
        <f t="shared" si="45"/>
        <v>0</v>
      </c>
      <c r="Z129" s="404">
        <f t="shared" si="45"/>
        <v>0</v>
      </c>
      <c r="AA129" s="404">
        <f t="shared" si="45"/>
        <v>0</v>
      </c>
      <c r="AB129" s="24"/>
    </row>
    <row r="130" spans="1:28">
      <c r="A130" s="48"/>
      <c r="B130" s="48"/>
      <c r="C130" s="48"/>
      <c r="D130" s="71" t="str">
        <f>D$91</f>
        <v>Return BSUoS Income (published and forecast)</v>
      </c>
      <c r="E130" s="71"/>
      <c r="F130" s="71" t="str">
        <f>F$91</f>
        <v>RTNₜ</v>
      </c>
      <c r="G130" s="71" t="str">
        <f>G$91</f>
        <v>£m nominal</v>
      </c>
      <c r="H130" s="64"/>
      <c r="I130" s="65"/>
      <c r="J130" s="65"/>
      <c r="K130" s="65"/>
      <c r="L130" s="65"/>
      <c r="M130" s="75"/>
      <c r="N130" s="75"/>
      <c r="O130" s="75"/>
      <c r="P130" s="75"/>
      <c r="Q130" s="75"/>
      <c r="R130" s="75"/>
      <c r="S130" s="75"/>
      <c r="T130" s="405">
        <f>T$91</f>
        <v>61.088605477935758</v>
      </c>
      <c r="U130" s="405">
        <f t="shared" ref="U130:AA130" si="46">U$91</f>
        <v>108.74166317206712</v>
      </c>
      <c r="V130" s="405">
        <f t="shared" si="46"/>
        <v>103.02234682172009</v>
      </c>
      <c r="W130" s="405">
        <f t="shared" si="46"/>
        <v>91.033494780442311</v>
      </c>
      <c r="X130" s="405">
        <f t="shared" si="46"/>
        <v>79.203772893561521</v>
      </c>
      <c r="Y130" s="405">
        <f t="shared" si="46"/>
        <v>59.919811464787365</v>
      </c>
      <c r="Z130" s="405">
        <f t="shared" si="46"/>
        <v>41.22573276103558</v>
      </c>
      <c r="AA130" s="405">
        <f t="shared" si="46"/>
        <v>17.222588485743046</v>
      </c>
      <c r="AB130" s="24"/>
    </row>
    <row r="131" spans="1:28">
      <c r="A131" s="48"/>
      <c r="B131" s="48"/>
      <c r="C131" s="48"/>
      <c r="D131" s="71" t="str">
        <f>D$120</f>
        <v>External BSUoS Income</v>
      </c>
      <c r="E131" s="71"/>
      <c r="F131" s="71" t="s">
        <v>358</v>
      </c>
      <c r="G131" s="71" t="s">
        <v>29</v>
      </c>
      <c r="H131" s="64"/>
      <c r="I131" s="65"/>
      <c r="J131" s="65"/>
      <c r="K131" s="65"/>
      <c r="L131" s="65"/>
      <c r="M131" s="75"/>
      <c r="N131" s="75"/>
      <c r="O131" s="75"/>
      <c r="P131" s="75"/>
      <c r="Q131" s="75"/>
      <c r="R131" s="75"/>
      <c r="S131" s="75"/>
      <c r="T131" s="406">
        <f>T$120</f>
        <v>2712.545114192937</v>
      </c>
      <c r="U131" s="406">
        <f t="shared" ref="U131:AA131" si="47">U$120</f>
        <v>0</v>
      </c>
      <c r="V131" s="406">
        <f t="shared" si="47"/>
        <v>0</v>
      </c>
      <c r="W131" s="406">
        <f t="shared" si="47"/>
        <v>0</v>
      </c>
      <c r="X131" s="406">
        <f t="shared" si="47"/>
        <v>0</v>
      </c>
      <c r="Y131" s="406">
        <f t="shared" si="47"/>
        <v>0</v>
      </c>
      <c r="Z131" s="406">
        <f t="shared" si="47"/>
        <v>0</v>
      </c>
      <c r="AA131" s="406">
        <f t="shared" si="47"/>
        <v>0</v>
      </c>
      <c r="AB131" s="24"/>
    </row>
    <row r="132" spans="1:28">
      <c r="A132" s="48"/>
      <c r="B132" s="48"/>
      <c r="C132" s="48"/>
      <c r="D132" s="67" t="s">
        <v>357</v>
      </c>
      <c r="E132" s="67"/>
      <c r="F132" s="67" t="s">
        <v>359</v>
      </c>
      <c r="G132" s="67" t="s">
        <v>29</v>
      </c>
      <c r="H132" s="67"/>
      <c r="I132" s="68"/>
      <c r="J132" s="68"/>
      <c r="K132" s="68"/>
      <c r="L132" s="68"/>
      <c r="M132" s="95"/>
      <c r="N132" s="95"/>
      <c r="O132" s="95"/>
      <c r="P132" s="95"/>
      <c r="Q132" s="95"/>
      <c r="R132" s="95"/>
      <c r="S132" s="95"/>
      <c r="T132" s="407">
        <f t="shared" ref="T132:V132" si="48">SUM(T129:T131)</f>
        <v>3308.1797054135563</v>
      </c>
      <c r="U132" s="394">
        <f t="shared" si="48"/>
        <v>841.5362212938262</v>
      </c>
      <c r="V132" s="394">
        <f t="shared" si="48"/>
        <v>797.7177597860167</v>
      </c>
      <c r="W132" s="394">
        <f t="shared" ref="W132:AA132" si="49">SUM(W129:W131)</f>
        <v>91.033494780442311</v>
      </c>
      <c r="X132" s="394">
        <f t="shared" si="49"/>
        <v>79.203772893561521</v>
      </c>
      <c r="Y132" s="394">
        <f t="shared" si="49"/>
        <v>59.919811464787365</v>
      </c>
      <c r="Z132" s="394">
        <f t="shared" si="49"/>
        <v>41.22573276103558</v>
      </c>
      <c r="AA132" s="394">
        <f t="shared" si="49"/>
        <v>17.222588485743046</v>
      </c>
      <c r="AB132" s="24"/>
    </row>
    <row r="133" spans="1:28">
      <c r="A133" s="48"/>
      <c r="B133" s="48"/>
      <c r="C133" s="48"/>
      <c r="D133" s="48"/>
      <c r="E133" s="48"/>
      <c r="F133" s="48"/>
      <c r="G133" s="48"/>
      <c r="H133" s="48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</row>
    <row r="134" spans="1:28">
      <c r="A134" s="48"/>
      <c r="B134" s="48"/>
      <c r="C134" s="48" t="s">
        <v>360</v>
      </c>
      <c r="D134" s="48"/>
      <c r="E134" s="48"/>
      <c r="F134" s="48"/>
      <c r="G134" s="48" t="s">
        <v>151</v>
      </c>
      <c r="H134" s="48"/>
      <c r="I134" s="24"/>
      <c r="J134" s="24"/>
      <c r="K134" s="408">
        <f>SUM(T134:AA134)</f>
        <v>0</v>
      </c>
      <c r="L134" s="108"/>
      <c r="M134" s="75"/>
      <c r="N134" s="75"/>
      <c r="O134" s="75"/>
      <c r="P134" s="75"/>
      <c r="Q134" s="75"/>
      <c r="R134" s="75"/>
      <c r="S134" s="75"/>
      <c r="T134" s="409">
        <f>IF(ISERROR(T132), 1, 0)</f>
        <v>0</v>
      </c>
      <c r="U134" s="409">
        <f t="shared" ref="U134:AA134" si="50">IF(ISERROR(U132), 1, 0)</f>
        <v>0</v>
      </c>
      <c r="V134" s="409">
        <f t="shared" si="50"/>
        <v>0</v>
      </c>
      <c r="W134" s="409">
        <f t="shared" si="50"/>
        <v>0</v>
      </c>
      <c r="X134" s="409">
        <f t="shared" si="50"/>
        <v>0</v>
      </c>
      <c r="Y134" s="409">
        <f t="shared" si="50"/>
        <v>0</v>
      </c>
      <c r="Z134" s="409">
        <f t="shared" si="50"/>
        <v>0</v>
      </c>
      <c r="AA134" s="409">
        <f t="shared" si="50"/>
        <v>0</v>
      </c>
      <c r="AB134" s="24"/>
    </row>
    <row r="135" spans="1:28">
      <c r="A135" s="48"/>
      <c r="B135" s="48"/>
      <c r="C135" s="48"/>
      <c r="D135" s="48"/>
      <c r="E135" s="48"/>
      <c r="F135" s="48"/>
      <c r="G135" s="48"/>
      <c r="H135" s="48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</row>
    <row r="136" spans="1:28" s="17" customFormat="1" ht="18">
      <c r="A136" s="74" t="s">
        <v>13</v>
      </c>
      <c r="B136" s="74" t="s">
        <v>5</v>
      </c>
      <c r="C136" s="328"/>
      <c r="D136" s="328"/>
      <c r="E136" s="328"/>
      <c r="F136" s="371"/>
      <c r="G136" s="328"/>
      <c r="H136" s="328"/>
      <c r="I136" s="328"/>
      <c r="J136" s="328"/>
      <c r="K136" s="329"/>
      <c r="L136" s="328"/>
      <c r="M136" s="329"/>
      <c r="N136" s="329"/>
      <c r="O136" s="329"/>
      <c r="P136" s="329"/>
      <c r="Q136" s="329"/>
      <c r="R136" s="329"/>
      <c r="S136" s="329"/>
      <c r="T136" s="329"/>
      <c r="U136" s="329"/>
      <c r="V136" s="329"/>
      <c r="W136" s="329"/>
      <c r="X136" s="329"/>
      <c r="Y136" s="329"/>
      <c r="Z136" s="329"/>
      <c r="AA136" s="329"/>
      <c r="AB136" s="329"/>
    </row>
    <row r="137" spans="1:28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24"/>
      <c r="L137" s="49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4"/>
    </row>
    <row r="138" spans="1:28">
      <c r="A138" s="48"/>
      <c r="B138" s="48"/>
      <c r="C138" s="48" t="s">
        <v>150</v>
      </c>
      <c r="D138" s="48"/>
      <c r="E138" s="48"/>
      <c r="F138" s="48"/>
      <c r="G138" s="48" t="s">
        <v>151</v>
      </c>
      <c r="H138" s="48"/>
      <c r="I138" s="48"/>
      <c r="J138" s="48"/>
      <c r="K138" s="410">
        <f>SUM(K4:K137)</f>
        <v>0</v>
      </c>
      <c r="L138" s="49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spans="1:28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24"/>
      <c r="L139" s="48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</row>
    <row r="140" spans="1:28" s="17" customFormat="1" ht="18">
      <c r="A140" s="74" t="s">
        <v>13</v>
      </c>
      <c r="B140" s="74" t="s">
        <v>152</v>
      </c>
      <c r="C140" s="411"/>
      <c r="D140" s="411"/>
      <c r="E140" s="411"/>
      <c r="F140" s="412"/>
      <c r="G140" s="411"/>
      <c r="H140" s="411"/>
      <c r="I140" s="413"/>
      <c r="J140" s="413"/>
      <c r="K140" s="413"/>
      <c r="L140" s="413"/>
      <c r="M140" s="413"/>
      <c r="N140" s="413"/>
      <c r="O140" s="413"/>
      <c r="P140" s="413"/>
      <c r="Q140" s="413"/>
      <c r="R140" s="413"/>
      <c r="S140" s="413"/>
      <c r="T140" s="413"/>
      <c r="U140" s="413"/>
      <c r="V140" s="413"/>
      <c r="W140" s="413"/>
      <c r="X140" s="413"/>
      <c r="Y140" s="413"/>
      <c r="Z140" s="413"/>
      <c r="AA140" s="413"/>
      <c r="AB140" s="413"/>
    </row>
  </sheetData>
  <phoneticPr fontId="8" type="noConversion"/>
  <pageMargins left="0.7" right="0.7" top="0.75" bottom="0.75" header="0.3" footer="0.3"/>
  <pageSetup paperSize="9" orientation="portrait" horizontalDpi="4294967292" r:id="rId1"/>
  <headerFooter>
    <oddHeader>&amp;L&amp;"Poppins"&amp;12&amp;KFF00FF Public&amp;1#_x000D_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ED9A69BE-4D14-4AB2-96DA-426207E74EF9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6" id="{512729AD-FFC9-45CC-B92A-6DC2C7AA8DEE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A8:XFD8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C908-7DC4-46F2-B789-C320553AA7AA}">
  <sheetPr codeName="Sheet17">
    <tabColor rgb="FFFFA78B"/>
  </sheetPr>
  <dimension ref="A1:XFD65"/>
  <sheetViews>
    <sheetView showGridLines="0" zoomScale="70" zoomScaleNormal="70" workbookViewId="0">
      <pane xSplit="12" ySplit="10" topLeftCell="T11" activePane="bottomRight" state="frozen"/>
      <selection pane="topRight"/>
      <selection pane="bottomLeft"/>
      <selection pane="bottomRight" activeCell="U50" sqref="U50"/>
    </sheetView>
  </sheetViews>
  <sheetFormatPr defaultColWidth="0" defaultRowHeight="14" outlineLevelCol="1"/>
  <cols>
    <col min="1" max="3" width="2.5" style="21" customWidth="1"/>
    <col min="4" max="4" width="55.5" style="21" customWidth="1"/>
    <col min="5" max="5" width="25.5" style="21" customWidth="1"/>
    <col min="6" max="7" width="20.5" style="21" customWidth="1"/>
    <col min="8" max="8" width="2.5" style="21" customWidth="1"/>
    <col min="9" max="9" width="12.5" style="3" customWidth="1"/>
    <col min="10" max="10" width="2.5" style="3" customWidth="1"/>
    <col min="11" max="11" width="12.5" style="3" customWidth="1"/>
    <col min="12" max="12" width="2.5" style="21" customWidth="1"/>
    <col min="13" max="19" width="12.5" style="3" hidden="1" customWidth="1" outlineLevel="1"/>
    <col min="20" max="20" width="12.5" style="3" customWidth="1" collapsed="1"/>
    <col min="21" max="27" width="12.5" style="3" customWidth="1"/>
    <col min="28" max="28" width="2.5" style="3" customWidth="1"/>
    <col min="29" max="34" width="0" style="3" hidden="1" customWidth="1"/>
    <col min="35" max="16384" width="9.5" style="3" hidden="1"/>
  </cols>
  <sheetData>
    <row r="1" spans="1:28" s="19" customFormat="1" ht="23">
      <c r="A1" s="46"/>
      <c r="B1" s="46" t="str" cm="1">
        <f t="array" aca="1" ref="B1" ca="1">MID(CELL("filename", A1), FIND("]", CELL("filename", A1)) + 1, 255)</f>
        <v>Gas</v>
      </c>
      <c r="C1" s="46"/>
      <c r="D1" s="46"/>
      <c r="E1" s="46"/>
      <c r="F1" s="46"/>
      <c r="G1" s="47"/>
      <c r="H1" s="47"/>
      <c r="I1" s="28"/>
      <c r="J1" s="28"/>
      <c r="K1" s="28"/>
      <c r="L1" s="47"/>
      <c r="M1" s="28"/>
      <c r="N1" s="28"/>
      <c r="O1" s="28"/>
      <c r="P1" s="28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</row>
    <row r="2" spans="1:28" ht="4.5" customHeight="1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50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13" customFormat="1" ht="14.5" customHeight="1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s="13" customFormat="1" ht="14.5" customHeight="1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s="13" customFormat="1" ht="14.5" customHeight="1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ht="14.5" customHeight="1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26"/>
      <c r="J8" s="26"/>
      <c r="K8" s="26"/>
      <c r="L8" s="50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50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9" customFormat="1" ht="23">
      <c r="A10" s="46"/>
      <c r="B10" s="46" t="str">
        <f>Project_Name</f>
        <v>NESO Financial Model</v>
      </c>
      <c r="C10" s="46"/>
      <c r="D10" s="46"/>
      <c r="E10" s="46"/>
      <c r="F10" s="46"/>
      <c r="G10" s="47"/>
      <c r="H10" s="47"/>
      <c r="I10" s="28"/>
      <c r="J10" s="28"/>
      <c r="K10" s="28"/>
      <c r="L10" s="47"/>
      <c r="M10" s="28"/>
      <c r="N10" s="28"/>
      <c r="O10" s="28"/>
      <c r="P10" s="28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</row>
    <row r="11" spans="1:28" customFormat="1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48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customFormat="1" ht="18">
      <c r="A12" s="97" t="s">
        <v>13</v>
      </c>
      <c r="B12" s="97" t="s">
        <v>274</v>
      </c>
      <c r="C12" s="414"/>
      <c r="D12" s="414"/>
      <c r="E12" s="414"/>
      <c r="F12" s="414"/>
      <c r="G12" s="414"/>
      <c r="H12" s="414"/>
      <c r="I12" s="415"/>
      <c r="J12" s="415"/>
      <c r="K12" s="415"/>
      <c r="L12" s="415"/>
      <c r="M12" s="415"/>
      <c r="N12" s="415"/>
      <c r="O12" s="415"/>
      <c r="P12" s="415"/>
      <c r="Q12" s="415"/>
      <c r="R12" s="415"/>
      <c r="S12" s="415"/>
      <c r="T12" s="415"/>
      <c r="U12" s="415"/>
      <c r="V12" s="415"/>
      <c r="W12" s="415"/>
      <c r="X12" s="415"/>
      <c r="Y12" s="415"/>
      <c r="Z12" s="415"/>
      <c r="AA12" s="415"/>
      <c r="AB12" s="415"/>
    </row>
    <row r="13" spans="1:28" customFormat="1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customFormat="1" ht="14.5">
      <c r="A14" s="48"/>
      <c r="B14" s="206" t="s">
        <v>275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customFormat="1">
      <c r="A15" s="48"/>
      <c r="B15" s="48"/>
      <c r="C15" s="48"/>
      <c r="D15" s="48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customFormat="1">
      <c r="A16" s="48"/>
      <c r="B16" s="48"/>
      <c r="C16" s="77" t="str">
        <f>Inputs!C$17</f>
        <v xml:space="preserve">Year t </v>
      </c>
      <c r="D16" s="78"/>
      <c r="E16" s="79"/>
      <c r="F16" s="79"/>
      <c r="G16" s="79" t="str">
        <f>Inputs!G$17</f>
        <v>12 months ending</v>
      </c>
      <c r="H16" s="79"/>
      <c r="I16" s="416">
        <f>Inputs!I$17</f>
        <v>46477</v>
      </c>
      <c r="J16" s="24"/>
      <c r="K16" s="24"/>
      <c r="L16" s="48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 16384:16384">
      <c r="A17" s="48"/>
      <c r="B17" s="48"/>
      <c r="C17" s="77" t="s">
        <v>276</v>
      </c>
      <c r="D17" s="61"/>
      <c r="E17" s="48"/>
      <c r="F17" s="48"/>
      <c r="G17" s="48" t="s">
        <v>176</v>
      </c>
      <c r="H17" s="48"/>
      <c r="I17" s="24"/>
      <c r="J17" s="24"/>
      <c r="K17" s="24"/>
      <c r="L17" s="80"/>
      <c r="M17" s="81"/>
      <c r="N17" s="81"/>
      <c r="O17" s="81"/>
      <c r="P17" s="81"/>
      <c r="Q17" s="81"/>
      <c r="R17" s="81"/>
      <c r="S17" s="81"/>
      <c r="T17" s="417">
        <f t="shared" ref="T17:Z17" si="0">IF(T$6 &lt; $I16, 1, 0)</f>
        <v>1</v>
      </c>
      <c r="U17" s="417">
        <f t="shared" si="0"/>
        <v>1</v>
      </c>
      <c r="V17" s="417">
        <f t="shared" si="0"/>
        <v>0</v>
      </c>
      <c r="W17" s="417">
        <f t="shared" si="0"/>
        <v>0</v>
      </c>
      <c r="X17" s="417">
        <f t="shared" si="0"/>
        <v>0</v>
      </c>
      <c r="Y17" s="417">
        <f t="shared" si="0"/>
        <v>0</v>
      </c>
      <c r="Z17" s="417">
        <f t="shared" si="0"/>
        <v>0</v>
      </c>
      <c r="AA17" s="81"/>
      <c r="AB17" s="24"/>
    </row>
    <row r="18" spans="1:28 16384:16384" customFormat="1">
      <c r="A18" s="24"/>
      <c r="B18" s="24"/>
      <c r="C18" s="77" t="s">
        <v>277</v>
      </c>
      <c r="D18" s="78"/>
      <c r="E18" s="79"/>
      <c r="F18" s="79"/>
      <c r="G18" s="48" t="s">
        <v>176</v>
      </c>
      <c r="H18" s="79"/>
      <c r="I18" s="82"/>
      <c r="J18" s="24"/>
      <c r="K18" s="24"/>
      <c r="L18" s="80"/>
      <c r="M18" s="81"/>
      <c r="N18" s="81"/>
      <c r="O18" s="81"/>
      <c r="P18" s="81"/>
      <c r="Q18" s="81"/>
      <c r="R18" s="81"/>
      <c r="S18" s="81"/>
      <c r="T18" s="81"/>
      <c r="U18" s="417">
        <f>IF(U$6 &lt;= $I$16, 1, 0)</f>
        <v>1</v>
      </c>
      <c r="V18" s="417">
        <f t="shared" ref="V18:AA18" si="1">IF(V$6 &lt;= $I$16, 1, 0)</f>
        <v>1</v>
      </c>
      <c r="W18" s="417">
        <f t="shared" si="1"/>
        <v>0</v>
      </c>
      <c r="X18" s="417">
        <f t="shared" si="1"/>
        <v>0</v>
      </c>
      <c r="Y18" s="417">
        <f t="shared" si="1"/>
        <v>0</v>
      </c>
      <c r="Z18" s="417">
        <f t="shared" si="1"/>
        <v>0</v>
      </c>
      <c r="AA18" s="417">
        <f t="shared" si="1"/>
        <v>0</v>
      </c>
      <c r="AB18" s="24"/>
    </row>
    <row r="19" spans="1:28 16384:16384" customFormat="1">
      <c r="A19" s="24"/>
      <c r="B19" s="24"/>
      <c r="C19" s="48" t="s">
        <v>278</v>
      </c>
      <c r="D19" s="48"/>
      <c r="E19" s="48"/>
      <c r="F19" s="48"/>
      <c r="G19" s="48" t="s">
        <v>176</v>
      </c>
      <c r="H19" s="48"/>
      <c r="I19" s="24"/>
      <c r="J19" s="24"/>
      <c r="K19" s="24"/>
      <c r="L19" s="24"/>
      <c r="M19" s="81"/>
      <c r="N19" s="81"/>
      <c r="O19" s="81"/>
      <c r="P19" s="81"/>
      <c r="Q19" s="81"/>
      <c r="R19" s="81"/>
      <c r="S19" s="81"/>
      <c r="T19" s="81"/>
      <c r="U19" s="81"/>
      <c r="V19" s="417">
        <f>IF(V$6 &gt; $I$16, 1, 0)</f>
        <v>0</v>
      </c>
      <c r="W19" s="417">
        <f t="shared" ref="W19:AA19" si="2">IF(W$6 &gt; $I$16, 1, 0)</f>
        <v>1</v>
      </c>
      <c r="X19" s="417">
        <f t="shared" si="2"/>
        <v>1</v>
      </c>
      <c r="Y19" s="417">
        <f t="shared" si="2"/>
        <v>1</v>
      </c>
      <c r="Z19" s="417">
        <f t="shared" si="2"/>
        <v>1</v>
      </c>
      <c r="AA19" s="417">
        <f t="shared" si="2"/>
        <v>1</v>
      </c>
      <c r="AB19" s="24"/>
    </row>
    <row r="20" spans="1:28 16384:16384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24"/>
      <c r="L20" s="49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4"/>
    </row>
    <row r="21" spans="1:28 16384:16384" s="17" customFormat="1" ht="18">
      <c r="A21" s="74" t="s">
        <v>13</v>
      </c>
      <c r="B21" s="74" t="s">
        <v>361</v>
      </c>
      <c r="C21" s="414"/>
      <c r="D21" s="414"/>
      <c r="E21" s="414"/>
      <c r="F21" s="414"/>
      <c r="G21" s="414"/>
      <c r="H21" s="414"/>
      <c r="I21" s="415"/>
      <c r="J21" s="415"/>
      <c r="K21" s="415"/>
      <c r="L21" s="414"/>
      <c r="M21" s="415"/>
      <c r="N21" s="415"/>
      <c r="O21" s="415"/>
      <c r="P21" s="415"/>
      <c r="Q21" s="415"/>
      <c r="R21" s="415"/>
      <c r="S21" s="415"/>
      <c r="T21" s="415"/>
      <c r="U21" s="415"/>
      <c r="V21" s="415"/>
      <c r="W21" s="415"/>
      <c r="X21" s="415"/>
      <c r="Y21" s="415"/>
      <c r="Z21" s="415"/>
      <c r="AA21" s="415"/>
      <c r="AB21" s="415"/>
      <c r="XFD21" s="418"/>
    </row>
    <row r="22" spans="1:28 16384:16384">
      <c r="A22" s="48"/>
      <c r="B22" s="48"/>
      <c r="C22" s="48"/>
      <c r="D22" s="48"/>
      <c r="E22" s="48"/>
      <c r="F22" s="48"/>
      <c r="G22" s="48"/>
      <c r="H22" s="48"/>
      <c r="I22" s="24"/>
      <c r="J22" s="24"/>
      <c r="K22" s="24"/>
      <c r="L22" s="48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 16384:16384" ht="14.5">
      <c r="A23" s="48"/>
      <c r="B23" s="207" t="s">
        <v>362</v>
      </c>
      <c r="C23" s="48"/>
      <c r="D23" s="48"/>
      <c r="E23" s="48"/>
      <c r="F23" s="48"/>
      <c r="G23" s="48"/>
      <c r="H23" s="48"/>
      <c r="I23" s="24"/>
      <c r="J23" s="24"/>
      <c r="K23" s="24"/>
      <c r="L23" s="48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 16384:16384" ht="14.5">
      <c r="A24" s="48"/>
      <c r="B24" s="207" t="s">
        <v>363</v>
      </c>
      <c r="C24" s="48"/>
      <c r="D24" s="48"/>
      <c r="E24" s="48"/>
      <c r="F24" s="48"/>
      <c r="G24" s="48"/>
      <c r="H24" s="48"/>
      <c r="I24" s="24"/>
      <c r="J24" s="24"/>
      <c r="K24" s="24"/>
      <c r="L24" s="48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 16384:16384" s="16" customFormat="1">
      <c r="A25" s="64"/>
      <c r="B25" s="64"/>
      <c r="C25" s="64"/>
      <c r="D25" s="64"/>
      <c r="E25" s="64"/>
      <c r="F25" s="64"/>
      <c r="G25" s="64"/>
      <c r="H25" s="64"/>
      <c r="I25" s="65"/>
      <c r="J25" s="65"/>
      <c r="K25" s="65"/>
      <c r="L25" s="64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</row>
    <row r="26" spans="1:28 16384:16384">
      <c r="A26" s="48"/>
      <c r="B26" s="48"/>
      <c r="C26" s="64" t="str">
        <f>Inputs!C$78</f>
        <v>Reference Variable Rate</v>
      </c>
      <c r="D26" s="24"/>
      <c r="E26" s="64"/>
      <c r="F26" s="64" t="s">
        <v>364</v>
      </c>
      <c r="G26" s="64" t="str">
        <f>Inputs!G$78</f>
        <v>%</v>
      </c>
      <c r="H26" s="64"/>
      <c r="I26" s="65"/>
      <c r="J26" s="65"/>
      <c r="K26" s="65"/>
      <c r="L26" s="83"/>
      <c r="M26" s="81"/>
      <c r="N26" s="81"/>
      <c r="O26" s="81"/>
      <c r="P26" s="81"/>
      <c r="Q26" s="81"/>
      <c r="R26" s="81"/>
      <c r="S26" s="81"/>
      <c r="T26" s="419">
        <f>Inputs!T$78</f>
        <v>4.9500000000000002E-2</v>
      </c>
      <c r="U26" s="419">
        <f>Inputs!U$78</f>
        <v>4.1099999999999998E-2</v>
      </c>
      <c r="V26" s="419">
        <f>Inputs!V$78</f>
        <v>0.04</v>
      </c>
      <c r="W26" s="419">
        <f>Inputs!W$78</f>
        <v>0</v>
      </c>
      <c r="X26" s="419">
        <f>Inputs!X$78</f>
        <v>0</v>
      </c>
      <c r="Y26" s="419">
        <f>Inputs!Y$78</f>
        <v>0</v>
      </c>
      <c r="Z26" s="419">
        <f>Inputs!Z$78</f>
        <v>0</v>
      </c>
      <c r="AA26" s="81"/>
      <c r="AB26" s="24"/>
    </row>
    <row r="27" spans="1:28 16384:16384">
      <c r="A27" s="48"/>
      <c r="B27" s="48"/>
      <c r="C27" s="64" t="str">
        <f>Inputs!C$77</f>
        <v>Correction term margin</v>
      </c>
      <c r="D27" s="24"/>
      <c r="E27" s="64"/>
      <c r="F27" s="84">
        <v>1.15E-2</v>
      </c>
      <c r="G27" s="64" t="str">
        <f>Inputs!G$77</f>
        <v>%</v>
      </c>
      <c r="H27" s="64"/>
      <c r="I27" s="420">
        <f>Inputs!I$77</f>
        <v>1.15E-2</v>
      </c>
      <c r="J27" s="85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 16384:16384" customForma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 16384:16384" s="16" customFormat="1">
      <c r="A29" s="64"/>
      <c r="B29" s="64"/>
      <c r="C29" s="64" t="s">
        <v>365</v>
      </c>
      <c r="D29" s="65"/>
      <c r="E29" s="64"/>
      <c r="F29" s="64" t="s">
        <v>366</v>
      </c>
      <c r="G29" s="64" t="s">
        <v>236</v>
      </c>
      <c r="H29" s="64"/>
      <c r="I29" s="85"/>
      <c r="J29" s="65"/>
      <c r="K29" s="65"/>
      <c r="L29" s="83"/>
      <c r="M29" s="81"/>
      <c r="N29" s="81"/>
      <c r="O29" s="81"/>
      <c r="P29" s="81"/>
      <c r="Q29" s="81"/>
      <c r="R29" s="81"/>
      <c r="S29" s="81"/>
      <c r="T29" s="421">
        <f t="shared" ref="T29:Z29" si="3">T17 * (1 + T26 + $I27)</f>
        <v>1.0610000000000002</v>
      </c>
      <c r="U29" s="421">
        <f t="shared" si="3"/>
        <v>1.0526</v>
      </c>
      <c r="V29" s="421">
        <f t="shared" si="3"/>
        <v>0</v>
      </c>
      <c r="W29" s="421">
        <f t="shared" si="3"/>
        <v>0</v>
      </c>
      <c r="X29" s="421">
        <f t="shared" si="3"/>
        <v>0</v>
      </c>
      <c r="Y29" s="421">
        <f t="shared" si="3"/>
        <v>0</v>
      </c>
      <c r="Z29" s="421">
        <f t="shared" si="3"/>
        <v>0</v>
      </c>
      <c r="AA29" s="81"/>
      <c r="AB29" s="65"/>
    </row>
    <row r="30" spans="1:28 16384:16384">
      <c r="A30" s="86"/>
      <c r="B30" s="86"/>
      <c r="C30" s="86"/>
      <c r="D30" s="86"/>
      <c r="E30" s="86"/>
      <c r="F30" s="86"/>
      <c r="G30" s="86"/>
      <c r="H30" s="86"/>
      <c r="I30" s="87"/>
      <c r="J30" s="87"/>
      <c r="K30" s="87"/>
      <c r="L30" s="86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24"/>
    </row>
    <row r="31" spans="1:28 16384:16384" s="17" customFormat="1" ht="18">
      <c r="A31" s="74" t="s">
        <v>13</v>
      </c>
      <c r="B31" s="74" t="s">
        <v>367</v>
      </c>
      <c r="C31" s="414"/>
      <c r="D31" s="414"/>
      <c r="E31" s="414"/>
      <c r="F31" s="414"/>
      <c r="G31" s="414"/>
      <c r="H31" s="414"/>
      <c r="I31" s="414"/>
      <c r="J31" s="414"/>
      <c r="K31" s="415"/>
      <c r="L31" s="414"/>
      <c r="M31" s="415"/>
      <c r="N31" s="415"/>
      <c r="O31" s="415"/>
      <c r="P31" s="415"/>
      <c r="Q31" s="415"/>
      <c r="R31" s="415"/>
      <c r="S31" s="415"/>
      <c r="T31" s="415"/>
      <c r="U31" s="415"/>
      <c r="V31" s="415"/>
      <c r="W31" s="415"/>
      <c r="X31" s="415"/>
      <c r="Y31" s="415"/>
      <c r="Z31" s="415"/>
      <c r="AA31" s="415"/>
      <c r="AB31" s="415"/>
      <c r="XFD31" s="418"/>
    </row>
    <row r="32" spans="1:28 16384:16384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24"/>
      <c r="L32" s="49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4"/>
    </row>
    <row r="33" spans="1:28 16384:16384" ht="14.5">
      <c r="A33" s="48"/>
      <c r="B33" s="207" t="s">
        <v>368</v>
      </c>
      <c r="C33" s="79"/>
      <c r="D33" s="79"/>
      <c r="E33" s="79"/>
      <c r="F33" s="79"/>
      <c r="G33" s="79"/>
      <c r="H33" s="79"/>
      <c r="I33" s="79"/>
      <c r="J33" s="79"/>
      <c r="K33" s="24"/>
      <c r="L33" s="49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4"/>
    </row>
    <row r="34" spans="1:28 16384:16384" customFormat="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spans="1:28 16384:16384" customFormat="1">
      <c r="A35" s="24"/>
      <c r="B35" s="24"/>
      <c r="C35" s="64" t="str">
        <f>Inputs!C$80</f>
        <v>Gas Licence Expenditure</v>
      </c>
      <c r="D35" s="48"/>
      <c r="E35" s="65"/>
      <c r="F35" s="64" t="s">
        <v>369</v>
      </c>
      <c r="G35" s="64" t="str">
        <f>Inputs!G$80</f>
        <v>£m nominal</v>
      </c>
      <c r="H35" s="24"/>
      <c r="I35" s="24"/>
      <c r="J35" s="24"/>
      <c r="K35" s="24"/>
      <c r="L35" s="24"/>
      <c r="M35" s="81"/>
      <c r="N35" s="81"/>
      <c r="O35" s="81"/>
      <c r="P35" s="81"/>
      <c r="Q35" s="81"/>
      <c r="R35" s="81"/>
      <c r="S35" s="81"/>
      <c r="T35" s="422">
        <f>Inputs!T$80</f>
        <v>10.530705734224</v>
      </c>
      <c r="U35" s="422">
        <f>Inputs!U$80</f>
        <v>29.895224476914951</v>
      </c>
      <c r="V35" s="422">
        <f>Inputs!V$80</f>
        <v>35.192132877839335</v>
      </c>
      <c r="W35" s="422">
        <f>Inputs!W$80</f>
        <v>0</v>
      </c>
      <c r="X35" s="422">
        <f>Inputs!X$80</f>
        <v>0</v>
      </c>
      <c r="Y35" s="422">
        <f>Inputs!Y$80</f>
        <v>0</v>
      </c>
      <c r="Z35" s="422">
        <f>Inputs!Z$80</f>
        <v>0</v>
      </c>
      <c r="AA35" s="422">
        <f>Inputs!AA$80</f>
        <v>0</v>
      </c>
      <c r="AB35" s="24"/>
    </row>
    <row r="36" spans="1:28 16384:16384" customFormat="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1:28 16384:16384" customFormat="1" ht="16">
      <c r="A37" s="48"/>
      <c r="B37" s="48"/>
      <c r="C37" s="77" t="s">
        <v>370</v>
      </c>
      <c r="D37" s="77"/>
      <c r="E37" s="77"/>
      <c r="F37" s="77" t="s">
        <v>371</v>
      </c>
      <c r="G37" s="48" t="s">
        <v>29</v>
      </c>
      <c r="H37" s="48"/>
      <c r="I37" s="24"/>
      <c r="J37" s="24"/>
      <c r="K37" s="24"/>
      <c r="L37" s="88"/>
      <c r="M37" s="81"/>
      <c r="N37" s="81"/>
      <c r="O37" s="81"/>
      <c r="P37" s="81"/>
      <c r="Q37" s="81"/>
      <c r="R37" s="81"/>
      <c r="S37" s="81"/>
      <c r="T37" s="213"/>
      <c r="U37" s="423">
        <f>Inputs!U82*U17</f>
        <v>28.407</v>
      </c>
      <c r="V37" s="423">
        <f>Inputs!V82*V17</f>
        <v>0</v>
      </c>
      <c r="W37" s="423">
        <f>Inputs!W82*W17</f>
        <v>0</v>
      </c>
      <c r="X37" s="423">
        <f>Inputs!X82*X17</f>
        <v>0</v>
      </c>
      <c r="Y37" s="423">
        <f>Inputs!Y82*Y17</f>
        <v>0</v>
      </c>
      <c r="Z37" s="423">
        <f>Inputs!Z82*Z17</f>
        <v>0</v>
      </c>
      <c r="AA37" s="81"/>
      <c r="AB37" s="24"/>
      <c r="XFD37" s="3"/>
    </row>
    <row r="38" spans="1:28 16384:16384" customFormat="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XFD38" s="3"/>
    </row>
    <row r="39" spans="1:28 16384:16384">
      <c r="A39" s="77"/>
      <c r="B39" s="77"/>
      <c r="C39" s="89" t="s">
        <v>372</v>
      </c>
      <c r="D39" s="48"/>
      <c r="E39" s="48"/>
      <c r="F39" s="48"/>
      <c r="G39" s="48"/>
      <c r="H39" s="77"/>
      <c r="I39" s="77"/>
      <c r="J39" s="77"/>
      <c r="K39" s="90"/>
      <c r="L39" s="86"/>
      <c r="M39" s="91"/>
      <c r="N39" s="91"/>
      <c r="O39" s="91"/>
      <c r="P39" s="91"/>
      <c r="Q39" s="91"/>
      <c r="R39" s="91"/>
      <c r="S39" s="91"/>
      <c r="T39" s="91"/>
      <c r="U39" s="92"/>
      <c r="V39" s="91"/>
      <c r="W39" s="91"/>
      <c r="X39" s="91"/>
      <c r="Y39" s="91"/>
      <c r="Z39" s="91"/>
      <c r="AA39" s="91"/>
      <c r="AB39" s="24"/>
    </row>
    <row r="40" spans="1:28 16384:16384">
      <c r="A40" s="48"/>
      <c r="B40" s="48"/>
      <c r="C40" s="48"/>
      <c r="D40" s="195" t="str">
        <f>Inputs!C$80</f>
        <v>Gas Licence Expenditure</v>
      </c>
      <c r="E40" s="195"/>
      <c r="F40" s="195" t="s">
        <v>369</v>
      </c>
      <c r="G40" s="195" t="str">
        <f>Inputs!G$80</f>
        <v>£m nominal</v>
      </c>
      <c r="H40" s="195"/>
      <c r="I40" s="195"/>
      <c r="J40" s="195"/>
      <c r="K40" s="197"/>
      <c r="L40" s="204"/>
      <c r="M40" s="205"/>
      <c r="N40" s="205"/>
      <c r="O40" s="205"/>
      <c r="P40" s="205"/>
      <c r="Q40" s="205"/>
      <c r="R40" s="205"/>
      <c r="S40" s="205"/>
      <c r="T40" s="424">
        <f t="shared" ref="T40:Z40" si="4">T35 * T$17</f>
        <v>10.530705734224</v>
      </c>
      <c r="U40" s="424">
        <f t="shared" si="4"/>
        <v>29.895224476914951</v>
      </c>
      <c r="V40" s="424">
        <f t="shared" si="4"/>
        <v>0</v>
      </c>
      <c r="W40" s="424">
        <f t="shared" si="4"/>
        <v>0</v>
      </c>
      <c r="X40" s="424">
        <f t="shared" si="4"/>
        <v>0</v>
      </c>
      <c r="Y40" s="424">
        <f t="shared" si="4"/>
        <v>0</v>
      </c>
      <c r="Z40" s="424">
        <f t="shared" si="4"/>
        <v>0</v>
      </c>
      <c r="AA40" s="205"/>
      <c r="AB40" s="24"/>
    </row>
    <row r="41" spans="1:28 16384:16384">
      <c r="A41" s="48"/>
      <c r="B41" s="48"/>
      <c r="C41" s="64"/>
      <c r="D41" s="64" t="s">
        <v>373</v>
      </c>
      <c r="E41" s="64"/>
      <c r="F41" s="64" t="s">
        <v>374</v>
      </c>
      <c r="G41" s="64" t="s">
        <v>29</v>
      </c>
      <c r="H41" s="64"/>
      <c r="I41" s="64"/>
      <c r="J41" s="64"/>
      <c r="K41" s="65"/>
      <c r="L41" s="88"/>
      <c r="M41" s="81"/>
      <c r="N41" s="81"/>
      <c r="O41" s="81"/>
      <c r="P41" s="81"/>
      <c r="Q41" s="81"/>
      <c r="R41" s="81"/>
      <c r="S41" s="81"/>
      <c r="T41" s="81"/>
      <c r="U41" s="425">
        <f t="shared" ref="U41:Z41" si="5">(T42 - T37) * T$29 * U$17</f>
        <v>11.173078784011667</v>
      </c>
      <c r="V41" s="425">
        <f t="shared" si="5"/>
        <v>0</v>
      </c>
      <c r="W41" s="425">
        <f t="shared" si="5"/>
        <v>0</v>
      </c>
      <c r="X41" s="425">
        <f t="shared" si="5"/>
        <v>0</v>
      </c>
      <c r="Y41" s="425">
        <f t="shared" si="5"/>
        <v>0</v>
      </c>
      <c r="Z41" s="425">
        <f t="shared" si="5"/>
        <v>0</v>
      </c>
      <c r="AA41" s="81"/>
      <c r="AB41" s="24"/>
    </row>
    <row r="42" spans="1:28 16384:16384">
      <c r="A42" s="48"/>
      <c r="B42" s="48"/>
      <c r="C42" s="48"/>
      <c r="D42" s="67" t="s">
        <v>367</v>
      </c>
      <c r="E42" s="67"/>
      <c r="F42" s="67" t="s">
        <v>375</v>
      </c>
      <c r="G42" s="67" t="s">
        <v>29</v>
      </c>
      <c r="H42" s="67"/>
      <c r="I42" s="67"/>
      <c r="J42" s="67"/>
      <c r="K42" s="68"/>
      <c r="L42" s="93"/>
      <c r="M42" s="94"/>
      <c r="N42" s="94"/>
      <c r="O42" s="94"/>
      <c r="P42" s="94"/>
      <c r="Q42" s="94"/>
      <c r="R42" s="94"/>
      <c r="S42" s="94"/>
      <c r="T42" s="426">
        <f t="shared" ref="T42:Z42" si="6">SUM(T40:T41)</f>
        <v>10.530705734224</v>
      </c>
      <c r="U42" s="427">
        <f t="shared" si="6"/>
        <v>41.068303260926619</v>
      </c>
      <c r="V42" s="427">
        <f t="shared" si="6"/>
        <v>0</v>
      </c>
      <c r="W42" s="427">
        <f t="shared" si="6"/>
        <v>0</v>
      </c>
      <c r="X42" s="427">
        <f t="shared" si="6"/>
        <v>0</v>
      </c>
      <c r="Y42" s="427">
        <f t="shared" si="6"/>
        <v>0</v>
      </c>
      <c r="Z42" s="427">
        <f t="shared" si="6"/>
        <v>0</v>
      </c>
      <c r="AA42" s="94"/>
      <c r="AB42" s="24"/>
    </row>
    <row r="43" spans="1:28 16384:16384" customFormat="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 16384:16384" customFormat="1">
      <c r="A44" s="48"/>
      <c r="B44" s="48"/>
      <c r="C44" s="64" t="s">
        <v>376</v>
      </c>
      <c r="D44" s="48"/>
      <c r="E44" s="48"/>
      <c r="F44" s="64" t="s">
        <v>377</v>
      </c>
      <c r="G44" s="64" t="s">
        <v>29</v>
      </c>
      <c r="H44" s="48"/>
      <c r="I44" s="24"/>
      <c r="J44" s="24"/>
      <c r="K44" s="24"/>
      <c r="L44" s="49"/>
      <c r="M44" s="81"/>
      <c r="N44" s="81"/>
      <c r="O44" s="81"/>
      <c r="P44" s="81"/>
      <c r="Q44" s="81"/>
      <c r="R44" s="81"/>
      <c r="S44" s="81"/>
      <c r="T44" s="81"/>
      <c r="U44" s="428">
        <f t="shared" ref="U44:AA44" si="7">(T42 - T37) * T29 * U18</f>
        <v>11.173078784011667</v>
      </c>
      <c r="V44" s="428">
        <f t="shared" si="7"/>
        <v>13.32728781245136</v>
      </c>
      <c r="W44" s="428">
        <f t="shared" si="7"/>
        <v>0</v>
      </c>
      <c r="X44" s="428">
        <f t="shared" si="7"/>
        <v>0</v>
      </c>
      <c r="Y44" s="428">
        <f t="shared" si="7"/>
        <v>0</v>
      </c>
      <c r="Z44" s="428">
        <f t="shared" si="7"/>
        <v>0</v>
      </c>
      <c r="AA44" s="428">
        <f t="shared" si="7"/>
        <v>0</v>
      </c>
      <c r="AB44" s="24"/>
    </row>
    <row r="45" spans="1:28 16384:16384" customForma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1:28 16384:16384">
      <c r="A46" s="48"/>
      <c r="B46" s="48"/>
      <c r="C46" s="64" t="s">
        <v>378</v>
      </c>
      <c r="D46" s="48"/>
      <c r="E46" s="48"/>
      <c r="F46" s="64" t="s">
        <v>379</v>
      </c>
      <c r="G46" s="64" t="s">
        <v>29</v>
      </c>
      <c r="H46" s="48"/>
      <c r="I46" s="24"/>
      <c r="J46" s="24"/>
      <c r="K46" s="24"/>
      <c r="L46" s="49"/>
      <c r="M46" s="81"/>
      <c r="N46" s="81"/>
      <c r="O46" s="81"/>
      <c r="P46" s="81"/>
      <c r="Q46" s="81"/>
      <c r="R46" s="81"/>
      <c r="S46" s="81"/>
      <c r="T46" s="81"/>
      <c r="U46" s="429">
        <f t="shared" ref="U46:AA46" si="8">U$18 * (U35 + U44)</f>
        <v>41.068303260926619</v>
      </c>
      <c r="V46" s="429">
        <f t="shared" si="8"/>
        <v>48.519420690290694</v>
      </c>
      <c r="W46" s="429">
        <f t="shared" si="8"/>
        <v>0</v>
      </c>
      <c r="X46" s="429">
        <f t="shared" si="8"/>
        <v>0</v>
      </c>
      <c r="Y46" s="429">
        <f t="shared" si="8"/>
        <v>0</v>
      </c>
      <c r="Z46" s="429">
        <f t="shared" si="8"/>
        <v>0</v>
      </c>
      <c r="AA46" s="428">
        <f t="shared" si="8"/>
        <v>0</v>
      </c>
      <c r="AB46" s="24"/>
    </row>
    <row r="47" spans="1:28 16384:16384">
      <c r="A47" s="48"/>
      <c r="B47" s="48"/>
      <c r="C47" s="48"/>
      <c r="D47" s="48"/>
      <c r="E47" s="48"/>
      <c r="F47" s="48"/>
      <c r="G47" s="48"/>
      <c r="H47" s="48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72"/>
      <c r="U47" s="72"/>
      <c r="V47" s="72"/>
      <c r="W47" s="72"/>
      <c r="X47" s="72"/>
      <c r="Y47" s="72"/>
      <c r="Z47" s="72"/>
      <c r="AA47" s="72"/>
      <c r="AB47" s="24"/>
    </row>
    <row r="48" spans="1:28 16384:16384">
      <c r="A48" s="48"/>
      <c r="B48" s="48"/>
      <c r="C48" s="51" t="s">
        <v>380</v>
      </c>
      <c r="D48" s="48"/>
      <c r="E48" s="48"/>
      <c r="F48" s="48"/>
      <c r="G48" s="48"/>
      <c r="H48" s="48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72"/>
      <c r="U48" s="72"/>
      <c r="V48" s="72"/>
      <c r="W48" s="72"/>
      <c r="X48" s="72"/>
      <c r="Y48" s="72"/>
      <c r="Z48" s="72"/>
      <c r="AA48" s="72"/>
      <c r="AB48" s="24"/>
    </row>
    <row r="49" spans="1:28">
      <c r="A49" s="48"/>
      <c r="B49" s="48"/>
      <c r="C49" s="48"/>
      <c r="D49" s="64" t="s">
        <v>420</v>
      </c>
      <c r="E49" s="64"/>
      <c r="F49" s="64" t="s">
        <v>375</v>
      </c>
      <c r="G49" s="64" t="str">
        <f>G46</f>
        <v>£m nominal</v>
      </c>
      <c r="H49" s="64"/>
      <c r="I49" s="65"/>
      <c r="J49" s="65"/>
      <c r="K49" s="65"/>
      <c r="L49" s="65"/>
      <c r="M49" s="75"/>
      <c r="N49" s="75"/>
      <c r="O49" s="75"/>
      <c r="P49" s="75"/>
      <c r="Q49" s="75"/>
      <c r="R49" s="75"/>
      <c r="S49" s="75"/>
      <c r="T49" s="430">
        <f>'Saved results'!T72</f>
        <v>0</v>
      </c>
      <c r="U49" s="430">
        <f>'Saved results'!U72</f>
        <v>28.407000000000004</v>
      </c>
      <c r="V49" s="430">
        <f>'Saved results'!V72</f>
        <v>0</v>
      </c>
      <c r="W49" s="430">
        <f>'Saved results'!W72</f>
        <v>0</v>
      </c>
      <c r="X49" s="430">
        <f>'Saved results'!X72</f>
        <v>0</v>
      </c>
      <c r="Y49" s="430">
        <f>'Saved results'!Y72</f>
        <v>0</v>
      </c>
      <c r="Z49" s="430">
        <f>'Saved results'!Z72</f>
        <v>0</v>
      </c>
      <c r="AA49" s="430">
        <f>'Saved results'!AA72</f>
        <v>0</v>
      </c>
      <c r="AB49" s="24"/>
    </row>
    <row r="50" spans="1:28">
      <c r="A50" s="48"/>
      <c r="B50" s="48"/>
      <c r="C50" s="48"/>
      <c r="D50" s="64" t="s">
        <v>421</v>
      </c>
      <c r="E50" s="64"/>
      <c r="F50" s="64" t="s">
        <v>375</v>
      </c>
      <c r="G50" s="64" t="str">
        <f>G49</f>
        <v>£m nominal</v>
      </c>
      <c r="H50" s="64"/>
      <c r="I50" s="65"/>
      <c r="J50" s="65"/>
      <c r="K50" s="65"/>
      <c r="L50" s="65"/>
      <c r="M50" s="75"/>
      <c r="N50" s="75"/>
      <c r="O50" s="75"/>
      <c r="P50" s="75"/>
      <c r="Q50" s="75"/>
      <c r="R50" s="75"/>
      <c r="S50" s="75"/>
      <c r="T50" s="430">
        <f>IF(Inputs!$I$17=Gas!T6,T46,0)</f>
        <v>0</v>
      </c>
      <c r="U50" s="430">
        <f>IF(Inputs!$I$17=Gas!U6,U46,0)</f>
        <v>0</v>
      </c>
      <c r="V50" s="430">
        <f>IF(Inputs!$I$17=Gas!V6,V46,0)</f>
        <v>48.519420690290694</v>
      </c>
      <c r="W50" s="430">
        <f>IF(Inputs!$I$17=Gas!W6,W46,0)</f>
        <v>0</v>
      </c>
      <c r="X50" s="430">
        <f>IF(Inputs!$I$17=Gas!X6,X46,0)</f>
        <v>0</v>
      </c>
      <c r="Y50" s="430">
        <f>IF(Inputs!$I$17=Gas!Y6,Y46,0)</f>
        <v>0</v>
      </c>
      <c r="Z50" s="430">
        <f>IF(Inputs!$I$17=Gas!Z6,Z46,0)</f>
        <v>0</v>
      </c>
      <c r="AA50" s="430">
        <f>IF(Inputs!$I$17=Gas!AA6,AA46,0)</f>
        <v>0</v>
      </c>
      <c r="AB50" s="24"/>
    </row>
    <row r="51" spans="1:28">
      <c r="A51" s="48"/>
      <c r="B51" s="48"/>
      <c r="C51" s="48"/>
      <c r="D51" s="64" t="s">
        <v>310</v>
      </c>
      <c r="E51" s="64"/>
      <c r="F51" s="64" t="s">
        <v>375</v>
      </c>
      <c r="G51" s="64" t="s">
        <v>29</v>
      </c>
      <c r="H51" s="64"/>
      <c r="I51" s="65"/>
      <c r="J51" s="65"/>
      <c r="K51" s="65"/>
      <c r="L51" s="65"/>
      <c r="M51" s="75"/>
      <c r="N51" s="75"/>
      <c r="O51" s="75"/>
      <c r="P51" s="75"/>
      <c r="Q51" s="75"/>
      <c r="R51" s="75"/>
      <c r="S51" s="75"/>
      <c r="T51" s="75"/>
      <c r="U51" s="75"/>
      <c r="V51" s="430">
        <f t="shared" ref="V51:AA51" si="9">V35 * V$19</f>
        <v>0</v>
      </c>
      <c r="W51" s="430">
        <f t="shared" si="9"/>
        <v>0</v>
      </c>
      <c r="X51" s="430">
        <f t="shared" si="9"/>
        <v>0</v>
      </c>
      <c r="Y51" s="430">
        <f t="shared" si="9"/>
        <v>0</v>
      </c>
      <c r="Z51" s="430">
        <f t="shared" si="9"/>
        <v>0</v>
      </c>
      <c r="AA51" s="430">
        <f t="shared" si="9"/>
        <v>0</v>
      </c>
      <c r="AB51" s="24"/>
    </row>
    <row r="52" spans="1:28">
      <c r="A52" s="48"/>
      <c r="B52" s="48"/>
      <c r="C52" s="48"/>
      <c r="D52" s="67" t="str">
        <f>C48</f>
        <v>Gas Revenue Provision (published and forecast)</v>
      </c>
      <c r="E52" s="67"/>
      <c r="F52" s="67" t="s">
        <v>375</v>
      </c>
      <c r="G52" s="67" t="s">
        <v>29</v>
      </c>
      <c r="H52" s="67"/>
      <c r="I52" s="68"/>
      <c r="J52" s="68"/>
      <c r="K52" s="68"/>
      <c r="L52" s="68"/>
      <c r="M52" s="95"/>
      <c r="N52" s="95"/>
      <c r="O52" s="95"/>
      <c r="P52" s="95"/>
      <c r="Q52" s="95"/>
      <c r="R52" s="95"/>
      <c r="S52" s="95"/>
      <c r="T52" s="431">
        <f t="shared" ref="T52:AA52" si="10">SUM(T49:T51)</f>
        <v>0</v>
      </c>
      <c r="U52" s="431">
        <f t="shared" si="10"/>
        <v>28.407000000000004</v>
      </c>
      <c r="V52" s="431">
        <f t="shared" si="10"/>
        <v>48.519420690290694</v>
      </c>
      <c r="W52" s="431">
        <f t="shared" si="10"/>
        <v>0</v>
      </c>
      <c r="X52" s="431">
        <f t="shared" si="10"/>
        <v>0</v>
      </c>
      <c r="Y52" s="431">
        <f t="shared" si="10"/>
        <v>0</v>
      </c>
      <c r="Z52" s="431">
        <f t="shared" si="10"/>
        <v>0</v>
      </c>
      <c r="AA52" s="431">
        <f t="shared" si="10"/>
        <v>0</v>
      </c>
      <c r="AB52" s="24"/>
    </row>
    <row r="53" spans="1:28">
      <c r="A53" s="48"/>
      <c r="B53" s="48"/>
      <c r="C53" s="48"/>
      <c r="D53" s="48"/>
      <c r="E53" s="48"/>
      <c r="F53" s="48"/>
      <c r="G53" s="48"/>
      <c r="H53" s="48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72"/>
      <c r="U53" s="72"/>
      <c r="V53" s="72"/>
      <c r="W53" s="72"/>
      <c r="X53" s="72"/>
      <c r="Y53" s="72"/>
      <c r="Z53" s="72"/>
      <c r="AA53" s="72"/>
      <c r="AB53" s="24"/>
    </row>
    <row r="54" spans="1:28" s="17" customFormat="1" ht="18">
      <c r="A54" s="74" t="s">
        <v>13</v>
      </c>
      <c r="B54" s="74" t="s">
        <v>5</v>
      </c>
      <c r="C54" s="414"/>
      <c r="D54" s="414"/>
      <c r="E54" s="414"/>
      <c r="F54" s="414"/>
      <c r="G54" s="414"/>
      <c r="H54" s="414"/>
      <c r="I54" s="414"/>
      <c r="J54" s="414"/>
      <c r="K54" s="415"/>
      <c r="L54" s="414"/>
      <c r="M54" s="415"/>
      <c r="N54" s="415"/>
      <c r="O54" s="415"/>
      <c r="P54" s="415"/>
      <c r="Q54" s="415"/>
      <c r="R54" s="415"/>
      <c r="S54" s="415"/>
      <c r="T54" s="415"/>
      <c r="U54" s="415"/>
      <c r="V54" s="415"/>
      <c r="W54" s="415"/>
      <c r="X54" s="415"/>
      <c r="Y54" s="415"/>
      <c r="Z54" s="415"/>
      <c r="AA54" s="415"/>
      <c r="AB54" s="415"/>
    </row>
    <row r="55" spans="1:28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24"/>
      <c r="L55" s="49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4"/>
    </row>
    <row r="56" spans="1:28">
      <c r="A56" s="48"/>
      <c r="B56" s="48"/>
      <c r="C56" s="48" t="s">
        <v>381</v>
      </c>
      <c r="D56" s="48"/>
      <c r="E56" s="48"/>
      <c r="F56" s="48"/>
      <c r="G56" s="48" t="s">
        <v>151</v>
      </c>
      <c r="H56" s="48"/>
      <c r="I56" s="48"/>
      <c r="J56" s="48"/>
      <c r="K56" s="417">
        <f>SUM(S56:AA56)</f>
        <v>0</v>
      </c>
      <c r="L56" s="49"/>
      <c r="M56" s="81"/>
      <c r="N56" s="81"/>
      <c r="O56" s="81"/>
      <c r="P56" s="81"/>
      <c r="Q56" s="81"/>
      <c r="R56" s="81"/>
      <c r="S56" s="81"/>
      <c r="T56" s="417">
        <f t="shared" ref="T56:AA56" si="11">IF(AND(T$6 &gt; $I16,T44 &lt;&gt; 0), 1, 0)</f>
        <v>0</v>
      </c>
      <c r="U56" s="417">
        <f t="shared" si="11"/>
        <v>0</v>
      </c>
      <c r="V56" s="417">
        <f t="shared" si="11"/>
        <v>0</v>
      </c>
      <c r="W56" s="417">
        <f t="shared" si="11"/>
        <v>0</v>
      </c>
      <c r="X56" s="417">
        <f t="shared" si="11"/>
        <v>0</v>
      </c>
      <c r="Y56" s="417">
        <f t="shared" si="11"/>
        <v>0</v>
      </c>
      <c r="Z56" s="417">
        <f t="shared" si="11"/>
        <v>0</v>
      </c>
      <c r="AA56" s="417">
        <f t="shared" si="11"/>
        <v>0</v>
      </c>
      <c r="AB56" s="24"/>
    </row>
    <row r="57" spans="1:28">
      <c r="A57" s="48"/>
      <c r="B57" s="48"/>
      <c r="C57" s="48" t="s">
        <v>382</v>
      </c>
      <c r="D57" s="48"/>
      <c r="E57" s="71"/>
      <c r="F57" s="48"/>
      <c r="G57" s="48" t="s">
        <v>151</v>
      </c>
      <c r="H57" s="48"/>
      <c r="I57" s="48"/>
      <c r="J57" s="48"/>
      <c r="K57" s="417">
        <f>SUM(S57:AA57)</f>
        <v>0</v>
      </c>
      <c r="L57" s="49"/>
      <c r="M57" s="81"/>
      <c r="N57" s="81"/>
      <c r="O57" s="81"/>
      <c r="P57" s="81"/>
      <c r="Q57" s="81"/>
      <c r="R57" s="81"/>
      <c r="S57" s="81"/>
      <c r="T57" s="417">
        <f>IF(ISERROR(T52), 1, 0)</f>
        <v>0</v>
      </c>
      <c r="U57" s="417">
        <f t="shared" ref="U57:AA57" si="12">IF(ISERROR(U52), 1, 0)</f>
        <v>0</v>
      </c>
      <c r="V57" s="417">
        <f t="shared" si="12"/>
        <v>0</v>
      </c>
      <c r="W57" s="417">
        <f t="shared" si="12"/>
        <v>0</v>
      </c>
      <c r="X57" s="417">
        <f t="shared" si="12"/>
        <v>0</v>
      </c>
      <c r="Y57" s="417">
        <f t="shared" si="12"/>
        <v>0</v>
      </c>
      <c r="Z57" s="417">
        <f t="shared" si="12"/>
        <v>0</v>
      </c>
      <c r="AA57" s="417">
        <f t="shared" si="12"/>
        <v>0</v>
      </c>
      <c r="AB57" s="24"/>
    </row>
    <row r="58" spans="1:28">
      <c r="A58" s="48"/>
      <c r="B58" s="48"/>
      <c r="C58" s="48" t="s">
        <v>150</v>
      </c>
      <c r="D58" s="48"/>
      <c r="E58" s="48"/>
      <c r="F58" s="48"/>
      <c r="G58" s="48" t="s">
        <v>151</v>
      </c>
      <c r="H58" s="48"/>
      <c r="I58" s="48"/>
      <c r="J58" s="48"/>
      <c r="K58" s="432">
        <f>SUM(K4:K57)</f>
        <v>0</v>
      </c>
      <c r="L58" s="49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24"/>
      <c r="L59" s="48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 s="17" customFormat="1" ht="18">
      <c r="A60" s="74" t="s">
        <v>13</v>
      </c>
      <c r="B60" s="74" t="s">
        <v>152</v>
      </c>
      <c r="C60" s="414"/>
      <c r="D60" s="414"/>
      <c r="E60" s="414"/>
      <c r="F60" s="414"/>
      <c r="G60" s="414"/>
      <c r="H60" s="414"/>
      <c r="I60" s="415"/>
      <c r="J60" s="415"/>
      <c r="K60" s="415"/>
      <c r="L60" s="414"/>
      <c r="M60" s="415"/>
      <c r="N60" s="415"/>
      <c r="O60" s="415"/>
      <c r="P60" s="415"/>
      <c r="Q60" s="415"/>
      <c r="R60" s="415"/>
      <c r="S60" s="415"/>
      <c r="T60" s="415"/>
      <c r="U60" s="415"/>
      <c r="V60" s="415"/>
      <c r="W60" s="415"/>
      <c r="X60" s="415"/>
      <c r="Y60" s="415"/>
      <c r="Z60" s="415"/>
      <c r="AA60" s="415"/>
      <c r="AB60" s="415"/>
    </row>
    <row r="61" spans="1:28">
      <c r="A61" s="48"/>
      <c r="B61" s="48"/>
      <c r="C61" s="48"/>
      <c r="D61" s="48"/>
      <c r="E61" s="48"/>
      <c r="F61" s="48"/>
      <c r="G61" s="48"/>
      <c r="H61" s="48"/>
      <c r="I61" s="24"/>
      <c r="J61" s="24"/>
      <c r="K61" s="24"/>
      <c r="L61" s="48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</row>
    <row r="62" spans="1:28">
      <c r="A62" s="48"/>
      <c r="B62" s="48"/>
      <c r="C62" s="48"/>
      <c r="D62" s="48"/>
      <c r="E62" s="48"/>
      <c r="F62" s="48"/>
      <c r="G62" s="48"/>
      <c r="H62" s="48"/>
      <c r="I62" s="24"/>
      <c r="J62" s="24"/>
      <c r="K62" s="24"/>
      <c r="L62" s="48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</row>
    <row r="63" spans="1:28">
      <c r="A63" s="48"/>
      <c r="B63" s="48"/>
      <c r="C63" s="48"/>
      <c r="D63" s="48"/>
      <c r="E63" s="48"/>
      <c r="F63" s="48"/>
      <c r="G63" s="48"/>
      <c r="H63" s="48"/>
      <c r="I63" s="24"/>
      <c r="J63" s="24"/>
      <c r="K63" s="24"/>
      <c r="L63" s="48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</row>
    <row r="64" spans="1:28">
      <c r="A64" s="48"/>
      <c r="B64" s="48"/>
      <c r="C64" s="48"/>
      <c r="D64" s="48"/>
      <c r="E64" s="48"/>
      <c r="F64" s="48"/>
      <c r="G64" s="48"/>
      <c r="H64" s="48"/>
      <c r="I64" s="24"/>
      <c r="J64" s="24"/>
      <c r="K64" s="24"/>
      <c r="L64" s="48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28">
      <c r="A65" s="48"/>
      <c r="B65" s="48"/>
      <c r="C65" s="48"/>
      <c r="D65" s="48"/>
      <c r="E65" s="48"/>
      <c r="F65" s="48"/>
      <c r="G65" s="48"/>
      <c r="H65" s="48"/>
      <c r="I65" s="24"/>
      <c r="J65" s="24"/>
      <c r="K65" s="24"/>
      <c r="L65" s="48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</row>
  </sheetData>
  <pageMargins left="0.7" right="0.7" top="0.75" bottom="0.75" header="0.3" footer="0.3"/>
  <pageSetup paperSize="9" orientation="portrait" horizontalDpi="4294967292" r:id="rId1"/>
  <headerFooter>
    <oddHeader>&amp;L&amp;"Poppins"&amp;12&amp;KFF00FF Public&amp;1#_x000D_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383E39-A4E8-432E-A61B-F7ABB932F6A7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E95C86DD-88BA-4356-A74C-D289C87D9ABA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A8:XFD8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A63B2-164C-4417-B0BB-EE49B2C2DCBF}">
  <sheetPr codeName="Sheet21">
    <tabColor theme="9" tint="0.39997558519241921"/>
  </sheetPr>
  <dimension ref="A1:AB29"/>
  <sheetViews>
    <sheetView showGridLines="0" zoomScale="70" zoomScaleNormal="70" workbookViewId="0">
      <pane xSplit="12" ySplit="10" topLeftCell="T11" activePane="bottomRight" state="frozen"/>
      <selection pane="topRight"/>
      <selection pane="bottomLeft"/>
      <selection pane="bottomRight" activeCell="U21" sqref="U21"/>
    </sheetView>
  </sheetViews>
  <sheetFormatPr defaultColWidth="0" defaultRowHeight="14" outlineLevelCol="1"/>
  <cols>
    <col min="1" max="3" width="2.5" style="21" customWidth="1"/>
    <col min="4" max="4" width="55.5" style="21" customWidth="1"/>
    <col min="5" max="5" width="25.5" style="21" customWidth="1"/>
    <col min="6" max="7" width="20.5" style="21" customWidth="1"/>
    <col min="8" max="8" width="2.5" style="21" customWidth="1"/>
    <col min="9" max="9" width="12.5" style="3" customWidth="1"/>
    <col min="10" max="10" width="2.5" style="3" customWidth="1"/>
    <col min="11" max="11" width="12.5" style="3" customWidth="1"/>
    <col min="12" max="12" width="2.5" style="3" customWidth="1"/>
    <col min="13" max="19" width="12.5" style="3" customWidth="1" outlineLevel="1"/>
    <col min="20" max="27" width="12.5" style="3" customWidth="1"/>
    <col min="28" max="28" width="2.5" style="3" customWidth="1"/>
    <col min="29" max="16384" width="9.5" hidden="1"/>
  </cols>
  <sheetData>
    <row r="1" spans="1:28" ht="23">
      <c r="A1" s="46"/>
      <c r="B1" s="46" t="str" cm="1">
        <f t="array" aca="1" ref="B1" ca="1">MID(CELL("filename", A1), FIND("]", CELL("filename", A1)) + 1, 255)</f>
        <v>Live results</v>
      </c>
      <c r="C1" s="46"/>
      <c r="D1" s="46"/>
      <c r="E1" s="46"/>
      <c r="F1" s="46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5" customHeight="1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ht="14.5" customHeight="1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ht="14.5" customHeight="1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ht="14.5" customHeight="1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26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ht="23">
      <c r="A10" s="46"/>
      <c r="B10" s="46" t="str">
        <f>Project_Name</f>
        <v>NESO Financial Model</v>
      </c>
      <c r="C10" s="46"/>
      <c r="D10" s="46"/>
      <c r="E10" s="46"/>
      <c r="F10" s="46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ht="18">
      <c r="A12" s="74" t="s">
        <v>13</v>
      </c>
      <c r="B12" s="74" t="s">
        <v>383</v>
      </c>
      <c r="C12" s="433"/>
      <c r="D12" s="433"/>
      <c r="E12" s="433"/>
      <c r="F12" s="433"/>
      <c r="G12" s="433"/>
      <c r="H12" s="433"/>
      <c r="I12" s="434"/>
      <c r="J12" s="434"/>
      <c r="K12" s="434"/>
      <c r="L12" s="434"/>
      <c r="M12" s="434"/>
      <c r="N12" s="434"/>
      <c r="O12" s="434"/>
      <c r="P12" s="434"/>
      <c r="Q12" s="434"/>
      <c r="R12" s="434"/>
      <c r="S12" s="434"/>
      <c r="T12" s="434"/>
      <c r="U12" s="434"/>
      <c r="V12" s="434"/>
      <c r="W12" s="434"/>
      <c r="X12" s="434"/>
      <c r="Y12" s="434"/>
      <c r="Z12" s="434"/>
      <c r="AA12" s="434"/>
      <c r="AB12" s="434"/>
    </row>
    <row r="13" spans="1:28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ht="14.5">
      <c r="A14" s="48"/>
      <c r="B14" s="206" t="s">
        <v>384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>
      <c r="A15" s="48"/>
      <c r="B15" s="48"/>
      <c r="C15" s="48"/>
      <c r="D15" s="48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>
      <c r="A16" s="48"/>
      <c r="B16" s="48"/>
      <c r="C16" s="48" t="str">
        <f>Elec!D129</f>
        <v>Internal BSUoS Income (published and forecast)</v>
      </c>
      <c r="D16" s="48"/>
      <c r="E16" s="48"/>
      <c r="F16" s="48"/>
      <c r="G16" s="48" t="str">
        <f>Elec!G129</f>
        <v>£m nominal</v>
      </c>
      <c r="H16" s="48"/>
      <c r="I16" s="24"/>
      <c r="J16" s="24"/>
      <c r="K16" s="24"/>
      <c r="L16" s="24"/>
      <c r="M16" s="75"/>
      <c r="N16" s="75"/>
      <c r="O16" s="75"/>
      <c r="P16" s="75"/>
      <c r="Q16" s="75"/>
      <c r="R16" s="75"/>
      <c r="S16" s="75"/>
      <c r="T16" s="435">
        <f>Elec!T129</f>
        <v>534.54598574268368</v>
      </c>
      <c r="U16" s="435">
        <f>Elec!U129</f>
        <v>732.79455812175911</v>
      </c>
      <c r="V16" s="435">
        <f>Elec!V129</f>
        <v>694.69541296429657</v>
      </c>
      <c r="W16" s="435">
        <f>Elec!W129</f>
        <v>0</v>
      </c>
      <c r="X16" s="435">
        <f>Elec!X129</f>
        <v>0</v>
      </c>
      <c r="Y16" s="435">
        <f>Elec!Y129</f>
        <v>0</v>
      </c>
      <c r="Z16" s="435">
        <f>Elec!Z129</f>
        <v>0</v>
      </c>
      <c r="AA16" s="435">
        <f>Elec!AA129</f>
        <v>0</v>
      </c>
      <c r="AB16" s="24"/>
    </row>
    <row r="17" spans="1:28">
      <c r="A17" s="48"/>
      <c r="B17" s="48"/>
      <c r="C17" s="48" t="str">
        <f>Elec!D130</f>
        <v>Return BSUoS Income (published and forecast)</v>
      </c>
      <c r="D17" s="48"/>
      <c r="E17" s="48"/>
      <c r="F17" s="48"/>
      <c r="G17" s="48" t="str">
        <f>Elec!G130</f>
        <v>£m nominal</v>
      </c>
      <c r="H17" s="48"/>
      <c r="I17" s="24"/>
      <c r="J17" s="24"/>
      <c r="K17" s="24"/>
      <c r="L17" s="24"/>
      <c r="M17" s="75"/>
      <c r="N17" s="75"/>
      <c r="O17" s="75"/>
      <c r="P17" s="75"/>
      <c r="Q17" s="75"/>
      <c r="R17" s="75"/>
      <c r="S17" s="75"/>
      <c r="T17" s="435">
        <f>Elec!T130</f>
        <v>61.088605477935758</v>
      </c>
      <c r="U17" s="435">
        <f>Elec!U130</f>
        <v>108.74166317206712</v>
      </c>
      <c r="V17" s="435">
        <f>Elec!V130</f>
        <v>103.02234682172009</v>
      </c>
      <c r="W17" s="435">
        <f>Elec!W130</f>
        <v>91.033494780442311</v>
      </c>
      <c r="X17" s="435">
        <f>Elec!X130</f>
        <v>79.203772893561521</v>
      </c>
      <c r="Y17" s="435">
        <f>Elec!Y130</f>
        <v>59.919811464787365</v>
      </c>
      <c r="Z17" s="435">
        <f>Elec!Z130</f>
        <v>41.22573276103558</v>
      </c>
      <c r="AA17" s="435">
        <f>Elec!AA130</f>
        <v>17.222588485743046</v>
      </c>
      <c r="AB17" s="24"/>
    </row>
    <row r="18" spans="1:28">
      <c r="A18" s="48"/>
      <c r="B18" s="48"/>
      <c r="C18" s="48" t="str">
        <f>Elec!D131</f>
        <v>External BSUoS Income</v>
      </c>
      <c r="D18" s="48"/>
      <c r="E18" s="48"/>
      <c r="F18" s="48"/>
      <c r="G18" s="48" t="str">
        <f>Elec!G131</f>
        <v>£m nominal</v>
      </c>
      <c r="H18" s="48"/>
      <c r="I18" s="24"/>
      <c r="J18" s="24"/>
      <c r="K18" s="24"/>
      <c r="L18" s="24"/>
      <c r="M18" s="75"/>
      <c r="N18" s="75"/>
      <c r="O18" s="75"/>
      <c r="P18" s="75"/>
      <c r="Q18" s="75"/>
      <c r="R18" s="75"/>
      <c r="S18" s="75"/>
      <c r="T18" s="436">
        <f>Elec!T131</f>
        <v>2712.545114192937</v>
      </c>
      <c r="U18" s="436">
        <f>Elec!U131</f>
        <v>0</v>
      </c>
      <c r="V18" s="436">
        <f>Elec!V131</f>
        <v>0</v>
      </c>
      <c r="W18" s="436">
        <f>Elec!W131</f>
        <v>0</v>
      </c>
      <c r="X18" s="436">
        <f>Elec!X131</f>
        <v>0</v>
      </c>
      <c r="Y18" s="436">
        <f>Elec!Y131</f>
        <v>0</v>
      </c>
      <c r="Z18" s="436">
        <f>Elec!Z131</f>
        <v>0</v>
      </c>
      <c r="AA18" s="436">
        <f>Elec!AA131</f>
        <v>0</v>
      </c>
      <c r="AB18" s="24"/>
    </row>
    <row r="19" spans="1:28">
      <c r="A19" s="48"/>
      <c r="B19" s="48"/>
      <c r="C19" s="48" t="str">
        <f>Elec!D132</f>
        <v>ESO Allowed Revenue</v>
      </c>
      <c r="D19" s="48"/>
      <c r="E19" s="48"/>
      <c r="F19" s="48"/>
      <c r="G19" s="48" t="str">
        <f>Elec!G132</f>
        <v>£m nominal</v>
      </c>
      <c r="H19" s="48"/>
      <c r="I19" s="24"/>
      <c r="J19" s="24"/>
      <c r="K19" s="24"/>
      <c r="L19" s="24"/>
      <c r="M19" s="75"/>
      <c r="N19" s="75"/>
      <c r="O19" s="75"/>
      <c r="P19" s="75"/>
      <c r="Q19" s="75"/>
      <c r="R19" s="75"/>
      <c r="S19" s="75"/>
      <c r="T19" s="437">
        <f>Elec!T132</f>
        <v>3308.1797054135563</v>
      </c>
      <c r="U19" s="437">
        <f>Elec!U132</f>
        <v>841.5362212938262</v>
      </c>
      <c r="V19" s="437">
        <f>Elec!V132</f>
        <v>797.7177597860167</v>
      </c>
      <c r="W19" s="437">
        <f>Elec!W132</f>
        <v>91.033494780442311</v>
      </c>
      <c r="X19" s="437">
        <f>Elec!X132</f>
        <v>79.203772893561521</v>
      </c>
      <c r="Y19" s="437">
        <f>Elec!Y132</f>
        <v>59.919811464787365</v>
      </c>
      <c r="Z19" s="437">
        <f>Elec!Z132</f>
        <v>41.22573276103558</v>
      </c>
      <c r="AA19" s="437">
        <f>Elec!AA132</f>
        <v>17.222588485743046</v>
      </c>
      <c r="AB19" s="24"/>
    </row>
    <row r="20" spans="1:28">
      <c r="A20" s="48"/>
      <c r="B20" s="48"/>
      <c r="C20" s="48"/>
      <c r="D20" s="48"/>
      <c r="E20" s="48"/>
      <c r="F20" s="48"/>
      <c r="G20" s="48"/>
      <c r="H20" s="48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76"/>
      <c r="U20" s="76"/>
      <c r="V20" s="76"/>
      <c r="W20" s="76"/>
      <c r="X20" s="76"/>
      <c r="Y20" s="76"/>
      <c r="Z20" s="76"/>
      <c r="AA20" s="76"/>
      <c r="AB20" s="24"/>
    </row>
    <row r="21" spans="1:28">
      <c r="A21" s="48"/>
      <c r="B21" s="48"/>
      <c r="C21" s="48" t="str">
        <f>Gas!D$52</f>
        <v>Gas Revenue Provision (published and forecast)</v>
      </c>
      <c r="D21" s="48"/>
      <c r="E21" s="48"/>
      <c r="F21" s="48"/>
      <c r="G21" s="48" t="str">
        <f>Gas!G$52</f>
        <v>£m nominal</v>
      </c>
      <c r="H21" s="48"/>
      <c r="I21" s="24"/>
      <c r="J21" s="24"/>
      <c r="K21" s="24"/>
      <c r="L21" s="24"/>
      <c r="M21" s="75"/>
      <c r="N21" s="75"/>
      <c r="O21" s="75"/>
      <c r="P21" s="75"/>
      <c r="Q21" s="75"/>
      <c r="R21" s="75"/>
      <c r="S21" s="75"/>
      <c r="T21" s="435">
        <f>Gas!T$52</f>
        <v>0</v>
      </c>
      <c r="U21" s="435">
        <f>Gas!U$52</f>
        <v>28.407000000000004</v>
      </c>
      <c r="V21" s="435">
        <f>Gas!V$52</f>
        <v>48.519420690290694</v>
      </c>
      <c r="W21" s="435">
        <f>Gas!W$52</f>
        <v>0</v>
      </c>
      <c r="X21" s="435">
        <f>Gas!X$52</f>
        <v>0</v>
      </c>
      <c r="Y21" s="435">
        <f>Gas!Y$52</f>
        <v>0</v>
      </c>
      <c r="Z21" s="435">
        <f>Gas!Z$52</f>
        <v>0</v>
      </c>
      <c r="AA21" s="435">
        <f>Gas!AA$52</f>
        <v>0</v>
      </c>
      <c r="AB21" s="24"/>
    </row>
    <row r="22" spans="1:28">
      <c r="A22" s="48"/>
      <c r="B22" s="48"/>
      <c r="C22" s="48"/>
      <c r="D22" s="48"/>
      <c r="E22" s="48"/>
      <c r="F22" s="48"/>
      <c r="G22" s="48"/>
      <c r="H22" s="48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76"/>
      <c r="U22" s="76"/>
      <c r="V22" s="76"/>
      <c r="W22" s="76"/>
      <c r="X22" s="76"/>
      <c r="Y22" s="76"/>
      <c r="Z22" s="76"/>
      <c r="AA22" s="76"/>
      <c r="AB22" s="24"/>
    </row>
    <row r="23" spans="1:28">
      <c r="A23" s="48"/>
      <c r="B23" s="48"/>
      <c r="C23" s="48" t="str">
        <f>RAV!D102</f>
        <v>Closing RAV balance</v>
      </c>
      <c r="D23" s="48"/>
      <c r="E23" s="48"/>
      <c r="F23" s="48"/>
      <c r="G23" s="48" t="str">
        <f>RAV!G102</f>
        <v>£m 2018-19 prices</v>
      </c>
      <c r="H23" s="48"/>
      <c r="I23" s="24"/>
      <c r="J23" s="24"/>
      <c r="K23" s="24"/>
      <c r="L23" s="24"/>
      <c r="M23" s="75"/>
      <c r="N23" s="75"/>
      <c r="O23" s="75"/>
      <c r="P23" s="75"/>
      <c r="Q23" s="75"/>
      <c r="R23" s="75"/>
      <c r="S23" s="75"/>
      <c r="T23" s="435">
        <f>RAV!T102</f>
        <v>332.97623485588736</v>
      </c>
      <c r="U23" s="435">
        <f>RAV!U102</f>
        <v>256.78139187590762</v>
      </c>
      <c r="V23" s="435">
        <f>RAV!V102</f>
        <v>189.19925729601047</v>
      </c>
      <c r="W23" s="435">
        <f>RAV!W102</f>
        <v>129.4626055100729</v>
      </c>
      <c r="X23" s="435">
        <f>RAV!X102</f>
        <v>77.410234702727948</v>
      </c>
      <c r="Y23" s="435">
        <f>RAV!Y102</f>
        <v>38.163076410637359</v>
      </c>
      <c r="Z23" s="435">
        <f>RAV!Z102</f>
        <v>11.198872974473048</v>
      </c>
      <c r="AA23" s="435">
        <f>RAV!AA102</f>
        <v>5.6843418860808015E-14</v>
      </c>
      <c r="AB23" s="24"/>
    </row>
    <row r="24" spans="1:28">
      <c r="A24" s="48"/>
      <c r="B24" s="48"/>
      <c r="C24" s="48"/>
      <c r="D24" s="48"/>
      <c r="E24" s="48"/>
      <c r="F24" s="48"/>
      <c r="G24" s="48"/>
      <c r="H24" s="48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ht="18">
      <c r="A25" s="74" t="s">
        <v>13</v>
      </c>
      <c r="B25" s="74" t="s">
        <v>5</v>
      </c>
      <c r="C25" s="433"/>
      <c r="D25" s="433"/>
      <c r="E25" s="433"/>
      <c r="F25" s="433"/>
      <c r="G25" s="433"/>
      <c r="H25" s="433"/>
      <c r="I25" s="434"/>
      <c r="J25" s="434"/>
      <c r="K25" s="434"/>
      <c r="L25" s="434"/>
      <c r="M25" s="434"/>
      <c r="N25" s="434"/>
      <c r="O25" s="434"/>
      <c r="P25" s="434"/>
      <c r="Q25" s="434"/>
      <c r="R25" s="434"/>
      <c r="S25" s="434"/>
      <c r="T25" s="434"/>
      <c r="U25" s="434"/>
      <c r="V25" s="434"/>
      <c r="W25" s="434"/>
      <c r="X25" s="434"/>
      <c r="Y25" s="434"/>
      <c r="Z25" s="434"/>
      <c r="AA25" s="434"/>
      <c r="AB25" s="434"/>
    </row>
    <row r="26" spans="1:28">
      <c r="A26" s="48"/>
      <c r="B26" s="48"/>
      <c r="C26" s="48"/>
      <c r="D26" s="48"/>
      <c r="E26" s="48"/>
      <c r="F26" s="48"/>
      <c r="G26" s="48"/>
      <c r="H26" s="48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>
      <c r="A27" s="48"/>
      <c r="B27" s="48"/>
      <c r="C27" s="48" t="s">
        <v>385</v>
      </c>
      <c r="D27" s="48"/>
      <c r="E27" s="48"/>
      <c r="F27" s="48"/>
      <c r="G27" s="48" t="s">
        <v>151</v>
      </c>
      <c r="H27" s="48"/>
      <c r="I27" s="24"/>
      <c r="J27" s="24"/>
      <c r="K27" s="438" cm="1">
        <f t="array" ref="K27">COUNT(IF(ISERROR(T16:AA23), 1, ""))</f>
        <v>0</v>
      </c>
      <c r="L27" s="24"/>
      <c r="M27" s="24"/>
      <c r="N27" s="24"/>
      <c r="O27" s="24"/>
      <c r="P27" s="24"/>
      <c r="Q27" s="24"/>
      <c r="R27" s="24"/>
      <c r="S27" s="24"/>
      <c r="T27" s="72"/>
      <c r="U27" s="72"/>
      <c r="V27" s="72"/>
      <c r="W27" s="72"/>
      <c r="X27" s="72"/>
      <c r="Y27" s="72"/>
      <c r="Z27" s="72"/>
      <c r="AA27" s="72"/>
      <c r="AB27" s="24"/>
    </row>
    <row r="28" spans="1:28">
      <c r="A28" s="48"/>
      <c r="B28" s="48"/>
      <c r="C28" s="48"/>
      <c r="D28" s="48"/>
      <c r="E28" s="48"/>
      <c r="F28" s="48"/>
      <c r="G28" s="48"/>
      <c r="H28" s="48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72"/>
      <c r="U28" s="72"/>
      <c r="V28" s="72"/>
      <c r="W28" s="72"/>
      <c r="X28" s="72"/>
      <c r="Y28" s="72"/>
      <c r="Z28" s="72"/>
      <c r="AA28" s="72"/>
      <c r="AB28" s="24"/>
    </row>
    <row r="29" spans="1:28" ht="18">
      <c r="A29" s="74" t="s">
        <v>13</v>
      </c>
      <c r="B29" s="74" t="s">
        <v>152</v>
      </c>
      <c r="C29" s="433"/>
      <c r="D29" s="433"/>
      <c r="E29" s="433"/>
      <c r="F29" s="433"/>
      <c r="G29" s="433"/>
      <c r="H29" s="433"/>
      <c r="I29" s="434"/>
      <c r="J29" s="434"/>
      <c r="K29" s="434"/>
      <c r="L29" s="434"/>
      <c r="M29" s="434"/>
      <c r="N29" s="434"/>
      <c r="O29" s="434"/>
      <c r="P29" s="434"/>
      <c r="Q29" s="434"/>
      <c r="R29" s="434"/>
      <c r="S29" s="434"/>
      <c r="T29" s="434"/>
      <c r="U29" s="434"/>
      <c r="V29" s="434"/>
      <c r="W29" s="434"/>
      <c r="X29" s="434"/>
      <c r="Y29" s="434"/>
      <c r="Z29" s="434"/>
      <c r="AA29" s="434"/>
      <c r="AB29" s="434"/>
    </row>
  </sheetData>
  <pageMargins left="0.7" right="0.7" top="0.75" bottom="0.75" header="0.3" footer="0.3"/>
  <pageSetup paperSize="9" orientation="portrait" horizontalDpi="4294967292" r:id="rId1"/>
  <headerFooter>
    <oddHeader>&amp;L&amp;"Poppins"&amp;12&amp;KFF00FF Public&amp;1#_x000D_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8AA4C6-C58E-43C5-ACE3-012FC635E3C1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D060361B-6A7A-4F0E-874A-1BF60533A32C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A8:AB8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A636-161D-4E35-B59E-04BB66CA71FD}">
  <sheetPr codeName="Sheet3">
    <tabColor theme="9" tint="0.39997558519241921"/>
  </sheetPr>
  <dimension ref="A1:AB80"/>
  <sheetViews>
    <sheetView showGridLines="0" zoomScale="70" zoomScaleNormal="70" workbookViewId="0">
      <pane xSplit="12" ySplit="10" topLeftCell="O51" activePane="bottomRight" state="frozen"/>
      <selection pane="topRight" activeCell="N47" sqref="N47"/>
      <selection pane="bottomLeft" activeCell="N47" sqref="N47"/>
      <selection pane="bottomRight" activeCell="U65" sqref="U65"/>
    </sheetView>
  </sheetViews>
  <sheetFormatPr defaultColWidth="0" defaultRowHeight="14" outlineLevelCol="1"/>
  <cols>
    <col min="1" max="3" width="2.5" customWidth="1"/>
    <col min="4" max="4" width="55.5" customWidth="1"/>
    <col min="5" max="5" width="25.5" customWidth="1"/>
    <col min="6" max="7" width="20.5" customWidth="1"/>
    <col min="8" max="8" width="2.5" customWidth="1"/>
    <col min="9" max="9" width="12.5" customWidth="1"/>
    <col min="10" max="10" width="2.5" customWidth="1"/>
    <col min="11" max="11" width="12.5" customWidth="1"/>
    <col min="12" max="12" width="2.5" customWidth="1"/>
    <col min="13" max="19" width="12.5" customWidth="1" outlineLevel="1"/>
    <col min="20" max="27" width="12.5" customWidth="1"/>
    <col min="28" max="28" width="2.5" customWidth="1"/>
    <col min="29" max="16384" width="8.58203125" hidden="1"/>
  </cols>
  <sheetData>
    <row r="1" spans="1:28" ht="23">
      <c r="A1" s="46"/>
      <c r="B1" s="46" t="str" cm="1">
        <f t="array" aca="1" ref="B1" ca="1">MID(CELL("filename", A1), FIND("]", CELL("filename", A1)) + 1, 255)</f>
        <v>Saved results</v>
      </c>
      <c r="C1" s="46"/>
      <c r="D1" s="46"/>
      <c r="E1" s="46"/>
      <c r="F1" s="46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5" customHeight="1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ht="14.5" customHeight="1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ht="14.5" customHeight="1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>
      <c r="A8" s="48"/>
      <c r="B8" s="49" t="str">
        <f>"Model Checks - " &amp; Check</f>
        <v>Model Checks - PASS</v>
      </c>
      <c r="C8" s="49"/>
      <c r="D8" s="59"/>
      <c r="E8" s="48"/>
      <c r="F8" s="48"/>
      <c r="G8" s="50"/>
      <c r="H8" s="50"/>
      <c r="I8" s="26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ht="23">
      <c r="A10" s="46"/>
      <c r="B10" s="46" t="str">
        <f>Project_Name</f>
        <v>NESO Financial Model</v>
      </c>
      <c r="C10" s="46"/>
      <c r="D10" s="46"/>
      <c r="E10" s="46"/>
      <c r="F10" s="46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ht="18">
      <c r="A12" s="74" t="s">
        <v>13</v>
      </c>
      <c r="B12" s="74" t="s">
        <v>274</v>
      </c>
      <c r="C12" s="433"/>
      <c r="D12" s="433"/>
      <c r="E12" s="433"/>
      <c r="F12" s="433"/>
      <c r="G12" s="433"/>
      <c r="H12" s="433"/>
      <c r="I12" s="434"/>
      <c r="J12" s="434"/>
      <c r="K12" s="434"/>
      <c r="L12" s="434"/>
      <c r="M12" s="434"/>
      <c r="N12" s="434"/>
      <c r="O12" s="434"/>
      <c r="P12" s="434"/>
      <c r="Q12" s="434"/>
      <c r="R12" s="434"/>
      <c r="S12" s="434"/>
      <c r="T12" s="434"/>
      <c r="U12" s="434"/>
      <c r="V12" s="434"/>
      <c r="W12" s="434"/>
      <c r="X12" s="434"/>
      <c r="Y12" s="434"/>
      <c r="Z12" s="434"/>
      <c r="AA12" s="434"/>
      <c r="AB12" s="434"/>
    </row>
    <row r="13" spans="1:28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ht="14.5">
      <c r="A14" s="48"/>
      <c r="B14" s="206" t="s">
        <v>386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ht="14.5">
      <c r="A15" s="48"/>
      <c r="B15" s="206" t="s">
        <v>387</v>
      </c>
      <c r="C15" s="48"/>
      <c r="D15" s="48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>
      <c r="A16" s="48"/>
      <c r="B16" s="48"/>
      <c r="C16" s="48"/>
      <c r="D16" s="48"/>
      <c r="E16" s="48"/>
      <c r="F16" s="48"/>
      <c r="G16" s="48"/>
      <c r="H16" s="48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>
      <c r="A17" s="48"/>
      <c r="B17" s="48"/>
      <c r="C17" s="48" t="str">
        <f>Inputs!C$17</f>
        <v xml:space="preserve">Year t </v>
      </c>
      <c r="D17" s="61"/>
      <c r="E17" s="48"/>
      <c r="F17" s="48"/>
      <c r="G17" s="48" t="str">
        <f>Inputs!G$17</f>
        <v>12 months ending</v>
      </c>
      <c r="H17" s="48"/>
      <c r="I17" s="439">
        <f>Inputs!I$17</f>
        <v>46477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4"/>
    </row>
    <row r="18" spans="1:2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ht="18">
      <c r="A19" s="74" t="s">
        <v>13</v>
      </c>
      <c r="B19" s="74" t="s">
        <v>281</v>
      </c>
      <c r="C19" s="433"/>
      <c r="D19" s="433"/>
      <c r="E19" s="433"/>
      <c r="F19" s="433"/>
      <c r="G19" s="433"/>
      <c r="H19" s="433"/>
      <c r="I19" s="434"/>
      <c r="J19" s="434"/>
      <c r="K19" s="434"/>
      <c r="L19" s="434"/>
      <c r="M19" s="434"/>
      <c r="N19" s="434"/>
      <c r="O19" s="434"/>
      <c r="P19" s="434"/>
      <c r="Q19" s="434"/>
      <c r="R19" s="434"/>
      <c r="S19" s="434"/>
      <c r="T19" s="434"/>
      <c r="U19" s="434"/>
      <c r="V19" s="434"/>
      <c r="W19" s="434"/>
      <c r="X19" s="434"/>
      <c r="Y19" s="434"/>
      <c r="Z19" s="434"/>
      <c r="AA19" s="434"/>
      <c r="AB19" s="434"/>
    </row>
    <row r="20" spans="1:28">
      <c r="A20" s="48"/>
      <c r="B20" s="48"/>
      <c r="C20" s="48"/>
      <c r="D20" s="48"/>
      <c r="E20" s="48"/>
      <c r="F20" s="48"/>
      <c r="G20" s="48"/>
      <c r="H20" s="48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ht="14.5">
      <c r="A21" s="48"/>
      <c r="B21" s="206" t="s">
        <v>388</v>
      </c>
      <c r="C21" s="48"/>
      <c r="D21" s="48"/>
      <c r="E21" s="48"/>
      <c r="F21" s="48"/>
      <c r="G21" s="48"/>
      <c r="H21" s="48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ht="14.5">
      <c r="A22" s="48"/>
      <c r="B22" s="206" t="s">
        <v>389</v>
      </c>
      <c r="C22" s="48"/>
      <c r="D22" s="48"/>
      <c r="E22" s="48"/>
      <c r="F22" s="48"/>
      <c r="G22" s="48"/>
      <c r="H22" s="48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>
      <c r="A23" s="48"/>
      <c r="B23" s="48"/>
      <c r="C23" s="48"/>
      <c r="D23" s="48"/>
      <c r="E23" s="48"/>
      <c r="F23" s="48"/>
      <c r="G23" s="48"/>
      <c r="H23" s="48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>
      <c r="A24" s="48"/>
      <c r="B24" s="48"/>
      <c r="C24" s="48" t="str">
        <f>Elec!C$51</f>
        <v>Internal BSUoS Income (year t)</v>
      </c>
      <c r="D24" s="48"/>
      <c r="E24" s="48"/>
      <c r="F24" s="48" t="str">
        <f>Elec!F$51</f>
        <v>INTₜ, F1.17</v>
      </c>
      <c r="G24" s="48" t="str">
        <f>Elec!G$51</f>
        <v>£m nominal</v>
      </c>
      <c r="H24" s="48"/>
      <c r="I24" s="24"/>
      <c r="J24" s="24"/>
      <c r="K24" s="24"/>
      <c r="L24" s="24"/>
      <c r="M24" s="62"/>
      <c r="N24" s="62"/>
      <c r="O24" s="62"/>
      <c r="P24" s="62"/>
      <c r="Q24" s="62"/>
      <c r="R24" s="62"/>
      <c r="S24" s="62"/>
      <c r="T24" s="62"/>
      <c r="U24" s="435">
        <f>Elec!U$51</f>
        <v>0</v>
      </c>
      <c r="V24" s="440">
        <f>Elec!V$51</f>
        <v>694.69541296429657</v>
      </c>
      <c r="W24" s="440">
        <f>Elec!W$51</f>
        <v>0</v>
      </c>
      <c r="X24" s="440">
        <f>Elec!X$51</f>
        <v>0</v>
      </c>
      <c r="Y24" s="440">
        <f>Elec!Y$51</f>
        <v>0</v>
      </c>
      <c r="Z24" s="440">
        <f>Elec!Z$51</f>
        <v>0</v>
      </c>
      <c r="AA24" s="62"/>
      <c r="AB24" s="24"/>
    </row>
    <row r="25" spans="1:28">
      <c r="A25" s="48"/>
      <c r="B25" s="48"/>
      <c r="C25" s="48"/>
      <c r="D25" s="48"/>
      <c r="E25" s="48"/>
      <c r="F25" s="48"/>
      <c r="G25" s="48"/>
      <c r="H25" s="48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>
      <c r="A26" s="48"/>
      <c r="B26" s="48"/>
      <c r="C26" s="51" t="s">
        <v>390</v>
      </c>
      <c r="D26" s="48"/>
      <c r="E26" s="48"/>
      <c r="F26" s="48"/>
      <c r="G26" s="48"/>
      <c r="H26" s="48"/>
      <c r="I26" s="52" t="s">
        <v>391</v>
      </c>
      <c r="J26" s="24"/>
      <c r="K26" s="52" t="s">
        <v>392</v>
      </c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>
      <c r="A27" s="48"/>
      <c r="B27" s="48"/>
      <c r="C27" s="48"/>
      <c r="D27" s="441">
        <v>46112</v>
      </c>
      <c r="E27" s="442"/>
      <c r="F27" s="442"/>
      <c r="G27" s="442" t="s">
        <v>29</v>
      </c>
      <c r="H27" s="442"/>
      <c r="I27" s="443">
        <v>1</v>
      </c>
      <c r="J27" s="444"/>
      <c r="K27" s="445">
        <f t="shared" ref="K27" si="0">IF(D27 &gt;= I$17, 0, IF(COUNT(U27:AA27) = I27, 0, 1))</f>
        <v>0</v>
      </c>
      <c r="L27" s="444"/>
      <c r="M27" s="446"/>
      <c r="N27" s="446"/>
      <c r="O27" s="446"/>
      <c r="P27" s="446"/>
      <c r="Q27" s="446"/>
      <c r="R27" s="446"/>
      <c r="S27" s="446"/>
      <c r="T27" s="446"/>
      <c r="U27" s="447">
        <v>732.79455812175911</v>
      </c>
      <c r="V27" s="446"/>
      <c r="W27" s="446"/>
      <c r="X27" s="446"/>
      <c r="Y27" s="446"/>
      <c r="Z27" s="446"/>
      <c r="AA27" s="446"/>
      <c r="AB27" s="24"/>
    </row>
    <row r="28" spans="1:28">
      <c r="A28" s="48"/>
      <c r="B28" s="48"/>
      <c r="C28" s="48"/>
      <c r="D28" s="63">
        <v>46477</v>
      </c>
      <c r="E28" s="64"/>
      <c r="F28" s="64"/>
      <c r="G28" s="64" t="s">
        <v>29</v>
      </c>
      <c r="H28" s="64"/>
      <c r="I28" s="448">
        <f t="shared" ref="I28:I32" si="1">I27</f>
        <v>1</v>
      </c>
      <c r="J28" s="65"/>
      <c r="K28" s="449">
        <f>IF(D28 &gt;= I$17, 0, IF(COUNT(U28:AA28) = I28, 0, 1))</f>
        <v>0</v>
      </c>
      <c r="L28" s="65"/>
      <c r="M28" s="62"/>
      <c r="N28" s="62"/>
      <c r="O28" s="62"/>
      <c r="P28" s="62"/>
      <c r="Q28" s="62"/>
      <c r="R28" s="62"/>
      <c r="S28" s="62"/>
      <c r="T28" s="62"/>
      <c r="U28" s="62"/>
      <c r="V28" s="450"/>
      <c r="W28" s="62"/>
      <c r="X28" s="62"/>
      <c r="Y28" s="62"/>
      <c r="Z28" s="62"/>
      <c r="AA28" s="62"/>
      <c r="AB28" s="24"/>
    </row>
    <row r="29" spans="1:28">
      <c r="A29" s="48"/>
      <c r="B29" s="48"/>
      <c r="C29" s="48"/>
      <c r="D29" s="63">
        <v>46843</v>
      </c>
      <c r="E29" s="64"/>
      <c r="F29" s="64"/>
      <c r="G29" s="64" t="s">
        <v>29</v>
      </c>
      <c r="H29" s="64"/>
      <c r="I29" s="448">
        <f t="shared" si="1"/>
        <v>1</v>
      </c>
      <c r="J29" s="65"/>
      <c r="K29" s="449">
        <f t="shared" ref="K29:K32" si="2">IF(D29 &gt;= I$17, 0, IF(COUNT(U29:AA29) = I29, 0, 1))</f>
        <v>0</v>
      </c>
      <c r="L29" s="65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450"/>
      <c r="X29" s="62"/>
      <c r="Y29" s="62"/>
      <c r="Z29" s="62"/>
      <c r="AA29" s="62"/>
      <c r="AB29" s="24"/>
    </row>
    <row r="30" spans="1:28">
      <c r="A30" s="48"/>
      <c r="B30" s="48"/>
      <c r="C30" s="48"/>
      <c r="D30" s="63">
        <v>47208</v>
      </c>
      <c r="E30" s="64"/>
      <c r="F30" s="64"/>
      <c r="G30" s="64" t="s">
        <v>29</v>
      </c>
      <c r="H30" s="64"/>
      <c r="I30" s="448">
        <f t="shared" si="1"/>
        <v>1</v>
      </c>
      <c r="J30" s="65"/>
      <c r="K30" s="449">
        <f t="shared" si="2"/>
        <v>0</v>
      </c>
      <c r="L30" s="65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450"/>
      <c r="Y30" s="62"/>
      <c r="Z30" s="62"/>
      <c r="AA30" s="62"/>
      <c r="AB30" s="24"/>
    </row>
    <row r="31" spans="1:28">
      <c r="A31" s="48"/>
      <c r="B31" s="48"/>
      <c r="C31" s="48"/>
      <c r="D31" s="63">
        <v>47573</v>
      </c>
      <c r="E31" s="64"/>
      <c r="F31" s="64"/>
      <c r="G31" s="64" t="s">
        <v>29</v>
      </c>
      <c r="H31" s="64"/>
      <c r="I31" s="448">
        <f t="shared" si="1"/>
        <v>1</v>
      </c>
      <c r="J31" s="65"/>
      <c r="K31" s="449">
        <f t="shared" si="2"/>
        <v>0</v>
      </c>
      <c r="L31" s="65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450"/>
      <c r="Z31" s="62"/>
      <c r="AA31" s="62"/>
      <c r="AB31" s="24"/>
    </row>
    <row r="32" spans="1:28">
      <c r="A32" s="48"/>
      <c r="B32" s="48"/>
      <c r="C32" s="48"/>
      <c r="D32" s="66">
        <v>47938</v>
      </c>
      <c r="E32" s="67"/>
      <c r="F32" s="67"/>
      <c r="G32" s="67" t="s">
        <v>29</v>
      </c>
      <c r="H32" s="67"/>
      <c r="I32" s="451">
        <f t="shared" si="1"/>
        <v>1</v>
      </c>
      <c r="J32" s="68"/>
      <c r="K32" s="452">
        <f t="shared" si="2"/>
        <v>0</v>
      </c>
      <c r="L32" s="68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453"/>
      <c r="AA32" s="69"/>
      <c r="AB32" s="24"/>
    </row>
    <row r="33" spans="1:28">
      <c r="A33" s="48"/>
      <c r="B33" s="48"/>
      <c r="C33" s="48"/>
      <c r="D33" s="48"/>
      <c r="E33" s="48"/>
      <c r="F33" s="48"/>
      <c r="G33" s="48"/>
      <c r="H33" s="48"/>
      <c r="I33" s="70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>
      <c r="A34" s="48"/>
      <c r="B34" s="48"/>
      <c r="C34" s="48" t="s">
        <v>393</v>
      </c>
      <c r="D34" s="48"/>
      <c r="E34" s="48"/>
      <c r="F34" s="48" t="s">
        <v>297</v>
      </c>
      <c r="G34" s="64" t="s">
        <v>29</v>
      </c>
      <c r="H34" s="48"/>
      <c r="I34" s="70"/>
      <c r="J34" s="24"/>
      <c r="K34" s="24"/>
      <c r="L34" s="24"/>
      <c r="M34" s="62"/>
      <c r="N34" s="62"/>
      <c r="O34" s="62"/>
      <c r="P34" s="62"/>
      <c r="Q34" s="62"/>
      <c r="R34" s="62"/>
      <c r="S34" s="62"/>
      <c r="T34" s="62"/>
      <c r="U34" s="454">
        <f t="shared" ref="U34:Z34" si="3">SUM(U27:U32)</f>
        <v>732.79455812175911</v>
      </c>
      <c r="V34" s="454">
        <f t="shared" si="3"/>
        <v>0</v>
      </c>
      <c r="W34" s="454">
        <f t="shared" si="3"/>
        <v>0</v>
      </c>
      <c r="X34" s="454">
        <f t="shared" si="3"/>
        <v>0</v>
      </c>
      <c r="Y34" s="454">
        <f t="shared" si="3"/>
        <v>0</v>
      </c>
      <c r="Z34" s="454">
        <f t="shared" si="3"/>
        <v>0</v>
      </c>
      <c r="AA34" s="62"/>
      <c r="AB34" s="24"/>
    </row>
    <row r="35" spans="1:28">
      <c r="A35" s="24"/>
      <c r="B35" s="24"/>
      <c r="C35" s="24"/>
      <c r="D35" s="24"/>
      <c r="E35" s="24"/>
      <c r="F35" s="24"/>
      <c r="G35" s="24"/>
      <c r="H35" s="24"/>
      <c r="I35" s="70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>
      <c r="A36" s="48"/>
      <c r="B36" s="48"/>
      <c r="C36" s="48" t="s">
        <v>394</v>
      </c>
      <c r="D36" s="48"/>
      <c r="E36" s="48"/>
      <c r="F36" s="48"/>
      <c r="G36" s="71" t="s">
        <v>151</v>
      </c>
      <c r="H36" s="48"/>
      <c r="I36" s="70"/>
      <c r="J36" s="24"/>
      <c r="K36" s="449">
        <f>SUM(U36:AA36)</f>
        <v>0</v>
      </c>
      <c r="L36" s="24"/>
      <c r="M36" s="62"/>
      <c r="N36" s="62"/>
      <c r="O36" s="62"/>
      <c r="P36" s="62"/>
      <c r="Q36" s="62"/>
      <c r="R36" s="62"/>
      <c r="S36" s="62"/>
      <c r="T36" s="62"/>
      <c r="U36" s="449">
        <f t="shared" ref="U36:AA36" si="4">IF(COUNTBLANK(U27:U32) &gt;= 5, 0, 1)</f>
        <v>0</v>
      </c>
      <c r="V36" s="449">
        <f t="shared" si="4"/>
        <v>0</v>
      </c>
      <c r="W36" s="449">
        <f t="shared" si="4"/>
        <v>0</v>
      </c>
      <c r="X36" s="449">
        <f t="shared" si="4"/>
        <v>0</v>
      </c>
      <c r="Y36" s="449">
        <f t="shared" si="4"/>
        <v>0</v>
      </c>
      <c r="Z36" s="449">
        <f t="shared" si="4"/>
        <v>0</v>
      </c>
      <c r="AA36" s="449">
        <f t="shared" si="4"/>
        <v>0</v>
      </c>
      <c r="AB36" s="24"/>
    </row>
    <row r="37" spans="1:28">
      <c r="A37" s="48"/>
      <c r="B37" s="48"/>
      <c r="C37" s="48"/>
      <c r="D37" s="48"/>
      <c r="E37" s="48"/>
      <c r="F37" s="48"/>
      <c r="G37" s="48"/>
      <c r="H37" s="48"/>
      <c r="I37" s="70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72"/>
      <c r="U37" s="72"/>
      <c r="V37" s="72"/>
      <c r="W37" s="72"/>
      <c r="X37" s="72"/>
      <c r="Y37" s="72"/>
      <c r="Z37" s="72"/>
      <c r="AA37" s="72"/>
      <c r="AB37" s="24"/>
    </row>
    <row r="38" spans="1:28" ht="18">
      <c r="A38" s="74" t="s">
        <v>13</v>
      </c>
      <c r="B38" s="74" t="s">
        <v>313</v>
      </c>
      <c r="C38" s="433"/>
      <c r="D38" s="433"/>
      <c r="E38" s="433"/>
      <c r="F38" s="433"/>
      <c r="G38" s="433"/>
      <c r="H38" s="433"/>
      <c r="I38" s="434"/>
      <c r="J38" s="434"/>
      <c r="K38" s="434"/>
      <c r="L38" s="434"/>
      <c r="M38" s="434"/>
      <c r="N38" s="434"/>
      <c r="O38" s="434"/>
      <c r="P38" s="434"/>
      <c r="Q38" s="434"/>
      <c r="R38" s="434"/>
      <c r="S38" s="434"/>
      <c r="T38" s="434"/>
      <c r="U38" s="434"/>
      <c r="V38" s="434"/>
      <c r="W38" s="434"/>
      <c r="X38" s="434"/>
      <c r="Y38" s="434"/>
      <c r="Z38" s="434"/>
      <c r="AA38" s="434"/>
      <c r="AB38" s="434"/>
    </row>
    <row r="39" spans="1:28">
      <c r="A39" s="48"/>
      <c r="B39" s="48"/>
      <c r="C39" s="48"/>
      <c r="D39" s="48"/>
      <c r="E39" s="48"/>
      <c r="F39" s="48"/>
      <c r="G39" s="48"/>
      <c r="H39" s="48"/>
      <c r="I39" s="70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1:28" ht="14.5">
      <c r="A40" s="48"/>
      <c r="B40" s="206" t="s">
        <v>395</v>
      </c>
      <c r="C40" s="48"/>
      <c r="D40" s="48"/>
      <c r="E40" s="48"/>
      <c r="F40" s="48"/>
      <c r="G40" s="48"/>
      <c r="H40" s="48"/>
      <c r="I40" s="70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spans="1:28" ht="14.5">
      <c r="A41" s="48"/>
      <c r="B41" s="206" t="s">
        <v>389</v>
      </c>
      <c r="C41" s="48"/>
      <c r="D41" s="48"/>
      <c r="E41" s="48"/>
      <c r="F41" s="48"/>
      <c r="G41" s="48"/>
      <c r="H41" s="48"/>
      <c r="I41" s="70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spans="1:28">
      <c r="A42" s="48"/>
      <c r="B42" s="48"/>
      <c r="C42" s="48"/>
      <c r="D42" s="48"/>
      <c r="E42" s="48"/>
      <c r="F42" s="48"/>
      <c r="G42" s="48"/>
      <c r="H42" s="48"/>
      <c r="I42" s="70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spans="1:28">
      <c r="A43" s="48"/>
      <c r="B43" s="48"/>
      <c r="C43" s="48" t="str">
        <f>Elec!C$85</f>
        <v>Return BSUoS Income (year t)</v>
      </c>
      <c r="D43" s="48"/>
      <c r="E43" s="48"/>
      <c r="F43" s="48" t="str">
        <f>Elec!F$85</f>
        <v>RTNₜ, F1.17</v>
      </c>
      <c r="G43" s="48" t="str">
        <f>Elec!G$85</f>
        <v>£m nominal</v>
      </c>
      <c r="H43" s="48"/>
      <c r="I43" s="70"/>
      <c r="J43" s="24"/>
      <c r="K43" s="24"/>
      <c r="L43" s="24"/>
      <c r="M43" s="62"/>
      <c r="N43" s="62"/>
      <c r="O43" s="62"/>
      <c r="P43" s="62"/>
      <c r="Q43" s="62"/>
      <c r="R43" s="62"/>
      <c r="S43" s="62"/>
      <c r="T43" s="62"/>
      <c r="U43" s="435">
        <f>Elec!U$85</f>
        <v>0</v>
      </c>
      <c r="V43" s="440">
        <f>Elec!V$85</f>
        <v>103.02234682172009</v>
      </c>
      <c r="W43" s="440">
        <f>Elec!W$85</f>
        <v>0</v>
      </c>
      <c r="X43" s="440">
        <f>Elec!X$85</f>
        <v>0</v>
      </c>
      <c r="Y43" s="440">
        <f>Elec!Y$85</f>
        <v>0</v>
      </c>
      <c r="Z43" s="440">
        <f>Elec!Z$85</f>
        <v>0</v>
      </c>
      <c r="AA43" s="62"/>
      <c r="AB43" s="24"/>
    </row>
    <row r="44" spans="1:28">
      <c r="A44" s="48"/>
      <c r="B44" s="48"/>
      <c r="C44" s="48"/>
      <c r="D44" s="48"/>
      <c r="E44" s="48"/>
      <c r="F44" s="48"/>
      <c r="G44" s="48"/>
      <c r="H44" s="48"/>
      <c r="I44" s="70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</row>
    <row r="45" spans="1:28">
      <c r="A45" s="48"/>
      <c r="B45" s="48"/>
      <c r="C45" s="51" t="str">
        <f>B38 &amp; " (in Financial Model for year ending)"</f>
        <v>Return BSUoS Income (in Financial Model for year ending)</v>
      </c>
      <c r="D45" s="48"/>
      <c r="E45" s="48"/>
      <c r="F45" s="48"/>
      <c r="G45" s="48"/>
      <c r="H45" s="48"/>
      <c r="I45" s="73" t="s">
        <v>391</v>
      </c>
      <c r="J45" s="24"/>
      <c r="K45" s="52" t="s">
        <v>392</v>
      </c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1:28">
      <c r="A46" s="48"/>
      <c r="B46" s="48"/>
      <c r="C46" s="48"/>
      <c r="D46" s="441">
        <v>46112</v>
      </c>
      <c r="E46" s="442"/>
      <c r="F46" s="442"/>
      <c r="G46" s="442" t="s">
        <v>29</v>
      </c>
      <c r="H46" s="442"/>
      <c r="I46" s="443">
        <v>1</v>
      </c>
      <c r="J46" s="444"/>
      <c r="K46" s="445">
        <f t="shared" ref="K46" si="5">IF(D46 &gt;= I$17, 0, IF(COUNT(U46:AA46) = I46, 0, 1))</f>
        <v>0</v>
      </c>
      <c r="L46" s="444"/>
      <c r="M46" s="446"/>
      <c r="N46" s="446"/>
      <c r="O46" s="446"/>
      <c r="P46" s="446"/>
      <c r="Q46" s="446"/>
      <c r="R46" s="446"/>
      <c r="S46" s="446"/>
      <c r="T46" s="446"/>
      <c r="U46" s="447">
        <v>108.74166317206712</v>
      </c>
      <c r="V46" s="446"/>
      <c r="W46" s="446"/>
      <c r="X46" s="446"/>
      <c r="Y46" s="446"/>
      <c r="Z46" s="446"/>
      <c r="AA46" s="446"/>
      <c r="AB46" s="24"/>
    </row>
    <row r="47" spans="1:28">
      <c r="A47" s="48"/>
      <c r="B47" s="48"/>
      <c r="C47" s="48"/>
      <c r="D47" s="63">
        <v>46477</v>
      </c>
      <c r="E47" s="64"/>
      <c r="F47" s="64"/>
      <c r="G47" s="64" t="s">
        <v>29</v>
      </c>
      <c r="H47" s="64"/>
      <c r="I47" s="448">
        <f t="shared" ref="I47:I48" si="6">I46</f>
        <v>1</v>
      </c>
      <c r="J47" s="65"/>
      <c r="K47" s="449">
        <f>IF(D47 &gt;= I$17, 0, IF(COUNT(U47:AA47) = I47, 0, 1))</f>
        <v>0</v>
      </c>
      <c r="L47" s="65"/>
      <c r="M47" s="62"/>
      <c r="N47" s="62"/>
      <c r="O47" s="62"/>
      <c r="P47" s="62"/>
      <c r="Q47" s="62"/>
      <c r="R47" s="62"/>
      <c r="S47" s="62"/>
      <c r="T47" s="62"/>
      <c r="U47" s="62"/>
      <c r="V47" s="450"/>
      <c r="W47" s="62"/>
      <c r="X47" s="62"/>
      <c r="Y47" s="62"/>
      <c r="Z47" s="62"/>
      <c r="AA47" s="62"/>
      <c r="AB47" s="24"/>
    </row>
    <row r="48" spans="1:28">
      <c r="A48" s="48"/>
      <c r="B48" s="48"/>
      <c r="C48" s="48"/>
      <c r="D48" s="63">
        <v>46843</v>
      </c>
      <c r="E48" s="64"/>
      <c r="F48" s="64"/>
      <c r="G48" s="64" t="s">
        <v>29</v>
      </c>
      <c r="H48" s="64"/>
      <c r="I48" s="448">
        <f t="shared" si="6"/>
        <v>1</v>
      </c>
      <c r="J48" s="65"/>
      <c r="K48" s="449">
        <f t="shared" ref="K48:K51" si="7">IF(D48 &gt;= I$17, 0, IF(COUNT(U48:AA48) = I48, 0, 1))</f>
        <v>0</v>
      </c>
      <c r="L48" s="65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450"/>
      <c r="X48" s="62"/>
      <c r="Y48" s="62"/>
      <c r="Z48" s="62"/>
      <c r="AA48" s="62"/>
      <c r="AB48" s="24"/>
    </row>
    <row r="49" spans="1:28">
      <c r="A49" s="48"/>
      <c r="B49" s="48"/>
      <c r="C49" s="48"/>
      <c r="D49" s="63">
        <v>47208</v>
      </c>
      <c r="E49" s="64"/>
      <c r="F49" s="64"/>
      <c r="G49" s="64" t="s">
        <v>29</v>
      </c>
      <c r="H49" s="64"/>
      <c r="I49" s="448">
        <f t="shared" ref="I49:I51" si="8">I48</f>
        <v>1</v>
      </c>
      <c r="J49" s="65"/>
      <c r="K49" s="449">
        <f t="shared" si="7"/>
        <v>0</v>
      </c>
      <c r="L49" s="65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450"/>
      <c r="Y49" s="62"/>
      <c r="Z49" s="62"/>
      <c r="AA49" s="62"/>
      <c r="AB49" s="24"/>
    </row>
    <row r="50" spans="1:28">
      <c r="A50" s="48"/>
      <c r="B50" s="48"/>
      <c r="C50" s="48"/>
      <c r="D50" s="63">
        <v>47573</v>
      </c>
      <c r="E50" s="64"/>
      <c r="F50" s="64"/>
      <c r="G50" s="64" t="s">
        <v>29</v>
      </c>
      <c r="H50" s="64"/>
      <c r="I50" s="448">
        <f t="shared" si="8"/>
        <v>1</v>
      </c>
      <c r="J50" s="65"/>
      <c r="K50" s="449">
        <f t="shared" si="7"/>
        <v>0</v>
      </c>
      <c r="L50" s="65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450"/>
      <c r="Z50" s="62"/>
      <c r="AA50" s="62"/>
      <c r="AB50" s="24"/>
    </row>
    <row r="51" spans="1:28">
      <c r="A51" s="48"/>
      <c r="B51" s="48"/>
      <c r="C51" s="48"/>
      <c r="D51" s="66">
        <v>47938</v>
      </c>
      <c r="E51" s="67"/>
      <c r="F51" s="67"/>
      <c r="G51" s="67" t="s">
        <v>29</v>
      </c>
      <c r="H51" s="67"/>
      <c r="I51" s="451">
        <f t="shared" si="8"/>
        <v>1</v>
      </c>
      <c r="J51" s="68"/>
      <c r="K51" s="452">
        <f t="shared" si="7"/>
        <v>0</v>
      </c>
      <c r="L51" s="68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453"/>
      <c r="AA51" s="69"/>
      <c r="AB51" s="24"/>
    </row>
    <row r="52" spans="1:28">
      <c r="A52" s="48"/>
      <c r="B52" s="48"/>
      <c r="C52" s="48"/>
      <c r="D52" s="48"/>
      <c r="E52" s="48"/>
      <c r="F52" s="48"/>
      <c r="G52" s="48"/>
      <c r="H52" s="48"/>
      <c r="I52" s="70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</row>
    <row r="53" spans="1:28">
      <c r="A53" s="48"/>
      <c r="B53" s="48"/>
      <c r="C53" s="48" t="str">
        <f>B38 &amp;" (as published for corresponding year t)"</f>
        <v>Return BSUoS Income (as published for corresponding year t)</v>
      </c>
      <c r="D53" s="48"/>
      <c r="E53" s="48"/>
      <c r="F53" s="48" t="s">
        <v>324</v>
      </c>
      <c r="G53" s="64" t="s">
        <v>29</v>
      </c>
      <c r="H53" s="48"/>
      <c r="I53" s="70"/>
      <c r="J53" s="24"/>
      <c r="K53" s="24"/>
      <c r="L53" s="24"/>
      <c r="M53" s="62"/>
      <c r="N53" s="62"/>
      <c r="O53" s="62"/>
      <c r="P53" s="62"/>
      <c r="Q53" s="62"/>
      <c r="R53" s="62"/>
      <c r="S53" s="62"/>
      <c r="T53" s="62"/>
      <c r="U53" s="454">
        <f>SUM(U46:U51)</f>
        <v>108.74166317206712</v>
      </c>
      <c r="V53" s="454">
        <f t="shared" ref="V53:Z53" si="9">SUM(V46:V51)</f>
        <v>0</v>
      </c>
      <c r="W53" s="454">
        <f t="shared" si="9"/>
        <v>0</v>
      </c>
      <c r="X53" s="454">
        <f t="shared" si="9"/>
        <v>0</v>
      </c>
      <c r="Y53" s="454">
        <f t="shared" si="9"/>
        <v>0</v>
      </c>
      <c r="Z53" s="454">
        <f t="shared" si="9"/>
        <v>0</v>
      </c>
      <c r="AA53" s="62"/>
      <c r="AB53" s="24"/>
    </row>
    <row r="54" spans="1:28">
      <c r="A54" s="48"/>
      <c r="B54" s="48"/>
      <c r="C54" s="48"/>
      <c r="D54" s="48"/>
      <c r="E54" s="48"/>
      <c r="F54" s="48"/>
      <c r="G54" s="48"/>
      <c r="H54" s="48"/>
      <c r="I54" s="70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72"/>
      <c r="V54" s="72"/>
      <c r="W54" s="72"/>
      <c r="X54" s="72"/>
      <c r="Y54" s="72"/>
      <c r="Z54" s="72"/>
      <c r="AA54" s="72"/>
      <c r="AB54" s="24"/>
    </row>
    <row r="55" spans="1:28">
      <c r="A55" s="48"/>
      <c r="B55" s="48"/>
      <c r="C55" s="48" t="s">
        <v>394</v>
      </c>
      <c r="D55" s="48"/>
      <c r="E55" s="48"/>
      <c r="F55" s="48"/>
      <c r="G55" s="71" t="s">
        <v>151</v>
      </c>
      <c r="H55" s="48"/>
      <c r="I55" s="70"/>
      <c r="J55" s="24"/>
      <c r="K55" s="449">
        <f>SUM(U55:AA55)</f>
        <v>0</v>
      </c>
      <c r="L55" s="24"/>
      <c r="M55" s="62"/>
      <c r="N55" s="62"/>
      <c r="O55" s="62"/>
      <c r="P55" s="62"/>
      <c r="Q55" s="62"/>
      <c r="R55" s="62"/>
      <c r="S55" s="62"/>
      <c r="T55" s="62"/>
      <c r="U55" s="449">
        <f t="shared" ref="U55:AA55" si="10">IF(COUNTBLANK(U46:U51) &gt;= 5, 0, 1)</f>
        <v>0</v>
      </c>
      <c r="V55" s="449">
        <f t="shared" si="10"/>
        <v>0</v>
      </c>
      <c r="W55" s="449">
        <f t="shared" si="10"/>
        <v>0</v>
      </c>
      <c r="X55" s="449">
        <f t="shared" si="10"/>
        <v>0</v>
      </c>
      <c r="Y55" s="449">
        <f t="shared" si="10"/>
        <v>0</v>
      </c>
      <c r="Z55" s="449">
        <f t="shared" si="10"/>
        <v>0</v>
      </c>
      <c r="AA55" s="449">
        <f t="shared" si="10"/>
        <v>0</v>
      </c>
      <c r="AB55" s="24"/>
    </row>
    <row r="56" spans="1:28">
      <c r="A56" s="48"/>
      <c r="B56" s="48"/>
      <c r="C56" s="48"/>
      <c r="D56" s="48"/>
      <c r="E56" s="48"/>
      <c r="F56" s="48"/>
      <c r="G56" s="48"/>
      <c r="H56" s="48"/>
      <c r="I56" s="70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spans="1:28" ht="18">
      <c r="A57" s="74" t="s">
        <v>13</v>
      </c>
      <c r="B57" s="74" t="s">
        <v>367</v>
      </c>
      <c r="C57" s="476"/>
      <c r="D57" s="476"/>
      <c r="E57" s="476"/>
      <c r="F57" s="476"/>
      <c r="G57" s="476"/>
      <c r="H57" s="476"/>
      <c r="I57" s="477"/>
      <c r="J57" s="477"/>
      <c r="K57" s="477"/>
      <c r="L57" s="477"/>
      <c r="M57" s="477"/>
      <c r="N57" s="477"/>
      <c r="O57" s="477"/>
      <c r="P57" s="477"/>
      <c r="Q57" s="477"/>
      <c r="R57" s="477"/>
      <c r="S57" s="477"/>
      <c r="T57" s="477"/>
      <c r="U57" s="477"/>
      <c r="V57" s="477"/>
      <c r="W57" s="477"/>
      <c r="X57" s="477"/>
      <c r="Y57" s="477"/>
      <c r="Z57" s="477"/>
      <c r="AA57" s="477"/>
      <c r="AB57" s="477"/>
    </row>
    <row r="58" spans="1:28">
      <c r="A58" s="48"/>
      <c r="B58" s="48"/>
      <c r="C58" s="48"/>
      <c r="D58" s="48"/>
      <c r="E58" s="48"/>
      <c r="F58" s="48"/>
      <c r="G58" s="48"/>
      <c r="H58" s="48"/>
      <c r="I58" s="70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ht="14.5">
      <c r="A59" s="48"/>
      <c r="B59" s="60" t="s">
        <v>417</v>
      </c>
      <c r="C59" s="48"/>
      <c r="D59" s="48"/>
      <c r="E59" s="48"/>
      <c r="F59" s="48"/>
      <c r="G59" s="48"/>
      <c r="H59" s="48"/>
      <c r="I59" s="70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 ht="14.5">
      <c r="A60" s="48"/>
      <c r="B60" s="60" t="s">
        <v>418</v>
      </c>
      <c r="C60" s="48"/>
      <c r="D60" s="48"/>
      <c r="E60" s="48"/>
      <c r="F60" s="48"/>
      <c r="G60" s="48"/>
      <c r="H60" s="48"/>
      <c r="I60" s="70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spans="1:28">
      <c r="A61" s="48"/>
      <c r="B61" s="48"/>
      <c r="C61" s="48"/>
      <c r="D61" s="48"/>
      <c r="E61" s="48"/>
      <c r="F61" s="48"/>
      <c r="G61" s="48"/>
      <c r="H61" s="48"/>
      <c r="I61" s="70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</row>
    <row r="62" spans="1:28">
      <c r="A62" s="48"/>
      <c r="B62" s="48"/>
      <c r="C62" s="48" t="str">
        <f>Gas!C46</f>
        <v>Gas Revenue Provision (year t)</v>
      </c>
      <c r="D62" s="48"/>
      <c r="E62" s="48"/>
      <c r="F62" s="48" t="str">
        <f>Gas!F46</f>
        <v>ARGSPₜ, F1.16</v>
      </c>
      <c r="G62" s="48" t="str">
        <f>Gas!G49</f>
        <v>£m nominal</v>
      </c>
      <c r="H62" s="48"/>
      <c r="I62" s="70"/>
      <c r="J62" s="24"/>
      <c r="K62" s="24"/>
      <c r="L62" s="24"/>
      <c r="M62" s="62"/>
      <c r="N62" s="62"/>
      <c r="O62" s="62"/>
      <c r="P62" s="62"/>
      <c r="Q62" s="62"/>
      <c r="R62" s="62"/>
      <c r="S62" s="62"/>
      <c r="T62" s="62"/>
      <c r="U62" s="478">
        <f>Gas!U46</f>
        <v>41.068303260926619</v>
      </c>
      <c r="V62" s="478">
        <f>Gas!V46</f>
        <v>48.519420690290694</v>
      </c>
      <c r="W62" s="478">
        <f>Gas!W46</f>
        <v>0</v>
      </c>
      <c r="X62" s="478">
        <f>Gas!X46</f>
        <v>0</v>
      </c>
      <c r="Y62" s="478">
        <f>Gas!Y46</f>
        <v>0</v>
      </c>
      <c r="Z62" s="478">
        <f>Gas!Z46</f>
        <v>0</v>
      </c>
      <c r="AA62" s="62"/>
      <c r="AB62" s="24"/>
    </row>
    <row r="63" spans="1:28">
      <c r="A63" s="48"/>
      <c r="B63" s="48"/>
      <c r="C63" s="48"/>
      <c r="D63" s="48"/>
      <c r="E63" s="48"/>
      <c r="F63" s="48"/>
      <c r="G63" s="48"/>
      <c r="H63" s="48"/>
      <c r="I63" s="70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</row>
    <row r="64" spans="1:28">
      <c r="A64" s="48"/>
      <c r="B64" s="48"/>
      <c r="C64" s="51" t="str">
        <f>B57 &amp; " (in Financial Model for year ending)"</f>
        <v>Gas Revenue Provision (in Financial Model for year ending)</v>
      </c>
      <c r="D64" s="48"/>
      <c r="E64" s="48"/>
      <c r="F64" s="48"/>
      <c r="G64" s="48"/>
      <c r="H64" s="48"/>
      <c r="I64" s="73" t="s">
        <v>391</v>
      </c>
      <c r="J64" s="24"/>
      <c r="K64" s="52" t="s">
        <v>392</v>
      </c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28">
      <c r="A65" s="48"/>
      <c r="B65" s="48"/>
      <c r="C65" s="48"/>
      <c r="D65" s="479">
        <v>46112</v>
      </c>
      <c r="E65" s="330"/>
      <c r="F65" s="330"/>
      <c r="G65" s="330" t="s">
        <v>29</v>
      </c>
      <c r="H65" s="330"/>
      <c r="I65" s="480">
        <v>1</v>
      </c>
      <c r="J65" s="349"/>
      <c r="K65" s="481">
        <f t="shared" ref="K65:K68" si="11">IF(D65 &gt;= I$17, 0, IF(COUNT(U65:AA65) = I65, 0, 1))</f>
        <v>0</v>
      </c>
      <c r="L65" s="349"/>
      <c r="M65" s="482"/>
      <c r="N65" s="482"/>
      <c r="O65" s="482"/>
      <c r="P65" s="482"/>
      <c r="Q65" s="482"/>
      <c r="R65" s="482"/>
      <c r="S65" s="482"/>
      <c r="T65" s="482"/>
      <c r="U65" s="470">
        <v>28.407000000000004</v>
      </c>
      <c r="V65" s="482"/>
      <c r="W65" s="482"/>
      <c r="X65" s="482"/>
      <c r="Y65" s="482"/>
      <c r="Z65" s="482"/>
      <c r="AA65" s="482"/>
      <c r="AB65" s="24"/>
    </row>
    <row r="66" spans="1:28">
      <c r="A66" s="48"/>
      <c r="B66" s="48"/>
      <c r="C66" s="48"/>
      <c r="D66" s="63">
        <v>46477</v>
      </c>
      <c r="E66" s="64"/>
      <c r="F66" s="64"/>
      <c r="G66" s="64" t="s">
        <v>29</v>
      </c>
      <c r="H66" s="64"/>
      <c r="I66" s="483">
        <f t="shared" ref="I66:I70" si="12">I65</f>
        <v>1</v>
      </c>
      <c r="J66" s="65"/>
      <c r="K66" s="409">
        <f t="shared" si="11"/>
        <v>0</v>
      </c>
      <c r="L66" s="65"/>
      <c r="M66" s="62"/>
      <c r="N66" s="62"/>
      <c r="O66" s="62"/>
      <c r="P66" s="62"/>
      <c r="Q66" s="62"/>
      <c r="R66" s="62"/>
      <c r="S66" s="62"/>
      <c r="T66" s="62"/>
      <c r="U66" s="62"/>
      <c r="V66" s="471"/>
      <c r="W66" s="62"/>
      <c r="X66" s="62"/>
      <c r="Y66" s="62"/>
      <c r="Z66" s="62"/>
      <c r="AA66" s="62"/>
      <c r="AB66" s="24"/>
    </row>
    <row r="67" spans="1:28">
      <c r="A67" s="48"/>
      <c r="B67" s="48"/>
      <c r="C67" s="48"/>
      <c r="D67" s="63">
        <v>46843</v>
      </c>
      <c r="E67" s="64"/>
      <c r="F67" s="64"/>
      <c r="G67" s="64" t="s">
        <v>29</v>
      </c>
      <c r="H67" s="64"/>
      <c r="I67" s="483">
        <f t="shared" si="12"/>
        <v>1</v>
      </c>
      <c r="J67" s="65"/>
      <c r="K67" s="409">
        <f t="shared" si="11"/>
        <v>0</v>
      </c>
      <c r="L67" s="65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471"/>
      <c r="X67" s="62"/>
      <c r="Y67" s="62"/>
      <c r="Z67" s="62"/>
      <c r="AA67" s="62"/>
      <c r="AB67" s="24"/>
    </row>
    <row r="68" spans="1:28">
      <c r="A68" s="48"/>
      <c r="B68" s="48"/>
      <c r="C68" s="48"/>
      <c r="D68" s="63">
        <v>47208</v>
      </c>
      <c r="E68" s="64"/>
      <c r="F68" s="64"/>
      <c r="G68" s="64" t="s">
        <v>29</v>
      </c>
      <c r="H68" s="64"/>
      <c r="I68" s="483">
        <f t="shared" si="12"/>
        <v>1</v>
      </c>
      <c r="J68" s="65"/>
      <c r="K68" s="409">
        <f t="shared" si="11"/>
        <v>0</v>
      </c>
      <c r="L68" s="65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471"/>
      <c r="Y68" s="62"/>
      <c r="Z68" s="62"/>
      <c r="AA68" s="62"/>
      <c r="AB68" s="24"/>
    </row>
    <row r="69" spans="1:28">
      <c r="A69" s="48"/>
      <c r="B69" s="48"/>
      <c r="C69" s="48"/>
      <c r="D69" s="63">
        <v>47573</v>
      </c>
      <c r="E69" s="64"/>
      <c r="F69" s="64"/>
      <c r="G69" s="64" t="s">
        <v>29</v>
      </c>
      <c r="H69" s="64"/>
      <c r="I69" s="409">
        <f t="shared" si="12"/>
        <v>1</v>
      </c>
      <c r="J69" s="65"/>
      <c r="K69" s="409">
        <f>IF(D69 &gt;= I$17, 0, IF(COUNT(U69:AA69) = I69, 0, 1))</f>
        <v>0</v>
      </c>
      <c r="L69" s="65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471"/>
      <c r="Z69" s="62"/>
      <c r="AA69" s="62"/>
      <c r="AB69" s="24"/>
    </row>
    <row r="70" spans="1:28">
      <c r="A70" s="48"/>
      <c r="B70" s="48"/>
      <c r="C70" s="48"/>
      <c r="D70" s="66">
        <v>47938</v>
      </c>
      <c r="E70" s="67"/>
      <c r="F70" s="67"/>
      <c r="G70" s="67" t="s">
        <v>29</v>
      </c>
      <c r="H70" s="67"/>
      <c r="I70" s="484">
        <f t="shared" si="12"/>
        <v>1</v>
      </c>
      <c r="J70" s="68"/>
      <c r="K70" s="484">
        <f t="shared" ref="K70" si="13">IF(D70 &gt;= I$17, 0, IF(COUNT(U70:AA70) = I70, 0, 1))</f>
        <v>0</v>
      </c>
      <c r="L70" s="68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472"/>
      <c r="AA70" s="69"/>
      <c r="AB70" s="24"/>
    </row>
    <row r="71" spans="1:28">
      <c r="A71" s="48"/>
      <c r="B71" s="48"/>
      <c r="C71" s="48"/>
      <c r="D71" s="48"/>
      <c r="E71" s="48"/>
      <c r="F71" s="48"/>
      <c r="G71" s="48"/>
      <c r="H71" s="48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</row>
    <row r="72" spans="1:28">
      <c r="A72" s="48"/>
      <c r="B72" s="48"/>
      <c r="C72" s="48" t="str">
        <f>B57 &amp;" (as published for corresponding year t)"</f>
        <v>Gas Revenue Provision (as published for corresponding year t)</v>
      </c>
      <c r="D72" s="48"/>
      <c r="E72" s="48"/>
      <c r="F72" s="48" t="s">
        <v>419</v>
      </c>
      <c r="G72" s="64" t="s">
        <v>29</v>
      </c>
      <c r="H72" s="48"/>
      <c r="I72" s="24"/>
      <c r="J72" s="24"/>
      <c r="K72" s="24"/>
      <c r="L72" s="24"/>
      <c r="M72" s="62"/>
      <c r="N72" s="62"/>
      <c r="O72" s="62"/>
      <c r="P72" s="62"/>
      <c r="Q72" s="62"/>
      <c r="R72" s="62"/>
      <c r="S72" s="62"/>
      <c r="T72" s="62"/>
      <c r="U72" s="485">
        <f>SUM(U65:U70)</f>
        <v>28.407000000000004</v>
      </c>
      <c r="V72" s="485">
        <f t="shared" ref="V72:Z72" si="14">SUM(V65:V70)</f>
        <v>0</v>
      </c>
      <c r="W72" s="485">
        <f t="shared" si="14"/>
        <v>0</v>
      </c>
      <c r="X72" s="485">
        <f t="shared" si="14"/>
        <v>0</v>
      </c>
      <c r="Y72" s="485">
        <f t="shared" si="14"/>
        <v>0</v>
      </c>
      <c r="Z72" s="485">
        <f t="shared" si="14"/>
        <v>0</v>
      </c>
      <c r="AA72" s="62"/>
      <c r="AB72" s="24"/>
    </row>
    <row r="73" spans="1:28">
      <c r="A73" s="48"/>
      <c r="B73" s="48"/>
      <c r="C73" s="48"/>
      <c r="D73" s="48"/>
      <c r="E73" s="48"/>
      <c r="F73" s="48"/>
      <c r="G73" s="48"/>
      <c r="H73" s="48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72"/>
      <c r="V73" s="72"/>
      <c r="W73" s="72"/>
      <c r="X73" s="72"/>
      <c r="Y73" s="72"/>
      <c r="Z73" s="72"/>
      <c r="AA73" s="72"/>
      <c r="AB73" s="24"/>
    </row>
    <row r="74" spans="1:28">
      <c r="A74" s="48"/>
      <c r="B74" s="48"/>
      <c r="C74" s="48" t="s">
        <v>394</v>
      </c>
      <c r="D74" s="48"/>
      <c r="E74" s="48"/>
      <c r="F74" s="48"/>
      <c r="G74" s="71" t="s">
        <v>151</v>
      </c>
      <c r="H74" s="48"/>
      <c r="I74" s="24"/>
      <c r="J74" s="24"/>
      <c r="K74" s="409">
        <f>SUM(U74:AA74)</f>
        <v>0</v>
      </c>
      <c r="L74" s="24"/>
      <c r="M74" s="62"/>
      <c r="N74" s="62"/>
      <c r="O74" s="62"/>
      <c r="P74" s="62"/>
      <c r="Q74" s="62"/>
      <c r="R74" s="62"/>
      <c r="S74" s="62"/>
      <c r="T74" s="62"/>
      <c r="U74" s="409">
        <f t="shared" ref="U74:AA74" si="15">IF(COUNTBLANK(U65:U70) &gt;= 5, 0, 1)</f>
        <v>0</v>
      </c>
      <c r="V74" s="409">
        <f t="shared" si="15"/>
        <v>0</v>
      </c>
      <c r="W74" s="409">
        <f t="shared" si="15"/>
        <v>0</v>
      </c>
      <c r="X74" s="409">
        <f t="shared" si="15"/>
        <v>0</v>
      </c>
      <c r="Y74" s="409">
        <f t="shared" si="15"/>
        <v>0</v>
      </c>
      <c r="Z74" s="409">
        <f t="shared" si="15"/>
        <v>0</v>
      </c>
      <c r="AA74" s="409">
        <f t="shared" si="15"/>
        <v>0</v>
      </c>
      <c r="AB74" s="24"/>
    </row>
    <row r="75" spans="1:28">
      <c r="A75" s="48"/>
      <c r="B75" s="48"/>
      <c r="C75" s="48"/>
      <c r="D75" s="48"/>
      <c r="E75" s="48"/>
      <c r="F75" s="48"/>
      <c r="G75" s="48"/>
      <c r="H75" s="48"/>
      <c r="I75" s="70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</row>
    <row r="76" spans="1:28" ht="18">
      <c r="A76" s="74" t="s">
        <v>13</v>
      </c>
      <c r="B76" s="74" t="s">
        <v>5</v>
      </c>
      <c r="C76" s="433"/>
      <c r="D76" s="433"/>
      <c r="E76" s="433"/>
      <c r="F76" s="433"/>
      <c r="G76" s="433"/>
      <c r="H76" s="433"/>
      <c r="I76" s="434"/>
      <c r="J76" s="434"/>
      <c r="K76" s="434"/>
      <c r="L76" s="434"/>
      <c r="M76" s="434"/>
      <c r="N76" s="434"/>
      <c r="O76" s="434"/>
      <c r="P76" s="434"/>
      <c r="Q76" s="434"/>
      <c r="R76" s="434"/>
      <c r="S76" s="434"/>
      <c r="T76" s="434"/>
      <c r="U76" s="434"/>
      <c r="V76" s="434"/>
      <c r="W76" s="434"/>
      <c r="X76" s="434"/>
      <c r="Y76" s="434"/>
      <c r="Z76" s="434"/>
      <c r="AA76" s="434"/>
      <c r="AB76" s="434"/>
    </row>
    <row r="77" spans="1:28">
      <c r="A77" s="48"/>
      <c r="B77" s="48"/>
      <c r="C77" s="48"/>
      <c r="D77" s="48"/>
      <c r="E77" s="48"/>
      <c r="F77" s="48"/>
      <c r="G77" s="48"/>
      <c r="H77" s="48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</row>
    <row r="78" spans="1:28">
      <c r="A78" s="48"/>
      <c r="B78" s="48"/>
      <c r="C78" s="48" t="s">
        <v>150</v>
      </c>
      <c r="D78" s="48"/>
      <c r="E78" s="48"/>
      <c r="F78" s="48"/>
      <c r="G78" s="48" t="s">
        <v>151</v>
      </c>
      <c r="H78" s="48"/>
      <c r="I78" s="24"/>
      <c r="J78" s="24"/>
      <c r="K78" s="438">
        <f>SUM(K4:K77)</f>
        <v>0</v>
      </c>
      <c r="L78" s="24"/>
      <c r="M78" s="24"/>
      <c r="N78" s="24"/>
      <c r="O78" s="24"/>
      <c r="P78" s="24"/>
      <c r="Q78" s="24"/>
      <c r="R78" s="24"/>
      <c r="S78" s="24"/>
      <c r="T78" s="72"/>
      <c r="U78" s="72"/>
      <c r="V78" s="72"/>
      <c r="W78" s="72"/>
      <c r="X78" s="72"/>
      <c r="Y78" s="72"/>
      <c r="Z78" s="72"/>
      <c r="AA78" s="72"/>
      <c r="AB78" s="24"/>
    </row>
    <row r="79" spans="1:28">
      <c r="A79" s="48"/>
      <c r="B79" s="48"/>
      <c r="C79" s="48"/>
      <c r="D79" s="48"/>
      <c r="E79" s="48"/>
      <c r="F79" s="48"/>
      <c r="G79" s="48"/>
      <c r="H79" s="48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72"/>
      <c r="U79" s="72"/>
      <c r="V79" s="72"/>
      <c r="W79" s="72"/>
      <c r="X79" s="72"/>
      <c r="Y79" s="72"/>
      <c r="Z79" s="72"/>
      <c r="AA79" s="72"/>
      <c r="AB79" s="24"/>
    </row>
    <row r="80" spans="1:28" ht="18">
      <c r="A80" s="74" t="s">
        <v>13</v>
      </c>
      <c r="B80" s="74" t="s">
        <v>152</v>
      </c>
      <c r="C80" s="433"/>
      <c r="D80" s="433"/>
      <c r="E80" s="433"/>
      <c r="F80" s="433"/>
      <c r="G80" s="433"/>
      <c r="H80" s="433"/>
      <c r="I80" s="434"/>
      <c r="J80" s="434"/>
      <c r="K80" s="434"/>
      <c r="L80" s="434"/>
      <c r="M80" s="434"/>
      <c r="N80" s="434"/>
      <c r="O80" s="434"/>
      <c r="P80" s="434"/>
      <c r="Q80" s="434"/>
      <c r="R80" s="434"/>
      <c r="S80" s="434"/>
      <c r="T80" s="434"/>
      <c r="U80" s="434"/>
      <c r="V80" s="434"/>
      <c r="W80" s="434"/>
      <c r="X80" s="434"/>
      <c r="Y80" s="434"/>
      <c r="Z80" s="434"/>
      <c r="AA80" s="434"/>
      <c r="AB80" s="434"/>
    </row>
  </sheetData>
  <pageMargins left="0.7" right="0.7" top="0.75" bottom="0.75" header="0.3" footer="0.3"/>
  <pageSetup paperSize="9" orientation="portrait" horizontalDpi="4294967292" r:id="rId1"/>
  <headerFooter>
    <oddHeader>&amp;L&amp;"Poppins"&amp;12&amp;KFF00FF Public&amp;1#_x000D_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672A30-89FA-4F64-8411-7923B596D704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F497D6EB-223E-4D1B-9F5D-5E67035B00ED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A8:AB8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I J k B W f Y S c a i m A A A A 9 g A A A B I A H A B D b 2 5 m a W c v U G F j a 2 F n Z S 5 4 b W w g o h g A K K A U A A A A A A A A A A A A A A A A A A A A A A A A A A A A h Y 8 x D o I w G I W v Q r r T l h K j I T 8 l 0 c F F E h M T 4 9 q U C o 1 Q D C 2 W u z l 4 J K 8 g R l E 3 x / e 9 b 3 j v f r 1 B N j R 1 c F G d 1 a 1 J U Y Q p C p S R b a F N m a L e H c M F y j h s h T y J U g W j b G w y 2 C J F l X P n h B D v P f Y x b r u S M E o j c s g 3 O 1 m p R q C P r P / L o T b W C S M V 4 r B / j e E M R z H F M z b H F M g E I d f m K 7 B x 7 7 P 9 g b D q a 9 d 3 i i s T r p d A p g j k / Y E / A F B L A w Q U A A I A C A A g m Q F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J k B W S i K R 7 g O A A A A E Q A A A B M A H A B G b 3 J t d W x h c y 9 T Z W N 0 a W 9 u M S 5 t I K I Y A C i g F A A A A A A A A A A A A A A A A A A A A A A A A A A A A C t O T S 7 J z M 9 T C I b Q h t Y A U E s B A i 0 A F A A C A A g A I J k B W f Y S c a i m A A A A 9 g A A A B I A A A A A A A A A A A A A A A A A A A A A A E N v b m Z p Z y 9 Q Y W N r Y W d l L n h t b F B L A Q I t A B Q A A g A I A C C Z A V k P y u m r p A A A A O k A A A A T A A A A A A A A A A A A A A A A A P I A A A B b Q 2 9 u d G V u d F 9 U e X B l c 1 0 u e G 1 s U E s B A i 0 A F A A C A A g A I J k B W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x 7 M H g r p / F F n 4 j 5 K P r R j v w A A A A A A g A A A A A A E G Y A A A A B A A A g A A A A e H 6 M W s 0 g Z 8 5 M e H i 0 C E G s / P t U l 2 Q K u 3 q a U L t w 6 m 2 5 M r 4 A A A A A D o A A A A A C A A A g A A A A u U P X w B c r v Z j V Q h H I s G h n y k Z Y x O Y Y w O g d C X J V 4 J 1 u Q v F Q A A A A g + c 4 r y m 5 w N h C j M p X X k Q s Y y S h Q E O p + p B E f W K n g 7 y R R T e p e i g F X 0 F s O o R z X 0 W + + f u H O j h V d F T D i X 8 S E 0 l p d r L G m / 8 k / U 7 j L 9 O V c Z 5 B H 6 R 2 R y 1 A A A A A D v K q U a b 6 f r t z a a 6 5 Y 1 4 k Y c 3 n i a N n D d B 1 f 8 j B h + Y v 5 s Q g U F X 8 c b B C n 2 o L t 1 v / z J w b 5 V 2 G 3 V K i r X x H t s / y N T I j x A = = < / D a t a M a s h u p > 
</file>

<file path=customXml/item2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userSelected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2b186592-6fc7-4da6-a108-5245382356be" xsi:nil="true"/>
    <lcf76f155ced4ddcb4097134ff3c332f xmlns="2b186592-6fc7-4da6-a108-5245382356be" xsi:nil="true"/>
    <_Flow_SignoffStatus xmlns="2b186592-6fc7-4da6-a108-5245382356be" xsi:nil="true"/>
    <DateandTime xmlns="2b186592-6fc7-4da6-a108-5245382356be" xsi:nil="true"/>
    <TaxCatchAll xmlns="35ebc48a-dc9e-45bc-8496-b347132bae57" xsi:nil="true"/>
    <lcf76f155ced4ddcb4097134ff3c332f xmlns="63cc5491-11d0-42b6-aa67-deea8f49087f">
      <Terms xmlns="http://schemas.microsoft.com/office/infopath/2007/PartnerControls"/>
    </lcf76f155ced4ddcb4097134ff3c332f>
    <Directorate xmlns="63cc5491-11d0-42b6-aa67-deea8f49087f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46F44E5CB4144B14721DA3AAC8360" ma:contentTypeVersion="6" ma:contentTypeDescription="Create a new document." ma:contentTypeScope="" ma:versionID="42a27c459229ea484aae4d5850f6fbd5">
  <xsd:schema xmlns:xsd="http://www.w3.org/2001/XMLSchema" xmlns:xs="http://www.w3.org/2001/XMLSchema" xmlns:p="http://schemas.microsoft.com/office/2006/metadata/properties" xmlns:ns2="2b186592-6fc7-4da6-a108-5245382356be" xmlns:ns3="9e170047-b809-40ad-9dba-75e0aa00433d" xmlns:ns4="63cc5491-11d0-42b6-aa67-deea8f49087f" xmlns:ns5="35ebc48a-dc9e-45bc-8496-b347132bae57" targetNamespace="http://schemas.microsoft.com/office/2006/metadata/properties" ma:root="true" ma:fieldsID="4c7ff1785c7c715d4799018fcc04e64d" ns2:_="" ns3:_="" ns4:_="" ns5:_="">
    <xsd:import namespace="2b186592-6fc7-4da6-a108-5245382356be"/>
    <xsd:import namespace="9e170047-b809-40ad-9dba-75e0aa00433d"/>
    <xsd:import namespace="63cc5491-11d0-42b6-aa67-deea8f49087f"/>
    <xsd:import namespace="35ebc48a-dc9e-45bc-8496-b347132ba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DateandTime" minOccurs="0"/>
                <xsd:element ref="ns2:MediaServiceBillingMetadata" minOccurs="0"/>
                <xsd:element ref="ns4:lcf76f155ced4ddcb4097134ff3c332f" minOccurs="0"/>
                <xsd:element ref="ns5:TaxCatchAll" minOccurs="0"/>
                <xsd:element ref="ns4:Director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86592-6fc7-4da6-a108-5245382356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2" nillable="true" ma:displayName="Image Tags_0" ma:hidden="true" ma:internalName="lcf76f155ced4ddcb4097134ff3c332f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andTime" ma:index="25" nillable="true" ma:displayName="Date and Time" ma:format="DateOnly" ma:internalName="DateandTime">
      <xsd:simpleType>
        <xsd:restriction base="dms:DateTim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170047-b809-40ad-9dba-75e0aa00433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c5491-11d0-42b6-aa67-deea8f49087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8" nillable="true" ma:taxonomy="true" ma:internalName="lcf76f155ced4ddcb4097134ff3c332f0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irectorate" ma:index="30" nillable="true" ma:displayName="Directorate" ma:format="Dropdown" ma:internalName="Director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bc48a-dc9e-45bc-8496-b347132bae57" elementFormDefault="qualified">
    <xsd:import namespace="http://schemas.microsoft.com/office/2006/documentManagement/types"/>
    <xsd:import namespace="http://schemas.microsoft.com/office/infopath/2007/PartnerControls"/>
    <xsd:element name="TaxCatchAll" ma:index="29" nillable="true" ma:displayName="Taxonomy Catch All Column" ma:hidden="true" ma:list="{2725eebf-4af8-429b-8c35-c7a97a793a38}" ma:internalName="TaxCatchAll" ma:showField="CatchAllData" ma:web="35ebc48a-dc9e-45bc-8496-b347132ba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B15CC9-5DB7-48B8-A8EF-88D47316077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DB3499B-2976-4276-BC91-1E8A6E0D68B0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05358B48-A2F0-4D64-B29D-FC9EF948B91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D4F2015-57F8-42BB-8267-48BE54E8D661}">
  <ds:schemaRefs>
    <ds:schemaRef ds:uri="http://schemas.openxmlformats.org/package/2006/metadata/core-properties"/>
    <ds:schemaRef ds:uri="9e170047-b809-40ad-9dba-75e0aa00433d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35ebc48a-dc9e-45bc-8496-b347132bae57"/>
    <ds:schemaRef ds:uri="http://schemas.microsoft.com/office/infopath/2007/PartnerControls"/>
    <ds:schemaRef ds:uri="63cc5491-11d0-42b6-aa67-deea8f49087f"/>
    <ds:schemaRef ds:uri="2b186592-6fc7-4da6-a108-5245382356b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09F43D51-D77F-4253-8103-BDBE698F58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186592-6fc7-4da6-a108-5245382356be"/>
    <ds:schemaRef ds:uri="9e170047-b809-40ad-9dba-75e0aa00433d"/>
    <ds:schemaRef ds:uri="63cc5491-11d0-42b6-aa67-deea8f49087f"/>
    <ds:schemaRef ds:uri="35ebc48a-dc9e-45bc-8496-b347132ba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3c9e9e-b4db-442a-a94f-08718d788e8c}" enabled="0" method="" siteId="{a63c9e9e-b4db-442a-a94f-08718d788e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Front Sheet</vt:lpstr>
      <vt:lpstr>Inputs</vt:lpstr>
      <vt:lpstr>Indexation</vt:lpstr>
      <vt:lpstr>RAV</vt:lpstr>
      <vt:lpstr>Tax</vt:lpstr>
      <vt:lpstr>Elec</vt:lpstr>
      <vt:lpstr>Gas</vt:lpstr>
      <vt:lpstr>Live results</vt:lpstr>
      <vt:lpstr>Saved results</vt:lpstr>
      <vt:lpstr>Control</vt:lpstr>
      <vt:lpstr>Change log</vt:lpstr>
      <vt:lpstr>Check</vt:lpstr>
      <vt:lpstr>Model_Status</vt:lpstr>
      <vt:lpstr>Project_Name</vt:lpstr>
      <vt:lpstr>Publication_Date</vt:lpstr>
      <vt:lpstr>Tolerance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NESO FM 2024</dc:title>
  <dc:subject/>
  <dc:creator>NicoleFitzgerald</dc:creator>
  <cp:keywords/>
  <dc:description/>
  <cp:lastModifiedBy>Craig Bell</cp:lastModifiedBy>
  <cp:revision/>
  <dcterms:created xsi:type="dcterms:W3CDTF">2014-03-19T18:03:50Z</dcterms:created>
  <dcterms:modified xsi:type="dcterms:W3CDTF">2026-08-03T10:44:33Z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arison_Front Sheet2RowInsertions29">
    <vt:lpwstr/>
  </property>
  <property fmtid="{D5CDD505-2E9C-101B-9397-08002B2CF9AE}" pid="3" name="Comparison_Front Sheet2ColumnInsertions30">
    <vt:lpwstr/>
  </property>
  <property fmtid="{D5CDD505-2E9C-101B-9397-08002B2CF9AE}" pid="4" name="Comparison_Issues3RowInsertions31">
    <vt:lpwstr/>
  </property>
  <property fmtid="{D5CDD505-2E9C-101B-9397-08002B2CF9AE}" pid="5" name="Comparison_Issues3ColumnInsertions32">
    <vt:lpwstr/>
  </property>
  <property fmtid="{D5CDD505-2E9C-101B-9397-08002B2CF9AE}" pid="6" name="Comparison_Ph1 Summary7RowInsertions39">
    <vt:lpwstr/>
  </property>
  <property fmtid="{D5CDD505-2E9C-101B-9397-08002B2CF9AE}" pid="7" name="Comparison_Ph1 Summary7ColumnInsertions40">
    <vt:lpwstr/>
  </property>
  <property fmtid="{D5CDD505-2E9C-101B-9397-08002B2CF9AE}" pid="8" name="Comparison_Ph1 Calcs8RowInsertions41">
    <vt:lpwstr/>
  </property>
  <property fmtid="{D5CDD505-2E9C-101B-9397-08002B2CF9AE}" pid="9" name="Comparison_Ph1 Calcs8ColumnInsertions42">
    <vt:lpwstr/>
  </property>
  <property fmtid="{D5CDD505-2E9C-101B-9397-08002B2CF9AE}" pid="10" name="Comparison_General InputsOLD9RowInsertions43">
    <vt:lpwstr/>
  </property>
  <property fmtid="{D5CDD505-2E9C-101B-9397-08002B2CF9AE}" pid="11" name="Comparison_General InputsOLD9ColumnInsertions44">
    <vt:lpwstr/>
  </property>
  <property fmtid="{D5CDD505-2E9C-101B-9397-08002B2CF9AE}" pid="12" name="Comparison_Timing CalcsOLD10RowInsertions45">
    <vt:lpwstr/>
  </property>
  <property fmtid="{D5CDD505-2E9C-101B-9397-08002B2CF9AE}" pid="13" name="Comparison_Timing CalcsOLD10ColumnInsertions46">
    <vt:lpwstr/>
  </property>
  <property fmtid="{D5CDD505-2E9C-101B-9397-08002B2CF9AE}" pid="14" name="Comparison_Ph1 Calcs DELETE11RowInsertions47">
    <vt:lpwstr/>
  </property>
  <property fmtid="{D5CDD505-2E9C-101B-9397-08002B2CF9AE}" pid="15" name="Comparison_Ph1 Calcs DELETE11ColumnInsertions48">
    <vt:lpwstr/>
  </property>
  <property fmtid="{D5CDD505-2E9C-101B-9397-08002B2CF9AE}" pid="16" name="Comparison_Price Tracker12RowInsertions49">
    <vt:lpwstr/>
  </property>
  <property fmtid="{D5CDD505-2E9C-101B-9397-08002B2CF9AE}" pid="17" name="Comparison_Price Tracker12ColumnInsertions50">
    <vt:lpwstr/>
  </property>
  <property fmtid="{D5CDD505-2E9C-101B-9397-08002B2CF9AE}" pid="18" name="Comparison_Control13RowInsertions51">
    <vt:lpwstr/>
  </property>
  <property fmtid="{D5CDD505-2E9C-101B-9397-08002B2CF9AE}" pid="19" name="Comparison_Control13ColumnInsertions52">
    <vt:lpwstr/>
  </property>
  <property fmtid="{D5CDD505-2E9C-101B-9397-08002B2CF9AE}" pid="20" name="Comparison_Changes to Make1RowInsertions23">
    <vt:lpwstr/>
  </property>
  <property fmtid="{D5CDD505-2E9C-101B-9397-08002B2CF9AE}" pid="21" name="Comparison_Changes to Make1ColumnInsertions24">
    <vt:lpwstr/>
  </property>
  <property fmtid="{D5CDD505-2E9C-101B-9397-08002B2CF9AE}" pid="22" name="Comparison_Issues2RowInsertions25">
    <vt:lpwstr/>
  </property>
  <property fmtid="{D5CDD505-2E9C-101B-9397-08002B2CF9AE}" pid="23" name="Comparison_Issues2ColumnInsertions26">
    <vt:lpwstr/>
  </property>
  <property fmtid="{D5CDD505-2E9C-101B-9397-08002B2CF9AE}" pid="24" name="Comparison_Front Sheet3RowInsertions27">
    <vt:lpwstr/>
  </property>
  <property fmtid="{D5CDD505-2E9C-101B-9397-08002B2CF9AE}" pid="25" name="Comparison_Front Sheet3ColumnInsertions28">
    <vt:lpwstr/>
  </property>
  <property fmtid="{D5CDD505-2E9C-101B-9397-08002B2CF9AE}" pid="26" name="Comparison_General Inputs4RowInsertions29">
    <vt:lpwstr/>
  </property>
  <property fmtid="{D5CDD505-2E9C-101B-9397-08002B2CF9AE}" pid="27" name="Comparison_General Inputs4ColumnInsertions30">
    <vt:lpwstr/>
  </property>
  <property fmtid="{D5CDD505-2E9C-101B-9397-08002B2CF9AE}" pid="28" name="Comparison_Timing Calcs5RowInsertions31">
    <vt:lpwstr/>
  </property>
  <property fmtid="{D5CDD505-2E9C-101B-9397-08002B2CF9AE}" pid="29" name="Comparison_Timing Calcs5ColumnInsertions32">
    <vt:lpwstr/>
  </property>
  <property fmtid="{D5CDD505-2E9C-101B-9397-08002B2CF9AE}" pid="30" name="Comparison_Ph1 Calcs7RowInsertions35">
    <vt:lpwstr/>
  </property>
  <property fmtid="{D5CDD505-2E9C-101B-9397-08002B2CF9AE}" pid="31" name="Comparison_Ph1 Calcs7ColumnInsertions36">
    <vt:lpwstr/>
  </property>
  <property fmtid="{D5CDD505-2E9C-101B-9397-08002B2CF9AE}" pid="32" name="Comparison_Ph1 Summary8RowInsertions37">
    <vt:lpwstr/>
  </property>
  <property fmtid="{D5CDD505-2E9C-101B-9397-08002B2CF9AE}" pid="33" name="Comparison_Ph1 Summary8ColumnInsertions38">
    <vt:lpwstr/>
  </property>
  <property fmtid="{D5CDD505-2E9C-101B-9397-08002B2CF9AE}" pid="34" name="Comparison_Con Summary9RowInsertions39">
    <vt:lpwstr/>
  </property>
  <property fmtid="{D5CDD505-2E9C-101B-9397-08002B2CF9AE}" pid="35" name="Comparison_Con Summary9ColumnInsertions40">
    <vt:lpwstr/>
  </property>
  <property fmtid="{D5CDD505-2E9C-101B-9397-08002B2CF9AE}" pid="36" name="Comparison_Price Tracker10RowInsertions41">
    <vt:lpwstr/>
  </property>
  <property fmtid="{D5CDD505-2E9C-101B-9397-08002B2CF9AE}" pid="37" name="Comparison_Price Tracker10ColumnInsertions42">
    <vt:lpwstr/>
  </property>
  <property fmtid="{D5CDD505-2E9C-101B-9397-08002B2CF9AE}" pid="38" name="Comparison_Control11RowInsertions43">
    <vt:lpwstr/>
  </property>
  <property fmtid="{D5CDD505-2E9C-101B-9397-08002B2CF9AE}" pid="39" name="Comparison_Control11ColumnInsertions44">
    <vt:lpwstr/>
  </property>
  <property fmtid="{D5CDD505-2E9C-101B-9397-08002B2CF9AE}" pid="40" name="ContentTypeId">
    <vt:lpwstr>0x010100B4C46F44E5CB4144B14721DA3AAC8360</vt:lpwstr>
  </property>
  <property fmtid="{D5CDD505-2E9C-101B-9397-08002B2CF9AE}" pid="41" name="Comparison_Ph1 Inputs6RowInsertions1">
    <vt:lpwstr/>
  </property>
  <property fmtid="{D5CDD505-2E9C-101B-9397-08002B2CF9AE}" pid="42" name="Comparison_Ph1 Inputs6ColumnInsertions2">
    <vt:lpwstr/>
  </property>
  <property fmtid="{D5CDD505-2E9C-101B-9397-08002B2CF9AE}" pid="43" name="Comparison_Ph2 Inputs10RowInsertions3">
    <vt:lpwstr/>
  </property>
  <property fmtid="{D5CDD505-2E9C-101B-9397-08002B2CF9AE}" pid="44" name="Comparison_Ph2 Inputs10ColumnInsertions4">
    <vt:lpwstr/>
  </property>
  <property fmtid="{D5CDD505-2E9C-101B-9397-08002B2CF9AE}" pid="45" name="Comparison_Ph3 Inputs14RowInsertions5">
    <vt:lpwstr/>
  </property>
  <property fmtid="{D5CDD505-2E9C-101B-9397-08002B2CF9AE}" pid="46" name="Comparison_Ph3 Inputs14ColumnInsertions6">
    <vt:lpwstr/>
  </property>
  <property fmtid="{D5CDD505-2E9C-101B-9397-08002B2CF9AE}" pid="47" name="Comparison_Ph4 Inputs18RowInsertions7">
    <vt:lpwstr/>
  </property>
  <property fmtid="{D5CDD505-2E9C-101B-9397-08002B2CF9AE}" pid="48" name="Comparison_Ph4 Inputs18ColumnInsertions8">
    <vt:lpwstr/>
  </property>
  <property fmtid="{D5CDD505-2E9C-101B-9397-08002B2CF9AE}" pid="49" name="Comparison_Ph5 Inputs22RowInsertions9">
    <vt:lpwstr/>
  </property>
  <property fmtid="{D5CDD505-2E9C-101B-9397-08002B2CF9AE}" pid="50" name="Comparison_Ph5 Inputs22ColumnInsertions10">
    <vt:lpwstr/>
  </property>
  <property fmtid="{D5CDD505-2E9C-101B-9397-08002B2CF9AE}" pid="51" name="Comparison_Ph6 Inputs26RowInsertions11">
    <vt:lpwstr/>
  </property>
  <property fmtid="{D5CDD505-2E9C-101B-9397-08002B2CF9AE}" pid="52" name="Comparison_Ph6 Inputs26ColumnInsertions12">
    <vt:lpwstr/>
  </property>
  <property fmtid="{D5CDD505-2E9C-101B-9397-08002B2CF9AE}" pid="53" name="MediaServiceImageTags">
    <vt:lpwstr/>
  </property>
  <property fmtid="{D5CDD505-2E9C-101B-9397-08002B2CF9AE}" pid="54" name="ComplianceAssetId">
    <vt:lpwstr/>
  </property>
  <property fmtid="{D5CDD505-2E9C-101B-9397-08002B2CF9AE}" pid="55" name="_ExtendedDescription">
    <vt:lpwstr/>
  </property>
  <property fmtid="{D5CDD505-2E9C-101B-9397-08002B2CF9AE}" pid="56" name="TriggerFlowInfo">
    <vt:lpwstr/>
  </property>
  <property fmtid="{D5CDD505-2E9C-101B-9397-08002B2CF9AE}" pid="57" name="MSIP_Label_38144ccb-b10a-4c0f-b070-7a3b00ac7463_Enabled">
    <vt:lpwstr>true</vt:lpwstr>
  </property>
  <property fmtid="{D5CDD505-2E9C-101B-9397-08002B2CF9AE}" pid="58" name="bjSaver">
    <vt:lpwstr>0V1Hccke51IRBRfy9/SLBNrlwQ03GlA5</vt:lpwstr>
  </property>
  <property fmtid="{D5CDD505-2E9C-101B-9397-08002B2CF9AE}" pid="59" name="docIndexRef">
    <vt:lpwstr>f10310fc-62f4-458b-817a-f6b1a263f49d</vt:lpwstr>
  </property>
  <property fmtid="{D5CDD505-2E9C-101B-9397-08002B2CF9AE}" pid="60" name="MSIP_Label_38144ccb-b10a-4c0f-b070-7a3b00ac7463_ContentBits">
    <vt:lpwstr>2</vt:lpwstr>
  </property>
  <property fmtid="{D5CDD505-2E9C-101B-9397-08002B2CF9AE}" pid="61" name="MSIP_Label_38144ccb-b10a-4c0f-b070-7a3b00ac7463_Name">
    <vt:lpwstr>InternalOnly</vt:lpwstr>
  </property>
  <property fmtid="{D5CDD505-2E9C-101B-9397-08002B2CF9AE}" pid="62" name="MSIP_Label_38144ccb-b10a-4c0f-b070-7a3b00ac7463_SetDate">
    <vt:lpwstr>2024-08-28T07:29:04Z</vt:lpwstr>
  </property>
  <property fmtid="{D5CDD505-2E9C-101B-9397-08002B2CF9AE}" pid="63" name="bjDocumentSecurityLabel">
    <vt:lpwstr>This item has no classification</vt:lpwstr>
  </property>
  <property fmtid="{D5CDD505-2E9C-101B-9397-08002B2CF9AE}" pid="64" name="bjClsUserRVM">
    <vt:lpwstr>[]</vt:lpwstr>
  </property>
  <property fmtid="{D5CDD505-2E9C-101B-9397-08002B2CF9AE}" pid="65" name="MSIP_Label_38144ccb-b10a-4c0f-b070-7a3b00ac7463_ActionId">
    <vt:lpwstr>6024cc5f-39b0-48e8-82e3-ecc184d9fbd0</vt:lpwstr>
  </property>
  <property fmtid="{D5CDD505-2E9C-101B-9397-08002B2CF9AE}" pid="66" name="MSIP_Label_38144ccb-b10a-4c0f-b070-7a3b00ac7463_Method">
    <vt:lpwstr>Standard</vt:lpwstr>
  </property>
  <property fmtid="{D5CDD505-2E9C-101B-9397-08002B2CF9AE}" pid="67" name="MSIP_Label_38144ccb-b10a-4c0f-b070-7a3b00ac7463_SiteId">
    <vt:lpwstr>185562ad-39bc-4840-8e40-be6216340c52</vt:lpwstr>
  </property>
  <property fmtid="{D5CDD505-2E9C-101B-9397-08002B2CF9AE}" pid="68" name="MSIP_Label_46b973ef-eb54-4209-9a1a-47743cb8bf58_Enabled">
    <vt:lpwstr>true</vt:lpwstr>
  </property>
  <property fmtid="{D5CDD505-2E9C-101B-9397-08002B2CF9AE}" pid="69" name="MSIP_Label_46b973ef-eb54-4209-9a1a-47743cb8bf58_SetDate">
    <vt:lpwstr>2026-08-03T10:40:57Z</vt:lpwstr>
  </property>
  <property fmtid="{D5CDD505-2E9C-101B-9397-08002B2CF9AE}" pid="70" name="MSIP_Label_46b973ef-eb54-4209-9a1a-47743cb8bf58_Method">
    <vt:lpwstr>Privileged</vt:lpwstr>
  </property>
  <property fmtid="{D5CDD505-2E9C-101B-9397-08002B2CF9AE}" pid="71" name="MSIP_Label_46b973ef-eb54-4209-9a1a-47743cb8bf58_Name">
    <vt:lpwstr>Publicly Available</vt:lpwstr>
  </property>
  <property fmtid="{D5CDD505-2E9C-101B-9397-08002B2CF9AE}" pid="72" name="MSIP_Label_46b973ef-eb54-4209-9a1a-47743cb8bf58_SiteId">
    <vt:lpwstr>a63c9e9e-b4db-442a-a94f-08718d788e8c</vt:lpwstr>
  </property>
  <property fmtid="{D5CDD505-2E9C-101B-9397-08002B2CF9AE}" pid="73" name="MSIP_Label_46b973ef-eb54-4209-9a1a-47743cb8bf58_ActionId">
    <vt:lpwstr>65642976-f6aa-4903-86af-1e4b4d7d8b45</vt:lpwstr>
  </property>
  <property fmtid="{D5CDD505-2E9C-101B-9397-08002B2CF9AE}" pid="74" name="MSIP_Label_46b973ef-eb54-4209-9a1a-47743cb8bf58_ContentBits">
    <vt:lpwstr>1</vt:lpwstr>
  </property>
  <property fmtid="{D5CDD505-2E9C-101B-9397-08002B2CF9AE}" pid="75" name="MSIP_Label_46b973ef-eb54-4209-9a1a-47743cb8bf58_Tag">
    <vt:lpwstr>10, 0, 1, 1</vt:lpwstr>
  </property>
</Properties>
</file>