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nationalenergyso.sharepoint.com/sites/GRP-EXT-UK-Regional-System-Planning/Shared Documents/tRESP/03_ Deliverables/0 CPA final documents/"/>
    </mc:Choice>
  </mc:AlternateContent>
  <xr:revisionPtr revIDLastSave="0" documentId="8_{9AFDDF43-75FB-479E-83E8-FD6AF69AF858}" xr6:coauthVersionLast="47" xr6:coauthVersionMax="47" xr10:uidLastSave="{00000000-0000-0000-0000-000000000000}"/>
  <bookViews>
    <workbookView xWindow="-108" yWindow="-108" windowWidth="20376" windowHeight="12216" tabRatio="836" xr2:uid="{53DC30CE-B2F2-409C-8A7D-8B6F977BCF63}"/>
  </bookViews>
  <sheets>
    <sheet name="Cover" sheetId="51" r:id="rId1"/>
    <sheet name="Contents" sheetId="50" r:id="rId2"/>
    <sheet name="Version Control" sheetId="2" r:id="rId3"/>
    <sheet name="Overview" sheetId="53" r:id="rId4"/>
    <sheet name="Glossary" sheetId="52" r:id="rId5"/>
    <sheet name="CPA ID info" sheetId="1" r:id="rId6"/>
    <sheet name="Mapping" sheetId="18" r:id="rId7"/>
    <sheet name="tRESP BB for EV and HP" sheetId="47" r:id="rId8"/>
    <sheet name="EV CPA Process" sheetId="29" r:id="rId9"/>
    <sheet name="EV CPA Summary Table" sheetId="4" r:id="rId10"/>
    <sheet name="EV CPA List" sheetId="3" r:id="rId11"/>
    <sheet name="EV01" sheetId="5" r:id="rId12"/>
    <sheet name="EV02" sheetId="6" r:id="rId13"/>
    <sheet name="EV03" sheetId="7" r:id="rId14"/>
    <sheet name="EV04" sheetId="8" r:id="rId15"/>
    <sheet name="EV05" sheetId="36" r:id="rId16"/>
    <sheet name="EV06" sheetId="39" r:id="rId17"/>
    <sheet name="EV07" sheetId="40" r:id="rId18"/>
    <sheet name="EV08" sheetId="41" r:id="rId19"/>
    <sheet name="EV09" sheetId="13" r:id="rId20"/>
    <sheet name="EV10" sheetId="14" r:id="rId21"/>
    <sheet name="EV Indicative Impact" sheetId="33" r:id="rId22"/>
    <sheet name="EV End to End Example" sheetId="54" r:id="rId23"/>
    <sheet name="HP CPA Summary Table" sheetId="15" r:id="rId24"/>
    <sheet name="HP CPA list" sheetId="17" r:id="rId25"/>
    <sheet name="HP CPA Process" sheetId="30" r:id="rId26"/>
    <sheet name="HP01" sheetId="20" r:id="rId27"/>
    <sheet name="HP02" sheetId="21" r:id="rId28"/>
    <sheet name="HP03" sheetId="22" r:id="rId29"/>
    <sheet name="HP04" sheetId="23" r:id="rId30"/>
    <sheet name="HP05" sheetId="24" r:id="rId31"/>
    <sheet name="HP06" sheetId="42" r:id="rId32"/>
    <sheet name="HP07" sheetId="43" r:id="rId33"/>
    <sheet name="HP08" sheetId="44" r:id="rId34"/>
    <sheet name="HP09" sheetId="45" r:id="rId35"/>
    <sheet name="HP indicative impact" sheetId="34" r:id="rId36"/>
    <sheet name="HP End to End Example" sheetId="55" r:id="rId37"/>
    <sheet name="EE CPA Summary Table" sheetId="31" r:id="rId38"/>
    <sheet name="EE01" sheetId="32" r:id="rId39"/>
  </sheets>
  <definedNames>
    <definedName name="_xlnm._FilterDatabase" localSheetId="10" hidden="1">'EV CPA List'!$A$3:$K$109</definedName>
    <definedName name="_xlnm._FilterDatabase" localSheetId="17" hidden="1">'EV07'!$A$3:$J$3</definedName>
    <definedName name="_xlnm._FilterDatabase" localSheetId="23" hidden="1">'HP CPA Summary Table'!$B$3:$O$17</definedName>
    <definedName name="dwelling_categories">Mapping!$O$4:$O$9</definedName>
    <definedName name="dwelling_categories_short">Mapping!$P$4:$P$9</definedName>
    <definedName name="EV_BBs">Mapping!$D$4:$D$9</definedName>
    <definedName name="EV_BBs_short">Mapping!$E$4:$E$9</definedName>
    <definedName name="EV_charger_type">Mapping!$F$4:$F$10</definedName>
    <definedName name="EV_charger_type_short">Mapping!$G$4:$G$10</definedName>
    <definedName name="EV_CPA_Numbers">Mapping!$B$4:$B$13</definedName>
    <definedName name="EV_Flex">Mapping!$H$4:$H$7</definedName>
    <definedName name="EV_Flex_short">Mapping!$I$4:$I$7</definedName>
    <definedName name="EV_number_BB1">'EV End to End Example'!$I$19</definedName>
    <definedName name="EV_number_BB2">'EV End to End Example'!$I$20</definedName>
    <definedName name="EV_Number_BB3">'EV End to End Example'!$I$21</definedName>
    <definedName name="EV_number_BB4">'EV End to End Example'!$I$22</definedName>
    <definedName name="EV_smart_input">'EV End to End Example'!$F$26</definedName>
    <definedName name="EV01_BB1_Default">'EV End to End Example'!$M$81</definedName>
    <definedName name="EV01_BB1_lower">'EV End to End Example'!$N$81</definedName>
    <definedName name="EV01_BB1_upper">'EV End to End Example'!$O$81</definedName>
    <definedName name="EV01_BB2_Default">'EV End to End Example'!$M$82</definedName>
    <definedName name="EV01_BB2_lower">'EV End to End Example'!$N$82</definedName>
    <definedName name="EV01_BB2_upper">'EV End to End Example'!$O$82</definedName>
    <definedName name="EV01_BB3_Default">'EV End to End Example'!$M$83</definedName>
    <definedName name="EV01_BB3_lower">'EV End to End Example'!$N$83</definedName>
    <definedName name="EV01_BB3_upper">'EV End to End Example'!$O$83</definedName>
    <definedName name="EV01_BB4_Default">'EV End to End Example'!$M$84</definedName>
    <definedName name="EV01_BB4_lower">'EV End to End Example'!$N$84</definedName>
    <definedName name="EV01_BB4_upper">'EV End to End Example'!$O$84</definedName>
    <definedName name="EV02_BB2_Default">'EV End to End Example'!$M$85</definedName>
    <definedName name="EV02_BB2_lower">'EV End to End Example'!$N$85</definedName>
    <definedName name="EV02_BB2_upper">'EV End to End Example'!$O$85</definedName>
    <definedName name="EV02_BB4_Default">'EV End to End Example'!$M$86</definedName>
    <definedName name="EV02_BB4_lower">'EV End to End Example'!$N$86</definedName>
    <definedName name="EV02_BB4_upper">'EV End to End Example'!$O$86</definedName>
    <definedName name="EV03_BB1_Default">'EV End to End Example'!$M$87</definedName>
    <definedName name="EV03_BB1_lower">'EV End to End Example'!$N$87</definedName>
    <definedName name="EV03_BB1_upper">'EV End to End Example'!$O$87</definedName>
    <definedName name="EV03_BB2_Default">'EV End to End Example'!$M$88</definedName>
    <definedName name="EV03_BB2_lower">'EV End to End Example'!$N$88</definedName>
    <definedName name="EV03_BB2_upper">'EV End to End Example'!$O$88</definedName>
    <definedName name="EV03_BB3_Default">'EV End to End Example'!$M$89</definedName>
    <definedName name="EV03_BB3_lower">'EV End to End Example'!$N$89</definedName>
    <definedName name="EV03_BB3_upper">'EV End to End Example'!$O$89</definedName>
    <definedName name="EV03_BB4_Default">'EV End to End Example'!$M$90</definedName>
    <definedName name="EV03_BB4_lower">'EV End to End Example'!$N$90</definedName>
    <definedName name="EV03_BB4_upper">'EV End to End Example'!$O$90</definedName>
    <definedName name="EV04_BB1_Default">'EV End to End Example'!$M$91:$M$95</definedName>
    <definedName name="EV04_BB1_lower">'EV End to End Example'!$N$91:$N$95</definedName>
    <definedName name="EV04_BB1_upper">'EV End to End Example'!$O$91:$O$95</definedName>
    <definedName name="EV04_BB2_Default">'EV End to End Example'!$M$96:$M$100</definedName>
    <definedName name="EV04_BB2_lower">'EV End to End Example'!$N$96:$N$100</definedName>
    <definedName name="EV04_BB2_upper">'EV End to End Example'!$O$96:$O$100</definedName>
    <definedName name="EV04_BB3_Default">'EV End to End Example'!$M$101:$M$105</definedName>
    <definedName name="EV04_BB3_lower">'EV End to End Example'!$N$101:$N$105</definedName>
    <definedName name="EV04_BB3_upper">'EV End to End Example'!$O$101:$O$105</definedName>
    <definedName name="EV04_BB4_Default">'EV End to End Example'!$M$106:$M$110</definedName>
    <definedName name="EV04_BB4_lower">'EV End to End Example'!$N$106:$N$110</definedName>
    <definedName name="EV04_BB4_upper">'EV End to End Example'!$O$106:$O$110</definedName>
    <definedName name="EV05_noflex_Default">'EV End to End Example'!$M$111</definedName>
    <definedName name="EV05_noflex_lower">'EV End to End Example'!$N$111</definedName>
    <definedName name="EV05_noflex_upper">'EV End to End Example'!$O$111</definedName>
    <definedName name="EV05_smart_Default">'EV End to End Example'!$M$112</definedName>
    <definedName name="EV05_smart_lower">'EV End to End Example'!$N$112</definedName>
    <definedName name="EV05_smart_upper">'EV End to End Example'!$O$112</definedName>
    <definedName name="EV06_depot">'EV End to End Example'!$J$137:$J$184</definedName>
    <definedName name="EV06_domestic_Default">'EV End to End Example'!$L$137:$L$184</definedName>
    <definedName name="EV06_domestic_lower">'EV End to End Example'!$M$137:$M$184</definedName>
    <definedName name="EV06_domestic_upper">'EV End to End Example'!$N$137:$N$184</definedName>
    <definedName name="EV06_rapid">'EV End to End Example'!$I$137:$I$184</definedName>
    <definedName name="EV06_slowfast">'EV End to End Example'!$H$137:$H$184</definedName>
    <definedName name="EV06_work">'EV End to End Example'!$G$137:$G$184</definedName>
    <definedName name="EV07_depot_Default">'EV End to End Example'!$M$122</definedName>
    <definedName name="EV07_depot_lower">'EV End to End Example'!$N$122</definedName>
    <definedName name="EV07_depot_upper">'EV End to End Example'!$O$122</definedName>
    <definedName name="EV07_domestic_Default">'EV End to End Example'!$M$118</definedName>
    <definedName name="EV07_domestic_lower">'EV End to End Example'!$N$118</definedName>
    <definedName name="EV07_domestic_upper">'EV End to End Example'!$O$118</definedName>
    <definedName name="EV07_rapid_Default">'EV End to End Example'!$M$121</definedName>
    <definedName name="EV07_rapid_lower">'EV End to End Example'!$N$121</definedName>
    <definedName name="EV07_rapid_upper">'EV End to End Example'!$O$121</definedName>
    <definedName name="EV07_slowfast_Default">'EV End to End Example'!$M$120</definedName>
    <definedName name="EV07_slowfast_lower">'EV End to End Example'!$N$120</definedName>
    <definedName name="EV07_slowfast_upper">'EV End to End Example'!$O$120</definedName>
    <definedName name="EV07_work_Default">'EV End to End Example'!$M$119</definedName>
    <definedName name="EV07_work_lower">'EV End to End Example'!$N$119</definedName>
    <definedName name="EV07_work_upper">'EV End to End Example'!$O$119</definedName>
    <definedName name="EV08_depot_Default">'EV End to End Example'!$M$117</definedName>
    <definedName name="EV08_depot_lower">'EV End to End Example'!$N$117</definedName>
    <definedName name="EV08_depot_upper">'EV End to End Example'!$O$117</definedName>
    <definedName name="EV08_domestic_Default">'EV End to End Example'!$M$113</definedName>
    <definedName name="EV08_domestic_lower">'EV End to End Example'!$N$113</definedName>
    <definedName name="EV08_domestic_upper">'EV End to End Example'!$O$113</definedName>
    <definedName name="EV08_rapid_Default">'EV End to End Example'!$M$116</definedName>
    <definedName name="EV08_rapid_lower">'EV End to End Example'!$N$116</definedName>
    <definedName name="EV08_rapid_upper">'EV End to End Example'!$O$116</definedName>
    <definedName name="EV08_slowfast_Default">'EV End to End Example'!$M$115</definedName>
    <definedName name="EV08_slowfast_lower">'EV End to End Example'!$N$115</definedName>
    <definedName name="EV08_slowfast_upper">'EV End to End Example'!$O$115</definedName>
    <definedName name="EV08_work_Default">'EV End to End Example'!$M$114</definedName>
    <definedName name="EV08_work_lower">'EV End to End Example'!$N$114</definedName>
    <definedName name="EV08_work_upper">'EV End to End Example'!$O$114</definedName>
    <definedName name="EV09_depot_Default">'EV End to End Example'!$M$127</definedName>
    <definedName name="EV09_depot_lower">'EV End to End Example'!$N$127</definedName>
    <definedName name="EV09_depot_upper">'EV End to End Example'!$O$127</definedName>
    <definedName name="EV09_domestic_Default">'EV End to End Example'!$M$123</definedName>
    <definedName name="EV09_domestic_lower">'EV End to End Example'!$N$123</definedName>
    <definedName name="EV09_domestic_upper">'EV End to End Example'!$O$123</definedName>
    <definedName name="EV09_rapid_Default">'EV End to End Example'!$M$126</definedName>
    <definedName name="EV09_rapid_lower">'EV End to End Example'!$N$126</definedName>
    <definedName name="EV09_rapid_upper">'EV End to End Example'!$O$126</definedName>
    <definedName name="EV09_slowfast_Default">'EV End to End Example'!$M$125</definedName>
    <definedName name="EV09_slowfast_lower">'EV End to End Example'!$N$125</definedName>
    <definedName name="EV09_slowfast_upper">'EV End to End Example'!$O$125</definedName>
    <definedName name="EV09_work_Default">'EV End to End Example'!$M$124</definedName>
    <definedName name="EV09_work_lower">'EV End to End Example'!$N$124</definedName>
    <definedName name="EV09_work_upper">'EV End to End Example'!$O$124</definedName>
    <definedName name="EV10_depot_Default">'EV End to End Example'!$M$132</definedName>
    <definedName name="EV10_depot_lower">'EV End to End Example'!$N$132</definedName>
    <definedName name="EV10_depot_upper">'EV End to End Example'!$O$132</definedName>
    <definedName name="EV10_domestic_Default">'EV End to End Example'!$M$128</definedName>
    <definedName name="EV10_domestic_lower">'EV End to End Example'!$N$128</definedName>
    <definedName name="EV10_domestic_upper">'EV End to End Example'!$O$128</definedName>
    <definedName name="EV10_rapid_Default">'EV End to End Example'!$M$131</definedName>
    <definedName name="EV10_rapid_lower">'EV End to End Example'!$N$131</definedName>
    <definedName name="EV10_rapid_upper">'EV End to End Example'!$O$131</definedName>
    <definedName name="EV10_slowfast_Default">'EV End to End Example'!$M$130</definedName>
    <definedName name="EV10_slowfast_lower">'EV End to End Example'!$N$130</definedName>
    <definedName name="EV10_slowfast_upper">'EV End to End Example'!$O$130</definedName>
    <definedName name="EV10_work_Default">'EV End to End Example'!$M$129</definedName>
    <definedName name="EV10_work_lower">'EV End to End Example'!$N$129</definedName>
    <definedName name="EV10_work_upper">'EV End to End Example'!$O$129</definedName>
    <definedName name="Gov_regions">Mapping!$AC$4:$AC$14</definedName>
    <definedName name="Gov_regions_short">Mapping!$AD$4:$AD$14</definedName>
    <definedName name="HP_BBs">Mapping!$M$4:$M$6</definedName>
    <definedName name="HP_BBs_short">Mapping!$N$4:$N$6</definedName>
    <definedName name="HP_behaviours">Mapping!$Q$4:$Q$9</definedName>
    <definedName name="HP_behaviours_short">Mapping!$R$4:$R$9</definedName>
    <definedName name="HP_CPA_Numbers">Mapping!$K$4:$K$12</definedName>
    <definedName name="HP_DC_proportions">'HP End to End Example'!$J$22:$J$29</definedName>
    <definedName name="HP_DC_proportions_existing">'HP End to End Example'!$J$22:$J$25</definedName>
    <definedName name="HP_DC_proportions_new">'HP End to End Example'!$J$26:$J$29</definedName>
    <definedName name="HP_number_BB5">'HP End to End Example'!$J$18</definedName>
    <definedName name="HP_number_BB6">'HP End to End Example'!$J$19</definedName>
    <definedName name="HP_rep_day">'HP End to End Example'!$C$20</definedName>
    <definedName name="HP01_existing_Default">'HP End to End Example'!$O$62:$O$65</definedName>
    <definedName name="HP01_existing_lower">'HP End to End Example'!$P$62:$P$65</definedName>
    <definedName name="HP01_existing_upper">'HP End to End Example'!$Q$62:$Q$65</definedName>
    <definedName name="HP01_new_Default">'HP End to End Example'!$O$66:$O$69</definedName>
    <definedName name="HP01_new_lower">'HP End to End Example'!$P$66:$P$69</definedName>
    <definedName name="HP01_new_upper">'HP End to End Example'!$Q$66:$Q$69</definedName>
    <definedName name="HP02_existing_Default">'HP End to End Example'!$O$70</definedName>
    <definedName name="HP02_existing_lower">'HP End to End Example'!$P$70</definedName>
    <definedName name="HP02_existing_upper">'HP End to End Example'!$Q$70</definedName>
    <definedName name="HP02_new_Default">'HP End to End Example'!$O$71</definedName>
    <definedName name="HP02_new_lower">'HP End to End Example'!$P$71</definedName>
    <definedName name="HP02_new_upper">'HP End to End Example'!$Q$71</definedName>
    <definedName name="HP03_Default">'HP End to End Example'!$O$72</definedName>
    <definedName name="HP03_lower">'HP End to End Example'!$P$72</definedName>
    <definedName name="HP03_upper">'HP End to End Example'!$Q$72</definedName>
    <definedName name="HP04_Default">'HP End to End Example'!$O$73</definedName>
    <definedName name="HP04_lower">'HP End to End Example'!$P$73</definedName>
    <definedName name="HP04_upper">'HP End to End Example'!$Q$73</definedName>
    <definedName name="HP05_Default">'HP End to End Example'!$O$74</definedName>
    <definedName name="HP05_lower">'HP End to End Example'!$P$74</definedName>
    <definedName name="HP05_upper">'HP End to End Example'!$Q$74</definedName>
    <definedName name="HP07_all_Default">'HP End to End Example'!$O$78</definedName>
    <definedName name="HP07_all_lower">'HP End to End Example'!$P$78</definedName>
    <definedName name="HP07_all_upper">'HP End to End Example'!$Q$78</definedName>
    <definedName name="HP07_modes_Default">'HP End to End Example'!$O$75:$O$77</definedName>
    <definedName name="HP07_modes_lower">'HP End to End Example'!$P$75:$P$77</definedName>
    <definedName name="HP07_modes_upper">'HP End to End Example'!$Q$75:$Q$77</definedName>
    <definedName name="HP08_Default">'HP End to End Example'!$O$80</definedName>
    <definedName name="HP08_lower">'HP End to End Example'!$P$80</definedName>
    <definedName name="HP08_upper">'HP End to End Example'!$Q$80</definedName>
    <definedName name="HP09_Default">'HP End to End Example'!$O$79</definedName>
    <definedName name="HP09_lower">'HP End to End Example'!$P$79</definedName>
    <definedName name="HP09_upper">'HP End to End Example'!$Q$79</definedName>
    <definedName name="Licence_areas">Mapping!$AE$4:$AE$17</definedName>
    <definedName name="Licence_areas_short">Mapping!$AF$4:$AF$17</definedName>
    <definedName name="new_build_short">Mapping!$AB$4:$AB$5</definedName>
    <definedName name="new_build_status">Mapping!$AA$4:$AA$5</definedName>
    <definedName name="onoff_switch">Mapping!$AI$4:$AI$5</definedName>
    <definedName name="_xlnm.Print_Area" localSheetId="1">Contents!$A$1:$F$50</definedName>
    <definedName name="RAG_list">Mapping!$AG$4:$AG$7</definedName>
    <definedName name="rep_days">Mapping!$W$4:$W$9</definedName>
    <definedName name="rep_days_selection">Mapping!$W$4:$W$7</definedName>
    <definedName name="rep_days_short">Mapping!$X$4:$X$9</definedName>
    <definedName name="spatial_res">Mapping!$Y$4:$Y$5</definedName>
    <definedName name="temporal_res">Mapping!$Z$4:$Z$7</definedName>
    <definedName name="times">'EV End to End Example'!$D$137:$D$184</definedName>
    <definedName name="year_list">Mapping!$AH$4:$AH$30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40" l="1"/>
  <c r="A20" i="40"/>
  <c r="A21" i="40"/>
  <c r="A36" i="40"/>
  <c r="A37" i="40"/>
  <c r="A38" i="40"/>
  <c r="A39" i="40"/>
  <c r="A40" i="40"/>
  <c r="A41" i="40"/>
  <c r="A42" i="40"/>
  <c r="A43" i="40"/>
  <c r="A44" i="40"/>
  <c r="A45" i="40"/>
  <c r="A46" i="40"/>
  <c r="A47" i="40"/>
  <c r="A48" i="40"/>
  <c r="A49" i="40"/>
  <c r="A50" i="40"/>
  <c r="A68" i="40"/>
  <c r="A69" i="40"/>
  <c r="A70" i="40"/>
  <c r="A120" i="40"/>
  <c r="A119" i="40"/>
  <c r="A117" i="40"/>
  <c r="A118" i="40"/>
  <c r="A58" i="7" l="1"/>
  <c r="A31" i="7"/>
  <c r="A4" i="7"/>
  <c r="A38" i="17" l="1"/>
  <c r="A34" i="17"/>
  <c r="A30" i="17"/>
  <c r="A26" i="17"/>
  <c r="A31" i="36" l="1"/>
  <c r="A4" i="36"/>
  <c r="A37" i="36"/>
  <c r="E86" i="55" l="1" a="1"/>
  <c r="E86" i="55" s="1"/>
  <c r="M83" i="54" a="1"/>
  <c r="M83" i="54" s="1"/>
  <c r="J83" i="54"/>
  <c r="F86" i="55" l="1"/>
  <c r="E87" i="55" a="1"/>
  <c r="E87" i="55" s="1"/>
  <c r="F87" i="55" s="1"/>
  <c r="E88" i="55" a="1"/>
  <c r="E88" i="55" s="1"/>
  <c r="F88" i="55" s="1"/>
  <c r="E89" i="55" a="1"/>
  <c r="E89" i="55" s="1"/>
  <c r="F89" i="55" s="1"/>
  <c r="E90" i="55" a="1"/>
  <c r="E90" i="55" s="1"/>
  <c r="E91" i="55" a="1"/>
  <c r="E91" i="55" s="1"/>
  <c r="F91" i="55" s="1"/>
  <c r="E92" i="55" a="1"/>
  <c r="E92" i="55" s="1"/>
  <c r="E93" i="55" a="1"/>
  <c r="E93" i="55" s="1"/>
  <c r="F93" i="55" s="1"/>
  <c r="E94" i="55" a="1"/>
  <c r="E94" i="55" s="1"/>
  <c r="F94" i="55" s="1"/>
  <c r="E95" i="55" a="1"/>
  <c r="E95" i="55" s="1"/>
  <c r="F95" i="55" s="1"/>
  <c r="E96" i="55" a="1"/>
  <c r="E96" i="55" s="1"/>
  <c r="F96" i="55" s="1"/>
  <c r="E97" i="55" a="1"/>
  <c r="E97" i="55" s="1"/>
  <c r="E98" i="55" a="1"/>
  <c r="E98" i="55" s="1"/>
  <c r="G98" i="55" s="1"/>
  <c r="E99" i="55" a="1"/>
  <c r="E99" i="55" s="1"/>
  <c r="E100" i="55" a="1"/>
  <c r="E100" i="55" s="1"/>
  <c r="F100" i="55" s="1"/>
  <c r="E101" i="55" a="1"/>
  <c r="E101" i="55" s="1"/>
  <c r="F101" i="55" s="1"/>
  <c r="E102" i="55" a="1"/>
  <c r="E102" i="55" s="1"/>
  <c r="F102" i="55" s="1"/>
  <c r="E103" i="55" a="1"/>
  <c r="E103" i="55" s="1"/>
  <c r="F103" i="55" s="1"/>
  <c r="E104" i="55" a="1"/>
  <c r="E104" i="55" s="1"/>
  <c r="F104" i="55" s="1"/>
  <c r="E105" i="55" a="1"/>
  <c r="E105" i="55" s="1"/>
  <c r="F105" i="55" s="1"/>
  <c r="E106" i="55" a="1"/>
  <c r="E106" i="55" s="1"/>
  <c r="E107" i="55" a="1"/>
  <c r="E107" i="55" s="1"/>
  <c r="F107" i="55" s="1"/>
  <c r="E108" i="55" a="1"/>
  <c r="E108" i="55" s="1"/>
  <c r="F108" i="55" s="1"/>
  <c r="E109" i="55" a="1"/>
  <c r="E109" i="55" s="1"/>
  <c r="F109" i="55" s="1"/>
  <c r="E110" i="55" a="1"/>
  <c r="E110" i="55" s="1"/>
  <c r="F110" i="55" s="1"/>
  <c r="E111" i="55" a="1"/>
  <c r="E111" i="55" s="1"/>
  <c r="F111" i="55" s="1"/>
  <c r="E112" i="55" a="1"/>
  <c r="E112" i="55" s="1"/>
  <c r="F112" i="55" s="1"/>
  <c r="E113" i="55" a="1"/>
  <c r="E113" i="55" s="1"/>
  <c r="F113" i="55" s="1"/>
  <c r="E114" i="55" a="1"/>
  <c r="E114" i="55" s="1"/>
  <c r="F114" i="55" s="1"/>
  <c r="E115" i="55" a="1"/>
  <c r="E115" i="55" s="1"/>
  <c r="F115" i="55" s="1"/>
  <c r="E116" i="55" a="1"/>
  <c r="E116" i="55" s="1"/>
  <c r="F116" i="55" s="1"/>
  <c r="E117" i="55" a="1"/>
  <c r="E117" i="55" s="1"/>
  <c r="F117" i="55" s="1"/>
  <c r="E118" i="55" a="1"/>
  <c r="E118" i="55" s="1"/>
  <c r="F118" i="55" s="1"/>
  <c r="E119" i="55" a="1"/>
  <c r="E119" i="55" s="1"/>
  <c r="G119" i="55" s="1"/>
  <c r="E120" i="55" a="1"/>
  <c r="E120" i="55" s="1"/>
  <c r="F120" i="55" s="1"/>
  <c r="E121" i="55" a="1"/>
  <c r="E121" i="55" s="1"/>
  <c r="F121" i="55" s="1"/>
  <c r="E122" i="55" a="1"/>
  <c r="E122" i="55" s="1"/>
  <c r="F122" i="55" s="1"/>
  <c r="E123" i="55" a="1"/>
  <c r="E123" i="55" s="1"/>
  <c r="F123" i="55" s="1"/>
  <c r="E124" i="55" a="1"/>
  <c r="E124" i="55" s="1"/>
  <c r="F124" i="55" s="1"/>
  <c r="E125" i="55" a="1"/>
  <c r="E125" i="55" s="1"/>
  <c r="F125" i="55" s="1"/>
  <c r="E126" i="55" a="1"/>
  <c r="E126" i="55" s="1"/>
  <c r="F126" i="55" s="1"/>
  <c r="E127" i="55" a="1"/>
  <c r="E127" i="55" s="1"/>
  <c r="F127" i="55" s="1"/>
  <c r="E128" i="55" a="1"/>
  <c r="E128" i="55" s="1"/>
  <c r="F128" i="55" s="1"/>
  <c r="E129" i="55" a="1"/>
  <c r="E129" i="55" s="1"/>
  <c r="F129" i="55" s="1"/>
  <c r="E130" i="55" a="1"/>
  <c r="E130" i="55" s="1"/>
  <c r="F130" i="55" s="1"/>
  <c r="E131" i="55" a="1"/>
  <c r="E131" i="55" s="1"/>
  <c r="F131" i="55" s="1"/>
  <c r="E132" i="55" a="1"/>
  <c r="E132" i="55" s="1"/>
  <c r="F132" i="55" s="1"/>
  <c r="E85" i="55" a="1"/>
  <c r="E85" i="55" s="1"/>
  <c r="F85" i="55" s="1"/>
  <c r="G120" i="55" l="1"/>
  <c r="G113" i="55"/>
  <c r="G127" i="55"/>
  <c r="G112" i="55"/>
  <c r="G105" i="55"/>
  <c r="G91" i="55"/>
  <c r="G126" i="55"/>
  <c r="F90" i="55"/>
  <c r="G90" i="55"/>
  <c r="F97" i="55"/>
  <c r="G97" i="55"/>
  <c r="F92" i="55"/>
  <c r="G92" i="55"/>
  <c r="F99" i="55"/>
  <c r="G99" i="55"/>
  <c r="F106" i="55"/>
  <c r="G106" i="55"/>
  <c r="G85" i="55"/>
  <c r="F119" i="55"/>
  <c r="F98" i="55"/>
  <c r="G132" i="55"/>
  <c r="G125" i="55"/>
  <c r="G118" i="55"/>
  <c r="G111" i="55"/>
  <c r="G104" i="55"/>
  <c r="G131" i="55"/>
  <c r="G124" i="55"/>
  <c r="G117" i="55"/>
  <c r="G110" i="55"/>
  <c r="G103" i="55"/>
  <c r="G96" i="55"/>
  <c r="G89" i="55"/>
  <c r="G130" i="55"/>
  <c r="G123" i="55"/>
  <c r="G116" i="55"/>
  <c r="G109" i="55"/>
  <c r="G102" i="55"/>
  <c r="G95" i="55"/>
  <c r="G88" i="55"/>
  <c r="G129" i="55"/>
  <c r="G122" i="55"/>
  <c r="G115" i="55"/>
  <c r="G108" i="55"/>
  <c r="G101" i="55"/>
  <c r="G94" i="55"/>
  <c r="G87" i="55"/>
  <c r="G128" i="55"/>
  <c r="G121" i="55"/>
  <c r="G114" i="55"/>
  <c r="G107" i="55"/>
  <c r="G100" i="55"/>
  <c r="G93" i="55"/>
  <c r="G86" i="55"/>
  <c r="O91" i="54" l="1"/>
  <c r="O92" i="54"/>
  <c r="O93" i="54"/>
  <c r="O94" i="54"/>
  <c r="O95" i="54"/>
  <c r="O96" i="54"/>
  <c r="O97" i="54"/>
  <c r="O98" i="54"/>
  <c r="O99" i="54"/>
  <c r="O100" i="54"/>
  <c r="O101" i="54"/>
  <c r="O102" i="54"/>
  <c r="O103" i="54"/>
  <c r="O104" i="54"/>
  <c r="O105" i="54"/>
  <c r="O106" i="54"/>
  <c r="O107" i="54"/>
  <c r="O108" i="54"/>
  <c r="O109" i="54"/>
  <c r="O110" i="54"/>
  <c r="N92" i="54"/>
  <c r="N93" i="54"/>
  <c r="N94" i="54"/>
  <c r="N95" i="54"/>
  <c r="N96" i="54"/>
  <c r="N97" i="54"/>
  <c r="N98" i="54"/>
  <c r="N99" i="54"/>
  <c r="N100" i="54"/>
  <c r="N101" i="54"/>
  <c r="N102" i="54"/>
  <c r="N103" i="54"/>
  <c r="N104" i="54"/>
  <c r="N105" i="54"/>
  <c r="N106" i="54"/>
  <c r="N107" i="54"/>
  <c r="N108" i="54"/>
  <c r="N109" i="54"/>
  <c r="N110" i="54"/>
  <c r="N91" i="54"/>
  <c r="A244" i="42" l="1"/>
  <c r="A245" i="42"/>
  <c r="A246" i="42"/>
  <c r="A247" i="42"/>
  <c r="A248" i="42"/>
  <c r="A249" i="42"/>
  <c r="A250" i="42"/>
  <c r="A251" i="42"/>
  <c r="A252" i="42"/>
  <c r="A253" i="42"/>
  <c r="A254" i="42"/>
  <c r="A255" i="42"/>
  <c r="A256" i="42"/>
  <c r="A257" i="42"/>
  <c r="A258" i="42"/>
  <c r="A259" i="42"/>
  <c r="A260" i="42"/>
  <c r="A261" i="42"/>
  <c r="A262" i="42"/>
  <c r="A263" i="42"/>
  <c r="A264" i="42"/>
  <c r="A265" i="42"/>
  <c r="A266" i="42"/>
  <c r="A267" i="42"/>
  <c r="A268" i="42"/>
  <c r="A269" i="42"/>
  <c r="A270" i="42"/>
  <c r="A271" i="42"/>
  <c r="A272" i="42"/>
  <c r="A273" i="42"/>
  <c r="A274" i="42"/>
  <c r="A275" i="42"/>
  <c r="A276" i="42"/>
  <c r="A277" i="42"/>
  <c r="A278" i="42"/>
  <c r="A279" i="42"/>
  <c r="A280" i="42"/>
  <c r="A281" i="42"/>
  <c r="A282" i="42"/>
  <c r="A283" i="42"/>
  <c r="A284" i="42"/>
  <c r="A285" i="42"/>
  <c r="A286" i="42"/>
  <c r="A287" i="42"/>
  <c r="A288" i="42"/>
  <c r="A289" i="42"/>
  <c r="A290" i="42"/>
  <c r="A291" i="42"/>
  <c r="A5" i="42"/>
  <c r="A6" i="42"/>
  <c r="A7" i="42"/>
  <c r="A8" i="42"/>
  <c r="A9" i="42"/>
  <c r="A10" i="42"/>
  <c r="A11" i="42"/>
  <c r="A12" i="42"/>
  <c r="A13" i="42"/>
  <c r="A14" i="42"/>
  <c r="A15" i="42"/>
  <c r="A16" i="42"/>
  <c r="A17" i="42"/>
  <c r="A18" i="42"/>
  <c r="A19" i="42"/>
  <c r="A20" i="42"/>
  <c r="A21" i="42"/>
  <c r="A22" i="42"/>
  <c r="A23" i="42"/>
  <c r="A24" i="42"/>
  <c r="A25" i="42"/>
  <c r="A26" i="42"/>
  <c r="A27" i="42"/>
  <c r="A28" i="42"/>
  <c r="A29" i="42"/>
  <c r="A30" i="42"/>
  <c r="A31" i="42"/>
  <c r="A32" i="42"/>
  <c r="A33" i="42"/>
  <c r="A34" i="42"/>
  <c r="A35" i="42"/>
  <c r="A36" i="42"/>
  <c r="A37" i="42"/>
  <c r="A38" i="42"/>
  <c r="A39" i="42"/>
  <c r="A40" i="42"/>
  <c r="A41" i="42"/>
  <c r="A42" i="42"/>
  <c r="A43" i="42"/>
  <c r="A44" i="42"/>
  <c r="A45" i="42"/>
  <c r="A46" i="42"/>
  <c r="A47" i="42"/>
  <c r="A48" i="42"/>
  <c r="A49" i="42"/>
  <c r="A50" i="42"/>
  <c r="A51" i="42"/>
  <c r="A4" i="42"/>
  <c r="A52" i="42"/>
  <c r="A5" i="5" l="1"/>
  <c r="A6" i="5"/>
  <c r="A7" i="5"/>
  <c r="A8" i="5"/>
  <c r="A9" i="5"/>
  <c r="A10" i="5"/>
  <c r="A11" i="5"/>
  <c r="A12" i="5"/>
  <c r="A13" i="5"/>
  <c r="A14" i="5"/>
  <c r="A15" i="5"/>
  <c r="A16" i="5"/>
  <c r="A17" i="5"/>
  <c r="A18" i="5"/>
  <c r="A19" i="5"/>
  <c r="A20" i="5"/>
  <c r="A21" i="5"/>
  <c r="A22" i="5"/>
  <c r="A23" i="5"/>
  <c r="A24" i="5"/>
  <c r="A25" i="5"/>
  <c r="A26" i="5"/>
  <c r="A27" i="5"/>
  <c r="A28" i="5"/>
  <c r="A29" i="5"/>
  <c r="A30" i="5"/>
  <c r="A31" i="5"/>
  <c r="A4" i="5"/>
  <c r="X44" i="55" l="1"/>
  <c r="M122" i="54" a="1"/>
  <c r="M122" i="54" s="1"/>
  <c r="M121" i="54" a="1"/>
  <c r="M121" i="54" s="1"/>
  <c r="M120" i="54" a="1"/>
  <c r="M120" i="54" s="1"/>
  <c r="M119" i="54" a="1"/>
  <c r="M119" i="54" s="1"/>
  <c r="M118" i="54" a="1"/>
  <c r="M118" i="54" s="1"/>
  <c r="E21" i="34"/>
  <c r="X46" i="55" l="1"/>
  <c r="X47" i="55"/>
  <c r="X45" i="55"/>
  <c r="M152" i="55"/>
  <c r="L152" i="55"/>
  <c r="K152" i="55"/>
  <c r="G152" i="55"/>
  <c r="F152" i="55"/>
  <c r="E152" i="55"/>
  <c r="T152" i="55"/>
  <c r="S152" i="55"/>
  <c r="R152" i="55"/>
  <c r="G84" i="55"/>
  <c r="F84" i="55"/>
  <c r="E84" i="55"/>
  <c r="L84" i="55"/>
  <c r="L100" i="55" s="1" a="1"/>
  <c r="L100" i="55" s="1"/>
  <c r="K84" i="55"/>
  <c r="K96" i="55" s="1" a="1"/>
  <c r="K96" i="55" s="1"/>
  <c r="J84" i="55"/>
  <c r="J128" i="55" s="1" a="1"/>
  <c r="J128" i="55" s="1"/>
  <c r="I84" i="55"/>
  <c r="I85" i="55" s="1" a="1"/>
  <c r="I85" i="55" s="1"/>
  <c r="J80" i="55"/>
  <c r="O80" i="55" s="1" a="1"/>
  <c r="O80" i="55" s="1"/>
  <c r="J79" i="55"/>
  <c r="O79" i="55" s="1"/>
  <c r="J138" i="55" s="1"/>
  <c r="J78" i="55"/>
  <c r="O78" i="55" s="1"/>
  <c r="P78" i="55" s="1"/>
  <c r="Q78" i="55" s="1"/>
  <c r="J77" i="55"/>
  <c r="O77" i="55" s="1" a="1"/>
  <c r="O77" i="55" s="1"/>
  <c r="P77" i="55" s="1"/>
  <c r="Q77" i="55" s="1"/>
  <c r="J76" i="55"/>
  <c r="O76" i="55" s="1" a="1"/>
  <c r="O76" i="55" s="1"/>
  <c r="P76" i="55" s="1"/>
  <c r="Q76" i="55" s="1"/>
  <c r="J75" i="55"/>
  <c r="O75" i="55" s="1" a="1"/>
  <c r="O75" i="55" s="1"/>
  <c r="J74" i="55"/>
  <c r="J73" i="55"/>
  <c r="O73" i="55" s="1"/>
  <c r="Q73" i="55" s="1"/>
  <c r="J72" i="55"/>
  <c r="M124" i="54"/>
  <c r="N124" i="54" s="1"/>
  <c r="O124" i="54" s="1"/>
  <c r="M125" i="54"/>
  <c r="N125" i="54" s="1"/>
  <c r="O125" i="54" s="1"/>
  <c r="M126" i="54"/>
  <c r="N126" i="54" s="1"/>
  <c r="O126" i="54" s="1"/>
  <c r="M127" i="54"/>
  <c r="N127" i="54" s="1"/>
  <c r="O127" i="54" s="1"/>
  <c r="M123" i="54"/>
  <c r="N123" i="54" s="1"/>
  <c r="O123" i="54" s="1"/>
  <c r="N128" i="54"/>
  <c r="O128" i="54"/>
  <c r="N129" i="54"/>
  <c r="O129" i="54"/>
  <c r="N130" i="54"/>
  <c r="O130" i="54"/>
  <c r="N131" i="54"/>
  <c r="O131" i="54"/>
  <c r="N132" i="54"/>
  <c r="O132" i="54"/>
  <c r="M129" i="54"/>
  <c r="M130" i="54"/>
  <c r="M131" i="54"/>
  <c r="M132" i="54"/>
  <c r="M128" i="54"/>
  <c r="P71" i="55"/>
  <c r="Q71" i="55"/>
  <c r="O71" i="55"/>
  <c r="O63" i="55"/>
  <c r="P63" i="55" s="1"/>
  <c r="O64" i="55"/>
  <c r="P64" i="55" s="1"/>
  <c r="O65" i="55"/>
  <c r="P65" i="55" s="1"/>
  <c r="O66" i="55"/>
  <c r="P66" i="55" s="1"/>
  <c r="O67" i="55"/>
  <c r="Q67" i="55" s="1"/>
  <c r="O68" i="55"/>
  <c r="Q68" i="55" s="1"/>
  <c r="O69" i="55"/>
  <c r="Q69" i="55" s="1"/>
  <c r="O62" i="55"/>
  <c r="Q62" i="55" s="1"/>
  <c r="L74" i="55"/>
  <c r="L72" i="55"/>
  <c r="M71" i="55"/>
  <c r="M70" i="55"/>
  <c r="P70" i="55" s="1"/>
  <c r="L63" i="55"/>
  <c r="L64" i="55"/>
  <c r="L65" i="55"/>
  <c r="L66" i="55"/>
  <c r="L67" i="55"/>
  <c r="L68" i="55"/>
  <c r="L69" i="55"/>
  <c r="L62" i="55"/>
  <c r="D38" i="55"/>
  <c r="D37" i="55"/>
  <c r="J30" i="55"/>
  <c r="K30" i="55" s="1"/>
  <c r="C35" i="55"/>
  <c r="E137" i="54" a="1"/>
  <c r="E137" i="54" s="1"/>
  <c r="N122" i="54"/>
  <c r="O122" i="54" s="1"/>
  <c r="N121" i="54"/>
  <c r="O121" i="54" s="1"/>
  <c r="N120" i="54"/>
  <c r="O120" i="54" s="1"/>
  <c r="N119" i="54"/>
  <c r="O119" i="54" s="1"/>
  <c r="N118" i="54"/>
  <c r="O118" i="54" s="1"/>
  <c r="D34" i="54"/>
  <c r="D33" i="54"/>
  <c r="C31" i="54"/>
  <c r="I127" i="55" l="1" a="1"/>
  <c r="I127" i="55" s="1"/>
  <c r="L119" i="55" a="1"/>
  <c r="L119" i="55" s="1"/>
  <c r="L131" i="55" a="1"/>
  <c r="L131" i="55" s="1"/>
  <c r="L117" i="55" a="1"/>
  <c r="L117" i="55" s="1"/>
  <c r="L122" i="55" a="1"/>
  <c r="L122" i="55" s="1"/>
  <c r="O74" i="55" a="1"/>
  <c r="O74" i="55" s="1"/>
  <c r="D40" i="55" s="1"/>
  <c r="K118" i="55" a="1"/>
  <c r="K118" i="55" s="1"/>
  <c r="K92" i="55" a="1"/>
  <c r="K92" i="55" s="1"/>
  <c r="L118" i="55" a="1"/>
  <c r="L118" i="55" s="1"/>
  <c r="L101" i="55" a="1"/>
  <c r="L101" i="55" s="1"/>
  <c r="L99" i="55" a="1"/>
  <c r="L99" i="55" s="1"/>
  <c r="L88" i="55" a="1"/>
  <c r="L88" i="55" s="1"/>
  <c r="L87" i="55" a="1"/>
  <c r="L87" i="55" s="1"/>
  <c r="L102" i="55" a="1"/>
  <c r="L102" i="55" s="1"/>
  <c r="L96" i="55" a="1"/>
  <c r="L96" i="55" s="1"/>
  <c r="L86" i="55" a="1"/>
  <c r="L86" i="55" s="1"/>
  <c r="L85" i="55" a="1"/>
  <c r="L85" i="55" s="1"/>
  <c r="K114" i="55" a="1"/>
  <c r="K114" i="55" s="1"/>
  <c r="I88" i="55" a="1"/>
  <c r="I88" i="55" s="1"/>
  <c r="I95" i="55" a="1"/>
  <c r="I95" i="55" s="1"/>
  <c r="I102" i="55" a="1"/>
  <c r="I102" i="55" s="1"/>
  <c r="Q74" i="55" a="1"/>
  <c r="Q74" i="55" s="1"/>
  <c r="D41" i="55" s="1"/>
  <c r="L115" i="55" a="1"/>
  <c r="L115" i="55" s="1"/>
  <c r="L104" i="55" a="1"/>
  <c r="L104" i="55" s="1"/>
  <c r="L103" i="55" a="1"/>
  <c r="L103" i="55" s="1"/>
  <c r="L130" i="55" a="1"/>
  <c r="L130" i="55" s="1"/>
  <c r="L114" i="55" a="1"/>
  <c r="L114" i="55" s="1"/>
  <c r="L98" i="55" a="1"/>
  <c r="L98" i="55" s="1"/>
  <c r="L112" i="55" a="1"/>
  <c r="L112" i="55" s="1"/>
  <c r="L93" i="55" a="1"/>
  <c r="L93" i="55" s="1"/>
  <c r="L126" i="55" a="1"/>
  <c r="L126" i="55" s="1"/>
  <c r="L108" i="55" a="1"/>
  <c r="L108" i="55" s="1"/>
  <c r="L92" i="55" a="1"/>
  <c r="L92" i="55" s="1"/>
  <c r="L113" i="55" a="1"/>
  <c r="L113" i="55" s="1"/>
  <c r="L94" i="55" a="1"/>
  <c r="L94" i="55" s="1"/>
  <c r="L127" i="55" a="1"/>
  <c r="L127" i="55" s="1"/>
  <c r="L125" i="55" a="1"/>
  <c r="L125" i="55" s="1"/>
  <c r="L107" i="55" a="1"/>
  <c r="L107" i="55" s="1"/>
  <c r="L91" i="55" a="1"/>
  <c r="L91" i="55" s="1"/>
  <c r="L128" i="55" a="1"/>
  <c r="L128" i="55" s="1"/>
  <c r="L124" i="55" a="1"/>
  <c r="L124" i="55" s="1"/>
  <c r="L106" i="55" a="1"/>
  <c r="L106" i="55" s="1"/>
  <c r="L90" i="55" a="1"/>
  <c r="L90" i="55" s="1"/>
  <c r="L129" i="55" a="1"/>
  <c r="L129" i="55" s="1"/>
  <c r="L95" i="55" a="1"/>
  <c r="L95" i="55" s="1"/>
  <c r="L111" i="55" a="1"/>
  <c r="L111" i="55" s="1"/>
  <c r="L123" i="55" a="1"/>
  <c r="L123" i="55" s="1"/>
  <c r="L105" i="55" a="1"/>
  <c r="L105" i="55" s="1"/>
  <c r="L89" i="55" a="1"/>
  <c r="L89" i="55" s="1"/>
  <c r="L132" i="55" a="1"/>
  <c r="L132" i="55" s="1"/>
  <c r="L116" i="55" a="1"/>
  <c r="L116" i="55" s="1"/>
  <c r="I123" i="55" a="1"/>
  <c r="I123" i="55" s="1"/>
  <c r="I130" i="55" a="1"/>
  <c r="I130" i="55" s="1"/>
  <c r="I109" i="55" a="1"/>
  <c r="I109" i="55" s="1"/>
  <c r="I116" i="55" a="1"/>
  <c r="I116" i="55" s="1"/>
  <c r="J88" i="55" a="1"/>
  <c r="J88" i="55" s="1"/>
  <c r="J95" i="55" a="1"/>
  <c r="J95" i="55" s="1"/>
  <c r="J109" i="55" a="1"/>
  <c r="J109" i="55" s="1"/>
  <c r="K115" i="55" a="1"/>
  <c r="K115" i="55" s="1"/>
  <c r="J116" i="55" a="1"/>
  <c r="J116" i="55" s="1"/>
  <c r="J123" i="55" a="1"/>
  <c r="J123" i="55" s="1"/>
  <c r="K91" i="55" a="1"/>
  <c r="K91" i="55" s="1"/>
  <c r="K90" i="55" a="1"/>
  <c r="K90" i="55" s="1"/>
  <c r="J130" i="55" a="1"/>
  <c r="J130" i="55" s="1"/>
  <c r="J102" i="55" a="1"/>
  <c r="J102" i="55" s="1"/>
  <c r="K104" i="55" a="1"/>
  <c r="K104" i="55" s="1"/>
  <c r="K113" i="55" a="1"/>
  <c r="K113" i="55" s="1"/>
  <c r="K129" i="55" a="1"/>
  <c r="K129" i="55" s="1"/>
  <c r="K105" i="55" a="1"/>
  <c r="K105" i="55" s="1"/>
  <c r="K128" i="55" a="1"/>
  <c r="K128" i="55" s="1"/>
  <c r="K127" i="55" a="1"/>
  <c r="K127" i="55" s="1"/>
  <c r="K101" i="55" a="1"/>
  <c r="K101" i="55" s="1"/>
  <c r="K87" i="55" a="1"/>
  <c r="K87" i="55" s="1"/>
  <c r="K109" i="55" a="1"/>
  <c r="K109" i="55" s="1"/>
  <c r="K86" i="55" a="1"/>
  <c r="K86" i="55" s="1"/>
  <c r="K85" i="55" a="1"/>
  <c r="K85" i="55" s="1"/>
  <c r="K107" i="55" a="1"/>
  <c r="K107" i="55" s="1"/>
  <c r="K99" i="55" a="1"/>
  <c r="K99" i="55" s="1"/>
  <c r="K120" i="55" a="1"/>
  <c r="K120" i="55" s="1"/>
  <c r="K95" i="55" a="1"/>
  <c r="K95" i="55" s="1"/>
  <c r="K132" i="55" a="1"/>
  <c r="K132" i="55" s="1"/>
  <c r="K106" i="55" a="1"/>
  <c r="K106" i="55" s="1"/>
  <c r="K123" i="55" a="1"/>
  <c r="K123" i="55" s="1"/>
  <c r="K100" i="55" a="1"/>
  <c r="K100" i="55" s="1"/>
  <c r="K121" i="55" a="1"/>
  <c r="K121" i="55" s="1"/>
  <c r="K119" i="55" a="1"/>
  <c r="K119" i="55" s="1"/>
  <c r="K93" i="55" a="1"/>
  <c r="K93" i="55" s="1"/>
  <c r="I94" i="55" a="1"/>
  <c r="I94" i="55" s="1"/>
  <c r="I115" i="55" a="1"/>
  <c r="I115" i="55" s="1"/>
  <c r="I129" i="55" a="1"/>
  <c r="I129" i="55" s="1"/>
  <c r="I87" i="55" a="1"/>
  <c r="I87" i="55" s="1"/>
  <c r="I101" i="55" a="1"/>
  <c r="I101" i="55" s="1"/>
  <c r="I108" i="55" a="1"/>
  <c r="I108" i="55" s="1"/>
  <c r="I122" i="55" a="1"/>
  <c r="I122" i="55" s="1"/>
  <c r="K122" i="55" a="1"/>
  <c r="K122" i="55" s="1"/>
  <c r="K108" i="55" a="1"/>
  <c r="K108" i="55" s="1"/>
  <c r="K94" i="55" a="1"/>
  <c r="K94" i="55" s="1"/>
  <c r="J87" i="55" a="1"/>
  <c r="J87" i="55" s="1"/>
  <c r="J94" i="55" a="1"/>
  <c r="J94" i="55" s="1"/>
  <c r="J101" i="55" a="1"/>
  <c r="J101" i="55" s="1"/>
  <c r="J108" i="55" a="1"/>
  <c r="J108" i="55" s="1"/>
  <c r="J115" i="55" a="1"/>
  <c r="J115" i="55" s="1"/>
  <c r="J122" i="55" a="1"/>
  <c r="J122" i="55" s="1"/>
  <c r="J129" i="55" a="1"/>
  <c r="J129" i="55" s="1"/>
  <c r="I89" i="55" a="1"/>
  <c r="I89" i="55" s="1"/>
  <c r="I96" i="55" a="1"/>
  <c r="I96" i="55" s="1"/>
  <c r="I103" i="55" a="1"/>
  <c r="I103" i="55" s="1"/>
  <c r="I110" i="55" a="1"/>
  <c r="I110" i="55" s="1"/>
  <c r="I117" i="55" a="1"/>
  <c r="I117" i="55" s="1"/>
  <c r="I124" i="55" a="1"/>
  <c r="I124" i="55" s="1"/>
  <c r="I131" i="55" a="1"/>
  <c r="I131" i="55" s="1"/>
  <c r="J89" i="55" a="1"/>
  <c r="J89" i="55" s="1"/>
  <c r="J110" i="55" a="1"/>
  <c r="J110" i="55" s="1"/>
  <c r="J124" i="55" a="1"/>
  <c r="J124" i="55" s="1"/>
  <c r="K131" i="55" a="1"/>
  <c r="K131" i="55" s="1"/>
  <c r="K117" i="55" a="1"/>
  <c r="K117" i="55" s="1"/>
  <c r="K103" i="55" a="1"/>
  <c r="K103" i="55" s="1"/>
  <c r="K89" i="55" a="1"/>
  <c r="K89" i="55" s="1"/>
  <c r="I90" i="55" a="1"/>
  <c r="I90" i="55" s="1"/>
  <c r="I97" i="55" a="1"/>
  <c r="I97" i="55" s="1"/>
  <c r="I104" i="55" a="1"/>
  <c r="I104" i="55" s="1"/>
  <c r="I111" i="55" a="1"/>
  <c r="I111" i="55" s="1"/>
  <c r="I118" i="55" a="1"/>
  <c r="I118" i="55" s="1"/>
  <c r="I125" i="55" a="1"/>
  <c r="I125" i="55" s="1"/>
  <c r="I132" i="55" a="1"/>
  <c r="I132" i="55" s="1"/>
  <c r="J96" i="55" a="1"/>
  <c r="J96" i="55" s="1"/>
  <c r="J103" i="55" a="1"/>
  <c r="J103" i="55" s="1"/>
  <c r="J117" i="55" a="1"/>
  <c r="J117" i="55" s="1"/>
  <c r="J131" i="55" a="1"/>
  <c r="J131" i="55" s="1"/>
  <c r="K130" i="55" a="1"/>
  <c r="K130" i="55" s="1"/>
  <c r="K116" i="55" a="1"/>
  <c r="K116" i="55" s="1"/>
  <c r="K102" i="55" a="1"/>
  <c r="K102" i="55" s="1"/>
  <c r="K88" i="55" a="1"/>
  <c r="K88" i="55" s="1"/>
  <c r="J90" i="55" a="1"/>
  <c r="J90" i="55" s="1"/>
  <c r="J97" i="55" a="1"/>
  <c r="J97" i="55" s="1"/>
  <c r="J104" i="55" a="1"/>
  <c r="J104" i="55" s="1"/>
  <c r="J111" i="55" a="1"/>
  <c r="J111" i="55" s="1"/>
  <c r="J118" i="55" a="1"/>
  <c r="J118" i="55" s="1"/>
  <c r="J125" i="55" a="1"/>
  <c r="J125" i="55" s="1"/>
  <c r="J132" i="55" a="1"/>
  <c r="J132" i="55" s="1"/>
  <c r="I91" i="55" a="1"/>
  <c r="I91" i="55" s="1"/>
  <c r="I98" i="55" a="1"/>
  <c r="I98" i="55" s="1"/>
  <c r="I105" i="55" a="1"/>
  <c r="I105" i="55" s="1"/>
  <c r="I112" i="55" a="1"/>
  <c r="I112" i="55" s="1"/>
  <c r="I119" i="55" a="1"/>
  <c r="I119" i="55" s="1"/>
  <c r="I126" i="55" a="1"/>
  <c r="I126" i="55" s="1"/>
  <c r="J91" i="55" a="1"/>
  <c r="J91" i="55" s="1"/>
  <c r="J98" i="55" a="1"/>
  <c r="J98" i="55" s="1"/>
  <c r="J105" i="55" a="1"/>
  <c r="J105" i="55" s="1"/>
  <c r="J112" i="55" a="1"/>
  <c r="J112" i="55" s="1"/>
  <c r="J119" i="55" a="1"/>
  <c r="J119" i="55" s="1"/>
  <c r="J126" i="55" a="1"/>
  <c r="J126" i="55" s="1"/>
  <c r="I120" i="55" a="1"/>
  <c r="I120" i="55" s="1"/>
  <c r="K126" i="55" a="1"/>
  <c r="K126" i="55" s="1"/>
  <c r="K112" i="55" a="1"/>
  <c r="K112" i="55" s="1"/>
  <c r="K98" i="55" a="1"/>
  <c r="K98" i="55" s="1"/>
  <c r="J85" i="55" a="1"/>
  <c r="J85" i="55" s="1"/>
  <c r="J92" i="55" a="1"/>
  <c r="J92" i="55" s="1"/>
  <c r="J99" i="55" a="1"/>
  <c r="J99" i="55" s="1"/>
  <c r="J106" i="55" a="1"/>
  <c r="J106" i="55" s="1"/>
  <c r="J113" i="55" a="1"/>
  <c r="J113" i="55" s="1"/>
  <c r="J120" i="55" a="1"/>
  <c r="J120" i="55" s="1"/>
  <c r="J127" i="55" a="1"/>
  <c r="J127" i="55" s="1"/>
  <c r="I106" i="55" a="1"/>
  <c r="I106" i="55" s="1"/>
  <c r="K125" i="55" a="1"/>
  <c r="K125" i="55" s="1"/>
  <c r="K111" i="55" a="1"/>
  <c r="K111" i="55" s="1"/>
  <c r="K97" i="55" a="1"/>
  <c r="K97" i="55" s="1"/>
  <c r="I86" i="55" a="1"/>
  <c r="I86" i="55" s="1"/>
  <c r="I93" i="55" a="1"/>
  <c r="I93" i="55" s="1"/>
  <c r="I100" i="55" a="1"/>
  <c r="I100" i="55" s="1"/>
  <c r="I107" i="55" a="1"/>
  <c r="I107" i="55" s="1"/>
  <c r="I114" i="55" a="1"/>
  <c r="I114" i="55" s="1"/>
  <c r="I121" i="55" a="1"/>
  <c r="I121" i="55" s="1"/>
  <c r="I128" i="55" a="1"/>
  <c r="I128" i="55" s="1"/>
  <c r="I92" i="55" a="1"/>
  <c r="I92" i="55" s="1"/>
  <c r="I99" i="55" a="1"/>
  <c r="I99" i="55" s="1"/>
  <c r="I113" i="55" a="1"/>
  <c r="I113" i="55" s="1"/>
  <c r="K124" i="55" a="1"/>
  <c r="K124" i="55" s="1"/>
  <c r="K110" i="55" a="1"/>
  <c r="K110" i="55" s="1"/>
  <c r="J86" i="55" a="1"/>
  <c r="J86" i="55" s="1"/>
  <c r="J93" i="55" a="1"/>
  <c r="J93" i="55" s="1"/>
  <c r="J100" i="55" a="1"/>
  <c r="J100" i="55" s="1"/>
  <c r="J107" i="55" a="1"/>
  <c r="J107" i="55" s="1"/>
  <c r="J114" i="55" a="1"/>
  <c r="J114" i="55" s="1"/>
  <c r="J121" i="55" a="1"/>
  <c r="J121" i="55" s="1"/>
  <c r="O72" i="55" a="1"/>
  <c r="O72" i="55" s="1"/>
  <c r="P72" i="55" s="1"/>
  <c r="L121" i="55" a="1"/>
  <c r="L121" i="55" s="1"/>
  <c r="L110" i="55" a="1"/>
  <c r="L110" i="55" s="1"/>
  <c r="L97" i="55" a="1"/>
  <c r="L97" i="55" s="1"/>
  <c r="L120" i="55" a="1"/>
  <c r="L120" i="55" s="1"/>
  <c r="L109" i="55" a="1"/>
  <c r="L109" i="55" s="1"/>
  <c r="Q79" i="55"/>
  <c r="L138" i="55" s="1"/>
  <c r="D43" i="55"/>
  <c r="P74" i="55" a="1"/>
  <c r="P74" i="55" s="1"/>
  <c r="E41" i="55" s="1"/>
  <c r="P79" i="55"/>
  <c r="K138" i="55" s="1"/>
  <c r="Q80" i="55"/>
  <c r="P80" i="55"/>
  <c r="P62" i="55"/>
  <c r="Q65" i="55"/>
  <c r="Q66" i="55"/>
  <c r="P75" i="55"/>
  <c r="Q75" i="55" s="1"/>
  <c r="Q64" i="55"/>
  <c r="O70" i="55"/>
  <c r="J139" i="55" s="1"/>
  <c r="P67" i="55"/>
  <c r="Q70" i="55"/>
  <c r="P69" i="55"/>
  <c r="Q63" i="55"/>
  <c r="P68" i="55"/>
  <c r="P73" i="55"/>
  <c r="H138" i="54" a="1"/>
  <c r="H138" i="54" s="1"/>
  <c r="H139" i="54" a="1"/>
  <c r="H139" i="54" s="1"/>
  <c r="H140" i="54" a="1"/>
  <c r="H140" i="54" s="1"/>
  <c r="H141" i="54" a="1"/>
  <c r="H141" i="54" s="1"/>
  <c r="H142" i="54" a="1"/>
  <c r="H142" i="54" s="1"/>
  <c r="H143" i="54" a="1"/>
  <c r="H143" i="54" s="1"/>
  <c r="H144" i="54" a="1"/>
  <c r="H144" i="54" s="1"/>
  <c r="H145" i="54" a="1"/>
  <c r="H145" i="54" s="1"/>
  <c r="H146" i="54" a="1"/>
  <c r="H146" i="54" s="1"/>
  <c r="H147" i="54" a="1"/>
  <c r="H147" i="54" s="1"/>
  <c r="H148" i="54" a="1"/>
  <c r="H148" i="54" s="1"/>
  <c r="H149" i="54" a="1"/>
  <c r="H149" i="54" s="1"/>
  <c r="H150" i="54" a="1"/>
  <c r="H150" i="54" s="1"/>
  <c r="H151" i="54" a="1"/>
  <c r="H151" i="54" s="1"/>
  <c r="H152" i="54" a="1"/>
  <c r="H152" i="54" s="1"/>
  <c r="H153" i="54" a="1"/>
  <c r="H153" i="54" s="1"/>
  <c r="H154" i="54" a="1"/>
  <c r="H154" i="54" s="1"/>
  <c r="H155" i="54" a="1"/>
  <c r="H155" i="54" s="1"/>
  <c r="H156" i="54" a="1"/>
  <c r="H156" i="54" s="1"/>
  <c r="H157" i="54" a="1"/>
  <c r="H157" i="54" s="1"/>
  <c r="H158" i="54" a="1"/>
  <c r="H158" i="54" s="1"/>
  <c r="H159" i="54" a="1"/>
  <c r="H159" i="54" s="1"/>
  <c r="H160" i="54" a="1"/>
  <c r="H160" i="54" s="1"/>
  <c r="H161" i="54" a="1"/>
  <c r="H161" i="54" s="1"/>
  <c r="H162" i="54" a="1"/>
  <c r="H162" i="54" s="1"/>
  <c r="H163" i="54" a="1"/>
  <c r="H163" i="54" s="1"/>
  <c r="H164" i="54" a="1"/>
  <c r="H164" i="54" s="1"/>
  <c r="H165" i="54" a="1"/>
  <c r="H165" i="54" s="1"/>
  <c r="H166" i="54" a="1"/>
  <c r="H166" i="54" s="1"/>
  <c r="H167" i="54" a="1"/>
  <c r="H167" i="54" s="1"/>
  <c r="H168" i="54" a="1"/>
  <c r="H168" i="54" s="1"/>
  <c r="H169" i="54" a="1"/>
  <c r="H169" i="54" s="1"/>
  <c r="H170" i="54" a="1"/>
  <c r="H170" i="54" s="1"/>
  <c r="H171" i="54" a="1"/>
  <c r="H171" i="54" s="1"/>
  <c r="H172" i="54" a="1"/>
  <c r="H172" i="54" s="1"/>
  <c r="H173" i="54" a="1"/>
  <c r="H173" i="54" s="1"/>
  <c r="H174" i="54" a="1"/>
  <c r="H174" i="54" s="1"/>
  <c r="H175" i="54" a="1"/>
  <c r="H175" i="54" s="1"/>
  <c r="H176" i="54" a="1"/>
  <c r="H176" i="54" s="1"/>
  <c r="H177" i="54" a="1"/>
  <c r="H177" i="54" s="1"/>
  <c r="H178" i="54" a="1"/>
  <c r="H178" i="54" s="1"/>
  <c r="H179" i="54" a="1"/>
  <c r="H179" i="54" s="1"/>
  <c r="H180" i="54" a="1"/>
  <c r="H180" i="54" s="1"/>
  <c r="H181" i="54" a="1"/>
  <c r="H181" i="54" s="1"/>
  <c r="H182" i="54" a="1"/>
  <c r="H182" i="54" s="1"/>
  <c r="H183" i="54" a="1"/>
  <c r="H183" i="54" s="1"/>
  <c r="H184" i="54" a="1"/>
  <c r="H184" i="54" s="1"/>
  <c r="H137" i="54" a="1"/>
  <c r="H137" i="54" s="1"/>
  <c r="M117" i="54"/>
  <c r="N117" i="54" s="1"/>
  <c r="M114" i="54"/>
  <c r="N114" i="54" s="1"/>
  <c r="M115" i="54"/>
  <c r="J193" i="54" s="1"/>
  <c r="D39" i="54" s="1"/>
  <c r="M116" i="54"/>
  <c r="N116" i="54" s="1"/>
  <c r="M113" i="54"/>
  <c r="J191" i="54" s="1"/>
  <c r="D37" i="54" s="1"/>
  <c r="J140" i="55" l="1"/>
  <c r="Q72" i="55"/>
  <c r="K139" i="55"/>
  <c r="K140" i="55" s="1"/>
  <c r="L139" i="55"/>
  <c r="J192" i="54"/>
  <c r="D38" i="54" s="1"/>
  <c r="N113" i="54"/>
  <c r="K191" i="54" s="1"/>
  <c r="J194" i="54"/>
  <c r="D40" i="54" s="1"/>
  <c r="J195" i="54"/>
  <c r="D41" i="54" s="1"/>
  <c r="O114" i="54"/>
  <c r="L192" i="54" s="1"/>
  <c r="K192" i="54"/>
  <c r="K195" i="54"/>
  <c r="O117" i="54"/>
  <c r="L195" i="54" s="1"/>
  <c r="O116" i="54"/>
  <c r="L194" i="54" s="1"/>
  <c r="K194" i="54"/>
  <c r="N115" i="54"/>
  <c r="E153" i="55" l="1"/>
  <c r="K153" i="55" s="1"/>
  <c r="Q153" i="55"/>
  <c r="L140" i="55"/>
  <c r="G154" i="55" s="1"/>
  <c r="M154" i="55" s="1"/>
  <c r="E169" i="55"/>
  <c r="K169" i="55" s="1"/>
  <c r="T162" i="55"/>
  <c r="T176" i="55"/>
  <c r="T190" i="55"/>
  <c r="T163" i="55"/>
  <c r="T177" i="55"/>
  <c r="T191" i="55"/>
  <c r="T165" i="55"/>
  <c r="T179" i="55"/>
  <c r="T193" i="55"/>
  <c r="T166" i="55"/>
  <c r="T180" i="55"/>
  <c r="T194" i="55"/>
  <c r="T167" i="55"/>
  <c r="T181" i="55"/>
  <c r="T195" i="55"/>
  <c r="T171" i="55"/>
  <c r="T186" i="55"/>
  <c r="T189" i="55"/>
  <c r="T154" i="55"/>
  <c r="T168" i="55"/>
  <c r="T182" i="55"/>
  <c r="T196" i="55"/>
  <c r="T158" i="55"/>
  <c r="T187" i="55"/>
  <c r="T175" i="55"/>
  <c r="T164" i="55"/>
  <c r="T178" i="55"/>
  <c r="T192" i="55"/>
  <c r="T155" i="55"/>
  <c r="T169" i="55"/>
  <c r="T183" i="55"/>
  <c r="T197" i="55"/>
  <c r="T185" i="55"/>
  <c r="T200" i="55"/>
  <c r="T159" i="55"/>
  <c r="T153" i="55"/>
  <c r="T161" i="55"/>
  <c r="T156" i="55"/>
  <c r="T170" i="55"/>
  <c r="T184" i="55"/>
  <c r="T198" i="55"/>
  <c r="T157" i="55"/>
  <c r="T199" i="55"/>
  <c r="T172" i="55"/>
  <c r="T173" i="55"/>
  <c r="T160" i="55"/>
  <c r="T174" i="55"/>
  <c r="T188" i="55"/>
  <c r="E199" i="55"/>
  <c r="K199" i="55" s="1"/>
  <c r="S188" i="55"/>
  <c r="S174" i="55"/>
  <c r="S160" i="55"/>
  <c r="R161" i="55"/>
  <c r="R175" i="55"/>
  <c r="R189" i="55"/>
  <c r="Q155" i="55"/>
  <c r="Q169" i="55"/>
  <c r="Q183" i="55"/>
  <c r="Q197" i="55"/>
  <c r="S199" i="55"/>
  <c r="S185" i="55"/>
  <c r="S171" i="55"/>
  <c r="S157" i="55"/>
  <c r="R164" i="55"/>
  <c r="R178" i="55"/>
  <c r="R192" i="55"/>
  <c r="Q158" i="55"/>
  <c r="Q172" i="55"/>
  <c r="Q186" i="55"/>
  <c r="Q200" i="55"/>
  <c r="R171" i="55"/>
  <c r="Q179" i="55"/>
  <c r="S191" i="55"/>
  <c r="R158" i="55"/>
  <c r="Q180" i="55"/>
  <c r="S153" i="55"/>
  <c r="S187" i="55"/>
  <c r="S173" i="55"/>
  <c r="S159" i="55"/>
  <c r="R162" i="55"/>
  <c r="R176" i="55"/>
  <c r="R190" i="55"/>
  <c r="Q156" i="55"/>
  <c r="Q170" i="55"/>
  <c r="Q184" i="55"/>
  <c r="Q198" i="55"/>
  <c r="S200" i="55"/>
  <c r="S186" i="55"/>
  <c r="S172" i="55"/>
  <c r="S158" i="55"/>
  <c r="R163" i="55"/>
  <c r="R177" i="55"/>
  <c r="R191" i="55"/>
  <c r="Q157" i="55"/>
  <c r="Q171" i="55"/>
  <c r="Q185" i="55"/>
  <c r="Q199" i="55"/>
  <c r="S198" i="55"/>
  <c r="S184" i="55"/>
  <c r="S170" i="55"/>
  <c r="S156" i="55"/>
  <c r="R165" i="55"/>
  <c r="R179" i="55"/>
  <c r="R193" i="55"/>
  <c r="Q159" i="55"/>
  <c r="Q173" i="55"/>
  <c r="Q187" i="55"/>
  <c r="R200" i="55"/>
  <c r="S197" i="55"/>
  <c r="S183" i="55"/>
  <c r="S169" i="55"/>
  <c r="S155" i="55"/>
  <c r="R166" i="55"/>
  <c r="R180" i="55"/>
  <c r="R194" i="55"/>
  <c r="Q160" i="55"/>
  <c r="Q174" i="55"/>
  <c r="Q188" i="55"/>
  <c r="S192" i="55"/>
  <c r="S178" i="55"/>
  <c r="S164" i="55"/>
  <c r="R157" i="55"/>
  <c r="R185" i="55"/>
  <c r="R199" i="55"/>
  <c r="Q165" i="55"/>
  <c r="Q193" i="55"/>
  <c r="S177" i="55"/>
  <c r="R186" i="55"/>
  <c r="Q194" i="55"/>
  <c r="S196" i="55"/>
  <c r="S182" i="55"/>
  <c r="S168" i="55"/>
  <c r="S154" i="55"/>
  <c r="R167" i="55"/>
  <c r="R181" i="55"/>
  <c r="R195" i="55"/>
  <c r="Q161" i="55"/>
  <c r="Q175" i="55"/>
  <c r="Q189" i="55"/>
  <c r="S180" i="55"/>
  <c r="R155" i="55"/>
  <c r="R183" i="55"/>
  <c r="R197" i="55"/>
  <c r="Q177" i="55"/>
  <c r="S195" i="55"/>
  <c r="S181" i="55"/>
  <c r="S167" i="55"/>
  <c r="R154" i="55"/>
  <c r="R168" i="55"/>
  <c r="R182" i="55"/>
  <c r="R196" i="55"/>
  <c r="Q162" i="55"/>
  <c r="Q176" i="55"/>
  <c r="Q190" i="55"/>
  <c r="S194" i="55"/>
  <c r="S166" i="55"/>
  <c r="R169" i="55"/>
  <c r="Q163" i="55"/>
  <c r="Q191" i="55"/>
  <c r="S163" i="55"/>
  <c r="Q166" i="55"/>
  <c r="S193" i="55"/>
  <c r="S179" i="55"/>
  <c r="S165" i="55"/>
  <c r="R156" i="55"/>
  <c r="R170" i="55"/>
  <c r="R184" i="55"/>
  <c r="R198" i="55"/>
  <c r="Q164" i="55"/>
  <c r="Q178" i="55"/>
  <c r="Q192" i="55"/>
  <c r="S190" i="55"/>
  <c r="S176" i="55"/>
  <c r="S162" i="55"/>
  <c r="R159" i="55"/>
  <c r="R173" i="55"/>
  <c r="R187" i="55"/>
  <c r="R153" i="55"/>
  <c r="Q167" i="55"/>
  <c r="Q181" i="55"/>
  <c r="Q195" i="55"/>
  <c r="S189" i="55"/>
  <c r="S175" i="55"/>
  <c r="S161" i="55"/>
  <c r="R160" i="55"/>
  <c r="R174" i="55"/>
  <c r="R188" i="55"/>
  <c r="Q154" i="55"/>
  <c r="Q168" i="55"/>
  <c r="Q196" i="55"/>
  <c r="R172" i="55"/>
  <c r="Q182" i="55"/>
  <c r="E189" i="55"/>
  <c r="K189" i="55" s="1"/>
  <c r="E197" i="55"/>
  <c r="K197" i="55" s="1"/>
  <c r="E166" i="55"/>
  <c r="K166" i="55" s="1"/>
  <c r="E190" i="55"/>
  <c r="K190" i="55" s="1"/>
  <c r="E167" i="55"/>
  <c r="K167" i="55" s="1"/>
  <c r="E155" i="55"/>
  <c r="K155" i="55" s="1"/>
  <c r="E180" i="55"/>
  <c r="K180" i="55" s="1"/>
  <c r="E196" i="55"/>
  <c r="K196" i="55" s="1"/>
  <c r="E157" i="55"/>
  <c r="K157" i="55" s="1"/>
  <c r="E164" i="55"/>
  <c r="K164" i="55" s="1"/>
  <c r="E171" i="55"/>
  <c r="K171" i="55" s="1"/>
  <c r="E178" i="55"/>
  <c r="K178" i="55" s="1"/>
  <c r="E173" i="55"/>
  <c r="K173" i="55" s="1"/>
  <c r="E168" i="55"/>
  <c r="K168" i="55" s="1"/>
  <c r="E194" i="55"/>
  <c r="K194" i="55" s="1"/>
  <c r="E187" i="55"/>
  <c r="K187" i="55" s="1"/>
  <c r="E188" i="55"/>
  <c r="K188" i="55" s="1"/>
  <c r="E158" i="55"/>
  <c r="K158" i="55" s="1"/>
  <c r="E186" i="55"/>
  <c r="K186" i="55" s="1"/>
  <c r="E159" i="55"/>
  <c r="K159" i="55" s="1"/>
  <c r="E163" i="55"/>
  <c r="K163" i="55" s="1"/>
  <c r="E172" i="55"/>
  <c r="K172" i="55" s="1"/>
  <c r="E176" i="55"/>
  <c r="K176" i="55" s="1"/>
  <c r="E165" i="55"/>
  <c r="K165" i="55" s="1"/>
  <c r="E193" i="55"/>
  <c r="K193" i="55" s="1"/>
  <c r="E182" i="55"/>
  <c r="K182" i="55" s="1"/>
  <c r="E181" i="55"/>
  <c r="K181" i="55" s="1"/>
  <c r="E198" i="55"/>
  <c r="K198" i="55" s="1"/>
  <c r="E200" i="55"/>
  <c r="K200" i="55" s="1"/>
  <c r="E184" i="55"/>
  <c r="K184" i="55" s="1"/>
  <c r="E195" i="55"/>
  <c r="K195" i="55" s="1"/>
  <c r="E175" i="55"/>
  <c r="K175" i="55" s="1"/>
  <c r="E162" i="55"/>
  <c r="K162" i="55" s="1"/>
  <c r="E161" i="55"/>
  <c r="K161" i="55" s="1"/>
  <c r="E160" i="55"/>
  <c r="K160" i="55" s="1"/>
  <c r="E183" i="55"/>
  <c r="K183" i="55" s="1"/>
  <c r="E179" i="55"/>
  <c r="K179" i="55" s="1"/>
  <c r="E154" i="55"/>
  <c r="K154" i="55" s="1"/>
  <c r="E191" i="55"/>
  <c r="K191" i="55" s="1"/>
  <c r="E170" i="55"/>
  <c r="K170" i="55" s="1"/>
  <c r="E192" i="55"/>
  <c r="K192" i="55" s="1"/>
  <c r="E177" i="55"/>
  <c r="K177" i="55" s="1"/>
  <c r="E156" i="55"/>
  <c r="K156" i="55" s="1"/>
  <c r="E174" i="55"/>
  <c r="K174" i="55" s="1"/>
  <c r="E185" i="55"/>
  <c r="K185" i="55" s="1"/>
  <c r="F162" i="55"/>
  <c r="L162" i="55" s="1"/>
  <c r="F176" i="55"/>
  <c r="L176" i="55" s="1"/>
  <c r="F190" i="55"/>
  <c r="L190" i="55" s="1"/>
  <c r="F163" i="55"/>
  <c r="L163" i="55" s="1"/>
  <c r="F177" i="55"/>
  <c r="L177" i="55" s="1"/>
  <c r="F191" i="55"/>
  <c r="L191" i="55" s="1"/>
  <c r="F164" i="55"/>
  <c r="L164" i="55" s="1"/>
  <c r="F178" i="55"/>
  <c r="L178" i="55" s="1"/>
  <c r="F192" i="55"/>
  <c r="L192" i="55" s="1"/>
  <c r="F165" i="55"/>
  <c r="L165" i="55" s="1"/>
  <c r="F179" i="55"/>
  <c r="L179" i="55" s="1"/>
  <c r="F193" i="55"/>
  <c r="L193" i="55" s="1"/>
  <c r="F166" i="55"/>
  <c r="L166" i="55" s="1"/>
  <c r="F180" i="55"/>
  <c r="L180" i="55" s="1"/>
  <c r="F194" i="55"/>
  <c r="L194" i="55" s="1"/>
  <c r="F167" i="55"/>
  <c r="L167" i="55" s="1"/>
  <c r="F181" i="55"/>
  <c r="L181" i="55" s="1"/>
  <c r="F195" i="55"/>
  <c r="L195" i="55" s="1"/>
  <c r="F154" i="55"/>
  <c r="L154" i="55" s="1"/>
  <c r="F168" i="55"/>
  <c r="L168" i="55" s="1"/>
  <c r="F182" i="55"/>
  <c r="L182" i="55" s="1"/>
  <c r="F196" i="55"/>
  <c r="L196" i="55" s="1"/>
  <c r="F155" i="55"/>
  <c r="L155" i="55" s="1"/>
  <c r="F169" i="55"/>
  <c r="L169" i="55" s="1"/>
  <c r="F183" i="55"/>
  <c r="L183" i="55" s="1"/>
  <c r="F197" i="55"/>
  <c r="L197" i="55" s="1"/>
  <c r="F156" i="55"/>
  <c r="L156" i="55" s="1"/>
  <c r="F170" i="55"/>
  <c r="L170" i="55" s="1"/>
  <c r="F184" i="55"/>
  <c r="L184" i="55" s="1"/>
  <c r="F198" i="55"/>
  <c r="L198" i="55" s="1"/>
  <c r="F157" i="55"/>
  <c r="L157" i="55" s="1"/>
  <c r="F171" i="55"/>
  <c r="L171" i="55" s="1"/>
  <c r="F185" i="55"/>
  <c r="L185" i="55" s="1"/>
  <c r="F199" i="55"/>
  <c r="L199" i="55" s="1"/>
  <c r="F172" i="55"/>
  <c r="L172" i="55" s="1"/>
  <c r="F173" i="55"/>
  <c r="L173" i="55" s="1"/>
  <c r="F186" i="55"/>
  <c r="L186" i="55" s="1"/>
  <c r="F187" i="55"/>
  <c r="L187" i="55" s="1"/>
  <c r="F188" i="55"/>
  <c r="L188" i="55" s="1"/>
  <c r="F189" i="55"/>
  <c r="L189" i="55" s="1"/>
  <c r="F200" i="55"/>
  <c r="L200" i="55" s="1"/>
  <c r="F153" i="55"/>
  <c r="F158" i="55"/>
  <c r="L158" i="55" s="1"/>
  <c r="F159" i="55"/>
  <c r="L159" i="55" s="1"/>
  <c r="F160" i="55"/>
  <c r="L160" i="55" s="1"/>
  <c r="F161" i="55"/>
  <c r="L161" i="55" s="1"/>
  <c r="F174" i="55"/>
  <c r="L174" i="55" s="1"/>
  <c r="F175" i="55"/>
  <c r="L175" i="55" s="1"/>
  <c r="O113" i="54"/>
  <c r="L191" i="54" s="1"/>
  <c r="O115" i="54"/>
  <c r="L193" i="54" s="1"/>
  <c r="K193" i="54"/>
  <c r="G167" i="55" l="1"/>
  <c r="M167" i="55" s="1"/>
  <c r="G179" i="55"/>
  <c r="M179" i="55" s="1"/>
  <c r="G195" i="55"/>
  <c r="M195" i="55" s="1"/>
  <c r="G160" i="55"/>
  <c r="M160" i="55" s="1"/>
  <c r="G194" i="55"/>
  <c r="M194" i="55" s="1"/>
  <c r="G200" i="55"/>
  <c r="M200" i="55" s="1"/>
  <c r="G175" i="55"/>
  <c r="M175" i="55" s="1"/>
  <c r="G192" i="55"/>
  <c r="M192" i="55" s="1"/>
  <c r="G189" i="55"/>
  <c r="M189" i="55" s="1"/>
  <c r="G188" i="55"/>
  <c r="M188" i="55" s="1"/>
  <c r="G181" i="55"/>
  <c r="M181" i="55" s="1"/>
  <c r="G199" i="55"/>
  <c r="M199" i="55" s="1"/>
  <c r="G171" i="55"/>
  <c r="M171" i="55" s="1"/>
  <c r="G190" i="55"/>
  <c r="M190" i="55" s="1"/>
  <c r="G157" i="55"/>
  <c r="M157" i="55" s="1"/>
  <c r="G186" i="55"/>
  <c r="M186" i="55" s="1"/>
  <c r="G180" i="55"/>
  <c r="M180" i="55" s="1"/>
  <c r="G165" i="55"/>
  <c r="M165" i="55" s="1"/>
  <c r="G191" i="55"/>
  <c r="M191" i="55" s="1"/>
  <c r="G185" i="55"/>
  <c r="M185" i="55" s="1"/>
  <c r="G198" i="55"/>
  <c r="M198" i="55" s="1"/>
  <c r="G158" i="55"/>
  <c r="M158" i="55" s="1"/>
  <c r="G163" i="55"/>
  <c r="M163" i="55" s="1"/>
  <c r="G176" i="55"/>
  <c r="M176" i="55" s="1"/>
  <c r="G162" i="55"/>
  <c r="M162" i="55" s="1"/>
  <c r="G156" i="55"/>
  <c r="M156" i="55" s="1"/>
  <c r="G169" i="55"/>
  <c r="M169" i="55" s="1"/>
  <c r="G155" i="55"/>
  <c r="M155" i="55" s="1"/>
  <c r="G174" i="55"/>
  <c r="M174" i="55" s="1"/>
  <c r="G177" i="55"/>
  <c r="M177" i="55" s="1"/>
  <c r="G172" i="55"/>
  <c r="M172" i="55" s="1"/>
  <c r="G193" i="55"/>
  <c r="M193" i="55" s="1"/>
  <c r="G161" i="55"/>
  <c r="M161" i="55" s="1"/>
  <c r="G184" i="55"/>
  <c r="M184" i="55" s="1"/>
  <c r="G166" i="55"/>
  <c r="M166" i="55" s="1"/>
  <c r="G187" i="55"/>
  <c r="M187" i="55" s="1"/>
  <c r="G164" i="55"/>
  <c r="M164" i="55" s="1"/>
  <c r="G173" i="55"/>
  <c r="M173" i="55" s="1"/>
  <c r="G197" i="55"/>
  <c r="M197" i="55" s="1"/>
  <c r="G159" i="55"/>
  <c r="M159" i="55" s="1"/>
  <c r="G183" i="55"/>
  <c r="M183" i="55" s="1"/>
  <c r="G178" i="55"/>
  <c r="M178" i="55" s="1"/>
  <c r="G153" i="55"/>
  <c r="M153" i="55" s="1"/>
  <c r="G170" i="55"/>
  <c r="M170" i="55" s="1"/>
  <c r="G196" i="55"/>
  <c r="M196" i="55" s="1"/>
  <c r="G182" i="55"/>
  <c r="M182" i="55" s="1"/>
  <c r="G168" i="55"/>
  <c r="M168" i="55" s="1"/>
  <c r="T147" i="55"/>
  <c r="T148" i="55" s="1"/>
  <c r="R147" i="55"/>
  <c r="R148" i="55" s="1"/>
  <c r="Q147" i="55"/>
  <c r="Q148" i="55" s="1"/>
  <c r="S147" i="55"/>
  <c r="S148" i="55" s="1"/>
  <c r="E147" i="55"/>
  <c r="I36" i="55" s="1"/>
  <c r="L153" i="55"/>
  <c r="L147" i="55" s="1"/>
  <c r="F147" i="55"/>
  <c r="K147" i="55"/>
  <c r="E138" i="54" a="1"/>
  <c r="E138" i="54" s="1"/>
  <c r="E139" i="54" a="1"/>
  <c r="E139" i="54" s="1"/>
  <c r="E140" i="54" a="1"/>
  <c r="E140" i="54" s="1"/>
  <c r="E141" i="54" a="1"/>
  <c r="E141" i="54" s="1"/>
  <c r="E142" i="54" a="1"/>
  <c r="E142" i="54" s="1"/>
  <c r="E143" i="54" a="1"/>
  <c r="E143" i="54" s="1"/>
  <c r="E144" i="54" a="1"/>
  <c r="E144" i="54" s="1"/>
  <c r="E145" i="54" a="1"/>
  <c r="E145" i="54" s="1"/>
  <c r="E146" i="54" a="1"/>
  <c r="E146" i="54" s="1"/>
  <c r="E147" i="54" a="1"/>
  <c r="E147" i="54" s="1"/>
  <c r="E148" i="54" a="1"/>
  <c r="E148" i="54" s="1"/>
  <c r="E149" i="54" a="1"/>
  <c r="E149" i="54" s="1"/>
  <c r="E150" i="54" a="1"/>
  <c r="E150" i="54" s="1"/>
  <c r="E151" i="54" a="1"/>
  <c r="E151" i="54" s="1"/>
  <c r="E152" i="54" a="1"/>
  <c r="E152" i="54" s="1"/>
  <c r="E153" i="54" a="1"/>
  <c r="E153" i="54" s="1"/>
  <c r="E154" i="54" a="1"/>
  <c r="E154" i="54" s="1"/>
  <c r="E155" i="54" a="1"/>
  <c r="E155" i="54" s="1"/>
  <c r="E156" i="54" a="1"/>
  <c r="E156" i="54" s="1"/>
  <c r="E157" i="54" a="1"/>
  <c r="E157" i="54" s="1"/>
  <c r="E158" i="54" a="1"/>
  <c r="E158" i="54" s="1"/>
  <c r="E159" i="54" a="1"/>
  <c r="E159" i="54" s="1"/>
  <c r="E160" i="54" a="1"/>
  <c r="E160" i="54" s="1"/>
  <c r="E161" i="54" a="1"/>
  <c r="E161" i="54" s="1"/>
  <c r="E162" i="54" a="1"/>
  <c r="E162" i="54" s="1"/>
  <c r="E163" i="54" a="1"/>
  <c r="E163" i="54" s="1"/>
  <c r="E164" i="54" a="1"/>
  <c r="E164" i="54" s="1"/>
  <c r="E165" i="54" a="1"/>
  <c r="E165" i="54" s="1"/>
  <c r="E166" i="54" a="1"/>
  <c r="E166" i="54" s="1"/>
  <c r="E167" i="54" a="1"/>
  <c r="E167" i="54" s="1"/>
  <c r="E168" i="54" a="1"/>
  <c r="E168" i="54" s="1"/>
  <c r="E169" i="54" a="1"/>
  <c r="E169" i="54" s="1"/>
  <c r="E170" i="54" a="1"/>
  <c r="E170" i="54" s="1"/>
  <c r="E171" i="54" a="1"/>
  <c r="E171" i="54" s="1"/>
  <c r="E172" i="54" a="1"/>
  <c r="E172" i="54" s="1"/>
  <c r="E173" i="54" a="1"/>
  <c r="E173" i="54" s="1"/>
  <c r="E174" i="54" a="1"/>
  <c r="E174" i="54" s="1"/>
  <c r="E175" i="54" a="1"/>
  <c r="E175" i="54" s="1"/>
  <c r="E176" i="54" a="1"/>
  <c r="E176" i="54" s="1"/>
  <c r="E177" i="54" a="1"/>
  <c r="E177" i="54" s="1"/>
  <c r="E178" i="54" a="1"/>
  <c r="E178" i="54" s="1"/>
  <c r="E179" i="54" a="1"/>
  <c r="E179" i="54" s="1"/>
  <c r="E180" i="54" a="1"/>
  <c r="E180" i="54" s="1"/>
  <c r="E181" i="54" a="1"/>
  <c r="E181" i="54" s="1"/>
  <c r="E182" i="54" a="1"/>
  <c r="E182" i="54" s="1"/>
  <c r="E183" i="54" a="1"/>
  <c r="E183" i="54" s="1"/>
  <c r="E184" i="54" a="1"/>
  <c r="E184" i="54" s="1"/>
  <c r="I138" i="54" a="1"/>
  <c r="I138" i="54" s="1"/>
  <c r="J138" i="54" a="1"/>
  <c r="J138" i="54" s="1"/>
  <c r="I139" i="54" a="1"/>
  <c r="I139" i="54" s="1"/>
  <c r="J139" i="54" a="1"/>
  <c r="J139" i="54" s="1"/>
  <c r="I140" i="54" a="1"/>
  <c r="I140" i="54" s="1"/>
  <c r="J140" i="54" a="1"/>
  <c r="J140" i="54" s="1"/>
  <c r="I141" i="54" a="1"/>
  <c r="I141" i="54" s="1"/>
  <c r="J141" i="54" a="1"/>
  <c r="J141" i="54" s="1"/>
  <c r="I142" i="54" a="1"/>
  <c r="I142" i="54" s="1"/>
  <c r="J142" i="54" a="1"/>
  <c r="J142" i="54" s="1"/>
  <c r="I143" i="54" a="1"/>
  <c r="I143" i="54" s="1"/>
  <c r="J143" i="54" a="1"/>
  <c r="J143" i="54" s="1"/>
  <c r="I144" i="54" a="1"/>
  <c r="I144" i="54" s="1"/>
  <c r="J144" i="54" a="1"/>
  <c r="J144" i="54" s="1"/>
  <c r="I145" i="54" a="1"/>
  <c r="I145" i="54" s="1"/>
  <c r="J145" i="54" a="1"/>
  <c r="J145" i="54" s="1"/>
  <c r="I146" i="54" a="1"/>
  <c r="I146" i="54" s="1"/>
  <c r="J146" i="54" a="1"/>
  <c r="J146" i="54" s="1"/>
  <c r="I147" i="54" a="1"/>
  <c r="I147" i="54" s="1"/>
  <c r="J147" i="54" a="1"/>
  <c r="J147" i="54" s="1"/>
  <c r="I148" i="54" a="1"/>
  <c r="I148" i="54" s="1"/>
  <c r="J148" i="54" a="1"/>
  <c r="J148" i="54" s="1"/>
  <c r="I149" i="54" a="1"/>
  <c r="I149" i="54" s="1"/>
  <c r="J149" i="54" a="1"/>
  <c r="J149" i="54" s="1"/>
  <c r="I150" i="54" a="1"/>
  <c r="I150" i="54" s="1"/>
  <c r="J150" i="54" a="1"/>
  <c r="J150" i="54" s="1"/>
  <c r="I151" i="54" a="1"/>
  <c r="I151" i="54" s="1"/>
  <c r="J151" i="54" a="1"/>
  <c r="J151" i="54" s="1"/>
  <c r="I152" i="54" a="1"/>
  <c r="I152" i="54" s="1"/>
  <c r="J152" i="54" a="1"/>
  <c r="J152" i="54" s="1"/>
  <c r="I153" i="54" a="1"/>
  <c r="I153" i="54" s="1"/>
  <c r="J153" i="54" a="1"/>
  <c r="J153" i="54" s="1"/>
  <c r="I154" i="54" a="1"/>
  <c r="I154" i="54" s="1"/>
  <c r="J154" i="54" a="1"/>
  <c r="J154" i="54" s="1"/>
  <c r="I155" i="54" a="1"/>
  <c r="I155" i="54" s="1"/>
  <c r="J155" i="54" a="1"/>
  <c r="J155" i="54" s="1"/>
  <c r="I156" i="54" a="1"/>
  <c r="I156" i="54" s="1"/>
  <c r="J156" i="54" a="1"/>
  <c r="J156" i="54" s="1"/>
  <c r="I157" i="54" a="1"/>
  <c r="I157" i="54" s="1"/>
  <c r="J157" i="54" a="1"/>
  <c r="J157" i="54" s="1"/>
  <c r="I158" i="54" a="1"/>
  <c r="I158" i="54" s="1"/>
  <c r="J158" i="54" a="1"/>
  <c r="J158" i="54" s="1"/>
  <c r="I159" i="54" a="1"/>
  <c r="I159" i="54" s="1"/>
  <c r="J159" i="54" a="1"/>
  <c r="J159" i="54" s="1"/>
  <c r="I160" i="54" a="1"/>
  <c r="I160" i="54" s="1"/>
  <c r="J160" i="54" a="1"/>
  <c r="J160" i="54" s="1"/>
  <c r="I161" i="54" a="1"/>
  <c r="I161" i="54" s="1"/>
  <c r="J161" i="54" a="1"/>
  <c r="J161" i="54" s="1"/>
  <c r="I162" i="54" a="1"/>
  <c r="I162" i="54" s="1"/>
  <c r="J162" i="54" a="1"/>
  <c r="J162" i="54" s="1"/>
  <c r="I163" i="54" a="1"/>
  <c r="I163" i="54" s="1"/>
  <c r="J163" i="54" a="1"/>
  <c r="J163" i="54" s="1"/>
  <c r="I164" i="54" a="1"/>
  <c r="I164" i="54" s="1"/>
  <c r="J164" i="54" a="1"/>
  <c r="J164" i="54" s="1"/>
  <c r="I165" i="54" a="1"/>
  <c r="I165" i="54" s="1"/>
  <c r="J165" i="54" a="1"/>
  <c r="J165" i="54" s="1"/>
  <c r="I166" i="54" a="1"/>
  <c r="I166" i="54" s="1"/>
  <c r="J166" i="54" a="1"/>
  <c r="J166" i="54" s="1"/>
  <c r="I167" i="54" a="1"/>
  <c r="I167" i="54" s="1"/>
  <c r="J167" i="54" a="1"/>
  <c r="J167" i="54" s="1"/>
  <c r="I168" i="54" a="1"/>
  <c r="I168" i="54" s="1"/>
  <c r="J168" i="54" a="1"/>
  <c r="J168" i="54" s="1"/>
  <c r="I169" i="54" a="1"/>
  <c r="I169" i="54" s="1"/>
  <c r="J169" i="54" a="1"/>
  <c r="J169" i="54" s="1"/>
  <c r="I170" i="54" a="1"/>
  <c r="I170" i="54" s="1"/>
  <c r="J170" i="54" a="1"/>
  <c r="J170" i="54" s="1"/>
  <c r="I171" i="54" a="1"/>
  <c r="I171" i="54" s="1"/>
  <c r="J171" i="54" a="1"/>
  <c r="J171" i="54" s="1"/>
  <c r="I172" i="54" a="1"/>
  <c r="I172" i="54" s="1"/>
  <c r="J172" i="54" a="1"/>
  <c r="J172" i="54" s="1"/>
  <c r="I173" i="54" a="1"/>
  <c r="I173" i="54" s="1"/>
  <c r="J173" i="54" a="1"/>
  <c r="J173" i="54" s="1"/>
  <c r="I174" i="54" a="1"/>
  <c r="I174" i="54" s="1"/>
  <c r="J174" i="54" a="1"/>
  <c r="J174" i="54" s="1"/>
  <c r="I175" i="54" a="1"/>
  <c r="I175" i="54" s="1"/>
  <c r="J175" i="54" a="1"/>
  <c r="J175" i="54" s="1"/>
  <c r="I176" i="54" a="1"/>
  <c r="I176" i="54" s="1"/>
  <c r="J176" i="54" a="1"/>
  <c r="J176" i="54" s="1"/>
  <c r="I177" i="54" a="1"/>
  <c r="I177" i="54" s="1"/>
  <c r="J177" i="54" a="1"/>
  <c r="J177" i="54" s="1"/>
  <c r="I178" i="54" a="1"/>
  <c r="I178" i="54" s="1"/>
  <c r="J178" i="54" a="1"/>
  <c r="J178" i="54" s="1"/>
  <c r="I179" i="54" a="1"/>
  <c r="I179" i="54" s="1"/>
  <c r="J179" i="54" a="1"/>
  <c r="J179" i="54" s="1"/>
  <c r="I180" i="54" a="1"/>
  <c r="I180" i="54" s="1"/>
  <c r="J180" i="54" a="1"/>
  <c r="J180" i="54" s="1"/>
  <c r="I181" i="54" a="1"/>
  <c r="I181" i="54" s="1"/>
  <c r="J181" i="54" a="1"/>
  <c r="J181" i="54" s="1"/>
  <c r="I182" i="54" a="1"/>
  <c r="I182" i="54" s="1"/>
  <c r="J182" i="54" a="1"/>
  <c r="J182" i="54" s="1"/>
  <c r="I183" i="54" a="1"/>
  <c r="I183" i="54" s="1"/>
  <c r="J183" i="54" a="1"/>
  <c r="J183" i="54" s="1"/>
  <c r="I184" i="54" a="1"/>
  <c r="I184" i="54" s="1"/>
  <c r="J184" i="54" a="1"/>
  <c r="J184" i="54" s="1"/>
  <c r="I137" i="54" a="1"/>
  <c r="I137" i="54" s="1"/>
  <c r="J137" i="54" a="1"/>
  <c r="J137" i="54" s="1"/>
  <c r="G138" i="54" a="1"/>
  <c r="G138" i="54" s="1"/>
  <c r="G139" i="54" a="1"/>
  <c r="G139" i="54" s="1"/>
  <c r="G140" i="54" a="1"/>
  <c r="G140" i="54" s="1"/>
  <c r="G141" i="54" a="1"/>
  <c r="G141" i="54" s="1"/>
  <c r="G142" i="54" a="1"/>
  <c r="G142" i="54" s="1"/>
  <c r="G143" i="54" a="1"/>
  <c r="G143" i="54" s="1"/>
  <c r="G144" i="54" a="1"/>
  <c r="G144" i="54" s="1"/>
  <c r="G145" i="54" a="1"/>
  <c r="G145" i="54" s="1"/>
  <c r="G146" i="54" a="1"/>
  <c r="G146" i="54" s="1"/>
  <c r="G147" i="54" a="1"/>
  <c r="G147" i="54" s="1"/>
  <c r="G148" i="54" a="1"/>
  <c r="G148" i="54" s="1"/>
  <c r="G149" i="54" a="1"/>
  <c r="G149" i="54" s="1"/>
  <c r="G150" i="54" a="1"/>
  <c r="G150" i="54" s="1"/>
  <c r="G151" i="54" a="1"/>
  <c r="G151" i="54" s="1"/>
  <c r="G152" i="54" a="1"/>
  <c r="G152" i="54" s="1"/>
  <c r="G153" i="54" a="1"/>
  <c r="G153" i="54" s="1"/>
  <c r="G154" i="54" a="1"/>
  <c r="G154" i="54" s="1"/>
  <c r="G155" i="54" a="1"/>
  <c r="G155" i="54" s="1"/>
  <c r="G156" i="54" a="1"/>
  <c r="G156" i="54" s="1"/>
  <c r="G157" i="54" a="1"/>
  <c r="G157" i="54" s="1"/>
  <c r="G158" i="54" a="1"/>
  <c r="G158" i="54" s="1"/>
  <c r="G159" i="54" a="1"/>
  <c r="G159" i="54" s="1"/>
  <c r="G160" i="54" a="1"/>
  <c r="G160" i="54" s="1"/>
  <c r="G161" i="54" a="1"/>
  <c r="G161" i="54" s="1"/>
  <c r="G162" i="54" a="1"/>
  <c r="G162" i="54" s="1"/>
  <c r="G163" i="54" a="1"/>
  <c r="G163" i="54" s="1"/>
  <c r="G164" i="54" a="1"/>
  <c r="G164" i="54" s="1"/>
  <c r="G165" i="54" a="1"/>
  <c r="G165" i="54" s="1"/>
  <c r="G166" i="54" a="1"/>
  <c r="G166" i="54" s="1"/>
  <c r="G167" i="54" a="1"/>
  <c r="G167" i="54" s="1"/>
  <c r="G168" i="54" a="1"/>
  <c r="G168" i="54" s="1"/>
  <c r="G169" i="54" a="1"/>
  <c r="G169" i="54" s="1"/>
  <c r="G170" i="54" a="1"/>
  <c r="G170" i="54" s="1"/>
  <c r="G171" i="54" a="1"/>
  <c r="G171" i="54" s="1"/>
  <c r="G172" i="54" a="1"/>
  <c r="G172" i="54" s="1"/>
  <c r="G173" i="54" a="1"/>
  <c r="G173" i="54" s="1"/>
  <c r="G174" i="54" a="1"/>
  <c r="G174" i="54" s="1"/>
  <c r="G175" i="54" a="1"/>
  <c r="G175" i="54" s="1"/>
  <c r="G176" i="54" a="1"/>
  <c r="G176" i="54" s="1"/>
  <c r="G177" i="54" a="1"/>
  <c r="G177" i="54" s="1"/>
  <c r="G178" i="54" a="1"/>
  <c r="G178" i="54" s="1"/>
  <c r="G179" i="54" a="1"/>
  <c r="G179" i="54" s="1"/>
  <c r="G180" i="54" a="1"/>
  <c r="G180" i="54" s="1"/>
  <c r="G181" i="54" a="1"/>
  <c r="G181" i="54" s="1"/>
  <c r="G182" i="54" a="1"/>
  <c r="G182" i="54" s="1"/>
  <c r="G183" i="54" a="1"/>
  <c r="G183" i="54" s="1"/>
  <c r="G184" i="54" a="1"/>
  <c r="G184" i="54" s="1"/>
  <c r="G137" i="54" a="1"/>
  <c r="G137" i="54" s="1"/>
  <c r="F138" i="54" a="1"/>
  <c r="F138" i="54" s="1"/>
  <c r="F139" i="54" a="1"/>
  <c r="F139" i="54" s="1"/>
  <c r="F140" i="54" a="1"/>
  <c r="F140" i="54" s="1"/>
  <c r="F141" i="54" a="1"/>
  <c r="F141" i="54" s="1"/>
  <c r="F142" i="54" a="1"/>
  <c r="F142" i="54" s="1"/>
  <c r="F143" i="54" a="1"/>
  <c r="F143" i="54" s="1"/>
  <c r="F144" i="54" a="1"/>
  <c r="F144" i="54" s="1"/>
  <c r="F145" i="54" a="1"/>
  <c r="F145" i="54" s="1"/>
  <c r="F146" i="54" a="1"/>
  <c r="F146" i="54" s="1"/>
  <c r="F147" i="54" a="1"/>
  <c r="F147" i="54" s="1"/>
  <c r="F148" i="54" a="1"/>
  <c r="F148" i="54" s="1"/>
  <c r="F149" i="54" a="1"/>
  <c r="F149" i="54" s="1"/>
  <c r="F150" i="54" a="1"/>
  <c r="F150" i="54" s="1"/>
  <c r="F151" i="54" a="1"/>
  <c r="F151" i="54" s="1"/>
  <c r="F152" i="54" a="1"/>
  <c r="F152" i="54" s="1"/>
  <c r="F153" i="54" a="1"/>
  <c r="F153" i="54" s="1"/>
  <c r="F154" i="54" a="1"/>
  <c r="F154" i="54" s="1"/>
  <c r="F155" i="54" a="1"/>
  <c r="F155" i="54" s="1"/>
  <c r="F156" i="54" a="1"/>
  <c r="F156" i="54" s="1"/>
  <c r="F157" i="54" a="1"/>
  <c r="F157" i="54" s="1"/>
  <c r="F158" i="54" a="1"/>
  <c r="F158" i="54" s="1"/>
  <c r="F159" i="54" a="1"/>
  <c r="F159" i="54" s="1"/>
  <c r="F160" i="54" a="1"/>
  <c r="F160" i="54" s="1"/>
  <c r="F161" i="54" a="1"/>
  <c r="F161" i="54" s="1"/>
  <c r="F162" i="54" a="1"/>
  <c r="F162" i="54" s="1"/>
  <c r="F163" i="54" a="1"/>
  <c r="F163" i="54" s="1"/>
  <c r="F164" i="54" a="1"/>
  <c r="F164" i="54" s="1"/>
  <c r="F165" i="54" a="1"/>
  <c r="F165" i="54" s="1"/>
  <c r="F166" i="54" a="1"/>
  <c r="F166" i="54" s="1"/>
  <c r="F167" i="54" a="1"/>
  <c r="F167" i="54" s="1"/>
  <c r="F168" i="54" a="1"/>
  <c r="F168" i="54" s="1"/>
  <c r="F169" i="54" a="1"/>
  <c r="F169" i="54" s="1"/>
  <c r="F170" i="54" a="1"/>
  <c r="F170" i="54" s="1"/>
  <c r="F171" i="54" a="1"/>
  <c r="F171" i="54" s="1"/>
  <c r="F172" i="54" a="1"/>
  <c r="F172" i="54" s="1"/>
  <c r="F173" i="54" a="1"/>
  <c r="F173" i="54" s="1"/>
  <c r="F174" i="54" a="1"/>
  <c r="F174" i="54" s="1"/>
  <c r="F175" i="54" a="1"/>
  <c r="F175" i="54" s="1"/>
  <c r="F176" i="54" a="1"/>
  <c r="F176" i="54" s="1"/>
  <c r="F177" i="54" a="1"/>
  <c r="F177" i="54" s="1"/>
  <c r="F178" i="54" a="1"/>
  <c r="F178" i="54" s="1"/>
  <c r="F179" i="54" a="1"/>
  <c r="F179" i="54" s="1"/>
  <c r="F180" i="54" a="1"/>
  <c r="F180" i="54" s="1"/>
  <c r="F181" i="54" a="1"/>
  <c r="F181" i="54" s="1"/>
  <c r="F182" i="54" a="1"/>
  <c r="F182" i="54" s="1"/>
  <c r="F183" i="54" a="1"/>
  <c r="F183" i="54" s="1"/>
  <c r="F184" i="54" a="1"/>
  <c r="F184" i="54" s="1"/>
  <c r="F137" i="54" a="1"/>
  <c r="F137" i="54" s="1"/>
  <c r="M92" i="54"/>
  <c r="M93" i="54"/>
  <c r="M94" i="54"/>
  <c r="M95" i="54"/>
  <c r="M96" i="54"/>
  <c r="M97" i="54"/>
  <c r="M98" i="54"/>
  <c r="M99" i="54"/>
  <c r="M100" i="54"/>
  <c r="M101" i="54"/>
  <c r="M102" i="54"/>
  <c r="M103" i="54"/>
  <c r="M104" i="54"/>
  <c r="M105" i="54"/>
  <c r="M106" i="54"/>
  <c r="M107" i="54"/>
  <c r="M108" i="54"/>
  <c r="M109" i="54"/>
  <c r="M110" i="54"/>
  <c r="M91" i="54"/>
  <c r="N85" i="54"/>
  <c r="O85" i="54"/>
  <c r="N86" i="54"/>
  <c r="O86" i="54"/>
  <c r="M86" i="54"/>
  <c r="M85" i="54"/>
  <c r="F148" i="55" l="1"/>
  <c r="G147" i="55"/>
  <c r="G148" i="55" s="1"/>
  <c r="M147" i="55"/>
  <c r="M148" i="55" s="1"/>
  <c r="L148" i="55"/>
  <c r="K148" i="55"/>
  <c r="R36" i="55" s="1"/>
  <c r="P36" i="55"/>
  <c r="E148" i="55"/>
  <c r="W36" i="55"/>
  <c r="K112" i="54"/>
  <c r="M112" i="54" s="1" a="1"/>
  <c r="M112" i="54" s="1"/>
  <c r="Y36" i="55" l="1"/>
  <c r="K36" i="55"/>
  <c r="I37" i="55"/>
  <c r="P37" i="55"/>
  <c r="N112" i="54"/>
  <c r="O112" i="54"/>
  <c r="K111" i="54"/>
  <c r="M111" i="54" s="1" a="1"/>
  <c r="M111" i="54" s="1"/>
  <c r="L137" i="54" s="1"/>
  <c r="K90" i="54"/>
  <c r="M90" i="54" s="1" a="1"/>
  <c r="M90" i="54" s="1"/>
  <c r="K89" i="54"/>
  <c r="M89" i="54" s="1" a="1"/>
  <c r="M89" i="54" s="1"/>
  <c r="K88" i="54"/>
  <c r="M88" i="54" s="1" a="1"/>
  <c r="M88" i="54" s="1"/>
  <c r="K87" i="54"/>
  <c r="M87" i="54" s="1" a="1"/>
  <c r="M87" i="54" s="1"/>
  <c r="J84" i="54"/>
  <c r="M84" i="54" s="1" a="1"/>
  <c r="M84" i="54" s="1"/>
  <c r="J82" i="54"/>
  <c r="M82" i="54" s="1" a="1"/>
  <c r="M82" i="54" s="1"/>
  <c r="J81" i="54"/>
  <c r="M81" i="54" s="1" a="1"/>
  <c r="M81" i="54" s="1"/>
  <c r="J197" i="54" l="1"/>
  <c r="J199" i="54"/>
  <c r="J200" i="54"/>
  <c r="L162" i="54"/>
  <c r="L146" i="54"/>
  <c r="L156" i="54"/>
  <c r="L152" i="54"/>
  <c r="L155" i="54"/>
  <c r="L182" i="54"/>
  <c r="L166" i="54"/>
  <c r="L171" i="54"/>
  <c r="L172" i="54"/>
  <c r="L183" i="54"/>
  <c r="L169" i="54"/>
  <c r="L177" i="54"/>
  <c r="L165" i="54"/>
  <c r="L157" i="54"/>
  <c r="L154" i="54"/>
  <c r="L140" i="54"/>
  <c r="L159" i="54"/>
  <c r="L160" i="54"/>
  <c r="L168" i="54"/>
  <c r="L148" i="54"/>
  <c r="L147" i="54"/>
  <c r="L158" i="54"/>
  <c r="L139" i="54"/>
  <c r="L138" i="54"/>
  <c r="L178" i="54"/>
  <c r="L184" i="54"/>
  <c r="L174" i="54"/>
  <c r="L176" i="54"/>
  <c r="L167" i="54"/>
  <c r="L170" i="54"/>
  <c r="L153" i="54"/>
  <c r="L179" i="54"/>
  <c r="L142" i="54"/>
  <c r="L141" i="54"/>
  <c r="L163" i="54"/>
  <c r="L143" i="54"/>
  <c r="L180" i="54"/>
  <c r="L164" i="54"/>
  <c r="L151" i="54"/>
  <c r="L145" i="54"/>
  <c r="L173" i="54"/>
  <c r="L144" i="54"/>
  <c r="L181" i="54"/>
  <c r="L150" i="54"/>
  <c r="L175" i="54"/>
  <c r="L161" i="54"/>
  <c r="L149" i="54"/>
  <c r="J198" i="54"/>
  <c r="O82" i="54"/>
  <c r="N82" i="54"/>
  <c r="O83" i="54"/>
  <c r="N83" i="54"/>
  <c r="O81" i="54"/>
  <c r="N81" i="54"/>
  <c r="N84" i="54"/>
  <c r="O84" i="54"/>
  <c r="N87" i="54"/>
  <c r="O87" i="54"/>
  <c r="N88" i="54"/>
  <c r="O88" i="54"/>
  <c r="N90" i="54"/>
  <c r="O90" i="54"/>
  <c r="O89" i="54"/>
  <c r="N89" i="54"/>
  <c r="O111" i="54"/>
  <c r="N111" i="54"/>
  <c r="J202" i="54" l="1"/>
  <c r="E232" i="54" s="1" a="1"/>
  <c r="E232" i="54" s="1"/>
  <c r="J210" i="54"/>
  <c r="J211" i="54"/>
  <c r="J212" i="54"/>
  <c r="J213" i="54"/>
  <c r="J209" i="54"/>
  <c r="J216" i="54"/>
  <c r="J217" i="54"/>
  <c r="J218" i="54"/>
  <c r="J219" i="54"/>
  <c r="J215" i="54"/>
  <c r="J206" i="54"/>
  <c r="W195" i="54" s="1"/>
  <c r="W201" i="54" s="1"/>
  <c r="W207" i="54" s="1"/>
  <c r="J205" i="54"/>
  <c r="W194" i="54" s="1"/>
  <c r="W200" i="54" s="1"/>
  <c r="W206" i="54" s="1"/>
  <c r="J203" i="54"/>
  <c r="W192" i="54" s="1"/>
  <c r="W198" i="54" s="1"/>
  <c r="W204" i="54" s="1"/>
  <c r="J204" i="54"/>
  <c r="W193" i="54" s="1"/>
  <c r="W199" i="54" s="1"/>
  <c r="W205" i="54" s="1"/>
  <c r="K198" i="54"/>
  <c r="L198" i="54"/>
  <c r="M161" i="54"/>
  <c r="M172" i="54"/>
  <c r="M155" i="54"/>
  <c r="M153" i="54"/>
  <c r="M152" i="54"/>
  <c r="M166" i="54"/>
  <c r="M146" i="54"/>
  <c r="M157" i="54"/>
  <c r="M154" i="54"/>
  <c r="M174" i="54"/>
  <c r="M149" i="54"/>
  <c r="M176" i="54"/>
  <c r="M162" i="54"/>
  <c r="M147" i="54"/>
  <c r="M142" i="54"/>
  <c r="M159" i="54"/>
  <c r="M150" i="54"/>
  <c r="M180" i="54"/>
  <c r="M169" i="54"/>
  <c r="M141" i="54"/>
  <c r="M182" i="54"/>
  <c r="M170" i="54"/>
  <c r="M177" i="54"/>
  <c r="M165" i="54"/>
  <c r="M143" i="54"/>
  <c r="M140" i="54"/>
  <c r="M139" i="54"/>
  <c r="M137" i="54"/>
  <c r="M148" i="54"/>
  <c r="M158" i="54"/>
  <c r="M138" i="54"/>
  <c r="M167" i="54"/>
  <c r="M179" i="54"/>
  <c r="M173" i="54"/>
  <c r="M144" i="54"/>
  <c r="M183" i="54"/>
  <c r="M181" i="54"/>
  <c r="M175" i="54"/>
  <c r="M160" i="54"/>
  <c r="M163" i="54"/>
  <c r="M184" i="54"/>
  <c r="M178" i="54"/>
  <c r="M171" i="54"/>
  <c r="M164" i="54"/>
  <c r="M151" i="54"/>
  <c r="M145" i="54"/>
  <c r="M168" i="54"/>
  <c r="M156" i="54"/>
  <c r="N171" i="54"/>
  <c r="N168" i="54"/>
  <c r="N153" i="54"/>
  <c r="N141" i="54"/>
  <c r="N144" i="54"/>
  <c r="N175" i="54"/>
  <c r="N180" i="54"/>
  <c r="N170" i="54"/>
  <c r="N145" i="54"/>
  <c r="N162" i="54"/>
  <c r="N147" i="54"/>
  <c r="N156" i="54"/>
  <c r="N152" i="54"/>
  <c r="N138" i="54"/>
  <c r="N150" i="54"/>
  <c r="N172" i="54"/>
  <c r="N155" i="54"/>
  <c r="N139" i="54"/>
  <c r="N181" i="54"/>
  <c r="N177" i="54"/>
  <c r="N165" i="54"/>
  <c r="N157" i="54"/>
  <c r="N142" i="54"/>
  <c r="N154" i="54"/>
  <c r="N167" i="54"/>
  <c r="N146" i="54"/>
  <c r="N148" i="54"/>
  <c r="N158" i="54"/>
  <c r="N179" i="54"/>
  <c r="N173" i="54"/>
  <c r="N159" i="54"/>
  <c r="N160" i="54"/>
  <c r="N182" i="54"/>
  <c r="N176" i="54"/>
  <c r="N169" i="54"/>
  <c r="N163" i="54"/>
  <c r="N143" i="54"/>
  <c r="N178" i="54"/>
  <c r="N140" i="54"/>
  <c r="N137" i="54"/>
  <c r="N151" i="54"/>
  <c r="N149" i="54"/>
  <c r="N161" i="54"/>
  <c r="N166" i="54"/>
  <c r="N164" i="54"/>
  <c r="N174" i="54"/>
  <c r="N184" i="54"/>
  <c r="N183" i="54"/>
  <c r="K199" i="54"/>
  <c r="L199" i="54"/>
  <c r="L200" i="54"/>
  <c r="K200" i="54"/>
  <c r="L197" i="54"/>
  <c r="K197" i="54"/>
  <c r="A5" i="14"/>
  <c r="A6" i="14"/>
  <c r="A7" i="14"/>
  <c r="A8" i="14"/>
  <c r="A4" i="14"/>
  <c r="A5" i="13"/>
  <c r="A6" i="13"/>
  <c r="A7" i="13"/>
  <c r="A8" i="13"/>
  <c r="A4" i="13"/>
  <c r="A5" i="41"/>
  <c r="A6" i="41"/>
  <c r="A7" i="41"/>
  <c r="A8" i="41"/>
  <c r="A4" i="41"/>
  <c r="A5" i="40"/>
  <c r="A6" i="40"/>
  <c r="A7" i="40"/>
  <c r="A8" i="40"/>
  <c r="A9" i="40"/>
  <c r="A10" i="40"/>
  <c r="A11" i="40"/>
  <c r="A12" i="40"/>
  <c r="A13" i="40"/>
  <c r="A14" i="40"/>
  <c r="A15" i="40"/>
  <c r="A16" i="40"/>
  <c r="A17" i="40"/>
  <c r="A18" i="40"/>
  <c r="A22" i="40"/>
  <c r="A23" i="40"/>
  <c r="A24" i="40"/>
  <c r="A25" i="40"/>
  <c r="A26" i="40"/>
  <c r="A27" i="40"/>
  <c r="A28" i="40"/>
  <c r="A29" i="40"/>
  <c r="A30" i="40"/>
  <c r="A31" i="40"/>
  <c r="A32" i="40"/>
  <c r="A33" i="40"/>
  <c r="A34" i="40"/>
  <c r="A35" i="40"/>
  <c r="A51" i="40"/>
  <c r="A52" i="40"/>
  <c r="A53" i="40"/>
  <c r="A54" i="40"/>
  <c r="A55" i="40"/>
  <c r="A56" i="40"/>
  <c r="A57" i="40"/>
  <c r="A58" i="40"/>
  <c r="A59" i="40"/>
  <c r="A60" i="40"/>
  <c r="A61" i="40"/>
  <c r="A62" i="40"/>
  <c r="A63" i="40"/>
  <c r="A64" i="40"/>
  <c r="A65" i="40"/>
  <c r="A66" i="40"/>
  <c r="A67" i="40"/>
  <c r="A71" i="40"/>
  <c r="A72" i="40"/>
  <c r="A73" i="40"/>
  <c r="A74" i="40"/>
  <c r="A75" i="40"/>
  <c r="A76" i="40"/>
  <c r="A77" i="40"/>
  <c r="A78" i="40"/>
  <c r="A79" i="40"/>
  <c r="A80" i="40"/>
  <c r="A81" i="40"/>
  <c r="A82" i="40"/>
  <c r="A83" i="40"/>
  <c r="A84" i="40"/>
  <c r="A85" i="40"/>
  <c r="A86" i="40"/>
  <c r="A87" i="40"/>
  <c r="A88" i="40"/>
  <c r="A89" i="40"/>
  <c r="A90" i="40"/>
  <c r="A91" i="40"/>
  <c r="A92" i="40"/>
  <c r="A93" i="40"/>
  <c r="A94" i="40"/>
  <c r="A95" i="40"/>
  <c r="A96" i="40"/>
  <c r="A97" i="40"/>
  <c r="A98" i="40"/>
  <c r="A99" i="40"/>
  <c r="A100" i="40"/>
  <c r="A101" i="40"/>
  <c r="A102" i="40"/>
  <c r="A103" i="40"/>
  <c r="A104" i="40"/>
  <c r="A105" i="40"/>
  <c r="A106" i="40"/>
  <c r="A107" i="40"/>
  <c r="A108" i="40"/>
  <c r="A109" i="40"/>
  <c r="A110" i="40"/>
  <c r="A111" i="40"/>
  <c r="A112" i="40"/>
  <c r="A113" i="40"/>
  <c r="A114" i="40"/>
  <c r="A115" i="40"/>
  <c r="A116" i="40"/>
  <c r="A4" i="40"/>
  <c r="A5" i="39"/>
  <c r="A6" i="39"/>
  <c r="A7" i="39"/>
  <c r="A8" i="39"/>
  <c r="A9" i="39"/>
  <c r="A10" i="39"/>
  <c r="A11" i="39"/>
  <c r="A12" i="39"/>
  <c r="A13" i="39"/>
  <c r="A14" i="39"/>
  <c r="A15" i="39"/>
  <c r="A16" i="39"/>
  <c r="A17" i="39"/>
  <c r="A18" i="39"/>
  <c r="A19" i="39"/>
  <c r="A20" i="39"/>
  <c r="A21" i="39"/>
  <c r="A22" i="39"/>
  <c r="A23" i="39"/>
  <c r="A24" i="39"/>
  <c r="A25" i="39"/>
  <c r="A26" i="39"/>
  <c r="A27" i="39"/>
  <c r="A28" i="39"/>
  <c r="A29" i="39"/>
  <c r="A30" i="39"/>
  <c r="A31" i="39"/>
  <c r="A32" i="39"/>
  <c r="A33" i="39"/>
  <c r="A34" i="39"/>
  <c r="A35" i="39"/>
  <c r="A36" i="39"/>
  <c r="A37" i="39"/>
  <c r="A38" i="39"/>
  <c r="A39" i="39"/>
  <c r="A40" i="39"/>
  <c r="A41" i="39"/>
  <c r="A42" i="39"/>
  <c r="A43" i="39"/>
  <c r="A44" i="39"/>
  <c r="A45" i="39"/>
  <c r="A46" i="39"/>
  <c r="A47" i="39"/>
  <c r="A48" i="39"/>
  <c r="A49" i="39"/>
  <c r="A50" i="39"/>
  <c r="A51" i="39"/>
  <c r="A52" i="39"/>
  <c r="A53" i="39"/>
  <c r="A54" i="39"/>
  <c r="A55" i="39"/>
  <c r="A56" i="39"/>
  <c r="A57" i="39"/>
  <c r="A58" i="39"/>
  <c r="A59" i="39"/>
  <c r="A60" i="39"/>
  <c r="A61" i="39"/>
  <c r="A62" i="39"/>
  <c r="A63" i="39"/>
  <c r="A64" i="39"/>
  <c r="A65" i="39"/>
  <c r="A66" i="39"/>
  <c r="A67" i="39"/>
  <c r="A68" i="39"/>
  <c r="A69" i="39"/>
  <c r="A70" i="39"/>
  <c r="A71" i="39"/>
  <c r="A72" i="39"/>
  <c r="A73" i="39"/>
  <c r="A74" i="39"/>
  <c r="A75" i="39"/>
  <c r="A76" i="39"/>
  <c r="A77" i="39"/>
  <c r="A78" i="39"/>
  <c r="A79" i="39"/>
  <c r="A80" i="39"/>
  <c r="A81" i="39"/>
  <c r="A82" i="39"/>
  <c r="A83" i="39"/>
  <c r="A84" i="39"/>
  <c r="A85" i="39"/>
  <c r="A86" i="39"/>
  <c r="A87" i="39"/>
  <c r="A88" i="39"/>
  <c r="A89" i="39"/>
  <c r="A90" i="39"/>
  <c r="A91" i="39"/>
  <c r="A92" i="39"/>
  <c r="A93" i="39"/>
  <c r="A94" i="39"/>
  <c r="A95" i="39"/>
  <c r="A96" i="39"/>
  <c r="A97" i="39"/>
  <c r="A98" i="39"/>
  <c r="A99" i="39"/>
  <c r="A100" i="39"/>
  <c r="A101" i="39"/>
  <c r="A102" i="39"/>
  <c r="A103" i="39"/>
  <c r="A104" i="39"/>
  <c r="A105" i="39"/>
  <c r="A106" i="39"/>
  <c r="A107" i="39"/>
  <c r="A108" i="39"/>
  <c r="A109" i="39"/>
  <c r="A110" i="39"/>
  <c r="A111" i="39"/>
  <c r="A112" i="39"/>
  <c r="A113" i="39"/>
  <c r="A114" i="39"/>
  <c r="A115" i="39"/>
  <c r="A116" i="39"/>
  <c r="A117" i="39"/>
  <c r="A118" i="39"/>
  <c r="A119" i="39"/>
  <c r="A120" i="39"/>
  <c r="A121" i="39"/>
  <c r="A122" i="39"/>
  <c r="A123" i="39"/>
  <c r="A124" i="39"/>
  <c r="A125" i="39"/>
  <c r="A126" i="39"/>
  <c r="A127" i="39"/>
  <c r="A128" i="39"/>
  <c r="A129" i="39"/>
  <c r="A130" i="39"/>
  <c r="A131" i="39"/>
  <c r="A132" i="39"/>
  <c r="A133" i="39"/>
  <c r="A134" i="39"/>
  <c r="A135" i="39"/>
  <c r="A136" i="39"/>
  <c r="A137" i="39"/>
  <c r="A138" i="39"/>
  <c r="A139" i="39"/>
  <c r="A140" i="39"/>
  <c r="A141" i="39"/>
  <c r="A142" i="39"/>
  <c r="A143" i="39"/>
  <c r="A144" i="39"/>
  <c r="A145" i="39"/>
  <c r="A146" i="39"/>
  <c r="A147" i="39"/>
  <c r="A148" i="39"/>
  <c r="A149" i="39"/>
  <c r="A150" i="39"/>
  <c r="A151" i="39"/>
  <c r="A152" i="39"/>
  <c r="A153" i="39"/>
  <c r="A154" i="39"/>
  <c r="A155" i="39"/>
  <c r="A156" i="39"/>
  <c r="A157" i="39"/>
  <c r="A158" i="39"/>
  <c r="A159" i="39"/>
  <c r="A160" i="39"/>
  <c r="A161" i="39"/>
  <c r="A162" i="39"/>
  <c r="A163" i="39"/>
  <c r="A164" i="39"/>
  <c r="A165" i="39"/>
  <c r="A166" i="39"/>
  <c r="A167" i="39"/>
  <c r="A168" i="39"/>
  <c r="A169" i="39"/>
  <c r="A170" i="39"/>
  <c r="A171" i="39"/>
  <c r="A172" i="39"/>
  <c r="A173" i="39"/>
  <c r="A174" i="39"/>
  <c r="A175" i="39"/>
  <c r="A176" i="39"/>
  <c r="A177" i="39"/>
  <c r="A178" i="39"/>
  <c r="A179" i="39"/>
  <c r="A180" i="39"/>
  <c r="A181" i="39"/>
  <c r="A182" i="39"/>
  <c r="A183" i="39"/>
  <c r="A184" i="39"/>
  <c r="A185" i="39"/>
  <c r="A186" i="39"/>
  <c r="A187" i="39"/>
  <c r="A188" i="39"/>
  <c r="A189" i="39"/>
  <c r="A190" i="39"/>
  <c r="A191" i="39"/>
  <c r="A192" i="39"/>
  <c r="A193" i="39"/>
  <c r="A194" i="39"/>
  <c r="A195" i="39"/>
  <c r="A196" i="39"/>
  <c r="A197" i="39"/>
  <c r="A198" i="39"/>
  <c r="A199" i="39"/>
  <c r="A200" i="39"/>
  <c r="A201" i="39"/>
  <c r="A202" i="39"/>
  <c r="A203" i="39"/>
  <c r="A204" i="39"/>
  <c r="A205" i="39"/>
  <c r="A206" i="39"/>
  <c r="A207" i="39"/>
  <c r="A208" i="39"/>
  <c r="A209" i="39"/>
  <c r="A210" i="39"/>
  <c r="A211" i="39"/>
  <c r="A212" i="39"/>
  <c r="A213" i="39"/>
  <c r="A214" i="39"/>
  <c r="A215" i="39"/>
  <c r="A216" i="39"/>
  <c r="A217" i="39"/>
  <c r="A218" i="39"/>
  <c r="A219" i="39"/>
  <c r="A220" i="39"/>
  <c r="A221" i="39"/>
  <c r="A222" i="39"/>
  <c r="A223" i="39"/>
  <c r="A224" i="39"/>
  <c r="A225" i="39"/>
  <c r="A226" i="39"/>
  <c r="A227" i="39"/>
  <c r="A228" i="39"/>
  <c r="A229" i="39"/>
  <c r="A230" i="39"/>
  <c r="A231" i="39"/>
  <c r="A232" i="39"/>
  <c r="A233" i="39"/>
  <c r="A234" i="39"/>
  <c r="A235" i="39"/>
  <c r="A236" i="39"/>
  <c r="A237" i="39"/>
  <c r="A238" i="39"/>
  <c r="A239" i="39"/>
  <c r="A240" i="39"/>
  <c r="A241" i="39"/>
  <c r="A242" i="39"/>
  <c r="A243" i="39"/>
  <c r="A244" i="39"/>
  <c r="A245" i="39"/>
  <c r="A246" i="39"/>
  <c r="A247" i="39"/>
  <c r="A248" i="39"/>
  <c r="A249" i="39"/>
  <c r="A250" i="39"/>
  <c r="A251" i="39"/>
  <c r="A252" i="39"/>
  <c r="A253" i="39"/>
  <c r="A254" i="39"/>
  <c r="A255" i="39"/>
  <c r="A256" i="39"/>
  <c r="A257" i="39"/>
  <c r="A258" i="39"/>
  <c r="A259" i="39"/>
  <c r="A260" i="39"/>
  <c r="A261" i="39"/>
  <c r="A262" i="39"/>
  <c r="A263" i="39"/>
  <c r="A264" i="39"/>
  <c r="A265" i="39"/>
  <c r="A266" i="39"/>
  <c r="A267" i="39"/>
  <c r="A268" i="39"/>
  <c r="A269" i="39"/>
  <c r="A270" i="39"/>
  <c r="A271" i="39"/>
  <c r="A272" i="39"/>
  <c r="A273" i="39"/>
  <c r="A274" i="39"/>
  <c r="A275" i="39"/>
  <c r="A276" i="39"/>
  <c r="A277" i="39"/>
  <c r="A278" i="39"/>
  <c r="A279" i="39"/>
  <c r="A280" i="39"/>
  <c r="A281" i="39"/>
  <c r="A282" i="39"/>
  <c r="A283" i="39"/>
  <c r="A284" i="39"/>
  <c r="A285" i="39"/>
  <c r="A286" i="39"/>
  <c r="A287" i="39"/>
  <c r="A288" i="39"/>
  <c r="A289" i="39"/>
  <c r="A290" i="39"/>
  <c r="A291" i="39"/>
  <c r="A4" i="39"/>
  <c r="A5" i="36"/>
  <c r="A6" i="36"/>
  <c r="A7" i="36"/>
  <c r="A8" i="36"/>
  <c r="A9" i="36"/>
  <c r="A10" i="36"/>
  <c r="A11" i="36"/>
  <c r="A12" i="36"/>
  <c r="A13" i="36"/>
  <c r="A14" i="36"/>
  <c r="A15" i="36"/>
  <c r="A16" i="36"/>
  <c r="A17" i="36"/>
  <c r="A18" i="36"/>
  <c r="A19" i="36"/>
  <c r="A20" i="36"/>
  <c r="A21" i="36"/>
  <c r="A22" i="36"/>
  <c r="A23" i="36"/>
  <c r="A24" i="36"/>
  <c r="A25" i="36"/>
  <c r="A26" i="36"/>
  <c r="A27" i="36"/>
  <c r="A28" i="36"/>
  <c r="A29" i="36"/>
  <c r="A30" i="36"/>
  <c r="A32" i="36"/>
  <c r="A33" i="36"/>
  <c r="A34" i="36"/>
  <c r="A35" i="36"/>
  <c r="A36" i="36"/>
  <c r="A38" i="36"/>
  <c r="A39" i="36"/>
  <c r="A40" i="36"/>
  <c r="A41" i="36"/>
  <c r="A42" i="36"/>
  <c r="A43" i="36"/>
  <c r="A44" i="36"/>
  <c r="A45" i="36"/>
  <c r="A46" i="36"/>
  <c r="A47" i="36"/>
  <c r="A48" i="36"/>
  <c r="A49" i="36"/>
  <c r="A50" i="36"/>
  <c r="A51" i="36"/>
  <c r="A52" i="36"/>
  <c r="A53" i="36"/>
  <c r="A54" i="36"/>
  <c r="A55" i="36"/>
  <c r="A56" i="36"/>
  <c r="A57" i="36"/>
  <c r="A5" i="8"/>
  <c r="A6" i="8"/>
  <c r="A7" i="8"/>
  <c r="A8" i="8"/>
  <c r="A9" i="8"/>
  <c r="A10" i="8"/>
  <c r="A11" i="8"/>
  <c r="A12" i="8"/>
  <c r="A13" i="8"/>
  <c r="A14" i="8"/>
  <c r="A15" i="8"/>
  <c r="A16" i="8"/>
  <c r="A17" i="8"/>
  <c r="A18" i="8"/>
  <c r="A19" i="8"/>
  <c r="A20" i="8"/>
  <c r="A21" i="8"/>
  <c r="A22" i="8"/>
  <c r="A23" i="8"/>
  <c r="A4" i="8"/>
  <c r="A43" i="3"/>
  <c r="A44" i="3"/>
  <c r="A45" i="3"/>
  <c r="A46" i="3"/>
  <c r="A47" i="3"/>
  <c r="A48" i="3"/>
  <c r="A49" i="3"/>
  <c r="A50" i="3"/>
  <c r="A51" i="3"/>
  <c r="A52" i="3"/>
  <c r="A53" i="3"/>
  <c r="A54" i="3"/>
  <c r="A55" i="3"/>
  <c r="A56" i="3"/>
  <c r="A57" i="3"/>
  <c r="A58" i="3"/>
  <c r="A33" i="3"/>
  <c r="A34" i="3"/>
  <c r="A35" i="3"/>
  <c r="A36" i="3"/>
  <c r="A37" i="3"/>
  <c r="A38" i="3"/>
  <c r="A39" i="3"/>
  <c r="A40" i="3"/>
  <c r="A41" i="3"/>
  <c r="A42" i="3"/>
  <c r="A32" i="3"/>
  <c r="A31" i="3"/>
  <c r="A12" i="3"/>
  <c r="A13" i="3"/>
  <c r="A14" i="3"/>
  <c r="A15" i="3"/>
  <c r="A16" i="3"/>
  <c r="A17" i="3"/>
  <c r="A18" i="3"/>
  <c r="A19" i="3"/>
  <c r="A20" i="3"/>
  <c r="A21" i="3"/>
  <c r="A22" i="3"/>
  <c r="A23" i="3"/>
  <c r="A24" i="3"/>
  <c r="A25" i="3"/>
  <c r="A26" i="3"/>
  <c r="A27" i="3"/>
  <c r="A28" i="3"/>
  <c r="A29" i="3"/>
  <c r="A30" i="3"/>
  <c r="A11" i="3"/>
  <c r="A4" i="17"/>
  <c r="A84" i="44"/>
  <c r="A85" i="44"/>
  <c r="A86" i="44"/>
  <c r="A87" i="44"/>
  <c r="A88" i="44"/>
  <c r="A89" i="44"/>
  <c r="A90" i="44"/>
  <c r="W191" i="54" l="1"/>
  <c r="L56" i="54" s="1"/>
  <c r="W197" i="54"/>
  <c r="W203" i="54" s="1"/>
  <c r="I56" i="54" s="1"/>
  <c r="H301" i="54" a="1"/>
  <c r="H301" i="54" s="1"/>
  <c r="H311" i="54" a="1"/>
  <c r="H311" i="54" s="1"/>
  <c r="H321" i="54" a="1"/>
  <c r="H321" i="54" s="1"/>
  <c r="H331" i="54" a="1"/>
  <c r="H331" i="54" s="1"/>
  <c r="H302" i="54" a="1"/>
  <c r="H302" i="54" s="1"/>
  <c r="H313" i="54" a="1"/>
  <c r="H313" i="54" s="1"/>
  <c r="H322" i="54" a="1"/>
  <c r="H322" i="54" s="1"/>
  <c r="H333" i="54" a="1"/>
  <c r="H333" i="54" s="1"/>
  <c r="H303" i="54" a="1"/>
  <c r="H303" i="54" s="1"/>
  <c r="H323" i="54" a="1"/>
  <c r="H323" i="54" s="1"/>
  <c r="H334" i="54" a="1"/>
  <c r="H334" i="54" s="1"/>
  <c r="H304" i="54" a="1"/>
  <c r="H304" i="54" s="1"/>
  <c r="H314" i="54" a="1"/>
  <c r="H314" i="54" s="1"/>
  <c r="H324" i="54" a="1"/>
  <c r="H324" i="54" s="1"/>
  <c r="H305" i="54" a="1"/>
  <c r="H305" i="54" s="1"/>
  <c r="H325" i="54" a="1"/>
  <c r="H325" i="54" s="1"/>
  <c r="H335" i="54" a="1"/>
  <c r="H335" i="54" s="1"/>
  <c r="H295" i="54" a="1"/>
  <c r="H295" i="54" s="1"/>
  <c r="H306" i="54" a="1"/>
  <c r="H306" i="54" s="1"/>
  <c r="H315" i="54" a="1"/>
  <c r="H315" i="54" s="1"/>
  <c r="H326" i="54" a="1"/>
  <c r="H326" i="54" s="1"/>
  <c r="H297" i="54" a="1"/>
  <c r="H297" i="54" s="1"/>
  <c r="H312" i="54" a="1"/>
  <c r="H312" i="54" s="1"/>
  <c r="H298" i="54" a="1"/>
  <c r="H298" i="54" s="1"/>
  <c r="H330" i="54" a="1"/>
  <c r="H330" i="54" s="1"/>
  <c r="H310" i="54" a="1"/>
  <c r="H310" i="54" s="1"/>
  <c r="H299" i="54" a="1"/>
  <c r="H299" i="54" s="1"/>
  <c r="H316" i="54" a="1"/>
  <c r="H316" i="54" s="1"/>
  <c r="H332" i="54" a="1"/>
  <c r="H332" i="54" s="1"/>
  <c r="H317" i="54" a="1"/>
  <c r="H317" i="54" s="1"/>
  <c r="H336" i="54" a="1"/>
  <c r="H336" i="54" s="1"/>
  <c r="H300" i="54" a="1"/>
  <c r="H300" i="54" s="1"/>
  <c r="H318" i="54" a="1"/>
  <c r="H318" i="54" s="1"/>
  <c r="H319" i="54" a="1"/>
  <c r="H319" i="54" s="1"/>
  <c r="H337" i="54" a="1"/>
  <c r="H337" i="54" s="1"/>
  <c r="H338" i="54" a="1"/>
  <c r="H338" i="54" s="1"/>
  <c r="H307" i="54" a="1"/>
  <c r="H307" i="54" s="1"/>
  <c r="H320" i="54" a="1"/>
  <c r="H320" i="54" s="1"/>
  <c r="H339" i="54" a="1"/>
  <c r="H339" i="54" s="1"/>
  <c r="H340" i="54" a="1"/>
  <c r="H340" i="54" s="1"/>
  <c r="H327" i="54" a="1"/>
  <c r="H327" i="54" s="1"/>
  <c r="H341" i="54" a="1"/>
  <c r="H341" i="54" s="1"/>
  <c r="H308" i="54" a="1"/>
  <c r="H308" i="54" s="1"/>
  <c r="H294" i="54" a="1"/>
  <c r="H294" i="54" s="1"/>
  <c r="H328" i="54" a="1"/>
  <c r="H328" i="54" s="1"/>
  <c r="H296" i="54" a="1"/>
  <c r="H296" i="54" s="1"/>
  <c r="H309" i="54" a="1"/>
  <c r="H309" i="54" s="1"/>
  <c r="H329" i="54" a="1"/>
  <c r="H329" i="54" s="1"/>
  <c r="E361" i="54" a="1"/>
  <c r="E361" i="54" s="1"/>
  <c r="E400" i="54" a="1"/>
  <c r="E400" i="54" s="1"/>
  <c r="E372" i="54" a="1"/>
  <c r="E372" i="54" s="1"/>
  <c r="E382" i="54" a="1"/>
  <c r="E382" i="54" s="1"/>
  <c r="E363" i="54" a="1"/>
  <c r="E363" i="54" s="1"/>
  <c r="E373" i="54" a="1"/>
  <c r="E373" i="54" s="1"/>
  <c r="E383" i="54" a="1"/>
  <c r="E383" i="54" s="1"/>
  <c r="E392" i="54" a="1"/>
  <c r="E392" i="54" s="1"/>
  <c r="E402" i="54" a="1"/>
  <c r="E402" i="54" s="1"/>
  <c r="E393" i="54" a="1"/>
  <c r="E393" i="54" s="1"/>
  <c r="E403" i="54" a="1"/>
  <c r="E403" i="54" s="1"/>
  <c r="E365" i="54" a="1"/>
  <c r="E365" i="54" s="1"/>
  <c r="E375" i="54" a="1"/>
  <c r="E375" i="54" s="1"/>
  <c r="E386" i="54" a="1"/>
  <c r="E386" i="54" s="1"/>
  <c r="E396" i="54" a="1"/>
  <c r="E396" i="54" s="1"/>
  <c r="E360" i="54" a="1"/>
  <c r="E360" i="54" s="1"/>
  <c r="E370" i="54" a="1"/>
  <c r="E370" i="54" s="1"/>
  <c r="E380" i="54" a="1"/>
  <c r="E380" i="54" s="1"/>
  <c r="E390" i="54" a="1"/>
  <c r="E390" i="54" s="1"/>
  <c r="E399" i="54" a="1"/>
  <c r="E399" i="54" s="1"/>
  <c r="E379" i="54" a="1"/>
  <c r="E379" i="54" s="1"/>
  <c r="E362" i="54" a="1"/>
  <c r="E362" i="54" s="1"/>
  <c r="E381" i="54" a="1"/>
  <c r="E381" i="54" s="1"/>
  <c r="E401" i="54" a="1"/>
  <c r="E401" i="54" s="1"/>
  <c r="E364" i="54" a="1"/>
  <c r="E364" i="54" s="1"/>
  <c r="E384" i="54" a="1"/>
  <c r="E384" i="54" s="1"/>
  <c r="E356" i="54" a="1"/>
  <c r="E356" i="54" s="1"/>
  <c r="E366" i="54" a="1"/>
  <c r="E366" i="54" s="1"/>
  <c r="E385" i="54" a="1"/>
  <c r="E385" i="54" s="1"/>
  <c r="E367" i="54" a="1"/>
  <c r="E367" i="54" s="1"/>
  <c r="E387" i="54" a="1"/>
  <c r="E387" i="54" s="1"/>
  <c r="E368" i="54" a="1"/>
  <c r="E368" i="54" s="1"/>
  <c r="E369" i="54" a="1"/>
  <c r="E369" i="54" s="1"/>
  <c r="E388" i="54" a="1"/>
  <c r="E388" i="54" s="1"/>
  <c r="E389" i="54" a="1"/>
  <c r="E389" i="54" s="1"/>
  <c r="E371" i="54" a="1"/>
  <c r="E371" i="54" s="1"/>
  <c r="E391" i="54" a="1"/>
  <c r="E391" i="54" s="1"/>
  <c r="E374" i="54" a="1"/>
  <c r="E374" i="54" s="1"/>
  <c r="E394" i="54" a="1"/>
  <c r="E394" i="54" s="1"/>
  <c r="E376" i="54" a="1"/>
  <c r="E376" i="54" s="1"/>
  <c r="E395" i="54" a="1"/>
  <c r="E395" i="54" s="1"/>
  <c r="E357" i="54" a="1"/>
  <c r="E357" i="54" s="1"/>
  <c r="E377" i="54" a="1"/>
  <c r="E377" i="54" s="1"/>
  <c r="E397" i="54" a="1"/>
  <c r="E397" i="54" s="1"/>
  <c r="E358" i="54" a="1"/>
  <c r="E358" i="54" s="1"/>
  <c r="E359" i="54" a="1"/>
  <c r="E359" i="54" s="1"/>
  <c r="E378" i="54" a="1"/>
  <c r="E378" i="54" s="1"/>
  <c r="E398" i="54" a="1"/>
  <c r="E398" i="54" s="1"/>
  <c r="I365" i="54" a="1"/>
  <c r="I365" i="54" s="1"/>
  <c r="I376" i="54" a="1"/>
  <c r="I376" i="54" s="1"/>
  <c r="I385" i="54" a="1"/>
  <c r="I385" i="54" s="1"/>
  <c r="I396" i="54" a="1"/>
  <c r="I396" i="54" s="1"/>
  <c r="I367" i="54" a="1"/>
  <c r="I367" i="54" s="1"/>
  <c r="I377" i="54" a="1"/>
  <c r="I377" i="54" s="1"/>
  <c r="I387" i="54" a="1"/>
  <c r="I387" i="54" s="1"/>
  <c r="I397" i="54" a="1"/>
  <c r="I397" i="54" s="1"/>
  <c r="I357" i="54" a="1"/>
  <c r="I357" i="54" s="1"/>
  <c r="I368" i="54" a="1"/>
  <c r="I368" i="54" s="1"/>
  <c r="I388" i="54" a="1"/>
  <c r="I388" i="54" s="1"/>
  <c r="I378" i="54" a="1"/>
  <c r="I378" i="54" s="1"/>
  <c r="I389" i="54" a="1"/>
  <c r="I389" i="54" s="1"/>
  <c r="I398" i="54" a="1"/>
  <c r="I398" i="54" s="1"/>
  <c r="I358" i="54" a="1"/>
  <c r="I358" i="54" s="1"/>
  <c r="I369" i="54" a="1"/>
  <c r="I369" i="54" s="1"/>
  <c r="I379" i="54" a="1"/>
  <c r="I379" i="54" s="1"/>
  <c r="I359" i="54" a="1"/>
  <c r="I359" i="54" s="1"/>
  <c r="I380" i="54" a="1"/>
  <c r="I380" i="54" s="1"/>
  <c r="I390" i="54" a="1"/>
  <c r="I390" i="54" s="1"/>
  <c r="I399" i="54" a="1"/>
  <c r="I399" i="54" s="1"/>
  <c r="I361" i="54" a="1"/>
  <c r="I361" i="54" s="1"/>
  <c r="I371" i="54" a="1"/>
  <c r="I371" i="54" s="1"/>
  <c r="I382" i="54" a="1"/>
  <c r="I382" i="54" s="1"/>
  <c r="I391" i="54" a="1"/>
  <c r="I391" i="54" s="1"/>
  <c r="I401" i="54" a="1"/>
  <c r="I401" i="54" s="1"/>
  <c r="I374" i="54" a="1"/>
  <c r="I374" i="54" s="1"/>
  <c r="I393" i="54" a="1"/>
  <c r="I393" i="54" s="1"/>
  <c r="I364" i="54" a="1"/>
  <c r="I364" i="54" s="1"/>
  <c r="I395" i="54" a="1"/>
  <c r="I395" i="54" s="1"/>
  <c r="I370" i="54" a="1"/>
  <c r="I370" i="54" s="1"/>
  <c r="I372" i="54" a="1"/>
  <c r="I372" i="54" s="1"/>
  <c r="I400" i="54" a="1"/>
  <c r="I400" i="54" s="1"/>
  <c r="I373" i="54" a="1"/>
  <c r="I373" i="54" s="1"/>
  <c r="I402" i="54" a="1"/>
  <c r="I402" i="54" s="1"/>
  <c r="I375" i="54" a="1"/>
  <c r="I375" i="54" s="1"/>
  <c r="I403" i="54" a="1"/>
  <c r="I403" i="54" s="1"/>
  <c r="I356" i="54" a="1"/>
  <c r="I356" i="54" s="1"/>
  <c r="I381" i="54" a="1"/>
  <c r="I381" i="54" s="1"/>
  <c r="I383" i="54" a="1"/>
  <c r="I383" i="54" s="1"/>
  <c r="I384" i="54" a="1"/>
  <c r="I384" i="54" s="1"/>
  <c r="I360" i="54" a="1"/>
  <c r="I360" i="54" s="1"/>
  <c r="I386" i="54" a="1"/>
  <c r="I386" i="54" s="1"/>
  <c r="I362" i="54" a="1"/>
  <c r="I362" i="54" s="1"/>
  <c r="I363" i="54" a="1"/>
  <c r="I363" i="54" s="1"/>
  <c r="I392" i="54" a="1"/>
  <c r="I392" i="54" s="1"/>
  <c r="I366" i="54" a="1"/>
  <c r="I366" i="54" s="1"/>
  <c r="I394" i="54" a="1"/>
  <c r="I394" i="54" s="1"/>
  <c r="H357" i="54" a="1"/>
  <c r="H357" i="54" s="1"/>
  <c r="H380" i="54" a="1"/>
  <c r="H380" i="54" s="1"/>
  <c r="H391" i="54" a="1"/>
  <c r="H391" i="54" s="1"/>
  <c r="H402" i="54" a="1"/>
  <c r="H402" i="54" s="1"/>
  <c r="H359" i="54" a="1"/>
  <c r="H359" i="54" s="1"/>
  <c r="H382" i="54" a="1"/>
  <c r="H382" i="54" s="1"/>
  <c r="H392" i="54" a="1"/>
  <c r="H392" i="54" s="1"/>
  <c r="H360" i="54" a="1"/>
  <c r="H360" i="54" s="1"/>
  <c r="H371" i="54" a="1"/>
  <c r="H371" i="54" s="1"/>
  <c r="H383" i="54" a="1"/>
  <c r="H383" i="54" s="1"/>
  <c r="H393" i="54" a="1"/>
  <c r="H393" i="54" s="1"/>
  <c r="H361" i="54" a="1"/>
  <c r="H361" i="54" s="1"/>
  <c r="H372" i="54" a="1"/>
  <c r="H372" i="54" s="1"/>
  <c r="H394" i="54" a="1"/>
  <c r="H394" i="54" s="1"/>
  <c r="H362" i="54" a="1"/>
  <c r="H362" i="54" s="1"/>
  <c r="H373" i="54" a="1"/>
  <c r="H373" i="54" s="1"/>
  <c r="H384" i="54" a="1"/>
  <c r="H384" i="54" s="1"/>
  <c r="H395" i="54" a="1"/>
  <c r="H395" i="54" s="1"/>
  <c r="H363" i="54" a="1"/>
  <c r="H363" i="54" s="1"/>
  <c r="H374" i="54" a="1"/>
  <c r="H374" i="54" s="1"/>
  <c r="H396" i="54" a="1"/>
  <c r="H396" i="54" s="1"/>
  <c r="H364" i="54" a="1"/>
  <c r="H364" i="54" s="1"/>
  <c r="H376" i="54" a="1"/>
  <c r="H376" i="54" s="1"/>
  <c r="H386" i="54" a="1"/>
  <c r="H386" i="54" s="1"/>
  <c r="H356" i="54" a="1"/>
  <c r="H356" i="54" s="1"/>
  <c r="H367" i="54" a="1"/>
  <c r="H367" i="54" s="1"/>
  <c r="H389" i="54" a="1"/>
  <c r="H389" i="54" s="1"/>
  <c r="H399" i="54" a="1"/>
  <c r="H399" i="54" s="1"/>
  <c r="H369" i="54" a="1"/>
  <c r="H369" i="54" s="1"/>
  <c r="H379" i="54" a="1"/>
  <c r="H379" i="54" s="1"/>
  <c r="H401" i="54" a="1"/>
  <c r="H401" i="54" s="1"/>
  <c r="H378" i="54" a="1"/>
  <c r="H378" i="54" s="1"/>
  <c r="H381" i="54" a="1"/>
  <c r="H381" i="54" s="1"/>
  <c r="H385" i="54" a="1"/>
  <c r="H385" i="54" s="1"/>
  <c r="H387" i="54" a="1"/>
  <c r="H387" i="54" s="1"/>
  <c r="H388" i="54" a="1"/>
  <c r="H388" i="54" s="1"/>
  <c r="H358" i="54" a="1"/>
  <c r="H358" i="54" s="1"/>
  <c r="H390" i="54" a="1"/>
  <c r="H390" i="54" s="1"/>
  <c r="H365" i="54" a="1"/>
  <c r="H365" i="54" s="1"/>
  <c r="H397" i="54" a="1"/>
  <c r="H397" i="54" s="1"/>
  <c r="H366" i="54" a="1"/>
  <c r="H366" i="54" s="1"/>
  <c r="H398" i="54" a="1"/>
  <c r="H398" i="54" s="1"/>
  <c r="H368" i="54" a="1"/>
  <c r="H368" i="54" s="1"/>
  <c r="H370" i="54" a="1"/>
  <c r="H370" i="54" s="1"/>
  <c r="H400" i="54" a="1"/>
  <c r="H400" i="54" s="1"/>
  <c r="H375" i="54" a="1"/>
  <c r="H375" i="54" s="1"/>
  <c r="H403" i="54" a="1"/>
  <c r="H403" i="54" s="1"/>
  <c r="H377" i="54" a="1"/>
  <c r="H377" i="54" s="1"/>
  <c r="K209" i="54"/>
  <c r="K213" i="54"/>
  <c r="K210" i="54"/>
  <c r="K211" i="54"/>
  <c r="K212" i="54"/>
  <c r="L218" i="54"/>
  <c r="L219" i="54"/>
  <c r="L216" i="54"/>
  <c r="L217" i="54"/>
  <c r="L215" i="54"/>
  <c r="G368" i="54" a="1"/>
  <c r="G368" i="54" s="1"/>
  <c r="G381" i="54" a="1"/>
  <c r="G381" i="54" s="1"/>
  <c r="G393" i="54" a="1"/>
  <c r="G393" i="54" s="1"/>
  <c r="G357" i="54" a="1"/>
  <c r="G357" i="54" s="1"/>
  <c r="G370" i="54" a="1"/>
  <c r="G370" i="54" s="1"/>
  <c r="G383" i="54" a="1"/>
  <c r="G383" i="54" s="1"/>
  <c r="G395" i="54" a="1"/>
  <c r="G395" i="54" s="1"/>
  <c r="G358" i="54" a="1"/>
  <c r="G358" i="54" s="1"/>
  <c r="G384" i="54" a="1"/>
  <c r="G384" i="54" s="1"/>
  <c r="G396" i="54" a="1"/>
  <c r="G396" i="54" s="1"/>
  <c r="G359" i="54" a="1"/>
  <c r="G359" i="54" s="1"/>
  <c r="G371" i="54" a="1"/>
  <c r="G371" i="54" s="1"/>
  <c r="G397" i="54" a="1"/>
  <c r="G397" i="54" s="1"/>
  <c r="G360" i="54" a="1"/>
  <c r="G360" i="54" s="1"/>
  <c r="G372" i="54" a="1"/>
  <c r="G372" i="54" s="1"/>
  <c r="G385" i="54" a="1"/>
  <c r="G385" i="54" s="1"/>
  <c r="G398" i="54" a="1"/>
  <c r="G398" i="54" s="1"/>
  <c r="G361" i="54" a="1"/>
  <c r="G361" i="54" s="1"/>
  <c r="G373" i="54" a="1"/>
  <c r="G373" i="54" s="1"/>
  <c r="G386" i="54" a="1"/>
  <c r="G386" i="54" s="1"/>
  <c r="G363" i="54" a="1"/>
  <c r="G363" i="54" s="1"/>
  <c r="G375" i="54" a="1"/>
  <c r="G375" i="54" s="1"/>
  <c r="G388" i="54" a="1"/>
  <c r="G388" i="54" s="1"/>
  <c r="G400" i="54" a="1"/>
  <c r="G400" i="54" s="1"/>
  <c r="G365" i="54" a="1"/>
  <c r="G365" i="54" s="1"/>
  <c r="G378" i="54" a="1"/>
  <c r="G378" i="54" s="1"/>
  <c r="G391" i="54" a="1"/>
  <c r="G391" i="54" s="1"/>
  <c r="G403" i="54" a="1"/>
  <c r="G403" i="54" s="1"/>
  <c r="G367" i="54" a="1"/>
  <c r="G367" i="54" s="1"/>
  <c r="G380" i="54" a="1"/>
  <c r="G380" i="54" s="1"/>
  <c r="G392" i="54" a="1"/>
  <c r="G392" i="54" s="1"/>
  <c r="G364" i="54" a="1"/>
  <c r="G364" i="54" s="1"/>
  <c r="G401" i="54" a="1"/>
  <c r="G401" i="54" s="1"/>
  <c r="G366" i="54" a="1"/>
  <c r="G366" i="54" s="1"/>
  <c r="G402" i="54" a="1"/>
  <c r="G402" i="54" s="1"/>
  <c r="G369" i="54" a="1"/>
  <c r="G369" i="54" s="1"/>
  <c r="G356" i="54" a="1"/>
  <c r="G356" i="54" s="1"/>
  <c r="G374" i="54" a="1"/>
  <c r="G374" i="54" s="1"/>
  <c r="G376" i="54" a="1"/>
  <c r="G376" i="54" s="1"/>
  <c r="G377" i="54" a="1"/>
  <c r="G377" i="54" s="1"/>
  <c r="G379" i="54" a="1"/>
  <c r="G379" i="54" s="1"/>
  <c r="G382" i="54" a="1"/>
  <c r="G382" i="54" s="1"/>
  <c r="G387" i="54" a="1"/>
  <c r="G387" i="54" s="1"/>
  <c r="G389" i="54" a="1"/>
  <c r="G389" i="54" s="1"/>
  <c r="G390" i="54" a="1"/>
  <c r="G390" i="54" s="1"/>
  <c r="G362" i="54" a="1"/>
  <c r="G362" i="54" s="1"/>
  <c r="G394" i="54" a="1"/>
  <c r="G394" i="54" s="1"/>
  <c r="G399" i="54" a="1"/>
  <c r="G399" i="54" s="1"/>
  <c r="L211" i="54"/>
  <c r="L209" i="54"/>
  <c r="L212" i="54"/>
  <c r="L213" i="54"/>
  <c r="L210" i="54"/>
  <c r="F358" i="54" a="1"/>
  <c r="F358" i="54" s="1"/>
  <c r="F368" i="54" a="1"/>
  <c r="F368" i="54" s="1"/>
  <c r="F388" i="54" a="1"/>
  <c r="F388" i="54" s="1"/>
  <c r="F398" i="54" a="1"/>
  <c r="F398" i="54" s="1"/>
  <c r="F359" i="54" a="1"/>
  <c r="F359" i="54" s="1"/>
  <c r="F379" i="54" a="1"/>
  <c r="F379" i="54" s="1"/>
  <c r="F390" i="54" a="1"/>
  <c r="F390" i="54" s="1"/>
  <c r="F399" i="54" a="1"/>
  <c r="F399" i="54" s="1"/>
  <c r="F360" i="54" a="1"/>
  <c r="F360" i="54" s="1"/>
  <c r="F370" i="54" a="1"/>
  <c r="F370" i="54" s="1"/>
  <c r="F400" i="54" a="1"/>
  <c r="F400" i="54" s="1"/>
  <c r="F361" i="54" a="1"/>
  <c r="F361" i="54" s="1"/>
  <c r="F380" i="54" a="1"/>
  <c r="F380" i="54" s="1"/>
  <c r="F391" i="54" a="1"/>
  <c r="F391" i="54" s="1"/>
  <c r="F362" i="54" a="1"/>
  <c r="F362" i="54" s="1"/>
  <c r="F371" i="54" a="1"/>
  <c r="F371" i="54" s="1"/>
  <c r="F381" i="54" a="1"/>
  <c r="F381" i="54" s="1"/>
  <c r="F401" i="54" a="1"/>
  <c r="F401" i="54" s="1"/>
  <c r="F372" i="54" a="1"/>
  <c r="F372" i="54" s="1"/>
  <c r="F382" i="54" a="1"/>
  <c r="F382" i="54" s="1"/>
  <c r="F392" i="54" a="1"/>
  <c r="F392" i="54" s="1"/>
  <c r="F402" i="54" a="1"/>
  <c r="F402" i="54" s="1"/>
  <c r="F373" i="54" a="1"/>
  <c r="F373" i="54" s="1"/>
  <c r="F356" i="54" a="1"/>
  <c r="F356" i="54" s="1"/>
  <c r="F376" i="54" a="1"/>
  <c r="F376" i="54" s="1"/>
  <c r="F386" i="54" a="1"/>
  <c r="F386" i="54" s="1"/>
  <c r="F396" i="54" a="1"/>
  <c r="F396" i="54" s="1"/>
  <c r="F357" i="54" a="1"/>
  <c r="F357" i="54" s="1"/>
  <c r="F367" i="54" a="1"/>
  <c r="F367" i="54" s="1"/>
  <c r="F377" i="54" a="1"/>
  <c r="F377" i="54" s="1"/>
  <c r="F387" i="54" a="1"/>
  <c r="F387" i="54" s="1"/>
  <c r="F383" i="54" a="1"/>
  <c r="F383" i="54" s="1"/>
  <c r="F384" i="54" a="1"/>
  <c r="F384" i="54" s="1"/>
  <c r="F385" i="54" a="1"/>
  <c r="F385" i="54" s="1"/>
  <c r="F363" i="54" a="1"/>
  <c r="F363" i="54" s="1"/>
  <c r="F389" i="54" a="1"/>
  <c r="F389" i="54" s="1"/>
  <c r="F364" i="54" a="1"/>
  <c r="F364" i="54" s="1"/>
  <c r="F393" i="54" a="1"/>
  <c r="F393" i="54" s="1"/>
  <c r="F365" i="54" a="1"/>
  <c r="F365" i="54" s="1"/>
  <c r="F394" i="54" a="1"/>
  <c r="F394" i="54" s="1"/>
  <c r="F366" i="54" a="1"/>
  <c r="F366" i="54" s="1"/>
  <c r="F395" i="54" a="1"/>
  <c r="F395" i="54" s="1"/>
  <c r="F369" i="54" a="1"/>
  <c r="F369" i="54" s="1"/>
  <c r="F397" i="54" a="1"/>
  <c r="F397" i="54" s="1"/>
  <c r="F374" i="54" a="1"/>
  <c r="F374" i="54" s="1"/>
  <c r="F403" i="54" a="1"/>
  <c r="F403" i="54" s="1"/>
  <c r="F375" i="54" a="1"/>
  <c r="F375" i="54" s="1"/>
  <c r="F378" i="54" a="1"/>
  <c r="F378" i="54" s="1"/>
  <c r="E295" i="54" a="1"/>
  <c r="E295" i="54" s="1"/>
  <c r="E304" i="54" a="1"/>
  <c r="E304" i="54" s="1"/>
  <c r="E313" i="54" a="1"/>
  <c r="E313" i="54" s="1"/>
  <c r="E322" i="54" a="1"/>
  <c r="E322" i="54" s="1"/>
  <c r="E340" i="54" a="1"/>
  <c r="E340" i="54" s="1"/>
  <c r="E296" i="54" a="1"/>
  <c r="E296" i="54" s="1"/>
  <c r="E323" i="54" a="1"/>
  <c r="E323" i="54" s="1"/>
  <c r="E299" i="54" a="1"/>
  <c r="E299" i="54" s="1"/>
  <c r="E308" i="54" a="1"/>
  <c r="E308" i="54" s="1"/>
  <c r="E326" i="54" a="1"/>
  <c r="E326" i="54" s="1"/>
  <c r="E335" i="54" a="1"/>
  <c r="E335" i="54" s="1"/>
  <c r="E303" i="54" a="1"/>
  <c r="E303" i="54" s="1"/>
  <c r="E327" i="54" a="1"/>
  <c r="E327" i="54" s="1"/>
  <c r="E337" i="54" a="1"/>
  <c r="E337" i="54" s="1"/>
  <c r="E305" i="54" a="1"/>
  <c r="E305" i="54" s="1"/>
  <c r="E316" i="54" a="1"/>
  <c r="E316" i="54" s="1"/>
  <c r="E328" i="54" a="1"/>
  <c r="E328" i="54" s="1"/>
  <c r="E306" i="54" a="1"/>
  <c r="E306" i="54" s="1"/>
  <c r="E317" i="54" a="1"/>
  <c r="E317" i="54" s="1"/>
  <c r="E338" i="54" a="1"/>
  <c r="E338" i="54" s="1"/>
  <c r="E307" i="54" a="1"/>
  <c r="E307" i="54" s="1"/>
  <c r="E318" i="54" a="1"/>
  <c r="E318" i="54" s="1"/>
  <c r="E329" i="54" a="1"/>
  <c r="E329" i="54" s="1"/>
  <c r="E339" i="54" a="1"/>
  <c r="E339" i="54" s="1"/>
  <c r="E333" i="54" a="1"/>
  <c r="E333" i="54" s="1"/>
  <c r="E319" i="54" a="1"/>
  <c r="E319" i="54" s="1"/>
  <c r="E297" i="54" a="1"/>
  <c r="E297" i="54" s="1"/>
  <c r="E330" i="54" a="1"/>
  <c r="E330" i="54" s="1"/>
  <c r="E341" i="54" a="1"/>
  <c r="E341" i="54" s="1"/>
  <c r="E309" i="54" a="1"/>
  <c r="E309" i="54" s="1"/>
  <c r="E331" i="54" a="1"/>
  <c r="E331" i="54" s="1"/>
  <c r="E310" i="54" a="1"/>
  <c r="E310" i="54" s="1"/>
  <c r="E298" i="54" a="1"/>
  <c r="E298" i="54" s="1"/>
  <c r="E320" i="54" a="1"/>
  <c r="E320" i="54" s="1"/>
  <c r="E294" i="54" a="1"/>
  <c r="E294" i="54" s="1"/>
  <c r="E311" i="54" a="1"/>
  <c r="E311" i="54" s="1"/>
  <c r="E321" i="54" a="1"/>
  <c r="E321" i="54" s="1"/>
  <c r="E332" i="54" a="1"/>
  <c r="E332" i="54" s="1"/>
  <c r="E300" i="54" a="1"/>
  <c r="E300" i="54" s="1"/>
  <c r="E301" i="54" a="1"/>
  <c r="E301" i="54" s="1"/>
  <c r="E312" i="54" a="1"/>
  <c r="E312" i="54" s="1"/>
  <c r="E334" i="54" a="1"/>
  <c r="E334" i="54" s="1"/>
  <c r="E324" i="54" a="1"/>
  <c r="E324" i="54" s="1"/>
  <c r="E315" i="54" a="1"/>
  <c r="E315" i="54" s="1"/>
  <c r="E302" i="54" a="1"/>
  <c r="E302" i="54" s="1"/>
  <c r="E314" i="54" a="1"/>
  <c r="E314" i="54" s="1"/>
  <c r="E325" i="54" a="1"/>
  <c r="E325" i="54" s="1"/>
  <c r="E336" i="54" a="1"/>
  <c r="E336" i="54" s="1"/>
  <c r="I305" i="54" a="1"/>
  <c r="I305" i="54" s="1"/>
  <c r="I327" i="54" a="1"/>
  <c r="I327" i="54" s="1"/>
  <c r="I337" i="54" a="1"/>
  <c r="I337" i="54" s="1"/>
  <c r="I295" i="54" a="1"/>
  <c r="I295" i="54" s="1"/>
  <c r="I307" i="54" a="1"/>
  <c r="I307" i="54" s="1"/>
  <c r="I317" i="54" a="1"/>
  <c r="I317" i="54" s="1"/>
  <c r="I339" i="54" a="1"/>
  <c r="I339" i="54" s="1"/>
  <c r="I296" i="54" a="1"/>
  <c r="I296" i="54" s="1"/>
  <c r="I318" i="54" a="1"/>
  <c r="I318" i="54" s="1"/>
  <c r="I329" i="54" a="1"/>
  <c r="I329" i="54" s="1"/>
  <c r="I340" i="54" a="1"/>
  <c r="I340" i="54" s="1"/>
  <c r="I297" i="54" a="1"/>
  <c r="I297" i="54" s="1"/>
  <c r="I308" i="54" a="1"/>
  <c r="I308" i="54" s="1"/>
  <c r="I319" i="54" a="1"/>
  <c r="I319" i="54" s="1"/>
  <c r="I341" i="54" a="1"/>
  <c r="I341" i="54" s="1"/>
  <c r="I298" i="54" a="1"/>
  <c r="I298" i="54" s="1"/>
  <c r="I320" i="54" a="1"/>
  <c r="I320" i="54" s="1"/>
  <c r="I330" i="54" a="1"/>
  <c r="I330" i="54" s="1"/>
  <c r="I294" i="54" a="1"/>
  <c r="I294" i="54" s="1"/>
  <c r="I299" i="54" a="1"/>
  <c r="I299" i="54" s="1"/>
  <c r="I309" i="54" a="1"/>
  <c r="I309" i="54" s="1"/>
  <c r="I321" i="54" a="1"/>
  <c r="I321" i="54" s="1"/>
  <c r="I331" i="54" a="1"/>
  <c r="I331" i="54" s="1"/>
  <c r="I301" i="54" a="1"/>
  <c r="I301" i="54" s="1"/>
  <c r="I312" i="54" a="1"/>
  <c r="I312" i="54" s="1"/>
  <c r="I334" i="54" a="1"/>
  <c r="I334" i="54" s="1"/>
  <c r="I322" i="54" a="1"/>
  <c r="I322" i="54" s="1"/>
  <c r="I323" i="54" a="1"/>
  <c r="I323" i="54" s="1"/>
  <c r="I302" i="54" a="1"/>
  <c r="I302" i="54" s="1"/>
  <c r="I324" i="54" a="1"/>
  <c r="I324" i="54" s="1"/>
  <c r="I303" i="54" a="1"/>
  <c r="I303" i="54" s="1"/>
  <c r="I325" i="54" a="1"/>
  <c r="I325" i="54" s="1"/>
  <c r="I304" i="54" a="1"/>
  <c r="I304" i="54" s="1"/>
  <c r="I326" i="54" a="1"/>
  <c r="I326" i="54" s="1"/>
  <c r="I306" i="54" a="1"/>
  <c r="I306" i="54" s="1"/>
  <c r="I328" i="54" a="1"/>
  <c r="I328" i="54" s="1"/>
  <c r="I310" i="54" a="1"/>
  <c r="I310" i="54" s="1"/>
  <c r="I332" i="54" a="1"/>
  <c r="I332" i="54" s="1"/>
  <c r="I311" i="54" a="1"/>
  <c r="I311" i="54" s="1"/>
  <c r="I333" i="54" a="1"/>
  <c r="I333" i="54" s="1"/>
  <c r="I313" i="54" a="1"/>
  <c r="I313" i="54" s="1"/>
  <c r="I335" i="54" a="1"/>
  <c r="I335" i="54" s="1"/>
  <c r="I314" i="54" a="1"/>
  <c r="I314" i="54" s="1"/>
  <c r="I336" i="54" a="1"/>
  <c r="I336" i="54" s="1"/>
  <c r="I315" i="54" a="1"/>
  <c r="I315" i="54" s="1"/>
  <c r="I316" i="54" a="1"/>
  <c r="I316" i="54" s="1"/>
  <c r="I338" i="54" a="1"/>
  <c r="I338" i="54" s="1"/>
  <c r="I300" i="54" a="1"/>
  <c r="I300" i="54" s="1"/>
  <c r="K219" i="54"/>
  <c r="K215" i="54"/>
  <c r="K218" i="54"/>
  <c r="K216" i="54"/>
  <c r="K217" i="54"/>
  <c r="G303" i="54" a="1"/>
  <c r="G303" i="54" s="1"/>
  <c r="G313" i="54" a="1"/>
  <c r="G313" i="54" s="1"/>
  <c r="G332" i="54" a="1"/>
  <c r="G332" i="54" s="1"/>
  <c r="G304" i="54" a="1"/>
  <c r="G304" i="54" s="1"/>
  <c r="G324" i="54" a="1"/>
  <c r="G324" i="54" s="1"/>
  <c r="G334" i="54" a="1"/>
  <c r="G334" i="54" s="1"/>
  <c r="G295" i="54" a="1"/>
  <c r="G295" i="54" s="1"/>
  <c r="G305" i="54" a="1"/>
  <c r="G305" i="54" s="1"/>
  <c r="G315" i="54" a="1"/>
  <c r="G315" i="54" s="1"/>
  <c r="G335" i="54" a="1"/>
  <c r="G335" i="54" s="1"/>
  <c r="G296" i="54" a="1"/>
  <c r="G296" i="54" s="1"/>
  <c r="G306" i="54" a="1"/>
  <c r="G306" i="54" s="1"/>
  <c r="G325" i="54" a="1"/>
  <c r="G325" i="54" s="1"/>
  <c r="G307" i="54" a="1"/>
  <c r="G307" i="54" s="1"/>
  <c r="G316" i="54" a="1"/>
  <c r="G316" i="54" s="1"/>
  <c r="G326" i="54" a="1"/>
  <c r="G326" i="54" s="1"/>
  <c r="G336" i="54" a="1"/>
  <c r="G336" i="54" s="1"/>
  <c r="G297" i="54" a="1"/>
  <c r="G297" i="54" s="1"/>
  <c r="G317" i="54" a="1"/>
  <c r="G317" i="54" s="1"/>
  <c r="G327" i="54" a="1"/>
  <c r="G327" i="54" s="1"/>
  <c r="G318" i="54" a="1"/>
  <c r="G318" i="54" s="1"/>
  <c r="G333" i="54" a="1"/>
  <c r="G333" i="54" s="1"/>
  <c r="G301" i="54" a="1"/>
  <c r="G301" i="54" s="1"/>
  <c r="G319" i="54" a="1"/>
  <c r="G319" i="54" s="1"/>
  <c r="G337" i="54" a="1"/>
  <c r="G337" i="54" s="1"/>
  <c r="G320" i="54" a="1"/>
  <c r="G320" i="54" s="1"/>
  <c r="G338" i="54" a="1"/>
  <c r="G338" i="54" s="1"/>
  <c r="G302" i="54" a="1"/>
  <c r="G302" i="54" s="1"/>
  <c r="G321" i="54" a="1"/>
  <c r="G321" i="54" s="1"/>
  <c r="G339" i="54" a="1"/>
  <c r="G339" i="54" s="1"/>
  <c r="G308" i="54" a="1"/>
  <c r="G308" i="54" s="1"/>
  <c r="G322" i="54" a="1"/>
  <c r="G322" i="54" s="1"/>
  <c r="G340" i="54" a="1"/>
  <c r="G340" i="54" s="1"/>
  <c r="G323" i="54" a="1"/>
  <c r="G323" i="54" s="1"/>
  <c r="G341" i="54" a="1"/>
  <c r="G341" i="54" s="1"/>
  <c r="G310" i="54" a="1"/>
  <c r="G310" i="54" s="1"/>
  <c r="G309" i="54" a="1"/>
  <c r="G309" i="54" s="1"/>
  <c r="G328" i="54" a="1"/>
  <c r="G328" i="54" s="1"/>
  <c r="G294" i="54" a="1"/>
  <c r="G294" i="54" s="1"/>
  <c r="G329" i="54" a="1"/>
  <c r="G329" i="54" s="1"/>
  <c r="G311" i="54" a="1"/>
  <c r="G311" i="54" s="1"/>
  <c r="G312" i="54" a="1"/>
  <c r="G312" i="54" s="1"/>
  <c r="G330" i="54" a="1"/>
  <c r="G330" i="54" s="1"/>
  <c r="G298" i="54" a="1"/>
  <c r="G298" i="54" s="1"/>
  <c r="G300" i="54" a="1"/>
  <c r="G300" i="54" s="1"/>
  <c r="G299" i="54" a="1"/>
  <c r="G299" i="54" s="1"/>
  <c r="G314" i="54" a="1"/>
  <c r="G314" i="54" s="1"/>
  <c r="G331" i="54" a="1"/>
  <c r="G331" i="54" s="1"/>
  <c r="F307" i="54" a="1"/>
  <c r="F307" i="54" s="1"/>
  <c r="F319" i="54" a="1"/>
  <c r="F319" i="54" s="1"/>
  <c r="F331" i="54" a="1"/>
  <c r="F331" i="54" s="1"/>
  <c r="F296" i="54" a="1"/>
  <c r="F296" i="54" s="1"/>
  <c r="F321" i="54" a="1"/>
  <c r="F321" i="54" s="1"/>
  <c r="F333" i="54" a="1"/>
  <c r="F333" i="54" s="1"/>
  <c r="F297" i="54" a="1"/>
  <c r="F297" i="54" s="1"/>
  <c r="F309" i="54" a="1"/>
  <c r="F309" i="54" s="1"/>
  <c r="F298" i="54" a="1"/>
  <c r="F298" i="54" s="1"/>
  <c r="F310" i="54" a="1"/>
  <c r="F310" i="54" s="1"/>
  <c r="F299" i="54" a="1"/>
  <c r="F299" i="54" s="1"/>
  <c r="F311" i="54" a="1"/>
  <c r="F311" i="54" s="1"/>
  <c r="F300" i="54" a="1"/>
  <c r="F300" i="54" s="1"/>
  <c r="F312" i="54" a="1"/>
  <c r="F312" i="54" s="1"/>
  <c r="F324" i="54" a="1"/>
  <c r="F324" i="54" s="1"/>
  <c r="F305" i="54" a="1"/>
  <c r="F305" i="54" s="1"/>
  <c r="F325" i="54" a="1"/>
  <c r="F325" i="54" s="1"/>
  <c r="F340" i="54" a="1"/>
  <c r="F340" i="54" s="1"/>
  <c r="F306" i="54" a="1"/>
  <c r="F306" i="54" s="1"/>
  <c r="F326" i="54" a="1"/>
  <c r="F326" i="54" s="1"/>
  <c r="F341" i="54" a="1"/>
  <c r="F341" i="54" s="1"/>
  <c r="F308" i="54" a="1"/>
  <c r="F308" i="54" s="1"/>
  <c r="F327" i="54" a="1"/>
  <c r="F327" i="54" s="1"/>
  <c r="F294" i="54" a="1"/>
  <c r="F294" i="54" s="1"/>
  <c r="F301" i="54" a="1"/>
  <c r="F301" i="54" s="1"/>
  <c r="F313" i="54" a="1"/>
  <c r="F313" i="54" s="1"/>
  <c r="F328" i="54" a="1"/>
  <c r="F328" i="54" s="1"/>
  <c r="F295" i="54" a="1"/>
  <c r="F295" i="54" s="1"/>
  <c r="F334" i="54" a="1"/>
  <c r="F334" i="54" s="1"/>
  <c r="F314" i="54" a="1"/>
  <c r="F314" i="54" s="1"/>
  <c r="F329" i="54" a="1"/>
  <c r="F329" i="54" s="1"/>
  <c r="F318" i="54" a="1"/>
  <c r="F318" i="54" s="1"/>
  <c r="F315" i="54" a="1"/>
  <c r="F315" i="54" s="1"/>
  <c r="F330" i="54" a="1"/>
  <c r="F330" i="54" s="1"/>
  <c r="F304" i="54" a="1"/>
  <c r="F304" i="54" s="1"/>
  <c r="F316" i="54" a="1"/>
  <c r="F316" i="54" s="1"/>
  <c r="F332" i="54" a="1"/>
  <c r="F332" i="54" s="1"/>
  <c r="F317" i="54" a="1"/>
  <c r="F317" i="54" s="1"/>
  <c r="F335" i="54" a="1"/>
  <c r="F335" i="54" s="1"/>
  <c r="F320" i="54" a="1"/>
  <c r="F320" i="54" s="1"/>
  <c r="F336" i="54" a="1"/>
  <c r="F336" i="54" s="1"/>
  <c r="F322" i="54" a="1"/>
  <c r="F322" i="54" s="1"/>
  <c r="F302" i="54" a="1"/>
  <c r="F302" i="54" s="1"/>
  <c r="F337" i="54" a="1"/>
  <c r="F337" i="54" s="1"/>
  <c r="F323" i="54" a="1"/>
  <c r="F323" i="54" s="1"/>
  <c r="F303" i="54" a="1"/>
  <c r="F303" i="54" s="1"/>
  <c r="F338" i="54" a="1"/>
  <c r="F338" i="54" s="1"/>
  <c r="F339" i="54" a="1"/>
  <c r="F339" i="54" s="1"/>
  <c r="G233" i="54" a="1"/>
  <c r="G233" i="54" s="1"/>
  <c r="G244" i="54" a="1"/>
  <c r="G244" i="54" s="1"/>
  <c r="G253" i="54" a="1"/>
  <c r="G253" i="54" s="1"/>
  <c r="G264" i="54" a="1"/>
  <c r="G264" i="54" s="1"/>
  <c r="G266" i="54" a="1"/>
  <c r="G266" i="54" s="1"/>
  <c r="G234" i="54" a="1"/>
  <c r="G234" i="54" s="1"/>
  <c r="G265" i="54" a="1"/>
  <c r="G265" i="54" s="1"/>
  <c r="G274" i="54" a="1"/>
  <c r="G274" i="54" s="1"/>
  <c r="G275" i="54" a="1"/>
  <c r="G275" i="54" s="1"/>
  <c r="G235" i="54" a="1"/>
  <c r="G235" i="54" s="1"/>
  <c r="G245" i="54" a="1"/>
  <c r="G245" i="54" s="1"/>
  <c r="G254" i="54" a="1"/>
  <c r="G254" i="54" s="1"/>
  <c r="G255" i="54" a="1"/>
  <c r="G255" i="54" s="1"/>
  <c r="G236" i="54" a="1"/>
  <c r="G236" i="54" s="1"/>
  <c r="G237" i="54" a="1"/>
  <c r="G237" i="54" s="1"/>
  <c r="G246" i="54" a="1"/>
  <c r="G246" i="54" s="1"/>
  <c r="G256" i="54" a="1"/>
  <c r="G256" i="54" s="1"/>
  <c r="G276" i="54" a="1"/>
  <c r="G276" i="54" s="1"/>
  <c r="G257" i="54" a="1"/>
  <c r="G257" i="54" s="1"/>
  <c r="G267" i="54" a="1"/>
  <c r="G267" i="54" s="1"/>
  <c r="G277" i="54" a="1"/>
  <c r="G277" i="54" s="1"/>
  <c r="G238" i="54" a="1"/>
  <c r="G238" i="54" s="1"/>
  <c r="G247" i="54" a="1"/>
  <c r="G247" i="54" s="1"/>
  <c r="G258" i="54" a="1"/>
  <c r="G258" i="54" s="1"/>
  <c r="G278" i="54" a="1"/>
  <c r="G278" i="54" s="1"/>
  <c r="G248" i="54" a="1"/>
  <c r="G248" i="54" s="1"/>
  <c r="G268" i="54" a="1"/>
  <c r="G268" i="54" s="1"/>
  <c r="G279" i="54" a="1"/>
  <c r="G279" i="54" s="1"/>
  <c r="G239" i="54" a="1"/>
  <c r="G239" i="54" s="1"/>
  <c r="G249" i="54" a="1"/>
  <c r="G249" i="54" s="1"/>
  <c r="G259" i="54" a="1"/>
  <c r="G259" i="54" s="1"/>
  <c r="G269" i="54" a="1"/>
  <c r="G269" i="54" s="1"/>
  <c r="G250" i="54" a="1"/>
  <c r="G250" i="54" s="1"/>
  <c r="G270" i="54" a="1"/>
  <c r="G270" i="54" s="1"/>
  <c r="G232" i="54" a="1"/>
  <c r="G232" i="54" s="1"/>
  <c r="G260" i="54" a="1"/>
  <c r="G260" i="54" s="1"/>
  <c r="G261" i="54" a="1"/>
  <c r="G261" i="54" s="1"/>
  <c r="G262" i="54" a="1"/>
  <c r="G262" i="54" s="1"/>
  <c r="G263" i="54" a="1"/>
  <c r="G263" i="54" s="1"/>
  <c r="G271" i="54" a="1"/>
  <c r="G271" i="54" s="1"/>
  <c r="G273" i="54" a="1"/>
  <c r="G273" i="54" s="1"/>
  <c r="G272" i="54" a="1"/>
  <c r="G272" i="54" s="1"/>
  <c r="G241" i="54" a="1"/>
  <c r="G241" i="54" s="1"/>
  <c r="G240" i="54" a="1"/>
  <c r="G240" i="54" s="1"/>
  <c r="G251" i="54" a="1"/>
  <c r="G251" i="54" s="1"/>
  <c r="G243" i="54" a="1"/>
  <c r="G243" i="54" s="1"/>
  <c r="G242" i="54" a="1"/>
  <c r="G242" i="54" s="1"/>
  <c r="G252" i="54" a="1"/>
  <c r="G252" i="54" s="1"/>
  <c r="F246" i="54" a="1"/>
  <c r="F246" i="54" s="1"/>
  <c r="F256" i="54" a="1"/>
  <c r="F256" i="54" s="1"/>
  <c r="F266" i="54" a="1"/>
  <c r="F266" i="54" s="1"/>
  <c r="F275" i="54" a="1"/>
  <c r="F275" i="54" s="1"/>
  <c r="F248" i="54" a="1"/>
  <c r="F248" i="54" s="1"/>
  <c r="F236" i="54" a="1"/>
  <c r="F236" i="54" s="1"/>
  <c r="F276" i="54" a="1"/>
  <c r="F276" i="54" s="1"/>
  <c r="F258" i="54" a="1"/>
  <c r="F258" i="54" s="1"/>
  <c r="F237" i="54" a="1"/>
  <c r="F237" i="54" s="1"/>
  <c r="F247" i="54" a="1"/>
  <c r="F247" i="54" s="1"/>
  <c r="F257" i="54" a="1"/>
  <c r="F257" i="54" s="1"/>
  <c r="F267" i="54" a="1"/>
  <c r="F267" i="54" s="1"/>
  <c r="F277" i="54" a="1"/>
  <c r="F277" i="54" s="1"/>
  <c r="F238" i="54" a="1"/>
  <c r="F238" i="54" s="1"/>
  <c r="F239" i="54" a="1"/>
  <c r="F239" i="54" s="1"/>
  <c r="F249" i="54" a="1"/>
  <c r="F249" i="54" s="1"/>
  <c r="F259" i="54" a="1"/>
  <c r="F259" i="54" s="1"/>
  <c r="F268" i="54" a="1"/>
  <c r="F268" i="54" s="1"/>
  <c r="F278" i="54" a="1"/>
  <c r="F278" i="54" s="1"/>
  <c r="F269" i="54" a="1"/>
  <c r="F269" i="54" s="1"/>
  <c r="F279" i="54" a="1"/>
  <c r="F279" i="54" s="1"/>
  <c r="F240" i="54" a="1"/>
  <c r="F240" i="54" s="1"/>
  <c r="F250" i="54" a="1"/>
  <c r="F250" i="54" s="1"/>
  <c r="F260" i="54" a="1"/>
  <c r="F260" i="54" s="1"/>
  <c r="F270" i="54" a="1"/>
  <c r="F270" i="54" s="1"/>
  <c r="F232" i="54" a="1"/>
  <c r="F232" i="54" s="1"/>
  <c r="F241" i="54" a="1"/>
  <c r="F241" i="54" s="1"/>
  <c r="F251" i="54" a="1"/>
  <c r="F251" i="54" s="1"/>
  <c r="F242" i="54" a="1"/>
  <c r="F242" i="54" s="1"/>
  <c r="F252" i="54" a="1"/>
  <c r="F252" i="54" s="1"/>
  <c r="F261" i="54" a="1"/>
  <c r="F261" i="54" s="1"/>
  <c r="F271" i="54" a="1"/>
  <c r="F271" i="54" s="1"/>
  <c r="F262" i="54" a="1"/>
  <c r="F262" i="54" s="1"/>
  <c r="F272" i="54" a="1"/>
  <c r="F272" i="54" s="1"/>
  <c r="F244" i="54" a="1"/>
  <c r="F244" i="54" s="1"/>
  <c r="F245" i="54" a="1"/>
  <c r="F245" i="54" s="1"/>
  <c r="F234" i="54" a="1"/>
  <c r="F234" i="54" s="1"/>
  <c r="F265" i="54" a="1"/>
  <c r="F265" i="54" s="1"/>
  <c r="F243" i="54" a="1"/>
  <c r="F243" i="54" s="1"/>
  <c r="F253" i="54" a="1"/>
  <c r="F253" i="54" s="1"/>
  <c r="F233" i="54" a="1"/>
  <c r="F233" i="54" s="1"/>
  <c r="F273" i="54" a="1"/>
  <c r="F273" i="54" s="1"/>
  <c r="F254" i="54" a="1"/>
  <c r="F254" i="54" s="1"/>
  <c r="F274" i="54" a="1"/>
  <c r="F274" i="54" s="1"/>
  <c r="F255" i="54" a="1"/>
  <c r="F255" i="54" s="1"/>
  <c r="F235" i="54" a="1"/>
  <c r="F235" i="54" s="1"/>
  <c r="F263" i="54" a="1"/>
  <c r="F263" i="54" s="1"/>
  <c r="F264" i="54" a="1"/>
  <c r="F264" i="54" s="1"/>
  <c r="E246" i="54" a="1"/>
  <c r="E246" i="54" s="1"/>
  <c r="E255" i="54" a="1"/>
  <c r="E255" i="54" s="1"/>
  <c r="E264" i="54" a="1"/>
  <c r="E264" i="54" s="1"/>
  <c r="E273" i="54" a="1"/>
  <c r="E273" i="54" s="1"/>
  <c r="E248" i="54" a="1"/>
  <c r="E248" i="54" s="1"/>
  <c r="E238" i="54" a="1"/>
  <c r="E238" i="54" s="1"/>
  <c r="E265" i="54" a="1"/>
  <c r="E265" i="54" s="1"/>
  <c r="E257" i="54" a="1"/>
  <c r="E257" i="54" s="1"/>
  <c r="E247" i="54" a="1"/>
  <c r="E247" i="54" s="1"/>
  <c r="E256" i="54" a="1"/>
  <c r="E256" i="54" s="1"/>
  <c r="E274" i="54" a="1"/>
  <c r="E274" i="54" s="1"/>
  <c r="E239" i="54" a="1"/>
  <c r="E239" i="54" s="1"/>
  <c r="E266" i="54" a="1"/>
  <c r="E266" i="54" s="1"/>
  <c r="E258" i="54" a="1"/>
  <c r="E258" i="54" s="1"/>
  <c r="E275" i="54" a="1"/>
  <c r="E275" i="54" s="1"/>
  <c r="E240" i="54" a="1"/>
  <c r="E240" i="54" s="1"/>
  <c r="E249" i="54" a="1"/>
  <c r="E249" i="54" s="1"/>
  <c r="E267" i="54" a="1"/>
  <c r="E267" i="54" s="1"/>
  <c r="E276" i="54" a="1"/>
  <c r="E276" i="54" s="1"/>
  <c r="E241" i="54" a="1"/>
  <c r="E241" i="54" s="1"/>
  <c r="E250" i="54" a="1"/>
  <c r="E250" i="54" s="1"/>
  <c r="E259" i="54" a="1"/>
  <c r="E259" i="54" s="1"/>
  <c r="E251" i="54" a="1"/>
  <c r="E251" i="54" s="1"/>
  <c r="E268" i="54" a="1"/>
  <c r="E268" i="54" s="1"/>
  <c r="E277" i="54" a="1"/>
  <c r="E277" i="54" s="1"/>
  <c r="E233" i="54" a="1"/>
  <c r="E233" i="54" s="1"/>
  <c r="E242" i="54" a="1"/>
  <c r="E242" i="54" s="1"/>
  <c r="E260" i="54" a="1"/>
  <c r="E260" i="54" s="1"/>
  <c r="E269" i="54" a="1"/>
  <c r="E269" i="54" s="1"/>
  <c r="E278" i="54" a="1"/>
  <c r="E278" i="54" s="1"/>
  <c r="E234" i="54" a="1"/>
  <c r="E234" i="54" s="1"/>
  <c r="E243" i="54" a="1"/>
  <c r="E243" i="54" s="1"/>
  <c r="E252" i="54" a="1"/>
  <c r="E252" i="54" s="1"/>
  <c r="E279" i="54" a="1"/>
  <c r="E279" i="54" s="1"/>
  <c r="E262" i="54" a="1"/>
  <c r="E262" i="54" s="1"/>
  <c r="E254" i="54" a="1"/>
  <c r="E254" i="54" s="1"/>
  <c r="E235" i="54" a="1"/>
  <c r="E235" i="54" s="1"/>
  <c r="E263" i="54" a="1"/>
  <c r="E263" i="54" s="1"/>
  <c r="E236" i="54" a="1"/>
  <c r="E236" i="54" s="1"/>
  <c r="E270" i="54" a="1"/>
  <c r="E270" i="54" s="1"/>
  <c r="E237" i="54" a="1"/>
  <c r="E237" i="54" s="1"/>
  <c r="E271" i="54" a="1"/>
  <c r="E271" i="54" s="1"/>
  <c r="E253" i="54" a="1"/>
  <c r="E253" i="54" s="1"/>
  <c r="E244" i="54" a="1"/>
  <c r="E244" i="54" s="1"/>
  <c r="E272" i="54" a="1"/>
  <c r="E272" i="54" s="1"/>
  <c r="E245" i="54" a="1"/>
  <c r="E245" i="54" s="1"/>
  <c r="E261" i="54" a="1"/>
  <c r="E261" i="54" s="1"/>
  <c r="H234" i="54" a="1"/>
  <c r="H234" i="54" s="1"/>
  <c r="H249" i="54" a="1"/>
  <c r="H249" i="54" s="1"/>
  <c r="H273" i="54" a="1"/>
  <c r="H273" i="54" s="1"/>
  <c r="H242" i="54" a="1"/>
  <c r="H242" i="54" s="1"/>
  <c r="H257" i="54" a="1"/>
  <c r="H257" i="54" s="1"/>
  <c r="H265" i="54" a="1"/>
  <c r="H265" i="54" s="1"/>
  <c r="H235" i="54" a="1"/>
  <c r="H235" i="54" s="1"/>
  <c r="H250" i="54" a="1"/>
  <c r="H250" i="54" s="1"/>
  <c r="H266" i="54" a="1"/>
  <c r="H266" i="54" s="1"/>
  <c r="H274" i="54" a="1"/>
  <c r="H274" i="54" s="1"/>
  <c r="H243" i="54" a="1"/>
  <c r="H243" i="54" s="1"/>
  <c r="H258" i="54" a="1"/>
  <c r="H258" i="54" s="1"/>
  <c r="H236" i="54" a="1"/>
  <c r="H236" i="54" s="1"/>
  <c r="H251" i="54" a="1"/>
  <c r="H251" i="54" s="1"/>
  <c r="H259" i="54" a="1"/>
  <c r="H259" i="54" s="1"/>
  <c r="H267" i="54" a="1"/>
  <c r="H267" i="54" s="1"/>
  <c r="H275" i="54" a="1"/>
  <c r="H275" i="54" s="1"/>
  <c r="H244" i="54" a="1"/>
  <c r="H244" i="54" s="1"/>
  <c r="H252" i="54" a="1"/>
  <c r="H252" i="54" s="1"/>
  <c r="H237" i="54" a="1"/>
  <c r="H237" i="54" s="1"/>
  <c r="H245" i="54" a="1"/>
  <c r="H245" i="54" s="1"/>
  <c r="H260" i="54" a="1"/>
  <c r="H260" i="54" s="1"/>
  <c r="H268" i="54" a="1"/>
  <c r="H268" i="54" s="1"/>
  <c r="H276" i="54" a="1"/>
  <c r="H276" i="54" s="1"/>
  <c r="H238" i="54" a="1"/>
  <c r="H238" i="54" s="1"/>
  <c r="H253" i="54" a="1"/>
  <c r="H253" i="54" s="1"/>
  <c r="H269" i="54" a="1"/>
  <c r="H269" i="54" s="1"/>
  <c r="H246" i="54" a="1"/>
  <c r="H246" i="54" s="1"/>
  <c r="H261" i="54" a="1"/>
  <c r="H261" i="54" s="1"/>
  <c r="H277" i="54" a="1"/>
  <c r="H277" i="54" s="1"/>
  <c r="H239" i="54" a="1"/>
  <c r="H239" i="54" s="1"/>
  <c r="H254" i="54" a="1"/>
  <c r="H254" i="54" s="1"/>
  <c r="H262" i="54" a="1"/>
  <c r="H262" i="54" s="1"/>
  <c r="H270" i="54" a="1"/>
  <c r="H270" i="54" s="1"/>
  <c r="H241" i="54" a="1"/>
  <c r="H241" i="54" s="1"/>
  <c r="H271" i="54" a="1"/>
  <c r="H271" i="54" s="1"/>
  <c r="H240" i="54" a="1"/>
  <c r="H240" i="54" s="1"/>
  <c r="H247" i="54" a="1"/>
  <c r="H247" i="54" s="1"/>
  <c r="H272" i="54" a="1"/>
  <c r="H272" i="54" s="1"/>
  <c r="H248" i="54" a="1"/>
  <c r="H248" i="54" s="1"/>
  <c r="H278" i="54" a="1"/>
  <c r="H278" i="54" s="1"/>
  <c r="H279" i="54" a="1"/>
  <c r="H279" i="54" s="1"/>
  <c r="H255" i="54" a="1"/>
  <c r="H255" i="54" s="1"/>
  <c r="H232" i="54" a="1"/>
  <c r="H232" i="54" s="1"/>
  <c r="H263" i="54" a="1"/>
  <c r="H263" i="54" s="1"/>
  <c r="H264" i="54" a="1"/>
  <c r="H264" i="54" s="1"/>
  <c r="H256" i="54" a="1"/>
  <c r="H256" i="54" s="1"/>
  <c r="H233" i="54" a="1"/>
  <c r="H233" i="54" s="1"/>
  <c r="I265" i="54" a="1"/>
  <c r="I265" i="54" s="1"/>
  <c r="I233" i="54" a="1"/>
  <c r="I233" i="54" s="1"/>
  <c r="I241" i="54" a="1"/>
  <c r="I241" i="54" s="1"/>
  <c r="I249" i="54" a="1"/>
  <c r="I249" i="54" s="1"/>
  <c r="I257" i="54" a="1"/>
  <c r="I257" i="54" s="1"/>
  <c r="I266" i="54" a="1"/>
  <c r="I266" i="54" s="1"/>
  <c r="I274" i="54" a="1"/>
  <c r="I274" i="54" s="1"/>
  <c r="I258" i="54" a="1"/>
  <c r="I258" i="54" s="1"/>
  <c r="I234" i="54" a="1"/>
  <c r="I234" i="54" s="1"/>
  <c r="I242" i="54" a="1"/>
  <c r="I242" i="54" s="1"/>
  <c r="I250" i="54" a="1"/>
  <c r="I250" i="54" s="1"/>
  <c r="I259" i="54" a="1"/>
  <c r="I259" i="54" s="1"/>
  <c r="I267" i="54" a="1"/>
  <c r="I267" i="54" s="1"/>
  <c r="I275" i="54" a="1"/>
  <c r="I275" i="54" s="1"/>
  <c r="I251" i="54" a="1"/>
  <c r="I251" i="54" s="1"/>
  <c r="I235" i="54" a="1"/>
  <c r="I235" i="54" s="1"/>
  <c r="I243" i="54" a="1"/>
  <c r="I243" i="54" s="1"/>
  <c r="I252" i="54" a="1"/>
  <c r="I252" i="54" s="1"/>
  <c r="I260" i="54" a="1"/>
  <c r="I260" i="54" s="1"/>
  <c r="I268" i="54" a="1"/>
  <c r="I268" i="54" s="1"/>
  <c r="I276" i="54" a="1"/>
  <c r="I276" i="54" s="1"/>
  <c r="I244" i="54" a="1"/>
  <c r="I244" i="54" s="1"/>
  <c r="I236" i="54" a="1"/>
  <c r="I236" i="54" s="1"/>
  <c r="I245" i="54" a="1"/>
  <c r="I245" i="54" s="1"/>
  <c r="I253" i="54" a="1"/>
  <c r="I253" i="54" s="1"/>
  <c r="I261" i="54" a="1"/>
  <c r="I261" i="54" s="1"/>
  <c r="I269" i="54" a="1"/>
  <c r="I269" i="54" s="1"/>
  <c r="I277" i="54" a="1"/>
  <c r="I277" i="54" s="1"/>
  <c r="I237" i="54" a="1"/>
  <c r="I237" i="54" s="1"/>
  <c r="I238" i="54" a="1"/>
  <c r="I238" i="54" s="1"/>
  <c r="I246" i="54" a="1"/>
  <c r="I246" i="54" s="1"/>
  <c r="I254" i="54" a="1"/>
  <c r="I254" i="54" s="1"/>
  <c r="I262" i="54" a="1"/>
  <c r="I262" i="54" s="1"/>
  <c r="I270" i="54" a="1"/>
  <c r="I270" i="54" s="1"/>
  <c r="I278" i="54" a="1"/>
  <c r="I278" i="54" s="1"/>
  <c r="I263" i="54" a="1"/>
  <c r="I263" i="54" s="1"/>
  <c r="I255" i="54" a="1"/>
  <c r="I255" i="54" s="1"/>
  <c r="I239" i="54" a="1"/>
  <c r="I239" i="54" s="1"/>
  <c r="I264" i="54" a="1"/>
  <c r="I264" i="54" s="1"/>
  <c r="I240" i="54" a="1"/>
  <c r="I240" i="54" s="1"/>
  <c r="I271" i="54" a="1"/>
  <c r="I271" i="54" s="1"/>
  <c r="I272" i="54" a="1"/>
  <c r="I272" i="54" s="1"/>
  <c r="I256" i="54" a="1"/>
  <c r="I256" i="54" s="1"/>
  <c r="I247" i="54" a="1"/>
  <c r="I247" i="54" s="1"/>
  <c r="I273" i="54" a="1"/>
  <c r="I273" i="54" s="1"/>
  <c r="I279" i="54" a="1"/>
  <c r="I279" i="54" s="1"/>
  <c r="I248" i="54" a="1"/>
  <c r="I248" i="54" s="1"/>
  <c r="I232" i="54" a="1"/>
  <c r="I232" i="54" s="1"/>
  <c r="K203" i="54"/>
  <c r="X192" i="54" s="1"/>
  <c r="L206" i="54"/>
  <c r="Y195" i="54" s="1"/>
  <c r="L205" i="54"/>
  <c r="Y194" i="54" s="1"/>
  <c r="L204" i="54"/>
  <c r="Y193" i="54" s="1"/>
  <c r="L203" i="54"/>
  <c r="Y192" i="54" s="1"/>
  <c r="K202" i="54"/>
  <c r="X191" i="54" s="1"/>
  <c r="K206" i="54"/>
  <c r="X195" i="54" s="1"/>
  <c r="X201" i="54" s="1"/>
  <c r="X207" i="54" s="1"/>
  <c r="K205" i="54"/>
  <c r="X194" i="54" s="1"/>
  <c r="K204" i="54"/>
  <c r="X193" i="54" s="1"/>
  <c r="X199" i="54" s="1"/>
  <c r="X205" i="54" s="1"/>
  <c r="L202" i="54"/>
  <c r="Y191" i="54" s="1"/>
  <c r="E22" i="34" a="1"/>
  <c r="E22" i="34" s="1"/>
  <c r="E28" i="50"/>
  <c r="E29" i="50"/>
  <c r="E30" i="50"/>
  <c r="E31" i="50"/>
  <c r="E32" i="50"/>
  <c r="E33" i="50"/>
  <c r="E34" i="50"/>
  <c r="E35" i="50"/>
  <c r="E27" i="50"/>
  <c r="E18" i="50"/>
  <c r="E19" i="50"/>
  <c r="E20" i="50"/>
  <c r="E21" i="50"/>
  <c r="E22" i="50"/>
  <c r="E23" i="50"/>
  <c r="E24" i="50"/>
  <c r="E25" i="50"/>
  <c r="E26" i="50"/>
  <c r="E17" i="50"/>
  <c r="G67" i="33"/>
  <c r="F79" i="33"/>
  <c r="F8" i="33" s="1"/>
  <c r="F80" i="33"/>
  <c r="F9" i="33" s="1"/>
  <c r="F81" i="33"/>
  <c r="F10" i="33" s="1"/>
  <c r="F78" i="33"/>
  <c r="F7" i="33" s="1"/>
  <c r="E31" i="34"/>
  <c r="G63" i="33"/>
  <c r="G64" i="33"/>
  <c r="G65" i="33"/>
  <c r="G66" i="33"/>
  <c r="G48" i="33"/>
  <c r="G49" i="33"/>
  <c r="G50" i="33"/>
  <c r="G51" i="33"/>
  <c r="G52" i="33"/>
  <c r="G53" i="33"/>
  <c r="G54" i="33"/>
  <c r="G55" i="33"/>
  <c r="G56" i="33"/>
  <c r="G57" i="33"/>
  <c r="G58" i="33"/>
  <c r="G59" i="33"/>
  <c r="G60" i="33"/>
  <c r="G61" i="33"/>
  <c r="G62" i="33"/>
  <c r="G47" i="33"/>
  <c r="I22" i="4"/>
  <c r="E19" i="34"/>
  <c r="E20" i="34"/>
  <c r="E14" i="34"/>
  <c r="A83" i="44"/>
  <c r="A82" i="44"/>
  <c r="A81" i="44"/>
  <c r="A80" i="44"/>
  <c r="A79" i="44"/>
  <c r="A78" i="44"/>
  <c r="A77" i="44"/>
  <c r="A76" i="44"/>
  <c r="A75" i="44"/>
  <c r="A74" i="44"/>
  <c r="A73" i="44"/>
  <c r="A72" i="44"/>
  <c r="A71" i="44"/>
  <c r="A70" i="44"/>
  <c r="A69" i="44"/>
  <c r="A68" i="44"/>
  <c r="A67" i="44"/>
  <c r="A66" i="44"/>
  <c r="A65" i="44"/>
  <c r="A64" i="44"/>
  <c r="A63" i="44"/>
  <c r="A62" i="44"/>
  <c r="A61" i="44"/>
  <c r="A60" i="44"/>
  <c r="A59" i="44"/>
  <c r="A44" i="44"/>
  <c r="A45" i="44"/>
  <c r="A46" i="44"/>
  <c r="A47" i="44"/>
  <c r="A48" i="44"/>
  <c r="A49" i="44"/>
  <c r="A50" i="44"/>
  <c r="A51" i="44"/>
  <c r="A52" i="44"/>
  <c r="A53" i="44"/>
  <c r="A54" i="44"/>
  <c r="A55" i="44"/>
  <c r="A56" i="44"/>
  <c r="A57" i="44"/>
  <c r="A58" i="44"/>
  <c r="A43" i="44"/>
  <c r="A42" i="44"/>
  <c r="A30" i="44"/>
  <c r="A31" i="44"/>
  <c r="A32" i="44"/>
  <c r="A33" i="44"/>
  <c r="A34" i="44"/>
  <c r="A35" i="44"/>
  <c r="A36" i="44"/>
  <c r="A37" i="44"/>
  <c r="A38" i="44"/>
  <c r="A39" i="44"/>
  <c r="A40" i="44"/>
  <c r="A41" i="44"/>
  <c r="A25" i="44"/>
  <c r="A23" i="44"/>
  <c r="A24" i="44"/>
  <c r="A26" i="44"/>
  <c r="A27" i="44"/>
  <c r="A28" i="44"/>
  <c r="A29" i="44"/>
  <c r="A5" i="45"/>
  <c r="A6" i="45"/>
  <c r="A7" i="45"/>
  <c r="A4" i="45"/>
  <c r="A5" i="44"/>
  <c r="A6" i="44"/>
  <c r="A7" i="44"/>
  <c r="A8" i="44"/>
  <c r="A9" i="44"/>
  <c r="A10" i="44"/>
  <c r="A11" i="44"/>
  <c r="A12" i="44"/>
  <c r="A13" i="44"/>
  <c r="A14" i="44"/>
  <c r="A15" i="44"/>
  <c r="A16" i="44"/>
  <c r="A17" i="44"/>
  <c r="A18" i="44"/>
  <c r="A19" i="44"/>
  <c r="A20" i="44"/>
  <c r="A21" i="44"/>
  <c r="A22" i="44"/>
  <c r="A4" i="44"/>
  <c r="A5" i="43"/>
  <c r="A6" i="43"/>
  <c r="A7" i="43"/>
  <c r="A8" i="43"/>
  <c r="A9" i="43"/>
  <c r="A10" i="43"/>
  <c r="A11" i="43"/>
  <c r="A4" i="43"/>
  <c r="A53" i="42"/>
  <c r="A54" i="42"/>
  <c r="A55" i="42"/>
  <c r="A56" i="42"/>
  <c r="A57" i="42"/>
  <c r="A58" i="42"/>
  <c r="A59" i="42"/>
  <c r="A60" i="42"/>
  <c r="A61" i="42"/>
  <c r="A62" i="42"/>
  <c r="A63" i="42"/>
  <c r="A64" i="42"/>
  <c r="A65" i="42"/>
  <c r="A66" i="42"/>
  <c r="A67" i="42"/>
  <c r="A68" i="42"/>
  <c r="A69" i="42"/>
  <c r="A70" i="42"/>
  <c r="A71" i="42"/>
  <c r="A72" i="42"/>
  <c r="A73" i="42"/>
  <c r="A74" i="42"/>
  <c r="A75" i="42"/>
  <c r="A76" i="42"/>
  <c r="A77" i="42"/>
  <c r="A78" i="42"/>
  <c r="A79" i="42"/>
  <c r="A80" i="42"/>
  <c r="A81" i="42"/>
  <c r="A82" i="42"/>
  <c r="A83" i="42"/>
  <c r="A84" i="42"/>
  <c r="A85" i="42"/>
  <c r="A86" i="42"/>
  <c r="A87" i="42"/>
  <c r="A88" i="42"/>
  <c r="A89" i="42"/>
  <c r="A90" i="42"/>
  <c r="A91" i="42"/>
  <c r="A92" i="42"/>
  <c r="A93" i="42"/>
  <c r="A94" i="42"/>
  <c r="A95" i="42"/>
  <c r="A96" i="42"/>
  <c r="A97" i="42"/>
  <c r="A98" i="42"/>
  <c r="A99" i="42"/>
  <c r="A100" i="42"/>
  <c r="A101" i="42"/>
  <c r="A102" i="42"/>
  <c r="A103" i="42"/>
  <c r="A104" i="42"/>
  <c r="A105" i="42"/>
  <c r="A106" i="42"/>
  <c r="A107" i="42"/>
  <c r="A108" i="42"/>
  <c r="A109" i="42"/>
  <c r="A110" i="42"/>
  <c r="A111" i="42"/>
  <c r="A112" i="42"/>
  <c r="A113" i="42"/>
  <c r="A114" i="42"/>
  <c r="A115" i="42"/>
  <c r="A116" i="42"/>
  <c r="A117" i="42"/>
  <c r="A118" i="42"/>
  <c r="A119" i="42"/>
  <c r="A120" i="42"/>
  <c r="A121" i="42"/>
  <c r="A122" i="42"/>
  <c r="A123" i="42"/>
  <c r="A124" i="42"/>
  <c r="A125" i="42"/>
  <c r="A126" i="42"/>
  <c r="A127" i="42"/>
  <c r="A128" i="42"/>
  <c r="A129" i="42"/>
  <c r="A130" i="42"/>
  <c r="A131" i="42"/>
  <c r="A132" i="42"/>
  <c r="A133" i="42"/>
  <c r="A134" i="42"/>
  <c r="A135" i="42"/>
  <c r="A136" i="42"/>
  <c r="A137" i="42"/>
  <c r="A138" i="42"/>
  <c r="A139" i="42"/>
  <c r="A140" i="42"/>
  <c r="A141" i="42"/>
  <c r="A142" i="42"/>
  <c r="A143" i="42"/>
  <c r="A144" i="42"/>
  <c r="A145" i="42"/>
  <c r="A146" i="42"/>
  <c r="A147" i="42"/>
  <c r="A148" i="42"/>
  <c r="A149" i="42"/>
  <c r="A150" i="42"/>
  <c r="A151" i="42"/>
  <c r="A152" i="42"/>
  <c r="A153" i="42"/>
  <c r="A154" i="42"/>
  <c r="A155" i="42"/>
  <c r="A156" i="42"/>
  <c r="A157" i="42"/>
  <c r="A158" i="42"/>
  <c r="A159" i="42"/>
  <c r="A160" i="42"/>
  <c r="A161" i="42"/>
  <c r="A162" i="42"/>
  <c r="A163" i="42"/>
  <c r="A164" i="42"/>
  <c r="A165" i="42"/>
  <c r="A166" i="42"/>
  <c r="A167" i="42"/>
  <c r="A168" i="42"/>
  <c r="A169" i="42"/>
  <c r="A170" i="42"/>
  <c r="A171" i="42"/>
  <c r="A172" i="42"/>
  <c r="A173" i="42"/>
  <c r="A174" i="42"/>
  <c r="A175" i="42"/>
  <c r="A176" i="42"/>
  <c r="A177" i="42"/>
  <c r="A178" i="42"/>
  <c r="A179" i="42"/>
  <c r="A180" i="42"/>
  <c r="A181" i="42"/>
  <c r="A182" i="42"/>
  <c r="A183" i="42"/>
  <c r="A184" i="42"/>
  <c r="A185" i="42"/>
  <c r="A186" i="42"/>
  <c r="A187" i="42"/>
  <c r="A188" i="42"/>
  <c r="A189" i="42"/>
  <c r="A190" i="42"/>
  <c r="A191" i="42"/>
  <c r="A192" i="42"/>
  <c r="A193" i="42"/>
  <c r="A194" i="42"/>
  <c r="A195" i="42"/>
  <c r="A196" i="42"/>
  <c r="A197" i="42"/>
  <c r="A198" i="42"/>
  <c r="A199" i="42"/>
  <c r="A200" i="42"/>
  <c r="A201" i="42"/>
  <c r="A202" i="42"/>
  <c r="A203" i="42"/>
  <c r="A204" i="42"/>
  <c r="A205" i="42"/>
  <c r="A206" i="42"/>
  <c r="A207" i="42"/>
  <c r="A208" i="42"/>
  <c r="A209" i="42"/>
  <c r="A210" i="42"/>
  <c r="A211" i="42"/>
  <c r="A212" i="42"/>
  <c r="A213" i="42"/>
  <c r="A214" i="42"/>
  <c r="A215" i="42"/>
  <c r="A216" i="42"/>
  <c r="A217" i="42"/>
  <c r="A218" i="42"/>
  <c r="A219" i="42"/>
  <c r="A220" i="42"/>
  <c r="A221" i="42"/>
  <c r="A222" i="42"/>
  <c r="A223" i="42"/>
  <c r="A224" i="42"/>
  <c r="A225" i="42"/>
  <c r="A226" i="42"/>
  <c r="A227" i="42"/>
  <c r="A228" i="42"/>
  <c r="A229" i="42"/>
  <c r="A230" i="42"/>
  <c r="A231" i="42"/>
  <c r="A232" i="42"/>
  <c r="A233" i="42"/>
  <c r="A234" i="42"/>
  <c r="A235" i="42"/>
  <c r="A236" i="42"/>
  <c r="A237" i="42"/>
  <c r="A238" i="42"/>
  <c r="A239" i="42"/>
  <c r="A240" i="42"/>
  <c r="A241" i="42"/>
  <c r="A242" i="42"/>
  <c r="A243" i="42"/>
  <c r="A292" i="42"/>
  <c r="A293" i="42"/>
  <c r="A294" i="42"/>
  <c r="A295" i="42"/>
  <c r="A296" i="42"/>
  <c r="A297" i="42"/>
  <c r="A298" i="42"/>
  <c r="A299" i="42"/>
  <c r="A300" i="42"/>
  <c r="A301" i="42"/>
  <c r="A302" i="42"/>
  <c r="A303" i="42"/>
  <c r="A304" i="42"/>
  <c r="A305" i="42"/>
  <c r="A306" i="42"/>
  <c r="A307" i="42"/>
  <c r="A308" i="42"/>
  <c r="A309" i="42"/>
  <c r="A310" i="42"/>
  <c r="A311" i="42"/>
  <c r="A312" i="42"/>
  <c r="A313" i="42"/>
  <c r="A314" i="42"/>
  <c r="A315" i="42"/>
  <c r="A316" i="42"/>
  <c r="A317" i="42"/>
  <c r="A318" i="42"/>
  <c r="A319" i="42"/>
  <c r="A320" i="42"/>
  <c r="A321" i="42"/>
  <c r="A322" i="42"/>
  <c r="A323" i="42"/>
  <c r="A324" i="42"/>
  <c r="A325" i="42"/>
  <c r="A326" i="42"/>
  <c r="A327" i="42"/>
  <c r="A328" i="42"/>
  <c r="A329" i="42"/>
  <c r="A330" i="42"/>
  <c r="A331" i="42"/>
  <c r="A332" i="42"/>
  <c r="A333" i="42"/>
  <c r="A334" i="42"/>
  <c r="A335" i="42"/>
  <c r="A336" i="42"/>
  <c r="A337" i="42"/>
  <c r="A338" i="42"/>
  <c r="A339" i="42"/>
  <c r="A340" i="42"/>
  <c r="A341" i="42"/>
  <c r="A342" i="42"/>
  <c r="A343" i="42"/>
  <c r="A344" i="42"/>
  <c r="A345" i="42"/>
  <c r="A346" i="42"/>
  <c r="A347" i="42"/>
  <c r="A348" i="42"/>
  <c r="A349" i="42"/>
  <c r="A350" i="42"/>
  <c r="A351" i="42"/>
  <c r="A352" i="42"/>
  <c r="A353" i="42"/>
  <c r="A354" i="42"/>
  <c r="A355" i="42"/>
  <c r="A356" i="42"/>
  <c r="A357" i="42"/>
  <c r="A358" i="42"/>
  <c r="A359" i="42"/>
  <c r="A360" i="42"/>
  <c r="A361" i="42"/>
  <c r="A362" i="42"/>
  <c r="A363" i="42"/>
  <c r="A364" i="42"/>
  <c r="A365" i="42"/>
  <c r="A366" i="42"/>
  <c r="A367" i="42"/>
  <c r="A368" i="42"/>
  <c r="A369" i="42"/>
  <c r="A370" i="42"/>
  <c r="A371" i="42"/>
  <c r="A372" i="42"/>
  <c r="A373" i="42"/>
  <c r="A374" i="42"/>
  <c r="A375" i="42"/>
  <c r="A376" i="42"/>
  <c r="A377" i="42"/>
  <c r="A378" i="42"/>
  <c r="A379" i="42"/>
  <c r="A380" i="42"/>
  <c r="A381" i="42"/>
  <c r="A382" i="42"/>
  <c r="A383" i="42"/>
  <c r="A384" i="42"/>
  <c r="A385" i="42"/>
  <c r="A386" i="42"/>
  <c r="A387" i="42"/>
  <c r="A388" i="42"/>
  <c r="A389" i="42"/>
  <c r="A390" i="42"/>
  <c r="A391" i="42"/>
  <c r="A392" i="42"/>
  <c r="A393" i="42"/>
  <c r="A394" i="42"/>
  <c r="A395" i="42"/>
  <c r="A396" i="42"/>
  <c r="A397" i="42"/>
  <c r="A398" i="42"/>
  <c r="A399" i="42"/>
  <c r="A400" i="42"/>
  <c r="A401" i="42"/>
  <c r="A402" i="42"/>
  <c r="A403" i="42"/>
  <c r="A404" i="42"/>
  <c r="A405" i="42"/>
  <c r="A406" i="42"/>
  <c r="A407" i="42"/>
  <c r="A408" i="42"/>
  <c r="A409" i="42"/>
  <c r="A410" i="42"/>
  <c r="A411" i="42"/>
  <c r="A412" i="42"/>
  <c r="A413" i="42"/>
  <c r="A414" i="42"/>
  <c r="A415" i="42"/>
  <c r="A416" i="42"/>
  <c r="A417" i="42"/>
  <c r="A418" i="42"/>
  <c r="A419" i="42"/>
  <c r="A420" i="42"/>
  <c r="A421" i="42"/>
  <c r="A422" i="42"/>
  <c r="A423" i="42"/>
  <c r="A424" i="42"/>
  <c r="A425" i="42"/>
  <c r="A426" i="42"/>
  <c r="A427" i="42"/>
  <c r="A428" i="42"/>
  <c r="A429" i="42"/>
  <c r="A430" i="42"/>
  <c r="A431" i="42"/>
  <c r="A432" i="42"/>
  <c r="A433" i="42"/>
  <c r="A434" i="42"/>
  <c r="A435" i="42"/>
  <c r="A436" i="42"/>
  <c r="A437" i="42"/>
  <c r="A438" i="42"/>
  <c r="A439" i="42"/>
  <c r="A440" i="42"/>
  <c r="A441" i="42"/>
  <c r="A442" i="42"/>
  <c r="A443" i="42"/>
  <c r="A444" i="42"/>
  <c r="A445" i="42"/>
  <c r="A446" i="42"/>
  <c r="A447" i="42"/>
  <c r="A448" i="42"/>
  <c r="A449" i="42"/>
  <c r="A450" i="42"/>
  <c r="A451" i="42"/>
  <c r="A452" i="42"/>
  <c r="A453" i="42"/>
  <c r="A454" i="42"/>
  <c r="A455" i="42"/>
  <c r="A456" i="42"/>
  <c r="A457" i="42"/>
  <c r="A458" i="42"/>
  <c r="A459" i="42"/>
  <c r="A460" i="42"/>
  <c r="A461" i="42"/>
  <c r="A462" i="42"/>
  <c r="A463" i="42"/>
  <c r="A464" i="42"/>
  <c r="A465" i="42"/>
  <c r="A466" i="42"/>
  <c r="A467" i="42"/>
  <c r="A468" i="42"/>
  <c r="A469" i="42"/>
  <c r="A470" i="42"/>
  <c r="A471" i="42"/>
  <c r="A472" i="42"/>
  <c r="A473" i="42"/>
  <c r="A474" i="42"/>
  <c r="A475" i="42"/>
  <c r="A476" i="42"/>
  <c r="A477" i="42"/>
  <c r="A478" i="42"/>
  <c r="A479" i="42"/>
  <c r="A480" i="42"/>
  <c r="A481" i="42"/>
  <c r="A482" i="42"/>
  <c r="A483" i="42"/>
  <c r="A5" i="20"/>
  <c r="A6" i="20"/>
  <c r="A7" i="20"/>
  <c r="A8" i="20"/>
  <c r="A9" i="20"/>
  <c r="A10" i="20"/>
  <c r="A11" i="20"/>
  <c r="A4" i="20"/>
  <c r="A5" i="24"/>
  <c r="A6" i="24"/>
  <c r="A7" i="24"/>
  <c r="A8" i="24"/>
  <c r="A9" i="24"/>
  <c r="A10" i="24"/>
  <c r="A11" i="24"/>
  <c r="A12" i="24"/>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A56" i="24"/>
  <c r="A57" i="24"/>
  <c r="A58" i="24"/>
  <c r="A59" i="24"/>
  <c r="A4" i="24"/>
  <c r="A19" i="17"/>
  <c r="A5" i="21"/>
  <c r="A6" i="21"/>
  <c r="A7" i="21"/>
  <c r="A8" i="21"/>
  <c r="A9" i="21"/>
  <c r="A10" i="21"/>
  <c r="A11" i="21"/>
  <c r="A12" i="21"/>
  <c r="A13" i="21"/>
  <c r="A14" i="21"/>
  <c r="A15" i="21"/>
  <c r="A16" i="21"/>
  <c r="A17" i="21"/>
  <c r="A18" i="21"/>
  <c r="A19" i="21"/>
  <c r="A20" i="21"/>
  <c r="A21" i="21"/>
  <c r="A22" i="21"/>
  <c r="A23" i="21"/>
  <c r="A24" i="21"/>
  <c r="A25" i="21"/>
  <c r="A26" i="21"/>
  <c r="A27" i="21"/>
  <c r="A28" i="21"/>
  <c r="A29" i="21"/>
  <c r="A30" i="21"/>
  <c r="A31" i="21"/>
  <c r="A4" i="21"/>
  <c r="A5" i="22"/>
  <c r="A6" i="22"/>
  <c r="A7" i="22"/>
  <c r="A8" i="22"/>
  <c r="A9" i="22"/>
  <c r="A10" i="22"/>
  <c r="A11" i="22"/>
  <c r="A12" i="22"/>
  <c r="A13" i="22"/>
  <c r="A14" i="22"/>
  <c r="A15" i="22"/>
  <c r="A16" i="22"/>
  <c r="A17" i="22"/>
  <c r="A18" i="22"/>
  <c r="A19" i="22"/>
  <c r="A20" i="22"/>
  <c r="A21" i="22"/>
  <c r="A22" i="22"/>
  <c r="A23" i="22"/>
  <c r="A24" i="22"/>
  <c r="A25" i="22"/>
  <c r="A26" i="22"/>
  <c r="A27" i="22"/>
  <c r="A28" i="22"/>
  <c r="A29" i="22"/>
  <c r="A30" i="22"/>
  <c r="A31" i="22"/>
  <c r="A32" i="22"/>
  <c r="A33" i="22"/>
  <c r="A34" i="22"/>
  <c r="A35" i="22"/>
  <c r="A36" i="22"/>
  <c r="A37" i="22"/>
  <c r="A38" i="22"/>
  <c r="A39" i="22"/>
  <c r="A40" i="22"/>
  <c r="A41" i="22"/>
  <c r="A42" i="22"/>
  <c r="A43" i="22"/>
  <c r="A44" i="22"/>
  <c r="A45" i="22"/>
  <c r="A46" i="22"/>
  <c r="A47" i="22"/>
  <c r="A48" i="22"/>
  <c r="A49" i="22"/>
  <c r="A50" i="22"/>
  <c r="A51" i="22"/>
  <c r="A52" i="22"/>
  <c r="A53" i="22"/>
  <c r="A54" i="22"/>
  <c r="A55" i="22"/>
  <c r="A56" i="22"/>
  <c r="A57" i="22"/>
  <c r="A58" i="22"/>
  <c r="A59" i="22"/>
  <c r="A4" i="22"/>
  <c r="A5" i="23"/>
  <c r="A6" i="23"/>
  <c r="A7" i="23"/>
  <c r="A4" i="23"/>
  <c r="A20" i="17"/>
  <c r="A21" i="17"/>
  <c r="G68" i="33" l="1" a="1"/>
  <c r="G68" i="33" s="1"/>
  <c r="I68" i="33" s="1" a="1"/>
  <c r="I68" i="33" s="1"/>
  <c r="Y201" i="54"/>
  <c r="Y207" i="54" s="1"/>
  <c r="X198" i="54"/>
  <c r="X204" i="54" s="1"/>
  <c r="X200" i="54"/>
  <c r="X206" i="54" s="1"/>
  <c r="Y197" i="54"/>
  <c r="Y203" i="54" s="1"/>
  <c r="X197" i="54"/>
  <c r="X203" i="54" s="1"/>
  <c r="Y198" i="54"/>
  <c r="Y204" i="54" s="1"/>
  <c r="Y199" i="54"/>
  <c r="Y205" i="54" s="1"/>
  <c r="Y200" i="54"/>
  <c r="Y206" i="54" s="1"/>
  <c r="J312" i="54"/>
  <c r="K312" i="54" s="1"/>
  <c r="J327" i="54"/>
  <c r="K327" i="54" s="1"/>
  <c r="J325" i="54"/>
  <c r="K325" i="54" s="1"/>
  <c r="G289" i="54"/>
  <c r="G290" i="54" s="1"/>
  <c r="J334" i="54"/>
  <c r="K334" i="54" s="1"/>
  <c r="J330" i="54"/>
  <c r="K330" i="54" s="1"/>
  <c r="J297" i="54"/>
  <c r="K297" i="54" s="1"/>
  <c r="J311" i="54"/>
  <c r="K311" i="54" s="1"/>
  <c r="J320" i="54"/>
  <c r="K320" i="54" s="1"/>
  <c r="G351" i="54"/>
  <c r="G352" i="54" s="1"/>
  <c r="AC236" i="54" a="1"/>
  <c r="AC236" i="54" s="1"/>
  <c r="AC246" i="54" a="1"/>
  <c r="AC246" i="54" s="1"/>
  <c r="AC273" i="54" a="1"/>
  <c r="AC273" i="54" s="1"/>
  <c r="AC240" i="54" a="1"/>
  <c r="AC240" i="54" s="1"/>
  <c r="AC251" i="54" a="1"/>
  <c r="AC251" i="54" s="1"/>
  <c r="AC270" i="54" a="1"/>
  <c r="AC270" i="54" s="1"/>
  <c r="AC232" i="54" a="1"/>
  <c r="AC232" i="54" s="1"/>
  <c r="AC241" i="54" a="1"/>
  <c r="AC241" i="54" s="1"/>
  <c r="AC252" i="54" a="1"/>
  <c r="AC252" i="54" s="1"/>
  <c r="AC261" i="54" a="1"/>
  <c r="AC261" i="54" s="1"/>
  <c r="AC242" i="54" a="1"/>
  <c r="AC242" i="54" s="1"/>
  <c r="AC271" i="54" a="1"/>
  <c r="AC271" i="54" s="1"/>
  <c r="AC253" i="54" a="1"/>
  <c r="AC253" i="54" s="1"/>
  <c r="AC262" i="54" a="1"/>
  <c r="AC262" i="54" s="1"/>
  <c r="AC272" i="54" a="1"/>
  <c r="AC272" i="54" s="1"/>
  <c r="AC275" i="54" a="1"/>
  <c r="AC275" i="54" s="1"/>
  <c r="AC257" i="54" a="1"/>
  <c r="AC257" i="54" s="1"/>
  <c r="AC250" i="54" a="1"/>
  <c r="AC250" i="54" s="1"/>
  <c r="AC243" i="54" a="1"/>
  <c r="AC243" i="54" s="1"/>
  <c r="AC263" i="54" a="1"/>
  <c r="AC263" i="54" s="1"/>
  <c r="AC233" i="54" a="1"/>
  <c r="AC233" i="54" s="1"/>
  <c r="AC244" i="54" a="1"/>
  <c r="AC244" i="54" s="1"/>
  <c r="AC255" i="54" a="1"/>
  <c r="AC255" i="54" s="1"/>
  <c r="AC234" i="54" a="1"/>
  <c r="AC234" i="54" s="1"/>
  <c r="AC276" i="54" a="1"/>
  <c r="AC276" i="54" s="1"/>
  <c r="AC254" i="54" a="1"/>
  <c r="AC254" i="54" s="1"/>
  <c r="AC264" i="54" a="1"/>
  <c r="AC264" i="54" s="1"/>
  <c r="AC274" i="54" a="1"/>
  <c r="AC274" i="54" s="1"/>
  <c r="AC265" i="54" a="1"/>
  <c r="AC265" i="54" s="1"/>
  <c r="AC266" i="54" a="1"/>
  <c r="AC266" i="54" s="1"/>
  <c r="AC245" i="54" a="1"/>
  <c r="AC245" i="54" s="1"/>
  <c r="AC235" i="54" a="1"/>
  <c r="AC235" i="54" s="1"/>
  <c r="AC247" i="54" a="1"/>
  <c r="AC247" i="54" s="1"/>
  <c r="AC279" i="54" a="1"/>
  <c r="AC279" i="54" s="1"/>
  <c r="AC256" i="54" a="1"/>
  <c r="AC256" i="54" s="1"/>
  <c r="AC267" i="54" a="1"/>
  <c r="AC267" i="54" s="1"/>
  <c r="AC237" i="54" a="1"/>
  <c r="AC237" i="54" s="1"/>
  <c r="AC258" i="54" a="1"/>
  <c r="AC258" i="54" s="1"/>
  <c r="AC277" i="54" a="1"/>
  <c r="AC277" i="54" s="1"/>
  <c r="AC248" i="54" a="1"/>
  <c r="AC248" i="54" s="1"/>
  <c r="AC268" i="54" a="1"/>
  <c r="AC268" i="54" s="1"/>
  <c r="AC238" i="54" a="1"/>
  <c r="AC238" i="54" s="1"/>
  <c r="AC259" i="54" a="1"/>
  <c r="AC259" i="54" s="1"/>
  <c r="AC269" i="54" a="1"/>
  <c r="AC269" i="54" s="1"/>
  <c r="AC239" i="54" a="1"/>
  <c r="AC239" i="54" s="1"/>
  <c r="AC249" i="54" a="1"/>
  <c r="AC249" i="54" s="1"/>
  <c r="AC278" i="54" a="1"/>
  <c r="AC278" i="54" s="1"/>
  <c r="AC260" i="54" a="1"/>
  <c r="AC260" i="54" s="1"/>
  <c r="F289" i="54"/>
  <c r="F290" i="54" s="1"/>
  <c r="J298" i="54"/>
  <c r="K298" i="54" s="1"/>
  <c r="J317" i="54"/>
  <c r="K317" i="54" s="1"/>
  <c r="J340" i="54"/>
  <c r="K340" i="54" s="1"/>
  <c r="Y304" i="54" a="1"/>
  <c r="Y304" i="54" s="1"/>
  <c r="Y315" i="54" a="1"/>
  <c r="Y315" i="54" s="1"/>
  <c r="Y326" i="54" a="1"/>
  <c r="Y326" i="54" s="1"/>
  <c r="Y305" i="54" a="1"/>
  <c r="Y305" i="54" s="1"/>
  <c r="Y327" i="54" a="1"/>
  <c r="Y327" i="54" s="1"/>
  <c r="Y337" i="54" a="1"/>
  <c r="Y337" i="54" s="1"/>
  <c r="Y306" i="54" a="1"/>
  <c r="Y306" i="54" s="1"/>
  <c r="Y316" i="54" a="1"/>
  <c r="Y316" i="54" s="1"/>
  <c r="Y328" i="54" a="1"/>
  <c r="Y328" i="54" s="1"/>
  <c r="Y338" i="54" a="1"/>
  <c r="Y338" i="54" s="1"/>
  <c r="Y295" i="54" a="1"/>
  <c r="Y295" i="54" s="1"/>
  <c r="Y307" i="54" a="1"/>
  <c r="Y307" i="54" s="1"/>
  <c r="Y317" i="54" a="1"/>
  <c r="Y317" i="54" s="1"/>
  <c r="Y339" i="54" a="1"/>
  <c r="Y339" i="54" s="1"/>
  <c r="Y296" i="54" a="1"/>
  <c r="Y296" i="54" s="1"/>
  <c r="Y318" i="54" a="1"/>
  <c r="Y318" i="54" s="1"/>
  <c r="Y329" i="54" a="1"/>
  <c r="Y329" i="54" s="1"/>
  <c r="Y340" i="54" a="1"/>
  <c r="Y340" i="54" s="1"/>
  <c r="Y297" i="54" a="1"/>
  <c r="Y297" i="54" s="1"/>
  <c r="Y308" i="54" a="1"/>
  <c r="Y308" i="54" s="1"/>
  <c r="Y319" i="54" a="1"/>
  <c r="Y319" i="54" s="1"/>
  <c r="Y341" i="54" a="1"/>
  <c r="Y341" i="54" s="1"/>
  <c r="Y298" i="54" a="1"/>
  <c r="Y298" i="54" s="1"/>
  <c r="Y320" i="54" a="1"/>
  <c r="Y320" i="54" s="1"/>
  <c r="Y330" i="54" a="1"/>
  <c r="Y330" i="54" s="1"/>
  <c r="Y294" i="54" a="1"/>
  <c r="Y294" i="54" s="1"/>
  <c r="Y299" i="54" a="1"/>
  <c r="Y299" i="54" s="1"/>
  <c r="Y309" i="54" a="1"/>
  <c r="Y309" i="54" s="1"/>
  <c r="Y321" i="54" a="1"/>
  <c r="Y321" i="54" s="1"/>
  <c r="Y331" i="54" a="1"/>
  <c r="Y331" i="54" s="1"/>
  <c r="Y300" i="54" a="1"/>
  <c r="Y300" i="54" s="1"/>
  <c r="Y310" i="54" a="1"/>
  <c r="Y310" i="54" s="1"/>
  <c r="Y332" i="54" a="1"/>
  <c r="Y332" i="54" s="1"/>
  <c r="Y311" i="54" a="1"/>
  <c r="Y311" i="54" s="1"/>
  <c r="Y322" i="54" a="1"/>
  <c r="Y322" i="54" s="1"/>
  <c r="Y333" i="54" a="1"/>
  <c r="Y333" i="54" s="1"/>
  <c r="Y301" i="54" a="1"/>
  <c r="Y301" i="54" s="1"/>
  <c r="Y312" i="54" a="1"/>
  <c r="Y312" i="54" s="1"/>
  <c r="Y334" i="54" a="1"/>
  <c r="Y334" i="54" s="1"/>
  <c r="Y302" i="54" a="1"/>
  <c r="Y302" i="54" s="1"/>
  <c r="Y314" i="54" a="1"/>
  <c r="Y314" i="54" s="1"/>
  <c r="Y324" i="54" a="1"/>
  <c r="Y324" i="54" s="1"/>
  <c r="Y303" i="54" a="1"/>
  <c r="Y303" i="54" s="1"/>
  <c r="Y313" i="54" a="1"/>
  <c r="Y313" i="54" s="1"/>
  <c r="Y323" i="54" a="1"/>
  <c r="Y323" i="54" s="1"/>
  <c r="Y325" i="54" a="1"/>
  <c r="Y325" i="54" s="1"/>
  <c r="Y336" i="54" a="1"/>
  <c r="Y336" i="54" s="1"/>
  <c r="Y335" i="54" a="1"/>
  <c r="Y335" i="54" s="1"/>
  <c r="Q310" i="54" a="1"/>
  <c r="Q310" i="54" s="1"/>
  <c r="Q320" i="54" a="1"/>
  <c r="Q320" i="54" s="1"/>
  <c r="Q340" i="54" a="1"/>
  <c r="Q340" i="54" s="1"/>
  <c r="Q301" i="54" a="1"/>
  <c r="Q301" i="54" s="1"/>
  <c r="Q321" i="54" a="1"/>
  <c r="Q321" i="54" s="1"/>
  <c r="Q330" i="54" a="1"/>
  <c r="Q330" i="54" s="1"/>
  <c r="Q341" i="54" a="1"/>
  <c r="Q341" i="54" s="1"/>
  <c r="Q311" i="54" a="1"/>
  <c r="Q311" i="54" s="1"/>
  <c r="Q331" i="54" a="1"/>
  <c r="Q331" i="54" s="1"/>
  <c r="Q294" i="54" a="1"/>
  <c r="Q294" i="54" s="1"/>
  <c r="Q302" i="54" a="1"/>
  <c r="Q302" i="54" s="1"/>
  <c r="Q312" i="54" a="1"/>
  <c r="Q312" i="54" s="1"/>
  <c r="Q322" i="54" a="1"/>
  <c r="Q322" i="54" s="1"/>
  <c r="Q303" i="54" a="1"/>
  <c r="Q303" i="54" s="1"/>
  <c r="Q313" i="54" a="1"/>
  <c r="Q313" i="54" s="1"/>
  <c r="Q332" i="54" a="1"/>
  <c r="Q332" i="54" s="1"/>
  <c r="Q314" i="54" a="1"/>
  <c r="Q314" i="54" s="1"/>
  <c r="Q323" i="54" a="1"/>
  <c r="Q323" i="54" s="1"/>
  <c r="Q333" i="54" a="1"/>
  <c r="Q333" i="54" s="1"/>
  <c r="Q304" i="54" a="1"/>
  <c r="Q304" i="54" s="1"/>
  <c r="Q324" i="54" a="1"/>
  <c r="Q324" i="54" s="1"/>
  <c r="Q334" i="54" a="1"/>
  <c r="Q334" i="54" s="1"/>
  <c r="Q295" i="54" a="1"/>
  <c r="Q295" i="54" s="1"/>
  <c r="Q305" i="54" a="1"/>
  <c r="Q305" i="54" s="1"/>
  <c r="Q315" i="54" a="1"/>
  <c r="Q315" i="54" s="1"/>
  <c r="Q335" i="54" a="1"/>
  <c r="Q335" i="54" s="1"/>
  <c r="Q296" i="54" a="1"/>
  <c r="Q296" i="54" s="1"/>
  <c r="Q306" i="54" a="1"/>
  <c r="Q306" i="54" s="1"/>
  <c r="Q325" i="54" a="1"/>
  <c r="Q325" i="54" s="1"/>
  <c r="Q307" i="54" a="1"/>
  <c r="Q307" i="54" s="1"/>
  <c r="Q316" i="54" a="1"/>
  <c r="Q316" i="54" s="1"/>
  <c r="Q326" i="54" a="1"/>
  <c r="Q326" i="54" s="1"/>
  <c r="Q336" i="54" a="1"/>
  <c r="Q336" i="54" s="1"/>
  <c r="Q297" i="54" a="1"/>
  <c r="Q297" i="54" s="1"/>
  <c r="Q317" i="54" a="1"/>
  <c r="Q317" i="54" s="1"/>
  <c r="Q327" i="54" a="1"/>
  <c r="Q327" i="54" s="1"/>
  <c r="Q299" i="54" a="1"/>
  <c r="Q299" i="54" s="1"/>
  <c r="Q318" i="54" a="1"/>
  <c r="Q318" i="54" s="1"/>
  <c r="Q338" i="54" a="1"/>
  <c r="Q338" i="54" s="1"/>
  <c r="Q339" i="54" a="1"/>
  <c r="Q339" i="54" s="1"/>
  <c r="Q298" i="54" a="1"/>
  <c r="Q298" i="54" s="1"/>
  <c r="Q300" i="54" a="1"/>
  <c r="Q300" i="54" s="1"/>
  <c r="Q308" i="54" a="1"/>
  <c r="Q308" i="54" s="1"/>
  <c r="Q309" i="54" a="1"/>
  <c r="Q309" i="54" s="1"/>
  <c r="Q319" i="54" a="1"/>
  <c r="Q319" i="54" s="1"/>
  <c r="Q328" i="54" a="1"/>
  <c r="Q328" i="54" s="1"/>
  <c r="Q329" i="54" a="1"/>
  <c r="Q329" i="54" s="1"/>
  <c r="Q337" i="54" a="1"/>
  <c r="Q337" i="54" s="1"/>
  <c r="J371" i="54"/>
  <c r="K371" i="54" s="1"/>
  <c r="J362" i="54"/>
  <c r="K362" i="54" s="1"/>
  <c r="J392" i="54"/>
  <c r="K392" i="54" s="1"/>
  <c r="J314" i="54"/>
  <c r="K314" i="54" s="1"/>
  <c r="J310" i="54"/>
  <c r="K310" i="54" s="1"/>
  <c r="J306" i="54"/>
  <c r="K306" i="54" s="1"/>
  <c r="J322" i="54"/>
  <c r="K322" i="54" s="1"/>
  <c r="F351" i="54"/>
  <c r="F352" i="54" s="1"/>
  <c r="AA301" i="54" a="1"/>
  <c r="AA301" i="54" s="1"/>
  <c r="AA312" i="54" a="1"/>
  <c r="AA312" i="54" s="1"/>
  <c r="AA302" i="54" a="1"/>
  <c r="AA302" i="54" s="1"/>
  <c r="AA314" i="54" a="1"/>
  <c r="AA314" i="54" s="1"/>
  <c r="AA303" i="54" a="1"/>
  <c r="AA303" i="54" s="1"/>
  <c r="AA304" i="54" a="1"/>
  <c r="AA304" i="54" s="1"/>
  <c r="AA315" i="54" a="1"/>
  <c r="AA315" i="54" s="1"/>
  <c r="AA306" i="54" a="1"/>
  <c r="AA306" i="54" s="1"/>
  <c r="AA296" i="54" a="1"/>
  <c r="AA296" i="54" s="1"/>
  <c r="AA318" i="54" a="1"/>
  <c r="AA318" i="54" s="1"/>
  <c r="AA297" i="54" a="1"/>
  <c r="AA297" i="54" s="1"/>
  <c r="AA328" i="54" a="1"/>
  <c r="AA328" i="54" s="1"/>
  <c r="AA338" i="54" a="1"/>
  <c r="AA338" i="54" s="1"/>
  <c r="AA298" i="54" a="1"/>
  <c r="AA298" i="54" s="1"/>
  <c r="AA316" i="54" a="1"/>
  <c r="AA316" i="54" s="1"/>
  <c r="AA339" i="54" a="1"/>
  <c r="AA339" i="54" s="1"/>
  <c r="AA299" i="54" a="1"/>
  <c r="AA299" i="54" s="1"/>
  <c r="AA317" i="54" a="1"/>
  <c r="AA317" i="54" s="1"/>
  <c r="AA329" i="54" a="1"/>
  <c r="AA329" i="54" s="1"/>
  <c r="AA340" i="54" a="1"/>
  <c r="AA340" i="54" s="1"/>
  <c r="AA300" i="54" a="1"/>
  <c r="AA300" i="54" s="1"/>
  <c r="AA319" i="54" a="1"/>
  <c r="AA319" i="54" s="1"/>
  <c r="AA341" i="54" a="1"/>
  <c r="AA341" i="54" s="1"/>
  <c r="AA320" i="54" a="1"/>
  <c r="AA320" i="54" s="1"/>
  <c r="AA330" i="54" a="1"/>
  <c r="AA330" i="54" s="1"/>
  <c r="AA294" i="54" a="1"/>
  <c r="AA294" i="54" s="1"/>
  <c r="AA321" i="54" a="1"/>
  <c r="AA321" i="54" s="1"/>
  <c r="AA331" i="54" a="1"/>
  <c r="AA331" i="54" s="1"/>
  <c r="AA305" i="54" a="1"/>
  <c r="AA305" i="54" s="1"/>
  <c r="AA332" i="54" a="1"/>
  <c r="AA332" i="54" s="1"/>
  <c r="AA307" i="54" a="1"/>
  <c r="AA307" i="54" s="1"/>
  <c r="AA322" i="54" a="1"/>
  <c r="AA322" i="54" s="1"/>
  <c r="AA333" i="54" a="1"/>
  <c r="AA333" i="54" s="1"/>
  <c r="AA308" i="54" a="1"/>
  <c r="AA308" i="54" s="1"/>
  <c r="AA334" i="54" a="1"/>
  <c r="AA334" i="54" s="1"/>
  <c r="AA323" i="54" a="1"/>
  <c r="AA323" i="54" s="1"/>
  <c r="AA335" i="54" a="1"/>
  <c r="AA335" i="54" s="1"/>
  <c r="AA309" i="54" a="1"/>
  <c r="AA309" i="54" s="1"/>
  <c r="AA324" i="54" a="1"/>
  <c r="AA324" i="54" s="1"/>
  <c r="AA310" i="54" a="1"/>
  <c r="AA310" i="54" s="1"/>
  <c r="AA325" i="54" a="1"/>
  <c r="AA325" i="54" s="1"/>
  <c r="AA336" i="54" a="1"/>
  <c r="AA336" i="54" s="1"/>
  <c r="AA311" i="54" a="1"/>
  <c r="AA311" i="54" s="1"/>
  <c r="AA326" i="54" a="1"/>
  <c r="AA326" i="54" s="1"/>
  <c r="AA337" i="54" a="1"/>
  <c r="AA337" i="54" s="1"/>
  <c r="AA295" i="54" a="1"/>
  <c r="AA295" i="54" s="1"/>
  <c r="AA313" i="54" a="1"/>
  <c r="AA313" i="54" s="1"/>
  <c r="AA327" i="54" a="1"/>
  <c r="AA327" i="54" s="1"/>
  <c r="P304" i="54" a="1"/>
  <c r="P304" i="54" s="1"/>
  <c r="P316" i="54" a="1"/>
  <c r="P316" i="54" s="1"/>
  <c r="P329" i="54" a="1"/>
  <c r="P329" i="54" s="1"/>
  <c r="P341" i="54" a="1"/>
  <c r="P341" i="54" s="1"/>
  <c r="P306" i="54" a="1"/>
  <c r="P306" i="54" s="1"/>
  <c r="P318" i="54" a="1"/>
  <c r="P318" i="54" s="1"/>
  <c r="P330" i="54" a="1"/>
  <c r="P330" i="54" s="1"/>
  <c r="P295" i="54" a="1"/>
  <c r="P295" i="54" s="1"/>
  <c r="P307" i="54" a="1"/>
  <c r="P307" i="54" s="1"/>
  <c r="P319" i="54" a="1"/>
  <c r="P319" i="54" s="1"/>
  <c r="P331" i="54" a="1"/>
  <c r="P331" i="54" s="1"/>
  <c r="P296" i="54" a="1"/>
  <c r="P296" i="54" s="1"/>
  <c r="P308" i="54" a="1"/>
  <c r="P308" i="54" s="1"/>
  <c r="P320" i="54" a="1"/>
  <c r="P320" i="54" s="1"/>
  <c r="P332" i="54" a="1"/>
  <c r="P332" i="54" s="1"/>
  <c r="P321" i="54" a="1"/>
  <c r="P321" i="54" s="1"/>
  <c r="P333" i="54" a="1"/>
  <c r="P333" i="54" s="1"/>
  <c r="P297" i="54" a="1"/>
  <c r="P297" i="54" s="1"/>
  <c r="P309" i="54" a="1"/>
  <c r="P309" i="54" s="1"/>
  <c r="P322" i="54" a="1"/>
  <c r="P322" i="54" s="1"/>
  <c r="P334" i="54" a="1"/>
  <c r="P334" i="54" s="1"/>
  <c r="P299" i="54" a="1"/>
  <c r="P299" i="54" s="1"/>
  <c r="P311" i="54" a="1"/>
  <c r="P311" i="54" s="1"/>
  <c r="P323" i="54" a="1"/>
  <c r="P323" i="54" s="1"/>
  <c r="P336" i="54" a="1"/>
  <c r="P336" i="54" s="1"/>
  <c r="P300" i="54" a="1"/>
  <c r="P300" i="54" s="1"/>
  <c r="P312" i="54" a="1"/>
  <c r="P312" i="54" s="1"/>
  <c r="P324" i="54" a="1"/>
  <c r="P324" i="54" s="1"/>
  <c r="P302" i="54" a="1"/>
  <c r="P302" i="54" s="1"/>
  <c r="P326" i="54" a="1"/>
  <c r="P326" i="54" s="1"/>
  <c r="P298" i="54" a="1"/>
  <c r="P298" i="54" s="1"/>
  <c r="P327" i="54" a="1"/>
  <c r="P327" i="54" s="1"/>
  <c r="P301" i="54" a="1"/>
  <c r="P301" i="54" s="1"/>
  <c r="P328" i="54" a="1"/>
  <c r="P328" i="54" s="1"/>
  <c r="P303" i="54" a="1"/>
  <c r="P303" i="54" s="1"/>
  <c r="P335" i="54" a="1"/>
  <c r="P335" i="54" s="1"/>
  <c r="P305" i="54" a="1"/>
  <c r="P305" i="54" s="1"/>
  <c r="P337" i="54" a="1"/>
  <c r="P337" i="54" s="1"/>
  <c r="P310" i="54" a="1"/>
  <c r="P310" i="54" s="1"/>
  <c r="P338" i="54" a="1"/>
  <c r="P338" i="54" s="1"/>
  <c r="P313" i="54" a="1"/>
  <c r="P313" i="54" s="1"/>
  <c r="P339" i="54" a="1"/>
  <c r="P339" i="54" s="1"/>
  <c r="P314" i="54" a="1"/>
  <c r="P314" i="54" s="1"/>
  <c r="P340" i="54" a="1"/>
  <c r="P340" i="54" s="1"/>
  <c r="P315" i="54" a="1"/>
  <c r="P315" i="54" s="1"/>
  <c r="P294" i="54" a="1"/>
  <c r="P294" i="54" s="1"/>
  <c r="P317" i="54" a="1"/>
  <c r="P317" i="54" s="1"/>
  <c r="P325" i="54" a="1"/>
  <c r="P325" i="54" s="1"/>
  <c r="J389" i="54"/>
  <c r="K389" i="54" s="1"/>
  <c r="J379" i="54"/>
  <c r="K379" i="54" s="1"/>
  <c r="J383" i="54"/>
  <c r="K383" i="54" s="1"/>
  <c r="Q375" i="54" a="1"/>
  <c r="Q375" i="54" s="1"/>
  <c r="Q385" i="54" a="1"/>
  <c r="Q385" i="54" s="1"/>
  <c r="Q397" i="54" a="1"/>
  <c r="Q397" i="54" s="1"/>
  <c r="Q364" i="54" a="1"/>
  <c r="Q364" i="54" s="1"/>
  <c r="Q376" i="54" a="1"/>
  <c r="Q376" i="54" s="1"/>
  <c r="Q386" i="54" a="1"/>
  <c r="Q386" i="54" s="1"/>
  <c r="Q365" i="54" a="1"/>
  <c r="Q365" i="54" s="1"/>
  <c r="Q387" i="54" a="1"/>
  <c r="Q387" i="54" s="1"/>
  <c r="Q398" i="54" a="1"/>
  <c r="Q398" i="54" s="1"/>
  <c r="Q366" i="54" a="1"/>
  <c r="Q366" i="54" s="1"/>
  <c r="Q377" i="54" a="1"/>
  <c r="Q377" i="54" s="1"/>
  <c r="Q388" i="54" a="1"/>
  <c r="Q388" i="54" s="1"/>
  <c r="Q367" i="54" a="1"/>
  <c r="Q367" i="54" s="1"/>
  <c r="Q389" i="54" a="1"/>
  <c r="Q389" i="54" s="1"/>
  <c r="Q399" i="54" a="1"/>
  <c r="Q399" i="54" s="1"/>
  <c r="Q368" i="54" a="1"/>
  <c r="Q368" i="54" s="1"/>
  <c r="Q378" i="54" a="1"/>
  <c r="Q378" i="54" s="1"/>
  <c r="Q390" i="54" a="1"/>
  <c r="Q390" i="54" s="1"/>
  <c r="Q400" i="54" a="1"/>
  <c r="Q400" i="54" s="1"/>
  <c r="Q357" i="54" a="1"/>
  <c r="Q357" i="54" s="1"/>
  <c r="Q369" i="54" a="1"/>
  <c r="Q369" i="54" s="1"/>
  <c r="Q379" i="54" a="1"/>
  <c r="Q379" i="54" s="1"/>
  <c r="Q401" i="54" a="1"/>
  <c r="Q401" i="54" s="1"/>
  <c r="Q359" i="54" a="1"/>
  <c r="Q359" i="54" s="1"/>
  <c r="Q370" i="54" a="1"/>
  <c r="Q370" i="54" s="1"/>
  <c r="Q381" i="54" a="1"/>
  <c r="Q381" i="54" s="1"/>
  <c r="Q403" i="54" a="1"/>
  <c r="Q403" i="54" s="1"/>
  <c r="Q362" i="54" a="1"/>
  <c r="Q362" i="54" s="1"/>
  <c r="Q372" i="54" a="1"/>
  <c r="Q372" i="54" s="1"/>
  <c r="Q394" i="54" a="1"/>
  <c r="Q394" i="54" s="1"/>
  <c r="Q363" i="54" a="1"/>
  <c r="Q363" i="54" s="1"/>
  <c r="Q374" i="54" a="1"/>
  <c r="Q374" i="54" s="1"/>
  <c r="Q396" i="54" a="1"/>
  <c r="Q396" i="54" s="1"/>
  <c r="Q382" i="54" a="1"/>
  <c r="Q382" i="54" s="1"/>
  <c r="Q383" i="54" a="1"/>
  <c r="Q383" i="54" s="1"/>
  <c r="Q384" i="54" a="1"/>
  <c r="Q384" i="54" s="1"/>
  <c r="Q391" i="54" a="1"/>
  <c r="Q391" i="54" s="1"/>
  <c r="Q392" i="54" a="1"/>
  <c r="Q392" i="54" s="1"/>
  <c r="Q358" i="54" a="1"/>
  <c r="Q358" i="54" s="1"/>
  <c r="Q393" i="54" a="1"/>
  <c r="Q393" i="54" s="1"/>
  <c r="Q360" i="54" a="1"/>
  <c r="Q360" i="54" s="1"/>
  <c r="Q395" i="54" a="1"/>
  <c r="Q395" i="54" s="1"/>
  <c r="Q361" i="54" a="1"/>
  <c r="Q361" i="54" s="1"/>
  <c r="Q402" i="54" a="1"/>
  <c r="Q402" i="54" s="1"/>
  <c r="Q356" i="54" a="1"/>
  <c r="Q356" i="54" s="1"/>
  <c r="Q371" i="54" a="1"/>
  <c r="Q371" i="54" s="1"/>
  <c r="Q373" i="54" a="1"/>
  <c r="Q373" i="54" s="1"/>
  <c r="Q380" i="54" a="1"/>
  <c r="Q380" i="54" s="1"/>
  <c r="J302" i="54"/>
  <c r="K302" i="54" s="1"/>
  <c r="J331" i="54"/>
  <c r="K331" i="54" s="1"/>
  <c r="J328" i="54"/>
  <c r="K328" i="54" s="1"/>
  <c r="J313" i="54"/>
  <c r="K313" i="54" s="1"/>
  <c r="S311" i="54" a="1"/>
  <c r="S311" i="54" s="1"/>
  <c r="S322" i="54" a="1"/>
  <c r="S322" i="54" s="1"/>
  <c r="S334" i="54" a="1"/>
  <c r="S334" i="54" s="1"/>
  <c r="S301" i="54" a="1"/>
  <c r="S301" i="54" s="1"/>
  <c r="S312" i="54" a="1"/>
  <c r="S312" i="54" s="1"/>
  <c r="S335" i="54" a="1"/>
  <c r="S335" i="54" s="1"/>
  <c r="S313" i="54" a="1"/>
  <c r="S313" i="54" s="1"/>
  <c r="S323" i="54" a="1"/>
  <c r="S323" i="54" s="1"/>
  <c r="S302" i="54" a="1"/>
  <c r="S302" i="54" s="1"/>
  <c r="S314" i="54" a="1"/>
  <c r="S314" i="54" s="1"/>
  <c r="S324" i="54" a="1"/>
  <c r="S324" i="54" s="1"/>
  <c r="S336" i="54" a="1"/>
  <c r="S336" i="54" s="1"/>
  <c r="S303" i="54" a="1"/>
  <c r="S303" i="54" s="1"/>
  <c r="S325" i="54" a="1"/>
  <c r="S325" i="54" s="1"/>
  <c r="S304" i="54" a="1"/>
  <c r="S304" i="54" s="1"/>
  <c r="S315" i="54" a="1"/>
  <c r="S315" i="54" s="1"/>
  <c r="S326" i="54" a="1"/>
  <c r="S326" i="54" s="1"/>
  <c r="S337" i="54" a="1"/>
  <c r="S337" i="54" s="1"/>
  <c r="S305" i="54" a="1"/>
  <c r="S305" i="54" s="1"/>
  <c r="S327" i="54" a="1"/>
  <c r="S327" i="54" s="1"/>
  <c r="S338" i="54" a="1"/>
  <c r="S338" i="54" s="1"/>
  <c r="S306" i="54" a="1"/>
  <c r="S306" i="54" s="1"/>
  <c r="S316" i="54" a="1"/>
  <c r="S316" i="54" s="1"/>
  <c r="S328" i="54" a="1"/>
  <c r="S328" i="54" s="1"/>
  <c r="S339" i="54" a="1"/>
  <c r="S339" i="54" s="1"/>
  <c r="S295" i="54" a="1"/>
  <c r="S295" i="54" s="1"/>
  <c r="S307" i="54" a="1"/>
  <c r="S307" i="54" s="1"/>
  <c r="S317" i="54" a="1"/>
  <c r="S317" i="54" s="1"/>
  <c r="S340" i="54" a="1"/>
  <c r="S340" i="54" s="1"/>
  <c r="S296" i="54" a="1"/>
  <c r="S296" i="54" s="1"/>
  <c r="S318" i="54" a="1"/>
  <c r="S318" i="54" s="1"/>
  <c r="S329" i="54" a="1"/>
  <c r="S329" i="54" s="1"/>
  <c r="S341" i="54" a="1"/>
  <c r="S341" i="54" s="1"/>
  <c r="S297" i="54" a="1"/>
  <c r="S297" i="54" s="1"/>
  <c r="S308" i="54" a="1"/>
  <c r="S308" i="54" s="1"/>
  <c r="S319" i="54" a="1"/>
  <c r="S319" i="54" s="1"/>
  <c r="S330" i="54" a="1"/>
  <c r="S330" i="54" s="1"/>
  <c r="S294" i="54" a="1"/>
  <c r="S294" i="54" s="1"/>
  <c r="S299" i="54" a="1"/>
  <c r="S299" i="54" s="1"/>
  <c r="S309" i="54" a="1"/>
  <c r="S309" i="54" s="1"/>
  <c r="S321" i="54" a="1"/>
  <c r="S321" i="54" s="1"/>
  <c r="S332" i="54" a="1"/>
  <c r="S332" i="54" s="1"/>
  <c r="S298" i="54" a="1"/>
  <c r="S298" i="54" s="1"/>
  <c r="S300" i="54" a="1"/>
  <c r="S300" i="54" s="1"/>
  <c r="S310" i="54" a="1"/>
  <c r="S310" i="54" s="1"/>
  <c r="S320" i="54" a="1"/>
  <c r="S320" i="54" s="1"/>
  <c r="S331" i="54" a="1"/>
  <c r="S331" i="54" s="1"/>
  <c r="S333" i="54" a="1"/>
  <c r="S333" i="54" s="1"/>
  <c r="J398" i="54"/>
  <c r="K398" i="54" s="1"/>
  <c r="J388" i="54"/>
  <c r="K388" i="54" s="1"/>
  <c r="J399" i="54"/>
  <c r="K399" i="54" s="1"/>
  <c r="J373" i="54"/>
  <c r="K373" i="54" s="1"/>
  <c r="P361" i="54" a="1"/>
  <c r="P361" i="54" s="1"/>
  <c r="P371" i="54" a="1"/>
  <c r="P371" i="54" s="1"/>
  <c r="P383" i="54" a="1"/>
  <c r="P383" i="54" s="1"/>
  <c r="P393" i="54" a="1"/>
  <c r="P393" i="54" s="1"/>
  <c r="P362" i="54" a="1"/>
  <c r="P362" i="54" s="1"/>
  <c r="P372" i="54" a="1"/>
  <c r="P372" i="54" s="1"/>
  <c r="P394" i="54" a="1"/>
  <c r="P394" i="54" s="1"/>
  <c r="P373" i="54" a="1"/>
  <c r="P373" i="54" s="1"/>
  <c r="P384" i="54" a="1"/>
  <c r="P384" i="54" s="1"/>
  <c r="P395" i="54" a="1"/>
  <c r="P395" i="54" s="1"/>
  <c r="P363" i="54" a="1"/>
  <c r="P363" i="54" s="1"/>
  <c r="P374" i="54" a="1"/>
  <c r="P374" i="54" s="1"/>
  <c r="P396" i="54" a="1"/>
  <c r="P396" i="54" s="1"/>
  <c r="P375" i="54" a="1"/>
  <c r="P375" i="54" s="1"/>
  <c r="P385" i="54" a="1"/>
  <c r="P385" i="54" s="1"/>
  <c r="P397" i="54" a="1"/>
  <c r="P397" i="54" s="1"/>
  <c r="P364" i="54" a="1"/>
  <c r="P364" i="54" s="1"/>
  <c r="P376" i="54" a="1"/>
  <c r="P376" i="54" s="1"/>
  <c r="P386" i="54" a="1"/>
  <c r="P386" i="54" s="1"/>
  <c r="P365" i="54" a="1"/>
  <c r="P365" i="54" s="1"/>
  <c r="P387" i="54" a="1"/>
  <c r="P387" i="54" s="1"/>
  <c r="P398" i="54" a="1"/>
  <c r="P398" i="54" s="1"/>
  <c r="P367" i="54" a="1"/>
  <c r="P367" i="54" s="1"/>
  <c r="P389" i="54" a="1"/>
  <c r="P389" i="54" s="1"/>
  <c r="P399" i="54" a="1"/>
  <c r="P399" i="54" s="1"/>
  <c r="P358" i="54" a="1"/>
  <c r="P358" i="54" s="1"/>
  <c r="P380" i="54" a="1"/>
  <c r="P380" i="54" s="1"/>
  <c r="P391" i="54" a="1"/>
  <c r="P391" i="54" s="1"/>
  <c r="P402" i="54" a="1"/>
  <c r="P402" i="54" s="1"/>
  <c r="P360" i="54" a="1"/>
  <c r="P360" i="54" s="1"/>
  <c r="P382" i="54" a="1"/>
  <c r="P382" i="54" s="1"/>
  <c r="P392" i="54" a="1"/>
  <c r="P392" i="54" s="1"/>
  <c r="P356" i="54" a="1"/>
  <c r="P356" i="54" s="1"/>
  <c r="P370" i="54" a="1"/>
  <c r="P370" i="54" s="1"/>
  <c r="P377" i="54" a="1"/>
  <c r="P377" i="54" s="1"/>
  <c r="P378" i="54" a="1"/>
  <c r="P378" i="54" s="1"/>
  <c r="P379" i="54" a="1"/>
  <c r="P379" i="54" s="1"/>
  <c r="P381" i="54" a="1"/>
  <c r="P381" i="54" s="1"/>
  <c r="P388" i="54" a="1"/>
  <c r="P388" i="54" s="1"/>
  <c r="P390" i="54" a="1"/>
  <c r="P390" i="54" s="1"/>
  <c r="P357" i="54" a="1"/>
  <c r="P357" i="54" s="1"/>
  <c r="P359" i="54" a="1"/>
  <c r="P359" i="54" s="1"/>
  <c r="P400" i="54" a="1"/>
  <c r="P400" i="54" s="1"/>
  <c r="P366" i="54" a="1"/>
  <c r="P366" i="54" s="1"/>
  <c r="P401" i="54" a="1"/>
  <c r="P401" i="54" s="1"/>
  <c r="P368" i="54" a="1"/>
  <c r="P368" i="54" s="1"/>
  <c r="P403" i="54" a="1"/>
  <c r="P403" i="54" s="1"/>
  <c r="P369" i="54" a="1"/>
  <c r="P369" i="54" s="1"/>
  <c r="J315" i="54"/>
  <c r="K315" i="54" s="1"/>
  <c r="J309" i="54"/>
  <c r="K309" i="54" s="1"/>
  <c r="J316" i="54"/>
  <c r="K316" i="54" s="1"/>
  <c r="J304" i="54"/>
  <c r="K304" i="54" s="1"/>
  <c r="O304" i="54" a="1"/>
  <c r="O304" i="54" s="1"/>
  <c r="O326" i="54" a="1"/>
  <c r="O326" i="54" s="1"/>
  <c r="O337" i="54" a="1"/>
  <c r="O337" i="54" s="1"/>
  <c r="O295" i="54" a="1"/>
  <c r="O295" i="54" s="1"/>
  <c r="O306" i="54" a="1"/>
  <c r="O306" i="54" s="1"/>
  <c r="O328" i="54" a="1"/>
  <c r="O328" i="54" s="1"/>
  <c r="O338" i="54" a="1"/>
  <c r="O338" i="54" s="1"/>
  <c r="O307" i="54" a="1"/>
  <c r="O307" i="54" s="1"/>
  <c r="O317" i="54" a="1"/>
  <c r="O317" i="54" s="1"/>
  <c r="O329" i="54" a="1"/>
  <c r="O329" i="54" s="1"/>
  <c r="O339" i="54" a="1"/>
  <c r="O339" i="54" s="1"/>
  <c r="O296" i="54" a="1"/>
  <c r="O296" i="54" s="1"/>
  <c r="O308" i="54" a="1"/>
  <c r="O308" i="54" s="1"/>
  <c r="O318" i="54" a="1"/>
  <c r="O318" i="54" s="1"/>
  <c r="O340" i="54" a="1"/>
  <c r="O340" i="54" s="1"/>
  <c r="O297" i="54" a="1"/>
  <c r="O297" i="54" s="1"/>
  <c r="O319" i="54" a="1"/>
  <c r="O319" i="54" s="1"/>
  <c r="O330" i="54" a="1"/>
  <c r="O330" i="54" s="1"/>
  <c r="O341" i="54" a="1"/>
  <c r="O341" i="54" s="1"/>
  <c r="O298" i="54" a="1"/>
  <c r="O298" i="54" s="1"/>
  <c r="O309" i="54" a="1"/>
  <c r="O309" i="54" s="1"/>
  <c r="O320" i="54" a="1"/>
  <c r="O320" i="54" s="1"/>
  <c r="O294" i="54" a="1"/>
  <c r="O294" i="54" s="1"/>
  <c r="O300" i="54" a="1"/>
  <c r="O300" i="54" s="1"/>
  <c r="O310" i="54" a="1"/>
  <c r="O310" i="54" s="1"/>
  <c r="O322" i="54" a="1"/>
  <c r="O322" i="54" s="1"/>
  <c r="O332" i="54" a="1"/>
  <c r="O332" i="54" s="1"/>
  <c r="O301" i="54" a="1"/>
  <c r="O301" i="54" s="1"/>
  <c r="O311" i="54" a="1"/>
  <c r="O311" i="54" s="1"/>
  <c r="O333" i="54" a="1"/>
  <c r="O333" i="54" s="1"/>
  <c r="O303" i="54" a="1"/>
  <c r="O303" i="54" s="1"/>
  <c r="O331" i="54" a="1"/>
  <c r="O331" i="54" s="1"/>
  <c r="O305" i="54" a="1"/>
  <c r="O305" i="54" s="1"/>
  <c r="O334" i="54" a="1"/>
  <c r="O334" i="54" s="1"/>
  <c r="O335" i="54" a="1"/>
  <c r="O335" i="54" s="1"/>
  <c r="O312" i="54" a="1"/>
  <c r="O312" i="54" s="1"/>
  <c r="O336" i="54" a="1"/>
  <c r="O336" i="54" s="1"/>
  <c r="O327" i="54" a="1"/>
  <c r="O327" i="54" s="1"/>
  <c r="O313" i="54" a="1"/>
  <c r="O313" i="54" s="1"/>
  <c r="O314" i="54" a="1"/>
  <c r="O314" i="54" s="1"/>
  <c r="O315" i="54" a="1"/>
  <c r="O315" i="54" s="1"/>
  <c r="O316" i="54" a="1"/>
  <c r="O316" i="54" s="1"/>
  <c r="O321" i="54" a="1"/>
  <c r="O321" i="54" s="1"/>
  <c r="O323" i="54" a="1"/>
  <c r="O323" i="54" s="1"/>
  <c r="O299" i="54" a="1"/>
  <c r="O299" i="54" s="1"/>
  <c r="O324" i="54" a="1"/>
  <c r="O324" i="54" s="1"/>
  <c r="O302" i="54" a="1"/>
  <c r="O302" i="54" s="1"/>
  <c r="O325" i="54" a="1"/>
  <c r="O325" i="54" s="1"/>
  <c r="J378" i="54"/>
  <c r="K378" i="54" s="1"/>
  <c r="J369" i="54"/>
  <c r="K369" i="54" s="1"/>
  <c r="J390" i="54"/>
  <c r="K390" i="54" s="1"/>
  <c r="J363" i="54"/>
  <c r="K363" i="54" s="1"/>
  <c r="R358" i="54" a="1"/>
  <c r="R358" i="54" s="1"/>
  <c r="R369" i="54" a="1"/>
  <c r="R369" i="54" s="1"/>
  <c r="R378" i="54" a="1"/>
  <c r="R378" i="54" s="1"/>
  <c r="R389" i="54" a="1"/>
  <c r="R389" i="54" s="1"/>
  <c r="R399" i="54" a="1"/>
  <c r="R399" i="54" s="1"/>
  <c r="R359" i="54" a="1"/>
  <c r="R359" i="54" s="1"/>
  <c r="R390" i="54" a="1"/>
  <c r="R390" i="54" s="1"/>
  <c r="R400" i="54" a="1"/>
  <c r="R400" i="54" s="1"/>
  <c r="R360" i="54" a="1"/>
  <c r="R360" i="54" s="1"/>
  <c r="R370" i="54" a="1"/>
  <c r="R370" i="54" s="1"/>
  <c r="R379" i="54" a="1"/>
  <c r="R379" i="54" s="1"/>
  <c r="R401" i="54" a="1"/>
  <c r="R401" i="54" s="1"/>
  <c r="R361" i="54" a="1"/>
  <c r="R361" i="54" s="1"/>
  <c r="R380" i="54" a="1"/>
  <c r="R380" i="54" s="1"/>
  <c r="R391" i="54" a="1"/>
  <c r="R391" i="54" s="1"/>
  <c r="R402" i="54" a="1"/>
  <c r="R402" i="54" s="1"/>
  <c r="R362" i="54" a="1"/>
  <c r="R362" i="54" s="1"/>
  <c r="R371" i="54" a="1"/>
  <c r="R371" i="54" s="1"/>
  <c r="R381" i="54" a="1"/>
  <c r="R381" i="54" s="1"/>
  <c r="R403" i="54" a="1"/>
  <c r="R403" i="54" s="1"/>
  <c r="R382" i="54" a="1"/>
  <c r="R382" i="54" s="1"/>
  <c r="R392" i="54" a="1"/>
  <c r="R392" i="54" s="1"/>
  <c r="R356" i="54" a="1"/>
  <c r="R356" i="54" s="1"/>
  <c r="R363" i="54" a="1"/>
  <c r="R363" i="54" s="1"/>
  <c r="R372" i="54" a="1"/>
  <c r="R372" i="54" s="1"/>
  <c r="R383" i="54" a="1"/>
  <c r="R383" i="54" s="1"/>
  <c r="R393" i="54" a="1"/>
  <c r="R393" i="54" s="1"/>
  <c r="R364" i="54" a="1"/>
  <c r="R364" i="54" s="1"/>
  <c r="R374" i="54" a="1"/>
  <c r="R374" i="54" s="1"/>
  <c r="R384" i="54" a="1"/>
  <c r="R384" i="54" s="1"/>
  <c r="R395" i="54" a="1"/>
  <c r="R395" i="54" s="1"/>
  <c r="R366" i="54" a="1"/>
  <c r="R366" i="54" s="1"/>
  <c r="R386" i="54" a="1"/>
  <c r="R386" i="54" s="1"/>
  <c r="R357" i="54" a="1"/>
  <c r="R357" i="54" s="1"/>
  <c r="R367" i="54" a="1"/>
  <c r="R367" i="54" s="1"/>
  <c r="R377" i="54" a="1"/>
  <c r="R377" i="54" s="1"/>
  <c r="R387" i="54" a="1"/>
  <c r="R387" i="54" s="1"/>
  <c r="R368" i="54" a="1"/>
  <c r="R368" i="54" s="1"/>
  <c r="R388" i="54" a="1"/>
  <c r="R388" i="54" s="1"/>
  <c r="R385" i="54" a="1"/>
  <c r="R385" i="54" s="1"/>
  <c r="R394" i="54" a="1"/>
  <c r="R394" i="54" s="1"/>
  <c r="R396" i="54" a="1"/>
  <c r="R396" i="54" s="1"/>
  <c r="R397" i="54" a="1"/>
  <c r="R397" i="54" s="1"/>
  <c r="R398" i="54" a="1"/>
  <c r="R398" i="54" s="1"/>
  <c r="R365" i="54" a="1"/>
  <c r="R365" i="54" s="1"/>
  <c r="R373" i="54" a="1"/>
  <c r="R373" i="54" s="1"/>
  <c r="R375" i="54" a="1"/>
  <c r="R375" i="54" s="1"/>
  <c r="R376" i="54" a="1"/>
  <c r="R376" i="54" s="1"/>
  <c r="J324" i="54"/>
  <c r="K324" i="54" s="1"/>
  <c r="J341" i="54"/>
  <c r="K341" i="54" s="1"/>
  <c r="J305" i="54"/>
  <c r="K305" i="54" s="1"/>
  <c r="J295" i="54"/>
  <c r="K295" i="54" s="1"/>
  <c r="J359" i="54"/>
  <c r="K359" i="54" s="1"/>
  <c r="J368" i="54"/>
  <c r="K368" i="54" s="1"/>
  <c r="J380" i="54"/>
  <c r="K380" i="54" s="1"/>
  <c r="J382" i="54"/>
  <c r="K382" i="54" s="1"/>
  <c r="O357" i="54" a="1"/>
  <c r="O357" i="54" s="1"/>
  <c r="O377" i="54" a="1"/>
  <c r="O377" i="54" s="1"/>
  <c r="O387" i="54" a="1"/>
  <c r="O387" i="54" s="1"/>
  <c r="O397" i="54" a="1"/>
  <c r="O397" i="54" s="1"/>
  <c r="O358" i="54" a="1"/>
  <c r="O358" i="54" s="1"/>
  <c r="O368" i="54" a="1"/>
  <c r="O368" i="54" s="1"/>
  <c r="O359" i="54" a="1"/>
  <c r="O359" i="54" s="1"/>
  <c r="O369" i="54" a="1"/>
  <c r="O369" i="54" s="1"/>
  <c r="O378" i="54" a="1"/>
  <c r="O378" i="54" s="1"/>
  <c r="O398" i="54" a="1"/>
  <c r="O398" i="54" s="1"/>
  <c r="O360" i="54" a="1"/>
  <c r="O360" i="54" s="1"/>
  <c r="O379" i="54" a="1"/>
  <c r="O379" i="54" s="1"/>
  <c r="O389" i="54" a="1"/>
  <c r="O389" i="54" s="1"/>
  <c r="O370" i="54" a="1"/>
  <c r="O370" i="54" s="1"/>
  <c r="O380" i="54" a="1"/>
  <c r="O380" i="54" s="1"/>
  <c r="O390" i="54" a="1"/>
  <c r="O390" i="54" s="1"/>
  <c r="O399" i="54" a="1"/>
  <c r="O399" i="54" s="1"/>
  <c r="O361" i="54" a="1"/>
  <c r="O361" i="54" s="1"/>
  <c r="O381" i="54" a="1"/>
  <c r="O381" i="54" s="1"/>
  <c r="O400" i="54" a="1"/>
  <c r="O400" i="54" s="1"/>
  <c r="O362" i="54" a="1"/>
  <c r="O362" i="54" s="1"/>
  <c r="O371" i="54" a="1"/>
  <c r="O371" i="54" s="1"/>
  <c r="O391" i="54" a="1"/>
  <c r="O391" i="54" s="1"/>
  <c r="O401" i="54" a="1"/>
  <c r="O401" i="54" s="1"/>
  <c r="O363" i="54" a="1"/>
  <c r="O363" i="54" s="1"/>
  <c r="O373" i="54" a="1"/>
  <c r="O373" i="54" s="1"/>
  <c r="O383" i="54" a="1"/>
  <c r="O383" i="54" s="1"/>
  <c r="O392" i="54" a="1"/>
  <c r="O392" i="54" s="1"/>
  <c r="O365" i="54" a="1"/>
  <c r="O365" i="54" s="1"/>
  <c r="O375" i="54" a="1"/>
  <c r="O375" i="54" s="1"/>
  <c r="O395" i="54" a="1"/>
  <c r="O395" i="54" s="1"/>
  <c r="O367" i="54" a="1"/>
  <c r="O367" i="54" s="1"/>
  <c r="O386" i="54" a="1"/>
  <c r="O386" i="54" s="1"/>
  <c r="O396" i="54" a="1"/>
  <c r="O396" i="54" s="1"/>
  <c r="O393" i="54" a="1"/>
  <c r="O393" i="54" s="1"/>
  <c r="O364" i="54" a="1"/>
  <c r="O364" i="54" s="1"/>
  <c r="O394" i="54" a="1"/>
  <c r="O394" i="54" s="1"/>
  <c r="O366" i="54" a="1"/>
  <c r="O366" i="54" s="1"/>
  <c r="O372" i="54" a="1"/>
  <c r="O372" i="54" s="1"/>
  <c r="O374" i="54" a="1"/>
  <c r="O374" i="54" s="1"/>
  <c r="O402" i="54" a="1"/>
  <c r="O402" i="54" s="1"/>
  <c r="O403" i="54" a="1"/>
  <c r="O403" i="54" s="1"/>
  <c r="O376" i="54" a="1"/>
  <c r="O376" i="54" s="1"/>
  <c r="O356" i="54" a="1"/>
  <c r="O356" i="54" s="1"/>
  <c r="O382" i="54" a="1"/>
  <c r="O382" i="54" s="1"/>
  <c r="O384" i="54" a="1"/>
  <c r="O384" i="54" s="1"/>
  <c r="O385" i="54" a="1"/>
  <c r="O385" i="54" s="1"/>
  <c r="O388" i="54" a="1"/>
  <c r="O388" i="54" s="1"/>
  <c r="J337" i="54"/>
  <c r="K337" i="54" s="1"/>
  <c r="J358" i="54"/>
  <c r="K358" i="54" s="1"/>
  <c r="J387" i="54"/>
  <c r="K387" i="54" s="1"/>
  <c r="J370" i="54"/>
  <c r="K370" i="54" s="1"/>
  <c r="J372" i="54"/>
  <c r="K372" i="54" s="1"/>
  <c r="S377" i="54" a="1"/>
  <c r="S377" i="54" s="1"/>
  <c r="S399" i="54" a="1"/>
  <c r="S399" i="54" s="1"/>
  <c r="S363" i="54" a="1"/>
  <c r="S363" i="54" s="1"/>
  <c r="S370" i="54" a="1"/>
  <c r="S370" i="54" s="1"/>
  <c r="S385" i="54" a="1"/>
  <c r="S385" i="54" s="1"/>
  <c r="S392" i="54" a="1"/>
  <c r="S392" i="54" s="1"/>
  <c r="S378" i="54" a="1"/>
  <c r="S378" i="54" s="1"/>
  <c r="S400" i="54" a="1"/>
  <c r="S400" i="54" s="1"/>
  <c r="S357" i="54" a="1"/>
  <c r="S357" i="54" s="1"/>
  <c r="S364" i="54" a="1"/>
  <c r="S364" i="54" s="1"/>
  <c r="S371" i="54" a="1"/>
  <c r="S371" i="54" s="1"/>
  <c r="S386" i="54" a="1"/>
  <c r="S386" i="54" s="1"/>
  <c r="S393" i="54" a="1"/>
  <c r="S393" i="54" s="1"/>
  <c r="S379" i="54" a="1"/>
  <c r="S379" i="54" s="1"/>
  <c r="S401" i="54" a="1"/>
  <c r="S401" i="54" s="1"/>
  <c r="S358" i="54" a="1"/>
  <c r="S358" i="54" s="1"/>
  <c r="S365" i="54" a="1"/>
  <c r="S365" i="54" s="1"/>
  <c r="S372" i="54" a="1"/>
  <c r="S372" i="54" s="1"/>
  <c r="S387" i="54" a="1"/>
  <c r="S387" i="54" s="1"/>
  <c r="S394" i="54" a="1"/>
  <c r="S394" i="54" s="1"/>
  <c r="S380" i="54" a="1"/>
  <c r="S380" i="54" s="1"/>
  <c r="S402" i="54" a="1"/>
  <c r="S402" i="54" s="1"/>
  <c r="S381" i="54" a="1"/>
  <c r="S381" i="54" s="1"/>
  <c r="S403" i="54" a="1"/>
  <c r="S403" i="54" s="1"/>
  <c r="S360" i="54" a="1"/>
  <c r="S360" i="54" s="1"/>
  <c r="S367" i="54" a="1"/>
  <c r="S367" i="54" s="1"/>
  <c r="S374" i="54" a="1"/>
  <c r="S374" i="54" s="1"/>
  <c r="S389" i="54" a="1"/>
  <c r="S389" i="54" s="1"/>
  <c r="S396" i="54" a="1"/>
  <c r="S396" i="54" s="1"/>
  <c r="S382" i="54" a="1"/>
  <c r="S382" i="54" s="1"/>
  <c r="S361" i="54" a="1"/>
  <c r="S361" i="54" s="1"/>
  <c r="S368" i="54" a="1"/>
  <c r="S368" i="54" s="1"/>
  <c r="S375" i="54" a="1"/>
  <c r="S375" i="54" s="1"/>
  <c r="S383" i="54" a="1"/>
  <c r="S383" i="54" s="1"/>
  <c r="S390" i="54" a="1"/>
  <c r="S390" i="54" s="1"/>
  <c r="S397" i="54" a="1"/>
  <c r="S397" i="54" s="1"/>
  <c r="S362" i="54" a="1"/>
  <c r="S362" i="54" s="1"/>
  <c r="S369" i="54" a="1"/>
  <c r="S369" i="54" s="1"/>
  <c r="S376" i="54" a="1"/>
  <c r="S376" i="54" s="1"/>
  <c r="S384" i="54" a="1"/>
  <c r="S384" i="54" s="1"/>
  <c r="S391" i="54" a="1"/>
  <c r="S391" i="54" s="1"/>
  <c r="S398" i="54" a="1"/>
  <c r="S398" i="54" s="1"/>
  <c r="S388" i="54" a="1"/>
  <c r="S388" i="54" s="1"/>
  <c r="S395" i="54" a="1"/>
  <c r="S395" i="54" s="1"/>
  <c r="S356" i="54" a="1"/>
  <c r="S356" i="54" s="1"/>
  <c r="S359" i="54" a="1"/>
  <c r="S359" i="54" s="1"/>
  <c r="S366" i="54" a="1"/>
  <c r="S366" i="54" s="1"/>
  <c r="S373" i="54" a="1"/>
  <c r="S373" i="54" s="1"/>
  <c r="I351" i="54"/>
  <c r="I352" i="54" s="1"/>
  <c r="J397" i="54"/>
  <c r="K397" i="54" s="1"/>
  <c r="J367" i="54"/>
  <c r="K367" i="54" s="1"/>
  <c r="J360" i="54"/>
  <c r="K360" i="54" s="1"/>
  <c r="J400" i="54"/>
  <c r="K400" i="54" s="1"/>
  <c r="J301" i="54"/>
  <c r="K301" i="54" s="1"/>
  <c r="J319" i="54"/>
  <c r="K319" i="54" s="1"/>
  <c r="J303" i="54"/>
  <c r="K303" i="54" s="1"/>
  <c r="J377" i="54"/>
  <c r="K377" i="54" s="1"/>
  <c r="J385" i="54"/>
  <c r="K385" i="54" s="1"/>
  <c r="J396" i="54"/>
  <c r="K396" i="54" s="1"/>
  <c r="J361" i="54"/>
  <c r="K361" i="54" s="1"/>
  <c r="I289" i="54"/>
  <c r="I290" i="54" s="1"/>
  <c r="J300" i="54"/>
  <c r="K300" i="54" s="1"/>
  <c r="J333" i="54"/>
  <c r="K333" i="54" s="1"/>
  <c r="J335" i="54"/>
  <c r="K335" i="54" s="1"/>
  <c r="Y360" i="54" a="1"/>
  <c r="Y360" i="54" s="1"/>
  <c r="Y370" i="54" a="1"/>
  <c r="Y370" i="54" s="1"/>
  <c r="Y380" i="54" a="1"/>
  <c r="Y380" i="54" s="1"/>
  <c r="Y391" i="54" a="1"/>
  <c r="Y391" i="54" s="1"/>
  <c r="Y402" i="54" a="1"/>
  <c r="Y402" i="54" s="1"/>
  <c r="Y361" i="54" a="1"/>
  <c r="Y361" i="54" s="1"/>
  <c r="Y381" i="54" a="1"/>
  <c r="Y381" i="54" s="1"/>
  <c r="Y403" i="54" a="1"/>
  <c r="Y403" i="54" s="1"/>
  <c r="Y362" i="54" a="1"/>
  <c r="Y362" i="54" s="1"/>
  <c r="Y371" i="54" a="1"/>
  <c r="Y371" i="54" s="1"/>
  <c r="Y382" i="54" a="1"/>
  <c r="Y382" i="54" s="1"/>
  <c r="Y392" i="54" a="1"/>
  <c r="Y392" i="54" s="1"/>
  <c r="Y356" i="54" a="1"/>
  <c r="Y356" i="54" s="1"/>
  <c r="Y372" i="54" a="1"/>
  <c r="Y372" i="54" s="1"/>
  <c r="Y383" i="54" a="1"/>
  <c r="Y383" i="54" s="1"/>
  <c r="Y393" i="54" a="1"/>
  <c r="Y393" i="54" s="1"/>
  <c r="Y363" i="54" a="1"/>
  <c r="Y363" i="54" s="1"/>
  <c r="Y373" i="54" a="1"/>
  <c r="Y373" i="54" s="1"/>
  <c r="Y394" i="54" a="1"/>
  <c r="Y394" i="54" s="1"/>
  <c r="Y384" i="54" a="1"/>
  <c r="Y384" i="54" s="1"/>
  <c r="Y395" i="54" a="1"/>
  <c r="Y395" i="54" s="1"/>
  <c r="Y364" i="54" a="1"/>
  <c r="Y364" i="54" s="1"/>
  <c r="Y374" i="54" a="1"/>
  <c r="Y374" i="54" s="1"/>
  <c r="Y396" i="54" a="1"/>
  <c r="Y396" i="54" s="1"/>
  <c r="Y366" i="54" a="1"/>
  <c r="Y366" i="54" s="1"/>
  <c r="Y376" i="54" a="1"/>
  <c r="Y376" i="54" s="1"/>
  <c r="Y386" i="54" a="1"/>
  <c r="Y386" i="54" s="1"/>
  <c r="Y387" i="54" a="1"/>
  <c r="Y387" i="54" s="1"/>
  <c r="Y398" i="54" a="1"/>
  <c r="Y398" i="54" s="1"/>
  <c r="Y357" i="54" a="1"/>
  <c r="Y357" i="54" s="1"/>
  <c r="Y367" i="54" a="1"/>
  <c r="Y367" i="54" s="1"/>
  <c r="Y377" i="54" a="1"/>
  <c r="Y377" i="54" s="1"/>
  <c r="Y388" i="54" a="1"/>
  <c r="Y388" i="54" s="1"/>
  <c r="Y358" i="54" a="1"/>
  <c r="Y358" i="54" s="1"/>
  <c r="Y368" i="54" a="1"/>
  <c r="Y368" i="54" s="1"/>
  <c r="Y389" i="54" a="1"/>
  <c r="Y389" i="54" s="1"/>
  <c r="Y399" i="54" a="1"/>
  <c r="Y399" i="54" s="1"/>
  <c r="Y359" i="54" a="1"/>
  <c r="Y359" i="54" s="1"/>
  <c r="Y369" i="54" a="1"/>
  <c r="Y369" i="54" s="1"/>
  <c r="Y378" i="54" a="1"/>
  <c r="Y378" i="54" s="1"/>
  <c r="Y390" i="54" a="1"/>
  <c r="Y390" i="54" s="1"/>
  <c r="Y400" i="54" a="1"/>
  <c r="Y400" i="54" s="1"/>
  <c r="Y379" i="54" a="1"/>
  <c r="Y379" i="54" s="1"/>
  <c r="Y401" i="54" a="1"/>
  <c r="Y401" i="54" s="1"/>
  <c r="Y365" i="54" a="1"/>
  <c r="Y365" i="54" s="1"/>
  <c r="Y375" i="54" a="1"/>
  <c r="Y375" i="54" s="1"/>
  <c r="Y385" i="54" a="1"/>
  <c r="Y385" i="54" s="1"/>
  <c r="Y397" i="54" a="1"/>
  <c r="Y397" i="54" s="1"/>
  <c r="J357" i="54"/>
  <c r="K357" i="54" s="1"/>
  <c r="J366" i="54"/>
  <c r="K366" i="54" s="1"/>
  <c r="J386" i="54"/>
  <c r="K386" i="54" s="1"/>
  <c r="J332" i="54"/>
  <c r="K332" i="54" s="1"/>
  <c r="J339" i="54"/>
  <c r="K339" i="54" s="1"/>
  <c r="J326" i="54"/>
  <c r="K326" i="54" s="1"/>
  <c r="AA376" i="54" a="1"/>
  <c r="AA376" i="54" s="1"/>
  <c r="AA384" i="54" a="1"/>
  <c r="AA384" i="54" s="1"/>
  <c r="AA394" i="54" a="1"/>
  <c r="AA394" i="54" s="1"/>
  <c r="AA402" i="54" a="1"/>
  <c r="AA402" i="54" s="1"/>
  <c r="AA360" i="54" a="1"/>
  <c r="AA360" i="54" s="1"/>
  <c r="AA368" i="54" a="1"/>
  <c r="AA368" i="54" s="1"/>
  <c r="AA377" i="54" a="1"/>
  <c r="AA377" i="54" s="1"/>
  <c r="AA385" i="54" a="1"/>
  <c r="AA385" i="54" s="1"/>
  <c r="AA395" i="54" a="1"/>
  <c r="AA395" i="54" s="1"/>
  <c r="AA403" i="54" a="1"/>
  <c r="AA403" i="54" s="1"/>
  <c r="AA361" i="54" a="1"/>
  <c r="AA361" i="54" s="1"/>
  <c r="AA369" i="54" a="1"/>
  <c r="AA369" i="54" s="1"/>
  <c r="AA386" i="54" a="1"/>
  <c r="AA386" i="54" s="1"/>
  <c r="AA356" i="54" a="1"/>
  <c r="AA356" i="54" s="1"/>
  <c r="AA378" i="54" a="1"/>
  <c r="AA378" i="54" s="1"/>
  <c r="AA387" i="54" a="1"/>
  <c r="AA387" i="54" s="1"/>
  <c r="AA396" i="54" a="1"/>
  <c r="AA396" i="54" s="1"/>
  <c r="AA362" i="54" a="1"/>
  <c r="AA362" i="54" s="1"/>
  <c r="AA370" i="54" a="1"/>
  <c r="AA370" i="54" s="1"/>
  <c r="AA379" i="54" a="1"/>
  <c r="AA379" i="54" s="1"/>
  <c r="AA380" i="54" a="1"/>
  <c r="AA380" i="54" s="1"/>
  <c r="AA388" i="54" a="1"/>
  <c r="AA388" i="54" s="1"/>
  <c r="AA397" i="54" a="1"/>
  <c r="AA397" i="54" s="1"/>
  <c r="AA372" i="54" a="1"/>
  <c r="AA372" i="54" s="1"/>
  <c r="AA381" i="54" a="1"/>
  <c r="AA381" i="54" s="1"/>
  <c r="AA389" i="54" a="1"/>
  <c r="AA389" i="54" s="1"/>
  <c r="AA398" i="54" a="1"/>
  <c r="AA398" i="54" s="1"/>
  <c r="AA364" i="54" a="1"/>
  <c r="AA364" i="54" s="1"/>
  <c r="AA373" i="54" a="1"/>
  <c r="AA373" i="54" s="1"/>
  <c r="AA365" i="54" a="1"/>
  <c r="AA365" i="54" s="1"/>
  <c r="AA382" i="54" a="1"/>
  <c r="AA382" i="54" s="1"/>
  <c r="AA390" i="54" a="1"/>
  <c r="AA390" i="54" s="1"/>
  <c r="AA399" i="54" a="1"/>
  <c r="AA399" i="54" s="1"/>
  <c r="AA357" i="54" a="1"/>
  <c r="AA357" i="54" s="1"/>
  <c r="AA366" i="54" a="1"/>
  <c r="AA366" i="54" s="1"/>
  <c r="AA374" i="54" a="1"/>
  <c r="AA374" i="54" s="1"/>
  <c r="AA391" i="54" a="1"/>
  <c r="AA391" i="54" s="1"/>
  <c r="AA400" i="54" a="1"/>
  <c r="AA400" i="54" s="1"/>
  <c r="AA358" i="54" a="1"/>
  <c r="AA358" i="54" s="1"/>
  <c r="AA375" i="54" a="1"/>
  <c r="AA375" i="54" s="1"/>
  <c r="AA383" i="54" a="1"/>
  <c r="AA383" i="54" s="1"/>
  <c r="AA392" i="54" a="1"/>
  <c r="AA392" i="54" s="1"/>
  <c r="AA401" i="54" a="1"/>
  <c r="AA401" i="54" s="1"/>
  <c r="AA359" i="54" a="1"/>
  <c r="AA359" i="54" s="1"/>
  <c r="AA367" i="54" a="1"/>
  <c r="AA367" i="54" s="1"/>
  <c r="AA393" i="54" a="1"/>
  <c r="AA393" i="54" s="1"/>
  <c r="AA363" i="54" a="1"/>
  <c r="AA363" i="54" s="1"/>
  <c r="AA371" i="54" a="1"/>
  <c r="AA371" i="54" s="1"/>
  <c r="J395" i="54"/>
  <c r="K395" i="54" s="1"/>
  <c r="J356" i="54"/>
  <c r="K356" i="54" s="1"/>
  <c r="E351" i="54"/>
  <c r="E352" i="54" s="1"/>
  <c r="J375" i="54"/>
  <c r="K375" i="54" s="1"/>
  <c r="J321" i="54"/>
  <c r="K321" i="54" s="1"/>
  <c r="J329" i="54"/>
  <c r="K329" i="54" s="1"/>
  <c r="J308" i="54"/>
  <c r="K308" i="54" s="1"/>
  <c r="Z364" i="54" a="1"/>
  <c r="Z364" i="54" s="1"/>
  <c r="Z375" i="54" a="1"/>
  <c r="Z375" i="54" s="1"/>
  <c r="Z385" i="54" a="1"/>
  <c r="Z385" i="54" s="1"/>
  <c r="Z397" i="54" a="1"/>
  <c r="Z397" i="54" s="1"/>
  <c r="Z365" i="54" a="1"/>
  <c r="Z365" i="54" s="1"/>
  <c r="Z376" i="54" a="1"/>
  <c r="Z376" i="54" s="1"/>
  <c r="Z386" i="54" a="1"/>
  <c r="Z386" i="54" s="1"/>
  <c r="Z366" i="54" a="1"/>
  <c r="Z366" i="54" s="1"/>
  <c r="Z387" i="54" a="1"/>
  <c r="Z387" i="54" s="1"/>
  <c r="Z398" i="54" a="1"/>
  <c r="Z398" i="54" s="1"/>
  <c r="Z377" i="54" a="1"/>
  <c r="Z377" i="54" s="1"/>
  <c r="Z388" i="54" a="1"/>
  <c r="Z388" i="54" s="1"/>
  <c r="Z357" i="54" a="1"/>
  <c r="Z357" i="54" s="1"/>
  <c r="Z367" i="54" a="1"/>
  <c r="Z367" i="54" s="1"/>
  <c r="Z389" i="54" a="1"/>
  <c r="Z389" i="54" s="1"/>
  <c r="Z399" i="54" a="1"/>
  <c r="Z399" i="54" s="1"/>
  <c r="Z358" i="54" a="1"/>
  <c r="Z358" i="54" s="1"/>
  <c r="Z368" i="54" a="1"/>
  <c r="Z368" i="54" s="1"/>
  <c r="Z378" i="54" a="1"/>
  <c r="Z378" i="54" s="1"/>
  <c r="Z390" i="54" a="1"/>
  <c r="Z390" i="54" s="1"/>
  <c r="Z400" i="54" a="1"/>
  <c r="Z400" i="54" s="1"/>
  <c r="Z359" i="54" a="1"/>
  <c r="Z359" i="54" s="1"/>
  <c r="Z369" i="54" a="1"/>
  <c r="Z369" i="54" s="1"/>
  <c r="Z379" i="54" a="1"/>
  <c r="Z379" i="54" s="1"/>
  <c r="Z401" i="54" a="1"/>
  <c r="Z401" i="54" s="1"/>
  <c r="Z360" i="54" a="1"/>
  <c r="Z360" i="54" s="1"/>
  <c r="Z370" i="54" a="1"/>
  <c r="Z370" i="54" s="1"/>
  <c r="Z381" i="54" a="1"/>
  <c r="Z381" i="54" s="1"/>
  <c r="Z403" i="54" a="1"/>
  <c r="Z403" i="54" s="1"/>
  <c r="Z361" i="54" a="1"/>
  <c r="Z361" i="54" s="1"/>
  <c r="Z382" i="54" a="1"/>
  <c r="Z382" i="54" s="1"/>
  <c r="Z392" i="54" a="1"/>
  <c r="Z392" i="54" s="1"/>
  <c r="Z356" i="54" a="1"/>
  <c r="Z356" i="54" s="1"/>
  <c r="Z362" i="54" a="1"/>
  <c r="Z362" i="54" s="1"/>
  <c r="Z371" i="54" a="1"/>
  <c r="Z371" i="54" s="1"/>
  <c r="Z383" i="54" a="1"/>
  <c r="Z383" i="54" s="1"/>
  <c r="Z393" i="54" a="1"/>
  <c r="Z393" i="54" s="1"/>
  <c r="Z372" i="54" a="1"/>
  <c r="Z372" i="54" s="1"/>
  <c r="Z394" i="54" a="1"/>
  <c r="Z394" i="54" s="1"/>
  <c r="Z363" i="54" a="1"/>
  <c r="Z363" i="54" s="1"/>
  <c r="Z373" i="54" a="1"/>
  <c r="Z373" i="54" s="1"/>
  <c r="Z384" i="54" a="1"/>
  <c r="Z384" i="54" s="1"/>
  <c r="Z395" i="54" a="1"/>
  <c r="Z395" i="54" s="1"/>
  <c r="Z374" i="54" a="1"/>
  <c r="Z374" i="54" s="1"/>
  <c r="Z396" i="54" a="1"/>
  <c r="Z396" i="54" s="1"/>
  <c r="Z380" i="54" a="1"/>
  <c r="Z380" i="54" s="1"/>
  <c r="Z391" i="54" a="1"/>
  <c r="Z391" i="54" s="1"/>
  <c r="Z402" i="54" a="1"/>
  <c r="Z402" i="54" s="1"/>
  <c r="J376" i="54"/>
  <c r="K376" i="54" s="1"/>
  <c r="J384" i="54"/>
  <c r="K384" i="54" s="1"/>
  <c r="J365" i="54"/>
  <c r="K365" i="54" s="1"/>
  <c r="J318" i="54"/>
  <c r="K318" i="54" s="1"/>
  <c r="J299" i="54"/>
  <c r="K299" i="54" s="1"/>
  <c r="Z303" i="54" a="1"/>
  <c r="Z303" i="54" s="1"/>
  <c r="Z328" i="54" a="1"/>
  <c r="Z328" i="54" s="1"/>
  <c r="Z340" i="54" a="1"/>
  <c r="Z340" i="54" s="1"/>
  <c r="Z304" i="54" a="1"/>
  <c r="Z304" i="54" s="1"/>
  <c r="Z316" i="54" a="1"/>
  <c r="Z316" i="54" s="1"/>
  <c r="Z329" i="54" a="1"/>
  <c r="Z329" i="54" s="1"/>
  <c r="Z341" i="54" a="1"/>
  <c r="Z341" i="54" s="1"/>
  <c r="Z305" i="54" a="1"/>
  <c r="Z305" i="54" s="1"/>
  <c r="Z317" i="54" a="1"/>
  <c r="Z317" i="54" s="1"/>
  <c r="Z294" i="54" a="1"/>
  <c r="Z294" i="54" s="1"/>
  <c r="Z306" i="54" a="1"/>
  <c r="Z306" i="54" s="1"/>
  <c r="Z318" i="54" a="1"/>
  <c r="Z318" i="54" s="1"/>
  <c r="Z330" i="54" a="1"/>
  <c r="Z330" i="54" s="1"/>
  <c r="Z307" i="54" a="1"/>
  <c r="Z307" i="54" s="1"/>
  <c r="Z319" i="54" a="1"/>
  <c r="Z319" i="54" s="1"/>
  <c r="Z331" i="54" a="1"/>
  <c r="Z331" i="54" s="1"/>
  <c r="Z295" i="54" a="1"/>
  <c r="Z295" i="54" s="1"/>
  <c r="Z308" i="54" a="1"/>
  <c r="Z308" i="54" s="1"/>
  <c r="Z320" i="54" a="1"/>
  <c r="Z320" i="54" s="1"/>
  <c r="Z332" i="54" a="1"/>
  <c r="Z332" i="54" s="1"/>
  <c r="Z296" i="54" a="1"/>
  <c r="Z296" i="54" s="1"/>
  <c r="Z321" i="54" a="1"/>
  <c r="Z321" i="54" s="1"/>
  <c r="Z333" i="54" a="1"/>
  <c r="Z333" i="54" s="1"/>
  <c r="Z297" i="54" a="1"/>
  <c r="Z297" i="54" s="1"/>
  <c r="Z309" i="54" a="1"/>
  <c r="Z309" i="54" s="1"/>
  <c r="Z322" i="54" a="1"/>
  <c r="Z322" i="54" s="1"/>
  <c r="Z334" i="54" a="1"/>
  <c r="Z334" i="54" s="1"/>
  <c r="Z298" i="54" a="1"/>
  <c r="Z298" i="54" s="1"/>
  <c r="Z310" i="54" a="1"/>
  <c r="Z310" i="54" s="1"/>
  <c r="Z335" i="54" a="1"/>
  <c r="Z335" i="54" s="1"/>
  <c r="Z299" i="54" a="1"/>
  <c r="Z299" i="54" s="1"/>
  <c r="Z311" i="54" a="1"/>
  <c r="Z311" i="54" s="1"/>
  <c r="Z323" i="54" a="1"/>
  <c r="Z323" i="54" s="1"/>
  <c r="Z336" i="54" a="1"/>
  <c r="Z336" i="54" s="1"/>
  <c r="Z300" i="54" a="1"/>
  <c r="Z300" i="54" s="1"/>
  <c r="Z312" i="54" a="1"/>
  <c r="Z312" i="54" s="1"/>
  <c r="Z324" i="54" a="1"/>
  <c r="Z324" i="54" s="1"/>
  <c r="Z301" i="54" a="1"/>
  <c r="Z301" i="54" s="1"/>
  <c r="Z313" i="54" a="1"/>
  <c r="Z313" i="54" s="1"/>
  <c r="Z325" i="54" a="1"/>
  <c r="Z325" i="54" s="1"/>
  <c r="Z314" i="54" a="1"/>
  <c r="Z314" i="54" s="1"/>
  <c r="Z326" i="54" a="1"/>
  <c r="Z326" i="54" s="1"/>
  <c r="Z338" i="54" a="1"/>
  <c r="Z338" i="54" s="1"/>
  <c r="Z302" i="54" a="1"/>
  <c r="Z302" i="54" s="1"/>
  <c r="Z315" i="54" a="1"/>
  <c r="Z315" i="54" s="1"/>
  <c r="Z327" i="54" a="1"/>
  <c r="Z327" i="54" s="1"/>
  <c r="Z337" i="54" a="1"/>
  <c r="Z337" i="54" s="1"/>
  <c r="Z339" i="54" a="1"/>
  <c r="Z339" i="54" s="1"/>
  <c r="AC365" i="54" a="1"/>
  <c r="AC365" i="54" s="1"/>
  <c r="AC387" i="54" a="1"/>
  <c r="AC387" i="54" s="1"/>
  <c r="AC398" i="54" a="1"/>
  <c r="AC398" i="54" s="1"/>
  <c r="AC366" i="54" a="1"/>
  <c r="AC366" i="54" s="1"/>
  <c r="AC377" i="54" a="1"/>
  <c r="AC377" i="54" s="1"/>
  <c r="AC388" i="54" a="1"/>
  <c r="AC388" i="54" s="1"/>
  <c r="AC367" i="54" a="1"/>
  <c r="AC367" i="54" s="1"/>
  <c r="AC389" i="54" a="1"/>
  <c r="AC389" i="54" s="1"/>
  <c r="AC399" i="54" a="1"/>
  <c r="AC399" i="54" s="1"/>
  <c r="AC357" i="54" a="1"/>
  <c r="AC357" i="54" s="1"/>
  <c r="AC368" i="54" a="1"/>
  <c r="AC368" i="54" s="1"/>
  <c r="AC378" i="54" a="1"/>
  <c r="AC378" i="54" s="1"/>
  <c r="AC390" i="54" a="1"/>
  <c r="AC390" i="54" s="1"/>
  <c r="AC400" i="54" a="1"/>
  <c r="AC400" i="54" s="1"/>
  <c r="AC369" i="54" a="1"/>
  <c r="AC369" i="54" s="1"/>
  <c r="AC379" i="54" a="1"/>
  <c r="AC379" i="54" s="1"/>
  <c r="AC401" i="54" a="1"/>
  <c r="AC401" i="54" s="1"/>
  <c r="AC358" i="54" a="1"/>
  <c r="AC358" i="54" s="1"/>
  <c r="AC380" i="54" a="1"/>
  <c r="AC380" i="54" s="1"/>
  <c r="AC391" i="54" a="1"/>
  <c r="AC391" i="54" s="1"/>
  <c r="AC402" i="54" a="1"/>
  <c r="AC402" i="54" s="1"/>
  <c r="AC359" i="54" a="1"/>
  <c r="AC359" i="54" s="1"/>
  <c r="AC370" i="54" a="1"/>
  <c r="AC370" i="54" s="1"/>
  <c r="AC381" i="54" a="1"/>
  <c r="AC381" i="54" s="1"/>
  <c r="AC403" i="54" a="1"/>
  <c r="AC403" i="54" s="1"/>
  <c r="AC361" i="54" a="1"/>
  <c r="AC361" i="54" s="1"/>
  <c r="AC371" i="54" a="1"/>
  <c r="AC371" i="54" s="1"/>
  <c r="AC383" i="54" a="1"/>
  <c r="AC383" i="54" s="1"/>
  <c r="AC393" i="54" a="1"/>
  <c r="AC393" i="54" s="1"/>
  <c r="AC362" i="54" a="1"/>
  <c r="AC362" i="54" s="1"/>
  <c r="AC372" i="54" a="1"/>
  <c r="AC372" i="54" s="1"/>
  <c r="AC394" i="54" a="1"/>
  <c r="AC394" i="54" s="1"/>
  <c r="AC373" i="54" a="1"/>
  <c r="AC373" i="54" s="1"/>
  <c r="AC384" i="54" a="1"/>
  <c r="AC384" i="54" s="1"/>
  <c r="AC395" i="54" a="1"/>
  <c r="AC395" i="54" s="1"/>
  <c r="AC363" i="54" a="1"/>
  <c r="AC363" i="54" s="1"/>
  <c r="AC374" i="54" a="1"/>
  <c r="AC374" i="54" s="1"/>
  <c r="AC396" i="54" a="1"/>
  <c r="AC396" i="54" s="1"/>
  <c r="AC375" i="54" a="1"/>
  <c r="AC375" i="54" s="1"/>
  <c r="AC385" i="54" a="1"/>
  <c r="AC385" i="54" s="1"/>
  <c r="AC397" i="54" a="1"/>
  <c r="AC397" i="54" s="1"/>
  <c r="AC364" i="54" a="1"/>
  <c r="AC364" i="54" s="1"/>
  <c r="AC376" i="54" a="1"/>
  <c r="AC376" i="54" s="1"/>
  <c r="AC386" i="54" a="1"/>
  <c r="AC386" i="54" s="1"/>
  <c r="AC360" i="54" a="1"/>
  <c r="AC360" i="54" s="1"/>
  <c r="AC382" i="54" a="1"/>
  <c r="AC382" i="54" s="1"/>
  <c r="AC392" i="54" a="1"/>
  <c r="AC392" i="54" s="1"/>
  <c r="AC356" i="54" a="1"/>
  <c r="AC356" i="54" s="1"/>
  <c r="J394" i="54"/>
  <c r="K394" i="54" s="1"/>
  <c r="J364" i="54"/>
  <c r="K364" i="54" s="1"/>
  <c r="J403" i="54"/>
  <c r="K403" i="54" s="1"/>
  <c r="E289" i="54"/>
  <c r="E290" i="54" s="1"/>
  <c r="J294" i="54"/>
  <c r="K294" i="54" s="1"/>
  <c r="J307" i="54"/>
  <c r="K307" i="54" s="1"/>
  <c r="J323" i="54"/>
  <c r="K323" i="54" s="1"/>
  <c r="AC306" i="54" a="1"/>
  <c r="AC306" i="54" s="1"/>
  <c r="AC325" i="54" a="1"/>
  <c r="AC325" i="54" s="1"/>
  <c r="AC297" i="54" a="1"/>
  <c r="AC297" i="54" s="1"/>
  <c r="AC327" i="54" a="1"/>
  <c r="AC327" i="54" s="1"/>
  <c r="AC298" i="54" a="1"/>
  <c r="AC298" i="54" s="1"/>
  <c r="AC308" i="54" a="1"/>
  <c r="AC308" i="54" s="1"/>
  <c r="AC317" i="54" a="1"/>
  <c r="AC317" i="54" s="1"/>
  <c r="AC328" i="54" a="1"/>
  <c r="AC328" i="54" s="1"/>
  <c r="AC337" i="54" a="1"/>
  <c r="AC337" i="54" s="1"/>
  <c r="AC299" i="54" a="1"/>
  <c r="AC299" i="54" s="1"/>
  <c r="AC318" i="54" a="1"/>
  <c r="AC318" i="54" s="1"/>
  <c r="AC320" i="54" a="1"/>
  <c r="AC320" i="54" s="1"/>
  <c r="AC339" i="54" a="1"/>
  <c r="AC339" i="54" s="1"/>
  <c r="AC311" i="54" a="1"/>
  <c r="AC311" i="54" s="1"/>
  <c r="AC341" i="54" a="1"/>
  <c r="AC341" i="54" s="1"/>
  <c r="AC303" i="54" a="1"/>
  <c r="AC303" i="54" s="1"/>
  <c r="AC322" i="54" a="1"/>
  <c r="AC322" i="54" s="1"/>
  <c r="AC338" i="54" a="1"/>
  <c r="AC338" i="54" s="1"/>
  <c r="AC304" i="54" a="1"/>
  <c r="AC304" i="54" s="1"/>
  <c r="AC340" i="54" a="1"/>
  <c r="AC340" i="54" s="1"/>
  <c r="AC305" i="54" a="1"/>
  <c r="AC305" i="54" s="1"/>
  <c r="AC323" i="54" a="1"/>
  <c r="AC323" i="54" s="1"/>
  <c r="AC294" i="54" a="1"/>
  <c r="AC294" i="54" s="1"/>
  <c r="AC307" i="54" a="1"/>
  <c r="AC307" i="54" s="1"/>
  <c r="AC309" i="54" a="1"/>
  <c r="AC309" i="54" s="1"/>
  <c r="AC324" i="54" a="1"/>
  <c r="AC324" i="54" s="1"/>
  <c r="AC310" i="54" a="1"/>
  <c r="AC310" i="54" s="1"/>
  <c r="AC326" i="54" a="1"/>
  <c r="AC326" i="54" s="1"/>
  <c r="AC312" i="54" a="1"/>
  <c r="AC312" i="54" s="1"/>
  <c r="AC329" i="54" a="1"/>
  <c r="AC329" i="54" s="1"/>
  <c r="AC313" i="54" a="1"/>
  <c r="AC313" i="54" s="1"/>
  <c r="AC330" i="54" a="1"/>
  <c r="AC330" i="54" s="1"/>
  <c r="AC295" i="54" a="1"/>
  <c r="AC295" i="54" s="1"/>
  <c r="AC314" i="54" a="1"/>
  <c r="AC314" i="54" s="1"/>
  <c r="AC331" i="54" a="1"/>
  <c r="AC331" i="54" s="1"/>
  <c r="AC296" i="54" a="1"/>
  <c r="AC296" i="54" s="1"/>
  <c r="AC332" i="54" a="1"/>
  <c r="AC332" i="54" s="1"/>
  <c r="AC300" i="54" a="1"/>
  <c r="AC300" i="54" s="1"/>
  <c r="AC315" i="54" a="1"/>
  <c r="AC315" i="54" s="1"/>
  <c r="AC333" i="54" a="1"/>
  <c r="AC333" i="54" s="1"/>
  <c r="AC301" i="54" a="1"/>
  <c r="AC301" i="54" s="1"/>
  <c r="AC316" i="54" a="1"/>
  <c r="AC316" i="54" s="1"/>
  <c r="AC334" i="54" a="1"/>
  <c r="AC334" i="54" s="1"/>
  <c r="AC302" i="54" a="1"/>
  <c r="AC302" i="54" s="1"/>
  <c r="AC319" i="54" a="1"/>
  <c r="AC319" i="54" s="1"/>
  <c r="AC335" i="54" a="1"/>
  <c r="AC335" i="54" s="1"/>
  <c r="AC321" i="54" a="1"/>
  <c r="AC321" i="54" s="1"/>
  <c r="AC336" i="54" a="1"/>
  <c r="AC336" i="54" s="1"/>
  <c r="AB370" i="54" a="1"/>
  <c r="AB370" i="54" s="1"/>
  <c r="AB379" i="54" a="1"/>
  <c r="AB379" i="54" s="1"/>
  <c r="AB388" i="54" a="1"/>
  <c r="AB388" i="54" s="1"/>
  <c r="AB397" i="54" a="1"/>
  <c r="AB397" i="54" s="1"/>
  <c r="AB362" i="54" a="1"/>
  <c r="AB362" i="54" s="1"/>
  <c r="AB389" i="54" a="1"/>
  <c r="AB389" i="54" s="1"/>
  <c r="AB371" i="54" a="1"/>
  <c r="AB371" i="54" s="1"/>
  <c r="AB380" i="54" a="1"/>
  <c r="AB380" i="54" s="1"/>
  <c r="AB398" i="54" a="1"/>
  <c r="AB398" i="54" s="1"/>
  <c r="AB363" i="54" a="1"/>
  <c r="AB363" i="54" s="1"/>
  <c r="AB372" i="54" a="1"/>
  <c r="AB372" i="54" s="1"/>
  <c r="AB381" i="54" a="1"/>
  <c r="AB381" i="54" s="1"/>
  <c r="AB390" i="54" a="1"/>
  <c r="AB390" i="54" s="1"/>
  <c r="AB382" i="54" a="1"/>
  <c r="AB382" i="54" s="1"/>
  <c r="AB399" i="54" a="1"/>
  <c r="AB399" i="54" s="1"/>
  <c r="AB364" i="54" a="1"/>
  <c r="AB364" i="54" s="1"/>
  <c r="AB373" i="54" a="1"/>
  <c r="AB373" i="54" s="1"/>
  <c r="AB391" i="54" a="1"/>
  <c r="AB391" i="54" s="1"/>
  <c r="AB400" i="54" a="1"/>
  <c r="AB400" i="54" s="1"/>
  <c r="AB365" i="54" a="1"/>
  <c r="AB365" i="54" s="1"/>
  <c r="AB374" i="54" a="1"/>
  <c r="AB374" i="54" s="1"/>
  <c r="AB383" i="54" a="1"/>
  <c r="AB383" i="54" s="1"/>
  <c r="AB401" i="54" a="1"/>
  <c r="AB401" i="54" s="1"/>
  <c r="AB357" i="54" a="1"/>
  <c r="AB357" i="54" s="1"/>
  <c r="AB366" i="54" a="1"/>
  <c r="AB366" i="54" s="1"/>
  <c r="AB384" i="54" a="1"/>
  <c r="AB384" i="54" s="1"/>
  <c r="AB393" i="54" a="1"/>
  <c r="AB393" i="54" s="1"/>
  <c r="AB403" i="54" a="1"/>
  <c r="AB403" i="54" s="1"/>
  <c r="AB358" i="54" a="1"/>
  <c r="AB358" i="54" s="1"/>
  <c r="AB367" i="54" a="1"/>
  <c r="AB367" i="54" s="1"/>
  <c r="AB376" i="54" a="1"/>
  <c r="AB376" i="54" s="1"/>
  <c r="AB368" i="54" a="1"/>
  <c r="AB368" i="54" s="1"/>
  <c r="AB385" i="54" a="1"/>
  <c r="AB385" i="54" s="1"/>
  <c r="AB394" i="54" a="1"/>
  <c r="AB394" i="54" s="1"/>
  <c r="AB356" i="54" a="1"/>
  <c r="AB356" i="54" s="1"/>
  <c r="AB359" i="54" a="1"/>
  <c r="AB359" i="54" s="1"/>
  <c r="AB377" i="54" a="1"/>
  <c r="AB377" i="54" s="1"/>
  <c r="AB386" i="54" a="1"/>
  <c r="AB386" i="54" s="1"/>
  <c r="AB395" i="54" a="1"/>
  <c r="AB395" i="54" s="1"/>
  <c r="AB360" i="54" a="1"/>
  <c r="AB360" i="54" s="1"/>
  <c r="AB369" i="54" a="1"/>
  <c r="AB369" i="54" s="1"/>
  <c r="AB396" i="54" a="1"/>
  <c r="AB396" i="54" s="1"/>
  <c r="AB361" i="54" a="1"/>
  <c r="AB361" i="54" s="1"/>
  <c r="AB378" i="54" a="1"/>
  <c r="AB378" i="54" s="1"/>
  <c r="AB387" i="54" a="1"/>
  <c r="AB387" i="54" s="1"/>
  <c r="AB375" i="54" a="1"/>
  <c r="AB375" i="54" s="1"/>
  <c r="AB392" i="54" a="1"/>
  <c r="AB392" i="54" s="1"/>
  <c r="AB402" i="54" a="1"/>
  <c r="AB402" i="54" s="1"/>
  <c r="J374" i="54"/>
  <c r="K374" i="54" s="1"/>
  <c r="J401" i="54"/>
  <c r="K401" i="54" s="1"/>
  <c r="J393" i="54"/>
  <c r="K393" i="54" s="1"/>
  <c r="H289" i="54"/>
  <c r="H290" i="54" s="1"/>
  <c r="J336" i="54"/>
  <c r="K336" i="54" s="1"/>
  <c r="J338" i="54"/>
  <c r="K338" i="54" s="1"/>
  <c r="J296" i="54"/>
  <c r="K296" i="54" s="1"/>
  <c r="AB298" i="54" a="1"/>
  <c r="AB298" i="54" s="1"/>
  <c r="AB308" i="54" a="1"/>
  <c r="AB308" i="54" s="1"/>
  <c r="AB317" i="54" a="1"/>
  <c r="AB317" i="54" s="1"/>
  <c r="AB328" i="54" a="1"/>
  <c r="AB328" i="54" s="1"/>
  <c r="AB337" i="54" a="1"/>
  <c r="AB337" i="54" s="1"/>
  <c r="AB300" i="54" a="1"/>
  <c r="AB300" i="54" s="1"/>
  <c r="AB309" i="54" a="1"/>
  <c r="AB309" i="54" s="1"/>
  <c r="AB319" i="54" a="1"/>
  <c r="AB319" i="54" s="1"/>
  <c r="AB329" i="54" a="1"/>
  <c r="AB329" i="54" s="1"/>
  <c r="AB338" i="54" a="1"/>
  <c r="AB338" i="54" s="1"/>
  <c r="AB320" i="54" a="1"/>
  <c r="AB320" i="54" s="1"/>
  <c r="AB339" i="54" a="1"/>
  <c r="AB339" i="54" s="1"/>
  <c r="AB301" i="54" a="1"/>
  <c r="AB301" i="54" s="1"/>
  <c r="AB310" i="54" a="1"/>
  <c r="AB310" i="54" s="1"/>
  <c r="AB321" i="54" a="1"/>
  <c r="AB321" i="54" s="1"/>
  <c r="AB330" i="54" a="1"/>
  <c r="AB330" i="54" s="1"/>
  <c r="AB340" i="54" a="1"/>
  <c r="AB340" i="54" s="1"/>
  <c r="AB302" i="54" a="1"/>
  <c r="AB302" i="54" s="1"/>
  <c r="AB312" i="54" a="1"/>
  <c r="AB312" i="54" s="1"/>
  <c r="AB322" i="54" a="1"/>
  <c r="AB322" i="54" s="1"/>
  <c r="AB331" i="54" a="1"/>
  <c r="AB331" i="54" s="1"/>
  <c r="AB294" i="54" a="1"/>
  <c r="AB294" i="54" s="1"/>
  <c r="AB303" i="54" a="1"/>
  <c r="AB303" i="54" s="1"/>
  <c r="AB314" i="54" a="1"/>
  <c r="AB314" i="54" s="1"/>
  <c r="AB323" i="54" a="1"/>
  <c r="AB323" i="54" s="1"/>
  <c r="AB333" i="54" a="1"/>
  <c r="AB333" i="54" s="1"/>
  <c r="AB325" i="54" a="1"/>
  <c r="AB325" i="54" s="1"/>
  <c r="AB326" i="54" a="1"/>
  <c r="AB326" i="54" s="1"/>
  <c r="AB311" i="54" a="1"/>
  <c r="AB311" i="54" s="1"/>
  <c r="AB327" i="54" a="1"/>
  <c r="AB327" i="54" s="1"/>
  <c r="AB295" i="54" a="1"/>
  <c r="AB295" i="54" s="1"/>
  <c r="AB313" i="54" a="1"/>
  <c r="AB313" i="54" s="1"/>
  <c r="AB296" i="54" a="1"/>
  <c r="AB296" i="54" s="1"/>
  <c r="AB315" i="54" a="1"/>
  <c r="AB315" i="54" s="1"/>
  <c r="AB332" i="54" a="1"/>
  <c r="AB332" i="54" s="1"/>
  <c r="AB297" i="54" a="1"/>
  <c r="AB297" i="54" s="1"/>
  <c r="AB334" i="54" a="1"/>
  <c r="AB334" i="54" s="1"/>
  <c r="AB299" i="54" a="1"/>
  <c r="AB299" i="54" s="1"/>
  <c r="AB316" i="54" a="1"/>
  <c r="AB316" i="54" s="1"/>
  <c r="AB335" i="54" a="1"/>
  <c r="AB335" i="54" s="1"/>
  <c r="AB318" i="54" a="1"/>
  <c r="AB318" i="54" s="1"/>
  <c r="AB336" i="54" a="1"/>
  <c r="AB336" i="54" s="1"/>
  <c r="AB304" i="54" a="1"/>
  <c r="AB304" i="54" s="1"/>
  <c r="AB305" i="54" a="1"/>
  <c r="AB305" i="54" s="1"/>
  <c r="AB306" i="54" a="1"/>
  <c r="AB306" i="54" s="1"/>
  <c r="AB341" i="54" a="1"/>
  <c r="AB341" i="54" s="1"/>
  <c r="AB307" i="54" a="1"/>
  <c r="AB307" i="54" s="1"/>
  <c r="AB324" i="54" a="1"/>
  <c r="AB324" i="54" s="1"/>
  <c r="R297" i="54" a="1"/>
  <c r="R297" i="54" s="1"/>
  <c r="R327" i="54" a="1"/>
  <c r="R327" i="54" s="1"/>
  <c r="R337" i="54" a="1"/>
  <c r="R337" i="54" s="1"/>
  <c r="R298" i="54" a="1"/>
  <c r="R298" i="54" s="1"/>
  <c r="R308" i="54" a="1"/>
  <c r="R308" i="54" s="1"/>
  <c r="R317" i="54" a="1"/>
  <c r="R317" i="54" s="1"/>
  <c r="R328" i="54" a="1"/>
  <c r="R328" i="54" s="1"/>
  <c r="R299" i="54" a="1"/>
  <c r="R299" i="54" s="1"/>
  <c r="R318" i="54" a="1"/>
  <c r="R318" i="54" s="1"/>
  <c r="R338" i="54" a="1"/>
  <c r="R338" i="54" s="1"/>
  <c r="R300" i="54" a="1"/>
  <c r="R300" i="54" s="1"/>
  <c r="R309" i="54" a="1"/>
  <c r="R309" i="54" s="1"/>
  <c r="R319" i="54" a="1"/>
  <c r="R319" i="54" s="1"/>
  <c r="R329" i="54" a="1"/>
  <c r="R329" i="54" s="1"/>
  <c r="R339" i="54" a="1"/>
  <c r="R339" i="54" s="1"/>
  <c r="R320" i="54" a="1"/>
  <c r="R320" i="54" s="1"/>
  <c r="R340" i="54" a="1"/>
  <c r="R340" i="54" s="1"/>
  <c r="R301" i="54" a="1"/>
  <c r="R301" i="54" s="1"/>
  <c r="R310" i="54" a="1"/>
  <c r="R310" i="54" s="1"/>
  <c r="R321" i="54" a="1"/>
  <c r="R321" i="54" s="1"/>
  <c r="R330" i="54" a="1"/>
  <c r="R330" i="54" s="1"/>
  <c r="R341" i="54" a="1"/>
  <c r="R341" i="54" s="1"/>
  <c r="R311" i="54" a="1"/>
  <c r="R311" i="54" s="1"/>
  <c r="R294" i="54" a="1"/>
  <c r="R294" i="54" s="1"/>
  <c r="R302" i="54" a="1"/>
  <c r="R302" i="54" s="1"/>
  <c r="R312" i="54" a="1"/>
  <c r="R312" i="54" s="1"/>
  <c r="R322" i="54" a="1"/>
  <c r="R322" i="54" s="1"/>
  <c r="R331" i="54" a="1"/>
  <c r="R331" i="54" s="1"/>
  <c r="R313" i="54" a="1"/>
  <c r="R313" i="54" s="1"/>
  <c r="R332" i="54" a="1"/>
  <c r="R332" i="54" s="1"/>
  <c r="R303" i="54" a="1"/>
  <c r="R303" i="54" s="1"/>
  <c r="R314" i="54" a="1"/>
  <c r="R314" i="54" s="1"/>
  <c r="R323" i="54" a="1"/>
  <c r="R323" i="54" s="1"/>
  <c r="R333" i="54" a="1"/>
  <c r="R333" i="54" s="1"/>
  <c r="R304" i="54" a="1"/>
  <c r="R304" i="54" s="1"/>
  <c r="R334" i="54" a="1"/>
  <c r="R334" i="54" s="1"/>
  <c r="R306" i="54" a="1"/>
  <c r="R306" i="54" s="1"/>
  <c r="R325" i="54" a="1"/>
  <c r="R325" i="54" s="1"/>
  <c r="R324" i="54" a="1"/>
  <c r="R324" i="54" s="1"/>
  <c r="R326" i="54" a="1"/>
  <c r="R326" i="54" s="1"/>
  <c r="R335" i="54" a="1"/>
  <c r="R335" i="54" s="1"/>
  <c r="R336" i="54" a="1"/>
  <c r="R336" i="54" s="1"/>
  <c r="R295" i="54" a="1"/>
  <c r="R295" i="54" s="1"/>
  <c r="R296" i="54" a="1"/>
  <c r="R296" i="54" s="1"/>
  <c r="R305" i="54" a="1"/>
  <c r="R305" i="54" s="1"/>
  <c r="R316" i="54" a="1"/>
  <c r="R316" i="54" s="1"/>
  <c r="R307" i="54" a="1"/>
  <c r="R307" i="54" s="1"/>
  <c r="R315" i="54" a="1"/>
  <c r="R315" i="54" s="1"/>
  <c r="H351" i="54"/>
  <c r="H352" i="54" s="1"/>
  <c r="J391" i="54"/>
  <c r="K391" i="54" s="1"/>
  <c r="J381" i="54"/>
  <c r="K381" i="54" s="1"/>
  <c r="J402" i="54"/>
  <c r="K402" i="54" s="1"/>
  <c r="Q244" i="54" a="1"/>
  <c r="Q244" i="54" s="1"/>
  <c r="Q253" i="54" a="1"/>
  <c r="Q253" i="54" s="1"/>
  <c r="Q236" i="54" a="1"/>
  <c r="Q236" i="54" s="1"/>
  <c r="Q245" i="54" a="1"/>
  <c r="Q245" i="54" s="1"/>
  <c r="Q262" i="54" a="1"/>
  <c r="Q262" i="54" s="1"/>
  <c r="Q270" i="54" a="1"/>
  <c r="Q270" i="54" s="1"/>
  <c r="Q278" i="54" a="1"/>
  <c r="Q278" i="54" s="1"/>
  <c r="Q237" i="54" a="1"/>
  <c r="Q237" i="54" s="1"/>
  <c r="Q254" i="54" a="1"/>
  <c r="Q254" i="54" s="1"/>
  <c r="Q279" i="54" a="1"/>
  <c r="Q279" i="54" s="1"/>
  <c r="Q238" i="54" a="1"/>
  <c r="Q238" i="54" s="1"/>
  <c r="Q246" i="54" a="1"/>
  <c r="Q246" i="54" s="1"/>
  <c r="Q263" i="54" a="1"/>
  <c r="Q263" i="54" s="1"/>
  <c r="Q271" i="54" a="1"/>
  <c r="Q271" i="54" s="1"/>
  <c r="Q232" i="54" a="1"/>
  <c r="Q232" i="54" s="1"/>
  <c r="Q255" i="54" a="1"/>
  <c r="Q255" i="54" s="1"/>
  <c r="Q272" i="54" a="1"/>
  <c r="Q272" i="54" s="1"/>
  <c r="Q239" i="54" a="1"/>
  <c r="Q239" i="54" s="1"/>
  <c r="Q247" i="54" a="1"/>
  <c r="Q247" i="54" s="1"/>
  <c r="Q264" i="54" a="1"/>
  <c r="Q264" i="54" s="1"/>
  <c r="Q273" i="54" a="1"/>
  <c r="Q273" i="54" s="1"/>
  <c r="Q256" i="54" a="1"/>
  <c r="Q256" i="54" s="1"/>
  <c r="Q265" i="54" a="1"/>
  <c r="Q265" i="54" s="1"/>
  <c r="Q240" i="54" a="1"/>
  <c r="Q240" i="54" s="1"/>
  <c r="Q248" i="54" a="1"/>
  <c r="Q248" i="54" s="1"/>
  <c r="Q257" i="54" a="1"/>
  <c r="Q257" i="54" s="1"/>
  <c r="Q266" i="54" a="1"/>
  <c r="Q266" i="54" s="1"/>
  <c r="Q274" i="54" a="1"/>
  <c r="Q274" i="54" s="1"/>
  <c r="Q258" i="54" a="1"/>
  <c r="Q258" i="54" s="1"/>
  <c r="Q233" i="54" a="1"/>
  <c r="Q233" i="54" s="1"/>
  <c r="Q241" i="54" a="1"/>
  <c r="Q241" i="54" s="1"/>
  <c r="Q249" i="54" a="1"/>
  <c r="Q249" i="54" s="1"/>
  <c r="Q259" i="54" a="1"/>
  <c r="Q259" i="54" s="1"/>
  <c r="Q267" i="54" a="1"/>
  <c r="Q267" i="54" s="1"/>
  <c r="Q275" i="54" a="1"/>
  <c r="Q275" i="54" s="1"/>
  <c r="Q277" i="54" a="1"/>
  <c r="Q277" i="54" s="1"/>
  <c r="Q242" i="54" a="1"/>
  <c r="Q242" i="54" s="1"/>
  <c r="Q243" i="54" a="1"/>
  <c r="Q243" i="54" s="1"/>
  <c r="Q276" i="54" a="1"/>
  <c r="Q276" i="54" s="1"/>
  <c r="Q250" i="54" a="1"/>
  <c r="Q250" i="54" s="1"/>
  <c r="Q251" i="54" a="1"/>
  <c r="Q251" i="54" s="1"/>
  <c r="Q252" i="54" a="1"/>
  <c r="Q252" i="54" s="1"/>
  <c r="Q260" i="54" a="1"/>
  <c r="Q260" i="54" s="1"/>
  <c r="Q235" i="54" a="1"/>
  <c r="Q235" i="54" s="1"/>
  <c r="Q261" i="54" a="1"/>
  <c r="Q261" i="54" s="1"/>
  <c r="Q268" i="54" a="1"/>
  <c r="Q268" i="54" s="1"/>
  <c r="Q269" i="54" a="1"/>
  <c r="Q269" i="54" s="1"/>
  <c r="Q234" i="54" a="1"/>
  <c r="Q234" i="54" s="1"/>
  <c r="R247" i="54" a="1"/>
  <c r="R247" i="54" s="1"/>
  <c r="R256" i="54" a="1"/>
  <c r="R256" i="54" s="1"/>
  <c r="R265" i="54" a="1"/>
  <c r="R265" i="54" s="1"/>
  <c r="R239" i="54" a="1"/>
  <c r="R239" i="54" s="1"/>
  <c r="R266" i="54" a="1"/>
  <c r="R266" i="54" s="1"/>
  <c r="R275" i="54" a="1"/>
  <c r="R275" i="54" s="1"/>
  <c r="R248" i="54" a="1"/>
  <c r="R248" i="54" s="1"/>
  <c r="R257" i="54" a="1"/>
  <c r="R257" i="54" s="1"/>
  <c r="R240" i="54" a="1"/>
  <c r="R240" i="54" s="1"/>
  <c r="R249" i="54" a="1"/>
  <c r="R249" i="54" s="1"/>
  <c r="R258" i="54" a="1"/>
  <c r="R258" i="54" s="1"/>
  <c r="R267" i="54" a="1"/>
  <c r="R267" i="54" s="1"/>
  <c r="R276" i="54" a="1"/>
  <c r="R276" i="54" s="1"/>
  <c r="R259" i="54" a="1"/>
  <c r="R259" i="54" s="1"/>
  <c r="R268" i="54" a="1"/>
  <c r="R268" i="54" s="1"/>
  <c r="R277" i="54" a="1"/>
  <c r="R277" i="54" s="1"/>
  <c r="R241" i="54" a="1"/>
  <c r="R241" i="54" s="1"/>
  <c r="R250" i="54" a="1"/>
  <c r="R250" i="54" s="1"/>
  <c r="R233" i="54" a="1"/>
  <c r="R233" i="54" s="1"/>
  <c r="R242" i="54" a="1"/>
  <c r="R242" i="54" s="1"/>
  <c r="R251" i="54" a="1"/>
  <c r="R251" i="54" s="1"/>
  <c r="R260" i="54" a="1"/>
  <c r="R260" i="54" s="1"/>
  <c r="R269" i="54" a="1"/>
  <c r="R269" i="54" s="1"/>
  <c r="R278" i="54" a="1"/>
  <c r="R278" i="54" s="1"/>
  <c r="R245" i="54" a="1"/>
  <c r="R245" i="54" s="1"/>
  <c r="R252" i="54" a="1"/>
  <c r="R252" i="54" s="1"/>
  <c r="R270" i="54" a="1"/>
  <c r="R270" i="54" s="1"/>
  <c r="R279" i="54" a="1"/>
  <c r="R279" i="54" s="1"/>
  <c r="R272" i="54" a="1"/>
  <c r="R272" i="54" s="1"/>
  <c r="R234" i="54" a="1"/>
  <c r="R234" i="54" s="1"/>
  <c r="R243" i="54" a="1"/>
  <c r="R243" i="54" s="1"/>
  <c r="R261" i="54" a="1"/>
  <c r="R261" i="54" s="1"/>
  <c r="R232" i="54" a="1"/>
  <c r="R232" i="54" s="1"/>
  <c r="R235" i="54" a="1"/>
  <c r="R235" i="54" s="1"/>
  <c r="R244" i="54" a="1"/>
  <c r="R244" i="54" s="1"/>
  <c r="R253" i="54" a="1"/>
  <c r="R253" i="54" s="1"/>
  <c r="R271" i="54" a="1"/>
  <c r="R271" i="54" s="1"/>
  <c r="R262" i="54" a="1"/>
  <c r="R262" i="54" s="1"/>
  <c r="R254" i="54" a="1"/>
  <c r="R254" i="54" s="1"/>
  <c r="R238" i="54" a="1"/>
  <c r="R238" i="54" s="1"/>
  <c r="R255" i="54" a="1"/>
  <c r="R255" i="54" s="1"/>
  <c r="R263" i="54" a="1"/>
  <c r="R263" i="54" s="1"/>
  <c r="R246" i="54" a="1"/>
  <c r="R246" i="54" s="1"/>
  <c r="R264" i="54" a="1"/>
  <c r="R264" i="54" s="1"/>
  <c r="R273" i="54" a="1"/>
  <c r="R273" i="54" s="1"/>
  <c r="R236" i="54" a="1"/>
  <c r="R236" i="54" s="1"/>
  <c r="R274" i="54" a="1"/>
  <c r="R274" i="54" s="1"/>
  <c r="R237" i="54" a="1"/>
  <c r="R237" i="54" s="1"/>
  <c r="S269" i="54" a="1"/>
  <c r="S269" i="54" s="1"/>
  <c r="S277" i="54" a="1"/>
  <c r="S277" i="54" s="1"/>
  <c r="S236" i="54" a="1"/>
  <c r="S236" i="54" s="1"/>
  <c r="S245" i="54" a="1"/>
  <c r="S245" i="54" s="1"/>
  <c r="S253" i="54" a="1"/>
  <c r="S253" i="54" s="1"/>
  <c r="S261" i="54" a="1"/>
  <c r="S261" i="54" s="1"/>
  <c r="S237" i="54" a="1"/>
  <c r="S237" i="54" s="1"/>
  <c r="S262" i="54" a="1"/>
  <c r="S262" i="54" s="1"/>
  <c r="S270" i="54" a="1"/>
  <c r="S270" i="54" s="1"/>
  <c r="S278" i="54" a="1"/>
  <c r="S278" i="54" s="1"/>
  <c r="S246" i="54" a="1"/>
  <c r="S246" i="54" s="1"/>
  <c r="S254" i="54" a="1"/>
  <c r="S254" i="54" s="1"/>
  <c r="S279" i="54" a="1"/>
  <c r="S279" i="54" s="1"/>
  <c r="S238" i="54" a="1"/>
  <c r="S238" i="54" s="1"/>
  <c r="S255" i="54" a="1"/>
  <c r="S255" i="54" s="1"/>
  <c r="S263" i="54" a="1"/>
  <c r="S263" i="54" s="1"/>
  <c r="S271" i="54" a="1"/>
  <c r="S271" i="54" s="1"/>
  <c r="S233" i="54" a="1"/>
  <c r="S233" i="54" s="1"/>
  <c r="S247" i="54" a="1"/>
  <c r="S247" i="54" s="1"/>
  <c r="S272" i="54" a="1"/>
  <c r="S272" i="54" s="1"/>
  <c r="S232" i="54" a="1"/>
  <c r="S232" i="54" s="1"/>
  <c r="S250" i="54" a="1"/>
  <c r="S250" i="54" s="1"/>
  <c r="S239" i="54" a="1"/>
  <c r="S239" i="54" s="1"/>
  <c r="S248" i="54" a="1"/>
  <c r="S248" i="54" s="1"/>
  <c r="S256" i="54" a="1"/>
  <c r="S256" i="54" s="1"/>
  <c r="S264" i="54" a="1"/>
  <c r="S264" i="54" s="1"/>
  <c r="S265" i="54" a="1"/>
  <c r="S265" i="54" s="1"/>
  <c r="S273" i="54" a="1"/>
  <c r="S273" i="54" s="1"/>
  <c r="S240" i="54" a="1"/>
  <c r="S240" i="54" s="1"/>
  <c r="S249" i="54" a="1"/>
  <c r="S249" i="54" s="1"/>
  <c r="S257" i="54" a="1"/>
  <c r="S257" i="54" s="1"/>
  <c r="S241" i="54" a="1"/>
  <c r="S241" i="54" s="1"/>
  <c r="S258" i="54" a="1"/>
  <c r="S258" i="54" s="1"/>
  <c r="S266" i="54" a="1"/>
  <c r="S266" i="54" s="1"/>
  <c r="S274" i="54" a="1"/>
  <c r="S274" i="54" s="1"/>
  <c r="S260" i="54" a="1"/>
  <c r="S260" i="54" s="1"/>
  <c r="S267" i="54" a="1"/>
  <c r="S267" i="54" s="1"/>
  <c r="S234" i="54" a="1"/>
  <c r="S234" i="54" s="1"/>
  <c r="S268" i="54" a="1"/>
  <c r="S268" i="54" s="1"/>
  <c r="S235" i="54" a="1"/>
  <c r="S235" i="54" s="1"/>
  <c r="S275" i="54" a="1"/>
  <c r="S275" i="54" s="1"/>
  <c r="S242" i="54" a="1"/>
  <c r="S242" i="54" s="1"/>
  <c r="S276" i="54" a="1"/>
  <c r="S276" i="54" s="1"/>
  <c r="S243" i="54" a="1"/>
  <c r="S243" i="54" s="1"/>
  <c r="S252" i="54" a="1"/>
  <c r="S252" i="54" s="1"/>
  <c r="S244" i="54" a="1"/>
  <c r="S244" i="54" s="1"/>
  <c r="S259" i="54" a="1"/>
  <c r="S259" i="54" s="1"/>
  <c r="S251" i="54" a="1"/>
  <c r="S251" i="54" s="1"/>
  <c r="O238" i="54" a="1"/>
  <c r="O238" i="54" s="1"/>
  <c r="O246" i="54" a="1"/>
  <c r="O246" i="54" s="1"/>
  <c r="O254" i="54" a="1"/>
  <c r="O254" i="54" s="1"/>
  <c r="O262" i="54" a="1"/>
  <c r="O262" i="54" s="1"/>
  <c r="O271" i="54" a="1"/>
  <c r="O271" i="54" s="1"/>
  <c r="O232" i="54" a="1"/>
  <c r="O232" i="54" s="1"/>
  <c r="O239" i="54" a="1"/>
  <c r="O239" i="54" s="1"/>
  <c r="O247" i="54" a="1"/>
  <c r="O247" i="54" s="1"/>
  <c r="O255" i="54" a="1"/>
  <c r="O255" i="54" s="1"/>
  <c r="O263" i="54" a="1"/>
  <c r="O263" i="54" s="1"/>
  <c r="O272" i="54" a="1"/>
  <c r="O272" i="54" s="1"/>
  <c r="O264" i="54" a="1"/>
  <c r="O264" i="54" s="1"/>
  <c r="O273" i="54" a="1"/>
  <c r="O273" i="54" s="1"/>
  <c r="O240" i="54" a="1"/>
  <c r="O240" i="54" s="1"/>
  <c r="O248" i="54" a="1"/>
  <c r="O248" i="54" s="1"/>
  <c r="O256" i="54" a="1"/>
  <c r="O256" i="54" s="1"/>
  <c r="O257" i="54" a="1"/>
  <c r="O257" i="54" s="1"/>
  <c r="O265" i="54" a="1"/>
  <c r="O265" i="54" s="1"/>
  <c r="O274" i="54" a="1"/>
  <c r="O274" i="54" s="1"/>
  <c r="O241" i="54" a="1"/>
  <c r="O241" i="54" s="1"/>
  <c r="O249" i="54" a="1"/>
  <c r="O249" i="54" s="1"/>
  <c r="O266" i="54" a="1"/>
  <c r="O266" i="54" s="1"/>
  <c r="O233" i="54" a="1"/>
  <c r="O233" i="54" s="1"/>
  <c r="O250" i="54" a="1"/>
  <c r="O250" i="54" s="1"/>
  <c r="O258" i="54" a="1"/>
  <c r="O258" i="54" s="1"/>
  <c r="O275" i="54" a="1"/>
  <c r="O275" i="54" s="1"/>
  <c r="O242" i="54" a="1"/>
  <c r="O242" i="54" s="1"/>
  <c r="O259" i="54" a="1"/>
  <c r="O259" i="54" s="1"/>
  <c r="O267" i="54" a="1"/>
  <c r="O267" i="54" s="1"/>
  <c r="O276" i="54" a="1"/>
  <c r="O276" i="54" s="1"/>
  <c r="O234" i="54" a="1"/>
  <c r="O234" i="54" s="1"/>
  <c r="O243" i="54" a="1"/>
  <c r="O243" i="54" s="1"/>
  <c r="O251" i="54" a="1"/>
  <c r="O251" i="54" s="1"/>
  <c r="O279" i="54" a="1"/>
  <c r="O279" i="54" s="1"/>
  <c r="O253" i="54" a="1"/>
  <c r="O253" i="54" s="1"/>
  <c r="O260" i="54" a="1"/>
  <c r="O260" i="54" s="1"/>
  <c r="O277" i="54" a="1"/>
  <c r="O277" i="54" s="1"/>
  <c r="O252" i="54" a="1"/>
  <c r="O252" i="54" s="1"/>
  <c r="O235" i="54" a="1"/>
  <c r="O235" i="54" s="1"/>
  <c r="O261" i="54" a="1"/>
  <c r="O261" i="54" s="1"/>
  <c r="O245" i="54" a="1"/>
  <c r="O245" i="54" s="1"/>
  <c r="O236" i="54" a="1"/>
  <c r="O236" i="54" s="1"/>
  <c r="O268" i="54" a="1"/>
  <c r="O268" i="54" s="1"/>
  <c r="O270" i="54" a="1"/>
  <c r="O270" i="54" s="1"/>
  <c r="O278" i="54" a="1"/>
  <c r="O278" i="54" s="1"/>
  <c r="O237" i="54" a="1"/>
  <c r="O237" i="54" s="1"/>
  <c r="O269" i="54" a="1"/>
  <c r="O269" i="54" s="1"/>
  <c r="O244" i="54" a="1"/>
  <c r="O244" i="54" s="1"/>
  <c r="Z243" i="54" a="1"/>
  <c r="Z243" i="54" s="1"/>
  <c r="Z265" i="54" a="1"/>
  <c r="Z265" i="54" s="1"/>
  <c r="Z275" i="54" a="1"/>
  <c r="Z275" i="54" s="1"/>
  <c r="Z244" i="54" a="1"/>
  <c r="Z244" i="54" s="1"/>
  <c r="Z254" i="54" a="1"/>
  <c r="Z254" i="54" s="1"/>
  <c r="Z266" i="54" a="1"/>
  <c r="Z266" i="54" s="1"/>
  <c r="Z276" i="54" a="1"/>
  <c r="Z276" i="54" s="1"/>
  <c r="Z233" i="54" a="1"/>
  <c r="Z233" i="54" s="1"/>
  <c r="Z245" i="54" a="1"/>
  <c r="Z245" i="54" s="1"/>
  <c r="Z255" i="54" a="1"/>
  <c r="Z255" i="54" s="1"/>
  <c r="Z277" i="54" a="1"/>
  <c r="Z277" i="54" s="1"/>
  <c r="Z234" i="54" a="1"/>
  <c r="Z234" i="54" s="1"/>
  <c r="Z256" i="54" a="1"/>
  <c r="Z256" i="54" s="1"/>
  <c r="Z267" i="54" a="1"/>
  <c r="Z267" i="54" s="1"/>
  <c r="Z278" i="54" a="1"/>
  <c r="Z278" i="54" s="1"/>
  <c r="Z235" i="54" a="1"/>
  <c r="Z235" i="54" s="1"/>
  <c r="Z246" i="54" a="1"/>
  <c r="Z246" i="54" s="1"/>
  <c r="Z257" i="54" a="1"/>
  <c r="Z257" i="54" s="1"/>
  <c r="Z279" i="54" a="1"/>
  <c r="Z279" i="54" s="1"/>
  <c r="Z236" i="54" a="1"/>
  <c r="Z236" i="54" s="1"/>
  <c r="Z258" i="54" a="1"/>
  <c r="Z258" i="54" s="1"/>
  <c r="Z268" i="54" a="1"/>
  <c r="Z268" i="54" s="1"/>
  <c r="Z232" i="54" a="1"/>
  <c r="Z232" i="54" s="1"/>
  <c r="Z237" i="54" a="1"/>
  <c r="Z237" i="54" s="1"/>
  <c r="Z247" i="54" a="1"/>
  <c r="Z247" i="54" s="1"/>
  <c r="Z259" i="54" a="1"/>
  <c r="Z259" i="54" s="1"/>
  <c r="Z269" i="54" a="1"/>
  <c r="Z269" i="54" s="1"/>
  <c r="Z238" i="54" a="1"/>
  <c r="Z238" i="54" s="1"/>
  <c r="Z248" i="54" a="1"/>
  <c r="Z248" i="54" s="1"/>
  <c r="Z270" i="54" a="1"/>
  <c r="Z270" i="54" s="1"/>
  <c r="Z261" i="54" a="1"/>
  <c r="Z261" i="54" s="1"/>
  <c r="Z249" i="54" a="1"/>
  <c r="Z249" i="54" s="1"/>
  <c r="Z260" i="54" a="1"/>
  <c r="Z260" i="54" s="1"/>
  <c r="Z271" i="54" a="1"/>
  <c r="Z271" i="54" s="1"/>
  <c r="Z273" i="54" a="1"/>
  <c r="Z273" i="54" s="1"/>
  <c r="Z239" i="54" a="1"/>
  <c r="Z239" i="54" s="1"/>
  <c r="Z250" i="54" a="1"/>
  <c r="Z250" i="54" s="1"/>
  <c r="Z272" i="54" a="1"/>
  <c r="Z272" i="54" s="1"/>
  <c r="Z251" i="54" a="1"/>
  <c r="Z251" i="54" s="1"/>
  <c r="Z274" i="54" a="1"/>
  <c r="Z274" i="54" s="1"/>
  <c r="Z253" i="54" a="1"/>
  <c r="Z253" i="54" s="1"/>
  <c r="Z263" i="54" a="1"/>
  <c r="Z263" i="54" s="1"/>
  <c r="Z264" i="54" a="1"/>
  <c r="Z264" i="54" s="1"/>
  <c r="Z240" i="54" a="1"/>
  <c r="Z240" i="54" s="1"/>
  <c r="Z241" i="54" a="1"/>
  <c r="Z241" i="54" s="1"/>
  <c r="Z242" i="54" a="1"/>
  <c r="Z242" i="54" s="1"/>
  <c r="Z252" i="54" a="1"/>
  <c r="Z252" i="54" s="1"/>
  <c r="Z262" i="54" a="1"/>
  <c r="Z262" i="54" s="1"/>
  <c r="AA235" i="54" a="1"/>
  <c r="AA235" i="54" s="1"/>
  <c r="AA244" i="54" a="1"/>
  <c r="AA244" i="54" s="1"/>
  <c r="AA270" i="54" a="1"/>
  <c r="AA270" i="54" s="1"/>
  <c r="AA279" i="54" a="1"/>
  <c r="AA279" i="54" s="1"/>
  <c r="AA236" i="54" a="1"/>
  <c r="AA236" i="54" s="1"/>
  <c r="AA245" i="54" a="1"/>
  <c r="AA245" i="54" s="1"/>
  <c r="AA253" i="54" a="1"/>
  <c r="AA253" i="54" s="1"/>
  <c r="AA262" i="54" a="1"/>
  <c r="AA262" i="54" s="1"/>
  <c r="AA232" i="54" a="1"/>
  <c r="AA232" i="54" s="1"/>
  <c r="AA237" i="54" a="1"/>
  <c r="AA237" i="54" s="1"/>
  <c r="AA254" i="54" a="1"/>
  <c r="AA254" i="54" s="1"/>
  <c r="AA271" i="54" a="1"/>
  <c r="AA271" i="54" s="1"/>
  <c r="AA238" i="54" a="1"/>
  <c r="AA238" i="54" s="1"/>
  <c r="AA246" i="54" a="1"/>
  <c r="AA246" i="54" s="1"/>
  <c r="AA263" i="54" a="1"/>
  <c r="AA263" i="54" s="1"/>
  <c r="AA272" i="54" a="1"/>
  <c r="AA272" i="54" s="1"/>
  <c r="AA255" i="54" a="1"/>
  <c r="AA255" i="54" s="1"/>
  <c r="AA264" i="54" a="1"/>
  <c r="AA264" i="54" s="1"/>
  <c r="AA273" i="54" a="1"/>
  <c r="AA273" i="54" s="1"/>
  <c r="AA233" i="54" a="1"/>
  <c r="AA233" i="54" s="1"/>
  <c r="AA239" i="54" a="1"/>
  <c r="AA239" i="54" s="1"/>
  <c r="AA247" i="54" a="1"/>
  <c r="AA247" i="54" s="1"/>
  <c r="AA265" i="54" a="1"/>
  <c r="AA265" i="54" s="1"/>
  <c r="AA256" i="54" a="1"/>
  <c r="AA256" i="54" s="1"/>
  <c r="AA266" i="54" a="1"/>
  <c r="AA266" i="54" s="1"/>
  <c r="AA274" i="54" a="1"/>
  <c r="AA274" i="54" s="1"/>
  <c r="AA276" i="54" a="1"/>
  <c r="AA276" i="54" s="1"/>
  <c r="AA240" i="54" a="1"/>
  <c r="AA240" i="54" s="1"/>
  <c r="AA248" i="54" a="1"/>
  <c r="AA248" i="54" s="1"/>
  <c r="AA257" i="54" a="1"/>
  <c r="AA257" i="54" s="1"/>
  <c r="AA268" i="54" a="1"/>
  <c r="AA268" i="54" s="1"/>
  <c r="AA258" i="54" a="1"/>
  <c r="AA258" i="54" s="1"/>
  <c r="AA267" i="54" a="1"/>
  <c r="AA267" i="54" s="1"/>
  <c r="AA275" i="54" a="1"/>
  <c r="AA275" i="54" s="1"/>
  <c r="AA241" i="54" a="1"/>
  <c r="AA241" i="54" s="1"/>
  <c r="AA249" i="54" a="1"/>
  <c r="AA249" i="54" s="1"/>
  <c r="AA259" i="54" a="1"/>
  <c r="AA259" i="54" s="1"/>
  <c r="AA269" i="54" a="1"/>
  <c r="AA269" i="54" s="1"/>
  <c r="AA234" i="54" a="1"/>
  <c r="AA234" i="54" s="1"/>
  <c r="AA277" i="54" a="1"/>
  <c r="AA277" i="54" s="1"/>
  <c r="AA242" i="54" a="1"/>
  <c r="AA242" i="54" s="1"/>
  <c r="AA278" i="54" a="1"/>
  <c r="AA278" i="54" s="1"/>
  <c r="AA260" i="54" a="1"/>
  <c r="AA260" i="54" s="1"/>
  <c r="AA243" i="54" a="1"/>
  <c r="AA243" i="54" s="1"/>
  <c r="AA250" i="54" a="1"/>
  <c r="AA250" i="54" s="1"/>
  <c r="AA251" i="54" a="1"/>
  <c r="AA251" i="54" s="1"/>
  <c r="AA261" i="54" a="1"/>
  <c r="AA261" i="54" s="1"/>
  <c r="AA252" i="54" a="1"/>
  <c r="AA252" i="54" s="1"/>
  <c r="AB241" i="54" a="1"/>
  <c r="AB241" i="54" s="1"/>
  <c r="AB249" i="54" a="1"/>
  <c r="AB249" i="54" s="1"/>
  <c r="AB258" i="54" a="1"/>
  <c r="AB258" i="54" s="1"/>
  <c r="AB233" i="54" a="1"/>
  <c r="AB233" i="54" s="1"/>
  <c r="AB259" i="54" a="1"/>
  <c r="AB259" i="54" s="1"/>
  <c r="AB267" i="54" a="1"/>
  <c r="AB267" i="54" s="1"/>
  <c r="AB275" i="54" a="1"/>
  <c r="AB275" i="54" s="1"/>
  <c r="AB242" i="54" a="1"/>
  <c r="AB242" i="54" s="1"/>
  <c r="AB250" i="54" a="1"/>
  <c r="AB250" i="54" s="1"/>
  <c r="AB234" i="54" a="1"/>
  <c r="AB234" i="54" s="1"/>
  <c r="AB251" i="54" a="1"/>
  <c r="AB251" i="54" s="1"/>
  <c r="AB260" i="54" a="1"/>
  <c r="AB260" i="54" s="1"/>
  <c r="AB268" i="54" a="1"/>
  <c r="AB268" i="54" s="1"/>
  <c r="AB276" i="54" a="1"/>
  <c r="AB276" i="54" s="1"/>
  <c r="AB243" i="54" a="1"/>
  <c r="AB243" i="54" s="1"/>
  <c r="AB252" i="54" a="1"/>
  <c r="AB252" i="54" s="1"/>
  <c r="AB235" i="54" a="1"/>
  <c r="AB235" i="54" s="1"/>
  <c r="AB244" i="54" a="1"/>
  <c r="AB244" i="54" s="1"/>
  <c r="AB261" i="54" a="1"/>
  <c r="AB261" i="54" s="1"/>
  <c r="AB269" i="54" a="1"/>
  <c r="AB269" i="54" s="1"/>
  <c r="AB277" i="54" a="1"/>
  <c r="AB277" i="54" s="1"/>
  <c r="AB272" i="54" a="1"/>
  <c r="AB272" i="54" s="1"/>
  <c r="AB236" i="54" a="1"/>
  <c r="AB236" i="54" s="1"/>
  <c r="AB245" i="54" a="1"/>
  <c r="AB245" i="54" s="1"/>
  <c r="AB253" i="54" a="1"/>
  <c r="AB253" i="54" s="1"/>
  <c r="AB247" i="54" a="1"/>
  <c r="AB247" i="54" s="1"/>
  <c r="AB237" i="54" a="1"/>
  <c r="AB237" i="54" s="1"/>
  <c r="AB254" i="54" a="1"/>
  <c r="AB254" i="54" s="1"/>
  <c r="AB262" i="54" a="1"/>
  <c r="AB262" i="54" s="1"/>
  <c r="AB270" i="54" a="1"/>
  <c r="AB270" i="54" s="1"/>
  <c r="AB278" i="54" a="1"/>
  <c r="AB278" i="54" s="1"/>
  <c r="AB238" i="54" a="1"/>
  <c r="AB238" i="54" s="1"/>
  <c r="AB246" i="54" a="1"/>
  <c r="AB246" i="54" s="1"/>
  <c r="AB279" i="54" a="1"/>
  <c r="AB279" i="54" s="1"/>
  <c r="AB255" i="54" a="1"/>
  <c r="AB255" i="54" s="1"/>
  <c r="AB263" i="54" a="1"/>
  <c r="AB263" i="54" s="1"/>
  <c r="AB271" i="54" a="1"/>
  <c r="AB271" i="54" s="1"/>
  <c r="AB232" i="54" a="1"/>
  <c r="AB232" i="54" s="1"/>
  <c r="AB239" i="54" a="1"/>
  <c r="AB239" i="54" s="1"/>
  <c r="AB274" i="54" a="1"/>
  <c r="AB274" i="54" s="1"/>
  <c r="AB240" i="54" a="1"/>
  <c r="AB240" i="54" s="1"/>
  <c r="AB248" i="54" a="1"/>
  <c r="AB248" i="54" s="1"/>
  <c r="AB256" i="54" a="1"/>
  <c r="AB256" i="54" s="1"/>
  <c r="AB265" i="54" a="1"/>
  <c r="AB265" i="54" s="1"/>
  <c r="AB273" i="54" a="1"/>
  <c r="AB273" i="54" s="1"/>
  <c r="AB257" i="54" a="1"/>
  <c r="AB257" i="54" s="1"/>
  <c r="AB264" i="54" a="1"/>
  <c r="AB264" i="54" s="1"/>
  <c r="AB266" i="54" a="1"/>
  <c r="AB266" i="54" s="1"/>
  <c r="P240" i="54" a="1"/>
  <c r="P240" i="54" s="1"/>
  <c r="P249" i="54" a="1"/>
  <c r="P249" i="54" s="1"/>
  <c r="P258" i="54" a="1"/>
  <c r="P258" i="54" s="1"/>
  <c r="P267" i="54" a="1"/>
  <c r="P267" i="54" s="1"/>
  <c r="P276" i="54" a="1"/>
  <c r="P276" i="54" s="1"/>
  <c r="P241" i="54" a="1"/>
  <c r="P241" i="54" s="1"/>
  <c r="P259" i="54" a="1"/>
  <c r="P259" i="54" s="1"/>
  <c r="P250" i="54" a="1"/>
  <c r="P250" i="54" s="1"/>
  <c r="P268" i="54" a="1"/>
  <c r="P268" i="54" s="1"/>
  <c r="P277" i="54" a="1"/>
  <c r="P277" i="54" s="1"/>
  <c r="P242" i="54" a="1"/>
  <c r="P242" i="54" s="1"/>
  <c r="P251" i="54" a="1"/>
  <c r="P251" i="54" s="1"/>
  <c r="P260" i="54" a="1"/>
  <c r="P260" i="54" s="1"/>
  <c r="P269" i="54" a="1"/>
  <c r="P269" i="54" s="1"/>
  <c r="P233" i="54" a="1"/>
  <c r="P233" i="54" s="1"/>
  <c r="P252" i="54" a="1"/>
  <c r="P252" i="54" s="1"/>
  <c r="P278" i="54" a="1"/>
  <c r="P278" i="54" s="1"/>
  <c r="P234" i="54" a="1"/>
  <c r="P234" i="54" s="1"/>
  <c r="P243" i="54" a="1"/>
  <c r="P243" i="54" s="1"/>
  <c r="P261" i="54" a="1"/>
  <c r="P261" i="54" s="1"/>
  <c r="P270" i="54" a="1"/>
  <c r="P270" i="54" s="1"/>
  <c r="P279" i="54" a="1"/>
  <c r="P279" i="54" s="1"/>
  <c r="P235" i="54" a="1"/>
  <c r="P235" i="54" s="1"/>
  <c r="P244" i="54" a="1"/>
  <c r="P244" i="54" s="1"/>
  <c r="P253" i="54" a="1"/>
  <c r="P253" i="54" s="1"/>
  <c r="P262" i="54" a="1"/>
  <c r="P262" i="54" s="1"/>
  <c r="P232" i="54" a="1"/>
  <c r="P232" i="54" s="1"/>
  <c r="P245" i="54" a="1"/>
  <c r="P245" i="54" s="1"/>
  <c r="P271" i="54" a="1"/>
  <c r="P271" i="54" s="1"/>
  <c r="P236" i="54" a="1"/>
  <c r="P236" i="54" s="1"/>
  <c r="P254" i="54" a="1"/>
  <c r="P254" i="54" s="1"/>
  <c r="P263" i="54" a="1"/>
  <c r="P263" i="54" s="1"/>
  <c r="P272" i="54" a="1"/>
  <c r="P272" i="54" s="1"/>
  <c r="P237" i="54" a="1"/>
  <c r="P237" i="54" s="1"/>
  <c r="P246" i="54" a="1"/>
  <c r="P246" i="54" s="1"/>
  <c r="P255" i="54" a="1"/>
  <c r="P255" i="54" s="1"/>
  <c r="P273" i="54" a="1"/>
  <c r="P273" i="54" s="1"/>
  <c r="P264" i="54" a="1"/>
  <c r="P264" i="54" s="1"/>
  <c r="P238" i="54" a="1"/>
  <c r="P238" i="54" s="1"/>
  <c r="P266" i="54" a="1"/>
  <c r="P266" i="54" s="1"/>
  <c r="P274" i="54" a="1"/>
  <c r="P274" i="54" s="1"/>
  <c r="P257" i="54" a="1"/>
  <c r="P257" i="54" s="1"/>
  <c r="P239" i="54" a="1"/>
  <c r="P239" i="54" s="1"/>
  <c r="P275" i="54" a="1"/>
  <c r="P275" i="54" s="1"/>
  <c r="P247" i="54" a="1"/>
  <c r="P247" i="54" s="1"/>
  <c r="P248" i="54" a="1"/>
  <c r="P248" i="54" s="1"/>
  <c r="P256" i="54" a="1"/>
  <c r="P256" i="54" s="1"/>
  <c r="P265" i="54" a="1"/>
  <c r="P265" i="54" s="1"/>
  <c r="Y251" i="54" a="1"/>
  <c r="Y251" i="54" s="1"/>
  <c r="Y261" i="54" a="1"/>
  <c r="Y261" i="54" s="1"/>
  <c r="Y273" i="54" a="1"/>
  <c r="Y273" i="54" s="1"/>
  <c r="Y240" i="54" a="1"/>
  <c r="Y240" i="54" s="1"/>
  <c r="Y252" i="54" a="1"/>
  <c r="Y252" i="54" s="1"/>
  <c r="Y262" i="54" a="1"/>
  <c r="Y262" i="54" s="1"/>
  <c r="Y241" i="54" a="1"/>
  <c r="Y241" i="54" s="1"/>
  <c r="Y263" i="54" a="1"/>
  <c r="Y263" i="54" s="1"/>
  <c r="Y274" i="54" a="1"/>
  <c r="Y274" i="54" s="1"/>
  <c r="Y242" i="54" a="1"/>
  <c r="Y242" i="54" s="1"/>
  <c r="Y253" i="54" a="1"/>
  <c r="Y253" i="54" s="1"/>
  <c r="Y264" i="54" a="1"/>
  <c r="Y264" i="54" s="1"/>
  <c r="Y243" i="54" a="1"/>
  <c r="Y243" i="54" s="1"/>
  <c r="Y265" i="54" a="1"/>
  <c r="Y265" i="54" s="1"/>
  <c r="Y275" i="54" a="1"/>
  <c r="Y275" i="54" s="1"/>
  <c r="Y244" i="54" a="1"/>
  <c r="Y244" i="54" s="1"/>
  <c r="Y254" i="54" a="1"/>
  <c r="Y254" i="54" s="1"/>
  <c r="Y266" i="54" a="1"/>
  <c r="Y266" i="54" s="1"/>
  <c r="Y276" i="54" a="1"/>
  <c r="Y276" i="54" s="1"/>
  <c r="Y233" i="54" a="1"/>
  <c r="Y233" i="54" s="1"/>
  <c r="Y245" i="54" a="1"/>
  <c r="Y245" i="54" s="1"/>
  <c r="Y255" i="54" a="1"/>
  <c r="Y255" i="54" s="1"/>
  <c r="Y277" i="54" a="1"/>
  <c r="Y277" i="54" s="1"/>
  <c r="Y259" i="54" a="1"/>
  <c r="Y259" i="54" s="1"/>
  <c r="Y234" i="54" a="1"/>
  <c r="Y234" i="54" s="1"/>
  <c r="Y256" i="54" a="1"/>
  <c r="Y256" i="54" s="1"/>
  <c r="Y267" i="54" a="1"/>
  <c r="Y267" i="54" s="1"/>
  <c r="Y278" i="54" a="1"/>
  <c r="Y278" i="54" s="1"/>
  <c r="Y269" i="54" a="1"/>
  <c r="Y269" i="54" s="1"/>
  <c r="Y235" i="54" a="1"/>
  <c r="Y235" i="54" s="1"/>
  <c r="Y246" i="54" a="1"/>
  <c r="Y246" i="54" s="1"/>
  <c r="Y257" i="54" a="1"/>
  <c r="Y257" i="54" s="1"/>
  <c r="Y279" i="54" a="1"/>
  <c r="Y279" i="54" s="1"/>
  <c r="Y236" i="54" a="1"/>
  <c r="Y236" i="54" s="1"/>
  <c r="Y258" i="54" a="1"/>
  <c r="Y258" i="54" s="1"/>
  <c r="Y268" i="54" a="1"/>
  <c r="Y268" i="54" s="1"/>
  <c r="Y232" i="54" a="1"/>
  <c r="Y232" i="54" s="1"/>
  <c r="Y270" i="54" a="1"/>
  <c r="Y270" i="54" s="1"/>
  <c r="Y271" i="54" a="1"/>
  <c r="Y271" i="54" s="1"/>
  <c r="Y272" i="54" a="1"/>
  <c r="Y272" i="54" s="1"/>
  <c r="Y260" i="54" a="1"/>
  <c r="Y260" i="54" s="1"/>
  <c r="Y237" i="54" a="1"/>
  <c r="Y237" i="54" s="1"/>
  <c r="Y238" i="54" a="1"/>
  <c r="Y238" i="54" s="1"/>
  <c r="Y250" i="54" a="1"/>
  <c r="Y250" i="54" s="1"/>
  <c r="Y239" i="54" a="1"/>
  <c r="Y239" i="54" s="1"/>
  <c r="Y247" i="54" a="1"/>
  <c r="Y247" i="54" s="1"/>
  <c r="Y248" i="54" a="1"/>
  <c r="Y248" i="54" s="1"/>
  <c r="Y249" i="54" a="1"/>
  <c r="Y249" i="54" s="1"/>
  <c r="G227" i="54"/>
  <c r="G228" i="54" s="1"/>
  <c r="E227" i="54"/>
  <c r="E228" i="54" s="1"/>
  <c r="J241" i="54"/>
  <c r="K241" i="54" s="1"/>
  <c r="J271" i="54"/>
  <c r="K271" i="54" s="1"/>
  <c r="J259" i="54"/>
  <c r="K259" i="54" s="1"/>
  <c r="J242" i="54"/>
  <c r="K242" i="54" s="1"/>
  <c r="J244" i="54"/>
  <c r="K244" i="54" s="1"/>
  <c r="J255" i="54"/>
  <c r="K255" i="54" s="1"/>
  <c r="J232" i="54"/>
  <c r="K232" i="54" s="1"/>
  <c r="J277" i="54"/>
  <c r="K277" i="54" s="1"/>
  <c r="J263" i="54"/>
  <c r="K263" i="54" s="1"/>
  <c r="J268" i="54"/>
  <c r="K268" i="54" s="1"/>
  <c r="J249" i="54"/>
  <c r="K249" i="54" s="1"/>
  <c r="J256" i="54"/>
  <c r="K256" i="54" s="1"/>
  <c r="J248" i="54"/>
  <c r="K248" i="54" s="1"/>
  <c r="J261" i="54"/>
  <c r="K261" i="54" s="1"/>
  <c r="J276" i="54"/>
  <c r="K276" i="54" s="1"/>
  <c r="J250" i="54"/>
  <c r="K250" i="54" s="1"/>
  <c r="J246" i="54"/>
  <c r="K246" i="54" s="1"/>
  <c r="J245" i="54"/>
  <c r="K245" i="54" s="1"/>
  <c r="J239" i="54"/>
  <c r="K239" i="54" s="1"/>
  <c r="J272" i="54"/>
  <c r="K272" i="54" s="1"/>
  <c r="J235" i="54"/>
  <c r="K235" i="54" s="1"/>
  <c r="F227" i="54"/>
  <c r="F228" i="54" s="1"/>
  <c r="J267" i="54"/>
  <c r="K267" i="54" s="1"/>
  <c r="J243" i="54"/>
  <c r="K243" i="54" s="1"/>
  <c r="J275" i="54"/>
  <c r="K275" i="54" s="1"/>
  <c r="J266" i="54"/>
  <c r="K266" i="54" s="1"/>
  <c r="J274" i="54"/>
  <c r="K274" i="54" s="1"/>
  <c r="J270" i="54"/>
  <c r="K270" i="54" s="1"/>
  <c r="J257" i="54"/>
  <c r="K257" i="54" s="1"/>
  <c r="J258" i="54"/>
  <c r="K258" i="54" s="1"/>
  <c r="J233" i="54"/>
  <c r="K233" i="54" s="1"/>
  <c r="J254" i="54"/>
  <c r="K254" i="54" s="1"/>
  <c r="J252" i="54"/>
  <c r="K252" i="54" s="1"/>
  <c r="J262" i="54"/>
  <c r="K262" i="54" s="1"/>
  <c r="J234" i="54"/>
  <c r="K234" i="54" s="1"/>
  <c r="J236" i="54"/>
  <c r="K236" i="54" s="1"/>
  <c r="J273" i="54"/>
  <c r="K273" i="54" s="1"/>
  <c r="J247" i="54"/>
  <c r="K247" i="54" s="1"/>
  <c r="J237" i="54"/>
  <c r="K237" i="54" s="1"/>
  <c r="J278" i="54"/>
  <c r="K278" i="54" s="1"/>
  <c r="J251" i="54"/>
  <c r="K251" i="54" s="1"/>
  <c r="J269" i="54"/>
  <c r="K269" i="54" s="1"/>
  <c r="J240" i="54"/>
  <c r="K240" i="54" s="1"/>
  <c r="J264" i="54"/>
  <c r="K264" i="54" s="1"/>
  <c r="J265" i="54"/>
  <c r="K265" i="54" s="1"/>
  <c r="H227" i="54"/>
  <c r="H228" i="54" s="1"/>
  <c r="J279" i="54"/>
  <c r="K279" i="54" s="1"/>
  <c r="J253" i="54"/>
  <c r="K253" i="54" s="1"/>
  <c r="J238" i="54"/>
  <c r="K238" i="54" s="1"/>
  <c r="I227" i="54"/>
  <c r="I228" i="54" s="1"/>
  <c r="J260" i="54"/>
  <c r="K260" i="54" s="1"/>
  <c r="U22" i="4"/>
  <c r="S22" i="4"/>
  <c r="Q22" i="4"/>
  <c r="O22" i="4"/>
  <c r="M22" i="4"/>
  <c r="K22" i="4"/>
  <c r="J4" i="4"/>
  <c r="G69" i="33" l="1"/>
  <c r="G72" i="33"/>
  <c r="G71" i="33"/>
  <c r="G70" i="33"/>
  <c r="K227" i="54"/>
  <c r="K228" i="54" s="1"/>
  <c r="T383" i="54"/>
  <c r="U383" i="54" s="1"/>
  <c r="T365" i="54"/>
  <c r="U365" i="54" s="1"/>
  <c r="AD397" i="54"/>
  <c r="AE397" i="54" s="1"/>
  <c r="AC289" i="54"/>
  <c r="AC290" i="54" s="1"/>
  <c r="AD364" i="54"/>
  <c r="AE364" i="54" s="1"/>
  <c r="T402" i="54"/>
  <c r="U402" i="54" s="1"/>
  <c r="T389" i="54"/>
  <c r="U389" i="54" s="1"/>
  <c r="T336" i="54"/>
  <c r="U336" i="54" s="1"/>
  <c r="T372" i="54"/>
  <c r="U372" i="54" s="1"/>
  <c r="T363" i="54"/>
  <c r="U363" i="54" s="1"/>
  <c r="AD375" i="54"/>
  <c r="AE375" i="54" s="1"/>
  <c r="T391" i="54"/>
  <c r="U391" i="54" s="1"/>
  <c r="T378" i="54"/>
  <c r="U378" i="54" s="1"/>
  <c r="AD365" i="54"/>
  <c r="AE365" i="54" s="1"/>
  <c r="AD367" i="54"/>
  <c r="AE367" i="54" s="1"/>
  <c r="AD380" i="54"/>
  <c r="AE380" i="54" s="1"/>
  <c r="T364" i="54"/>
  <c r="U364" i="54" s="1"/>
  <c r="T369" i="54"/>
  <c r="U369" i="54" s="1"/>
  <c r="T359" i="54"/>
  <c r="U359" i="54" s="1"/>
  <c r="AD389" i="54"/>
  <c r="AE389" i="54" s="1"/>
  <c r="AD403" i="54"/>
  <c r="AE403" i="54" s="1"/>
  <c r="O289" i="54"/>
  <c r="O290" i="54" s="1"/>
  <c r="T294" i="54"/>
  <c r="U294" i="54" s="1"/>
  <c r="T317" i="54"/>
  <c r="U317" i="54" s="1"/>
  <c r="P351" i="54"/>
  <c r="P352" i="54" s="1"/>
  <c r="AA289" i="54"/>
  <c r="AA290" i="54" s="1"/>
  <c r="AD325" i="54"/>
  <c r="AE325" i="54" s="1"/>
  <c r="AD310" i="54"/>
  <c r="AE310" i="54" s="1"/>
  <c r="AD340" i="54"/>
  <c r="AE340" i="54" s="1"/>
  <c r="AD305" i="54"/>
  <c r="AE305" i="54" s="1"/>
  <c r="Y227" i="54"/>
  <c r="Y228" i="54" s="1"/>
  <c r="Q227" i="54"/>
  <c r="Q228" i="54" s="1"/>
  <c r="AD368" i="54"/>
  <c r="AE368" i="54" s="1"/>
  <c r="AD395" i="54"/>
  <c r="AE395" i="54" s="1"/>
  <c r="AD381" i="54"/>
  <c r="AE381" i="54" s="1"/>
  <c r="T374" i="54"/>
  <c r="U374" i="54" s="1"/>
  <c r="T373" i="54"/>
  <c r="U373" i="54" s="1"/>
  <c r="T379" i="54"/>
  <c r="U379" i="54" s="1"/>
  <c r="T312" i="54"/>
  <c r="U312" i="54" s="1"/>
  <c r="T320" i="54"/>
  <c r="U320" i="54" s="1"/>
  <c r="T307" i="54"/>
  <c r="U307" i="54" s="1"/>
  <c r="AD323" i="54"/>
  <c r="AE323" i="54" s="1"/>
  <c r="AD300" i="54"/>
  <c r="AE300" i="54" s="1"/>
  <c r="AD329" i="54"/>
  <c r="AE329" i="54" s="1"/>
  <c r="AD326" i="54"/>
  <c r="AE326" i="54" s="1"/>
  <c r="R289" i="54"/>
  <c r="R290" i="54" s="1"/>
  <c r="AC351" i="54"/>
  <c r="AC352" i="54" s="1"/>
  <c r="J351" i="54"/>
  <c r="J352" i="54" s="1"/>
  <c r="K351" i="54"/>
  <c r="AD358" i="54"/>
  <c r="AE358" i="54" s="1"/>
  <c r="AD384" i="54"/>
  <c r="AE384" i="54" s="1"/>
  <c r="AD361" i="54"/>
  <c r="AE361" i="54" s="1"/>
  <c r="T360" i="54"/>
  <c r="U360" i="54" s="1"/>
  <c r="T335" i="54"/>
  <c r="U335" i="54" s="1"/>
  <c r="T309" i="54"/>
  <c r="U309" i="54" s="1"/>
  <c r="T338" i="54"/>
  <c r="U338" i="54" s="1"/>
  <c r="P289" i="54"/>
  <c r="P290" i="54" s="1"/>
  <c r="Q289" i="54"/>
  <c r="Q290" i="54" s="1"/>
  <c r="AD313" i="54"/>
  <c r="AE313" i="54" s="1"/>
  <c r="AD331" i="54"/>
  <c r="AE331" i="54" s="1"/>
  <c r="AD318" i="54"/>
  <c r="AE318" i="54" s="1"/>
  <c r="AD315" i="54"/>
  <c r="AE315" i="54" s="1"/>
  <c r="P227" i="54"/>
  <c r="P228" i="54" s="1"/>
  <c r="AD385" i="54"/>
  <c r="AE385" i="54" s="1"/>
  <c r="AD388" i="54"/>
  <c r="AE388" i="54" s="1"/>
  <c r="AD394" i="54"/>
  <c r="AE394" i="54" s="1"/>
  <c r="AD402" i="54"/>
  <c r="AE402" i="54" s="1"/>
  <c r="T366" i="54"/>
  <c r="U366" i="54" s="1"/>
  <c r="T401" i="54"/>
  <c r="U401" i="54" s="1"/>
  <c r="T398" i="54"/>
  <c r="U398" i="54" s="1"/>
  <c r="T325" i="54"/>
  <c r="U325" i="54" s="1"/>
  <c r="T334" i="54"/>
  <c r="U334" i="54" s="1"/>
  <c r="T298" i="54"/>
  <c r="U298" i="54" s="1"/>
  <c r="T328" i="54"/>
  <c r="U328" i="54" s="1"/>
  <c r="AD303" i="54"/>
  <c r="AE303" i="54" s="1"/>
  <c r="AD321" i="54"/>
  <c r="AE321" i="54" s="1"/>
  <c r="AD296" i="54"/>
  <c r="AE296" i="54" s="1"/>
  <c r="AD304" i="54"/>
  <c r="AE304" i="54" s="1"/>
  <c r="Z289" i="54"/>
  <c r="Z290" i="54" s="1"/>
  <c r="AD377" i="54"/>
  <c r="AE377" i="54" s="1"/>
  <c r="AD373" i="54"/>
  <c r="AE373" i="54" s="1"/>
  <c r="AD391" i="54"/>
  <c r="AE391" i="54" s="1"/>
  <c r="T394" i="54"/>
  <c r="U394" i="54" s="1"/>
  <c r="R351" i="54"/>
  <c r="R352" i="54" s="1"/>
  <c r="T302" i="54"/>
  <c r="U302" i="54" s="1"/>
  <c r="T305" i="54"/>
  <c r="U305" i="54" s="1"/>
  <c r="T341" i="54"/>
  <c r="U341" i="54" s="1"/>
  <c r="T306" i="54"/>
  <c r="U306" i="54" s="1"/>
  <c r="AD324" i="54"/>
  <c r="AE324" i="54" s="1"/>
  <c r="AD309" i="54"/>
  <c r="AE309" i="54" s="1"/>
  <c r="AD339" i="54"/>
  <c r="AE339" i="54" s="1"/>
  <c r="AD363" i="54"/>
  <c r="AE363" i="54" s="1"/>
  <c r="T371" i="54"/>
  <c r="U371" i="54" s="1"/>
  <c r="T324" i="54"/>
  <c r="U324" i="54" s="1"/>
  <c r="T331" i="54"/>
  <c r="U331" i="54" s="1"/>
  <c r="T330" i="54"/>
  <c r="U330" i="54" s="1"/>
  <c r="T295" i="54"/>
  <c r="U295" i="54" s="1"/>
  <c r="S289" i="54"/>
  <c r="S290" i="54" s="1"/>
  <c r="AD314" i="54"/>
  <c r="AE314" i="54" s="1"/>
  <c r="AD299" i="54"/>
  <c r="AE299" i="54" s="1"/>
  <c r="AD317" i="54"/>
  <c r="AE317" i="54" s="1"/>
  <c r="Z351" i="54"/>
  <c r="Z352" i="54" s="1"/>
  <c r="AD401" i="54"/>
  <c r="AE401" i="54" s="1"/>
  <c r="AD357" i="54"/>
  <c r="AE357" i="54" s="1"/>
  <c r="AD393" i="54"/>
  <c r="AE393" i="54" s="1"/>
  <c r="AD370" i="54"/>
  <c r="AE370" i="54" s="1"/>
  <c r="T393" i="54"/>
  <c r="U393" i="54" s="1"/>
  <c r="T362" i="54"/>
  <c r="U362" i="54" s="1"/>
  <c r="T299" i="54"/>
  <c r="U299" i="54" s="1"/>
  <c r="T303" i="54"/>
  <c r="U303" i="54" s="1"/>
  <c r="T319" i="54"/>
  <c r="U319" i="54" s="1"/>
  <c r="T337" i="54"/>
  <c r="U337" i="54" s="1"/>
  <c r="AD302" i="54"/>
  <c r="AE302" i="54" s="1"/>
  <c r="Y289" i="54"/>
  <c r="Y290" i="54" s="1"/>
  <c r="AD294" i="54"/>
  <c r="AE294" i="54" s="1"/>
  <c r="AD307" i="54"/>
  <c r="AE307" i="54" s="1"/>
  <c r="AD379" i="54"/>
  <c r="AE379" i="54" s="1"/>
  <c r="AD398" i="54"/>
  <c r="AE398" i="54" s="1"/>
  <c r="AD383" i="54"/>
  <c r="AE383" i="54" s="1"/>
  <c r="AD360" i="54"/>
  <c r="AE360" i="54" s="1"/>
  <c r="T388" i="54"/>
  <c r="U388" i="54" s="1"/>
  <c r="T396" i="54"/>
  <c r="U396" i="54" s="1"/>
  <c r="T400" i="54"/>
  <c r="U400" i="54" s="1"/>
  <c r="T368" i="54"/>
  <c r="U368" i="54" s="1"/>
  <c r="T323" i="54"/>
  <c r="U323" i="54" s="1"/>
  <c r="T333" i="54"/>
  <c r="U333" i="54" s="1"/>
  <c r="T297" i="54"/>
  <c r="U297" i="54" s="1"/>
  <c r="T326" i="54"/>
  <c r="U326" i="54" s="1"/>
  <c r="AD334" i="54"/>
  <c r="AE334" i="54" s="1"/>
  <c r="AD330" i="54"/>
  <c r="AE330" i="54" s="1"/>
  <c r="AD295" i="54"/>
  <c r="AE295" i="54" s="1"/>
  <c r="AD233" i="54"/>
  <c r="AE233" i="54" s="1"/>
  <c r="AD232" i="54"/>
  <c r="AE232" i="54" s="1"/>
  <c r="AC227" i="54"/>
  <c r="AC228" i="54" s="1"/>
  <c r="AD400" i="54"/>
  <c r="AE400" i="54" s="1"/>
  <c r="AD387" i="54"/>
  <c r="AE387" i="54" s="1"/>
  <c r="AD372" i="54"/>
  <c r="AE372" i="54" s="1"/>
  <c r="T385" i="54"/>
  <c r="U385" i="54" s="1"/>
  <c r="T386" i="54"/>
  <c r="U386" i="54" s="1"/>
  <c r="T381" i="54"/>
  <c r="U381" i="54" s="1"/>
  <c r="T358" i="54"/>
  <c r="U358" i="54" s="1"/>
  <c r="T321" i="54"/>
  <c r="U321" i="54" s="1"/>
  <c r="T311" i="54"/>
  <c r="U311" i="54" s="1"/>
  <c r="T340" i="54"/>
  <c r="U340" i="54" s="1"/>
  <c r="T304" i="54"/>
  <c r="U304" i="54" s="1"/>
  <c r="Q351" i="54"/>
  <c r="Q352" i="54" s="1"/>
  <c r="AD312" i="54"/>
  <c r="AE312" i="54" s="1"/>
  <c r="AD320" i="54"/>
  <c r="AE320" i="54" s="1"/>
  <c r="AD338" i="54"/>
  <c r="AE338" i="54" s="1"/>
  <c r="AA227" i="54"/>
  <c r="AA228" i="54" s="1"/>
  <c r="AD390" i="54"/>
  <c r="AE390" i="54" s="1"/>
  <c r="AD386" i="54"/>
  <c r="AE386" i="54" s="1"/>
  <c r="AD356" i="54"/>
  <c r="AE356" i="54" s="1"/>
  <c r="Y351" i="54"/>
  <c r="Y352" i="54" s="1"/>
  <c r="T384" i="54"/>
  <c r="U384" i="54" s="1"/>
  <c r="T367" i="54"/>
  <c r="U367" i="54" s="1"/>
  <c r="T361" i="54"/>
  <c r="U361" i="54" s="1"/>
  <c r="T397" i="54"/>
  <c r="U397" i="54" s="1"/>
  <c r="T316" i="54"/>
  <c r="U316" i="54" s="1"/>
  <c r="T301" i="54"/>
  <c r="U301" i="54" s="1"/>
  <c r="T318" i="54"/>
  <c r="U318" i="54" s="1"/>
  <c r="AD301" i="54"/>
  <c r="AE301" i="54" s="1"/>
  <c r="AD298" i="54"/>
  <c r="AE298" i="54" s="1"/>
  <c r="AD328" i="54"/>
  <c r="AE328" i="54" s="1"/>
  <c r="O227" i="54"/>
  <c r="O228" i="54" s="1"/>
  <c r="AB289" i="54"/>
  <c r="AB290" i="54" s="1"/>
  <c r="AB351" i="54"/>
  <c r="AB352" i="54" s="1"/>
  <c r="AA351" i="54"/>
  <c r="AA352" i="54" s="1"/>
  <c r="AD378" i="54"/>
  <c r="AE378" i="54" s="1"/>
  <c r="AD376" i="54"/>
  <c r="AE376" i="54" s="1"/>
  <c r="AD392" i="54"/>
  <c r="AE392" i="54" s="1"/>
  <c r="T382" i="54"/>
  <c r="U382" i="54" s="1"/>
  <c r="T395" i="54"/>
  <c r="U395" i="54" s="1"/>
  <c r="T399" i="54"/>
  <c r="U399" i="54" s="1"/>
  <c r="T387" i="54"/>
  <c r="U387" i="54" s="1"/>
  <c r="T315" i="54"/>
  <c r="U315" i="54" s="1"/>
  <c r="T332" i="54"/>
  <c r="U332" i="54" s="1"/>
  <c r="T308" i="54"/>
  <c r="U308" i="54" s="1"/>
  <c r="AD333" i="54"/>
  <c r="AE333" i="54" s="1"/>
  <c r="AD341" i="54"/>
  <c r="AE341" i="54" s="1"/>
  <c r="AD316" i="54"/>
  <c r="AE316" i="54" s="1"/>
  <c r="Z227" i="54"/>
  <c r="Z228" i="54" s="1"/>
  <c r="S227" i="54"/>
  <c r="S228" i="54" s="1"/>
  <c r="K289" i="54"/>
  <c r="J289" i="54"/>
  <c r="J290" i="54" s="1"/>
  <c r="AD369" i="54"/>
  <c r="AE369" i="54" s="1"/>
  <c r="AD366" i="54"/>
  <c r="AE366" i="54" s="1"/>
  <c r="AD382" i="54"/>
  <c r="AE382" i="54" s="1"/>
  <c r="T356" i="54"/>
  <c r="U356" i="54" s="1"/>
  <c r="O351" i="54"/>
  <c r="O352" i="54" s="1"/>
  <c r="T375" i="54"/>
  <c r="U375" i="54" s="1"/>
  <c r="T390" i="54"/>
  <c r="U390" i="54" s="1"/>
  <c r="T377" i="54"/>
  <c r="U377" i="54" s="1"/>
  <c r="T314" i="54"/>
  <c r="U314" i="54" s="1"/>
  <c r="T322" i="54"/>
  <c r="U322" i="54" s="1"/>
  <c r="T296" i="54"/>
  <c r="U296" i="54" s="1"/>
  <c r="AD322" i="54"/>
  <c r="AE322" i="54" s="1"/>
  <c r="AD319" i="54"/>
  <c r="AE319" i="54" s="1"/>
  <c r="AD306" i="54"/>
  <c r="AE306" i="54" s="1"/>
  <c r="AB227" i="54"/>
  <c r="AB228" i="54" s="1"/>
  <c r="AD359" i="54"/>
  <c r="AE359" i="54" s="1"/>
  <c r="AD396" i="54"/>
  <c r="AE396" i="54" s="1"/>
  <c r="AD371" i="54"/>
  <c r="AE371" i="54" s="1"/>
  <c r="T376" i="54"/>
  <c r="U376" i="54" s="1"/>
  <c r="T380" i="54"/>
  <c r="U380" i="54" s="1"/>
  <c r="T357" i="54"/>
  <c r="U357" i="54" s="1"/>
  <c r="T313" i="54"/>
  <c r="U313" i="54" s="1"/>
  <c r="T310" i="54"/>
  <c r="U310" i="54" s="1"/>
  <c r="T339" i="54"/>
  <c r="U339" i="54" s="1"/>
  <c r="AD335" i="54"/>
  <c r="AE335" i="54" s="1"/>
  <c r="AD311" i="54"/>
  <c r="AE311" i="54" s="1"/>
  <c r="AD308" i="54"/>
  <c r="AE308" i="54" s="1"/>
  <c r="AD337" i="54"/>
  <c r="AE337" i="54" s="1"/>
  <c r="R227" i="54"/>
  <c r="R228" i="54" s="1"/>
  <c r="AD399" i="54"/>
  <c r="AE399" i="54" s="1"/>
  <c r="AD374" i="54"/>
  <c r="AE374" i="54" s="1"/>
  <c r="AD362" i="54"/>
  <c r="AE362" i="54" s="1"/>
  <c r="S351" i="54"/>
  <c r="S352" i="54" s="1"/>
  <c r="T403" i="54"/>
  <c r="U403" i="54" s="1"/>
  <c r="T392" i="54"/>
  <c r="U392" i="54" s="1"/>
  <c r="T370" i="54"/>
  <c r="U370" i="54" s="1"/>
  <c r="T327" i="54"/>
  <c r="U327" i="54" s="1"/>
  <c r="T300" i="54"/>
  <c r="U300" i="54" s="1"/>
  <c r="T329" i="54"/>
  <c r="U329" i="54" s="1"/>
  <c r="AD336" i="54"/>
  <c r="AE336" i="54" s="1"/>
  <c r="AD332" i="54"/>
  <c r="AE332" i="54" s="1"/>
  <c r="AD297" i="54"/>
  <c r="AE297" i="54" s="1"/>
  <c r="AD327" i="54"/>
  <c r="AE327" i="54" s="1"/>
  <c r="J227" i="54"/>
  <c r="AD239" i="54"/>
  <c r="AE239" i="54" s="1"/>
  <c r="AD252" i="54"/>
  <c r="AE252" i="54" s="1"/>
  <c r="T275" i="54"/>
  <c r="U275" i="54" s="1"/>
  <c r="T273" i="54"/>
  <c r="U273" i="54" s="1"/>
  <c r="AD275" i="54"/>
  <c r="AE275" i="54" s="1"/>
  <c r="AD253" i="54"/>
  <c r="AE253" i="54" s="1"/>
  <c r="AD265" i="54"/>
  <c r="AE265" i="54" s="1"/>
  <c r="T250" i="54"/>
  <c r="U250" i="54" s="1"/>
  <c r="T269" i="54"/>
  <c r="U269" i="54" s="1"/>
  <c r="AD262" i="54"/>
  <c r="AE262" i="54" s="1"/>
  <c r="AD243" i="54"/>
  <c r="AE243" i="54" s="1"/>
  <c r="T268" i="54"/>
  <c r="U268" i="54" s="1"/>
  <c r="AD251" i="54"/>
  <c r="AE251" i="54" s="1"/>
  <c r="AD236" i="54"/>
  <c r="AE236" i="54" s="1"/>
  <c r="T238" i="54"/>
  <c r="U238" i="54" s="1"/>
  <c r="T264" i="54"/>
  <c r="U264" i="54" s="1"/>
  <c r="T240" i="54"/>
  <c r="U240" i="54" s="1"/>
  <c r="AD271" i="54"/>
  <c r="AE271" i="54" s="1"/>
  <c r="AD259" i="54"/>
  <c r="AE259" i="54" s="1"/>
  <c r="AD270" i="54"/>
  <c r="AE270" i="54" s="1"/>
  <c r="AD277" i="54"/>
  <c r="AE277" i="54" s="1"/>
  <c r="T260" i="54"/>
  <c r="U260" i="54" s="1"/>
  <c r="T243" i="54"/>
  <c r="U243" i="54" s="1"/>
  <c r="T256" i="54"/>
  <c r="U256" i="54" s="1"/>
  <c r="T258" i="54"/>
  <c r="U258" i="54" s="1"/>
  <c r="AD248" i="54"/>
  <c r="AE248" i="54" s="1"/>
  <c r="AD250" i="54"/>
  <c r="AE250" i="54" s="1"/>
  <c r="AD255" i="54"/>
  <c r="AE255" i="54" s="1"/>
  <c r="T236" i="54"/>
  <c r="U236" i="54" s="1"/>
  <c r="T233" i="54"/>
  <c r="U233" i="54" s="1"/>
  <c r="T248" i="54"/>
  <c r="U248" i="54" s="1"/>
  <c r="T254" i="54"/>
  <c r="U254" i="54" s="1"/>
  <c r="AD247" i="54"/>
  <c r="AE247" i="54" s="1"/>
  <c r="AD269" i="54"/>
  <c r="AE269" i="54" s="1"/>
  <c r="AD245" i="54"/>
  <c r="AE245" i="54" s="1"/>
  <c r="T252" i="54"/>
  <c r="U252" i="54" s="1"/>
  <c r="T278" i="54"/>
  <c r="U278" i="54" s="1"/>
  <c r="T232" i="54"/>
  <c r="U232" i="54" s="1"/>
  <c r="T246" i="54"/>
  <c r="U246" i="54" s="1"/>
  <c r="AD260" i="54"/>
  <c r="AE260" i="54" s="1"/>
  <c r="AD249" i="54"/>
  <c r="AE249" i="54" s="1"/>
  <c r="T276" i="54"/>
  <c r="U276" i="54" s="1"/>
  <c r="T251" i="54"/>
  <c r="U251" i="54" s="1"/>
  <c r="T267" i="54"/>
  <c r="U267" i="54" s="1"/>
  <c r="T247" i="54"/>
  <c r="U247" i="54" s="1"/>
  <c r="AD261" i="54"/>
  <c r="AE261" i="54" s="1"/>
  <c r="AD242" i="54"/>
  <c r="AE242" i="54" s="1"/>
  <c r="AD268" i="54"/>
  <c r="AE268" i="54" s="1"/>
  <c r="T234" i="54"/>
  <c r="U234" i="54" s="1"/>
  <c r="T266" i="54"/>
  <c r="U266" i="54" s="1"/>
  <c r="T253" i="54"/>
  <c r="U253" i="54" s="1"/>
  <c r="T239" i="54"/>
  <c r="U239" i="54" s="1"/>
  <c r="AD241" i="54"/>
  <c r="AE241" i="54" s="1"/>
  <c r="AD279" i="54"/>
  <c r="AE279" i="54" s="1"/>
  <c r="AD276" i="54"/>
  <c r="AE276" i="54" s="1"/>
  <c r="T274" i="54"/>
  <c r="U274" i="54" s="1"/>
  <c r="T245" i="54"/>
  <c r="U245" i="54" s="1"/>
  <c r="T242" i="54"/>
  <c r="U242" i="54" s="1"/>
  <c r="T279" i="54"/>
  <c r="U279" i="54" s="1"/>
  <c r="AD238" i="54"/>
  <c r="AE238" i="54" s="1"/>
  <c r="AD257" i="54"/>
  <c r="AE257" i="54" s="1"/>
  <c r="AD266" i="54"/>
  <c r="AE266" i="54" s="1"/>
  <c r="T270" i="54"/>
  <c r="U270" i="54" s="1"/>
  <c r="T277" i="54"/>
  <c r="U277" i="54" s="1"/>
  <c r="T265" i="54"/>
  <c r="U265" i="54" s="1"/>
  <c r="T271" i="54"/>
  <c r="U271" i="54" s="1"/>
  <c r="AD267" i="54"/>
  <c r="AE267" i="54" s="1"/>
  <c r="AD263" i="54"/>
  <c r="AE263" i="54" s="1"/>
  <c r="AD234" i="54"/>
  <c r="AE234" i="54" s="1"/>
  <c r="AD240" i="54"/>
  <c r="AE240" i="54" s="1"/>
  <c r="AD273" i="54"/>
  <c r="AE273" i="54" s="1"/>
  <c r="AD246" i="54"/>
  <c r="AE246" i="54" s="1"/>
  <c r="AD254" i="54"/>
  <c r="AE254" i="54" s="1"/>
  <c r="T262" i="54"/>
  <c r="U262" i="54" s="1"/>
  <c r="T259" i="54"/>
  <c r="U259" i="54" s="1"/>
  <c r="T257" i="54"/>
  <c r="U257" i="54" s="1"/>
  <c r="T263" i="54"/>
  <c r="U263" i="54" s="1"/>
  <c r="AD256" i="54"/>
  <c r="AE256" i="54" s="1"/>
  <c r="T272" i="54"/>
  <c r="U272" i="54" s="1"/>
  <c r="AD274" i="54"/>
  <c r="AE274" i="54" s="1"/>
  <c r="AD237" i="54"/>
  <c r="AE237" i="54" s="1"/>
  <c r="AD235" i="54"/>
  <c r="AE235" i="54" s="1"/>
  <c r="AD244" i="54"/>
  <c r="AE244" i="54" s="1"/>
  <c r="T261" i="54"/>
  <c r="U261" i="54" s="1"/>
  <c r="T235" i="54"/>
  <c r="U235" i="54" s="1"/>
  <c r="T249" i="54"/>
  <c r="U249" i="54" s="1"/>
  <c r="T255" i="54"/>
  <c r="U255" i="54" s="1"/>
  <c r="AD264" i="54"/>
  <c r="AE264" i="54" s="1"/>
  <c r="AD272" i="54"/>
  <c r="AE272" i="54" s="1"/>
  <c r="AD278" i="54"/>
  <c r="AE278" i="54" s="1"/>
  <c r="AD258" i="54"/>
  <c r="AE258" i="54" s="1"/>
  <c r="T237" i="54"/>
  <c r="U237" i="54" s="1"/>
  <c r="T244" i="54"/>
  <c r="U244" i="54" s="1"/>
  <c r="T241" i="54"/>
  <c r="U241" i="54" s="1"/>
  <c r="A5" i="7"/>
  <c r="A6" i="7"/>
  <c r="A7" i="7"/>
  <c r="A8" i="7"/>
  <c r="A9" i="7"/>
  <c r="A10" i="7"/>
  <c r="A11" i="7"/>
  <c r="A12" i="7"/>
  <c r="A13" i="7"/>
  <c r="A14" i="7"/>
  <c r="A15" i="7"/>
  <c r="A16" i="7"/>
  <c r="A17" i="7"/>
  <c r="A18" i="7"/>
  <c r="A19" i="7"/>
  <c r="A20" i="7"/>
  <c r="A21" i="7"/>
  <c r="A22" i="7"/>
  <c r="A23" i="7"/>
  <c r="A24" i="7"/>
  <c r="A25" i="7"/>
  <c r="A26" i="7"/>
  <c r="A27" i="7"/>
  <c r="A28" i="7"/>
  <c r="A29" i="7"/>
  <c r="A30" i="7"/>
  <c r="A32" i="7"/>
  <c r="A33" i="7"/>
  <c r="A34" i="7"/>
  <c r="A35" i="7"/>
  <c r="A36" i="7"/>
  <c r="A37" i="7"/>
  <c r="A38" i="7"/>
  <c r="A39" i="7"/>
  <c r="A40" i="7"/>
  <c r="A41" i="7"/>
  <c r="A42" i="7"/>
  <c r="A43" i="7"/>
  <c r="A44" i="7"/>
  <c r="A45" i="7"/>
  <c r="A46" i="7"/>
  <c r="A47" i="7"/>
  <c r="A48" i="7"/>
  <c r="A49" i="7"/>
  <c r="A50" i="7"/>
  <c r="A51" i="7"/>
  <c r="A52" i="7"/>
  <c r="A53" i="7"/>
  <c r="A54" i="7"/>
  <c r="A55" i="7"/>
  <c r="A56" i="7"/>
  <c r="A57" i="7"/>
  <c r="A59" i="7"/>
  <c r="A60" i="7"/>
  <c r="A61" i="7"/>
  <c r="A62" i="7"/>
  <c r="A63" i="7"/>
  <c r="A64" i="7"/>
  <c r="A65" i="7"/>
  <c r="A66" i="7"/>
  <c r="A67" i="7"/>
  <c r="A68" i="7"/>
  <c r="A69" i="7"/>
  <c r="A70" i="7"/>
  <c r="A71" i="7"/>
  <c r="A72" i="7"/>
  <c r="A73" i="7"/>
  <c r="A74" i="7"/>
  <c r="A75" i="7"/>
  <c r="A76" i="7"/>
  <c r="A77" i="7"/>
  <c r="A78" i="7"/>
  <c r="A79" i="7"/>
  <c r="A80" i="7"/>
  <c r="A81" i="7"/>
  <c r="A82" i="7"/>
  <c r="A83" i="7"/>
  <c r="A84" i="7"/>
  <c r="A5" i="6"/>
  <c r="A4" i="6"/>
  <c r="I8" i="13"/>
  <c r="K352" i="54" l="1"/>
  <c r="U47" i="54" s="1"/>
  <c r="S47" i="54"/>
  <c r="AE289" i="54"/>
  <c r="AE290" i="54" s="1"/>
  <c r="AD289" i="54"/>
  <c r="AD290" i="54" s="1"/>
  <c r="T227" i="54"/>
  <c r="T228" i="54" s="1"/>
  <c r="U227" i="54"/>
  <c r="U228" i="54" s="1"/>
  <c r="S32" i="54"/>
  <c r="K290" i="54"/>
  <c r="U32" i="54" s="1"/>
  <c r="AE351" i="54"/>
  <c r="AE352" i="54" s="1"/>
  <c r="AD351" i="54"/>
  <c r="AD352" i="54" s="1"/>
  <c r="U289" i="54"/>
  <c r="T289" i="54"/>
  <c r="T290" i="54" s="1"/>
  <c r="T351" i="54"/>
  <c r="T352" i="54" s="1"/>
  <c r="U351" i="54"/>
  <c r="AE227" i="54"/>
  <c r="AE228" i="54" s="1"/>
  <c r="AD227" i="54"/>
  <c r="AD228" i="54" s="1"/>
  <c r="J228" i="54"/>
  <c r="J32" i="54"/>
  <c r="I5" i="13"/>
  <c r="I6" i="13"/>
  <c r="I7" i="13"/>
  <c r="I4" i="13"/>
  <c r="U352" i="54" l="1"/>
  <c r="S48" i="54"/>
  <c r="U290" i="54"/>
  <c r="S33" i="54"/>
  <c r="L32" i="54"/>
  <c r="G46" i="33"/>
  <c r="G45" i="33"/>
  <c r="G44" i="33"/>
  <c r="G43" i="33"/>
  <c r="G42" i="33"/>
  <c r="G41" i="33"/>
  <c r="G40" i="33"/>
  <c r="F15" i="33" s="1"/>
  <c r="G39" i="33"/>
  <c r="G38" i="33"/>
  <c r="G37" i="33"/>
  <c r="F13" i="33" l="1"/>
  <c r="F12" i="33"/>
  <c r="F17" i="33" a="1"/>
  <c r="F17" i="33" s="1"/>
  <c r="F23" i="33" s="1"/>
  <c r="F14" i="33"/>
  <c r="E15" i="34"/>
  <c r="E16" i="34"/>
  <c r="E17" i="34"/>
  <c r="E18" i="34"/>
  <c r="E7" i="34" l="1"/>
  <c r="E8" i="34" s="1"/>
  <c r="E9" i="34" s="1"/>
  <c r="F21" i="33" a="1"/>
  <c r="F21" i="33" s="1"/>
  <c r="F27" i="33" s="1"/>
  <c r="F18" i="33" a="1"/>
  <c r="F18" i="33" s="1"/>
  <c r="F24" i="33" s="1"/>
  <c r="F19" i="33" a="1"/>
  <c r="F19" i="33" s="1"/>
  <c r="F25" i="33" s="1"/>
  <c r="F20" i="33" a="1"/>
  <c r="F20" i="33" s="1"/>
  <c r="F26" i="33" s="1"/>
  <c r="J6" i="15"/>
  <c r="A5" i="17"/>
  <c r="A6" i="17"/>
  <c r="A7" i="17"/>
  <c r="A8" i="17"/>
  <c r="A9" i="17"/>
  <c r="A10" i="17"/>
  <c r="A11" i="17"/>
  <c r="A12" i="17"/>
  <c r="A13" i="17"/>
  <c r="J4" i="31"/>
  <c r="J25" i="4"/>
  <c r="A9" i="3"/>
  <c r="J17" i="4"/>
  <c r="J16" i="15"/>
  <c r="J17" i="15"/>
  <c r="J12" i="15"/>
  <c r="J14" i="15"/>
  <c r="J4" i="15"/>
  <c r="J7" i="15"/>
  <c r="J8" i="15"/>
  <c r="J10" i="15"/>
  <c r="A18" i="17"/>
  <c r="A14" i="17"/>
  <c r="A15" i="17"/>
  <c r="A16" i="17"/>
  <c r="A17" i="17"/>
  <c r="A22" i="17"/>
  <c r="A23" i="17"/>
  <c r="A24" i="17"/>
  <c r="A25" i="17"/>
  <c r="A27" i="17"/>
  <c r="A28" i="17"/>
  <c r="A29" i="17"/>
  <c r="A31" i="17"/>
  <c r="A32" i="17"/>
  <c r="A33" i="17"/>
  <c r="A35" i="17"/>
  <c r="A36" i="17"/>
  <c r="A37" i="17"/>
  <c r="A39" i="17"/>
  <c r="A40" i="17"/>
  <c r="A41" i="17"/>
  <c r="A42" i="17"/>
  <c r="A43" i="17"/>
  <c r="A44" i="17"/>
  <c r="A45" i="17"/>
  <c r="A46" i="17"/>
  <c r="A47" i="17"/>
  <c r="A48" i="17"/>
  <c r="A49" i="17"/>
  <c r="A50" i="17"/>
  <c r="A51" i="17"/>
  <c r="A52" i="17"/>
  <c r="A5" i="3"/>
  <c r="A6" i="3"/>
  <c r="A7" i="3"/>
  <c r="A8" i="3"/>
  <c r="A10" i="3"/>
  <c r="A4" i="3"/>
  <c r="J7" i="4"/>
  <c r="J11" i="4"/>
  <c r="J13" i="4"/>
  <c r="J18" i="4"/>
  <c r="J20" i="4"/>
  <c r="J22" i="4"/>
  <c r="J23" i="4"/>
  <c r="F30" i="33" l="1"/>
  <c r="F32"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Arna Sigurdardottir (NESO)</author>
  </authors>
  <commentList>
    <comment ref="K21" authorId="0" shapeId="0" xr:uid="{49A81615-1DA4-44DE-B3F1-BDA74DB25903}">
      <text>
        <r>
          <rPr>
            <b/>
            <sz val="9"/>
            <color indexed="81"/>
            <rFont val="Tahoma"/>
            <family val="2"/>
          </rPr>
          <t>Arna Sigurdardottir (NESO):</t>
        </r>
        <r>
          <rPr>
            <sz val="9"/>
            <color indexed="81"/>
            <rFont val="Tahoma"/>
            <family val="2"/>
          </rPr>
          <t xml:space="preserve">
Distribution of existing homes to dwelling types. From census data (2021), averaged across England and Wales and excluding caravans.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<sst xmlns="http://schemas.openxmlformats.org/spreadsheetml/2006/main" count="13089" uniqueCount="838">
  <si>
    <t>tRESP Consistent Planning Assumptions (CPAs) Value Workbook</t>
  </si>
  <si>
    <t>About</t>
  </si>
  <si>
    <t xml:space="preserve">The Consistent Planning Assumptions Value Workbook contains default values/ranges for all CPAs and outlines the complete modelling process for deriving demand from electric vehicles and residential heat pumps. It also contains an end-to-end example of applying the electric vehicle and heat pump CPAs. 
</t>
  </si>
  <si>
    <t>Version</t>
  </si>
  <si>
    <t>Version Control</t>
  </si>
  <si>
    <t xml:space="preserve">Contents: tRESP Consistent Planning Assumptions (CPAs) Value Workbook </t>
  </si>
  <si>
    <t>Tab Name</t>
  </si>
  <si>
    <t>Scope</t>
  </si>
  <si>
    <t>Overview</t>
  </si>
  <si>
    <t>CPA Lists</t>
  </si>
  <si>
    <t>EV CPA List</t>
  </si>
  <si>
    <t>HP CPA List</t>
  </si>
  <si>
    <t>Process diagrams</t>
  </si>
  <si>
    <t>EV CPA Process</t>
  </si>
  <si>
    <t>HP CPA Process</t>
  </si>
  <si>
    <t>Summary tables and related values/ranges</t>
  </si>
  <si>
    <t>Summary Table - Tab Name</t>
  </si>
  <si>
    <t>CPA Number - Tab Name</t>
  </si>
  <si>
    <t>CPA</t>
  </si>
  <si>
    <t xml:space="preserve">EV CPA Summary Table </t>
  </si>
  <si>
    <t>EV01</t>
  </si>
  <si>
    <t>EV02</t>
  </si>
  <si>
    <t>EV03</t>
  </si>
  <si>
    <t>EV04</t>
  </si>
  <si>
    <t>EV05</t>
  </si>
  <si>
    <t>EV06</t>
  </si>
  <si>
    <t>EV07</t>
  </si>
  <si>
    <t>EV08</t>
  </si>
  <si>
    <t>EV09</t>
  </si>
  <si>
    <t>EV10</t>
  </si>
  <si>
    <t>Domestic HP CPA Summary Table</t>
  </si>
  <si>
    <t>HP01</t>
  </si>
  <si>
    <t>HP02</t>
  </si>
  <si>
    <t>HP03</t>
  </si>
  <si>
    <t>HP04</t>
  </si>
  <si>
    <t>HP05</t>
  </si>
  <si>
    <t>HP06</t>
  </si>
  <si>
    <t>HP07</t>
  </si>
  <si>
    <t>HP08</t>
  </si>
  <si>
    <t>HP09</t>
  </si>
  <si>
    <t>Domestic EE CPA Summary Table</t>
  </si>
  <si>
    <t>EE01</t>
  </si>
  <si>
    <t>Residential energy efficiency</t>
  </si>
  <si>
    <t>CPA Indicative Impact</t>
  </si>
  <si>
    <t>EV Indicative Impact</t>
  </si>
  <si>
    <t>HP Indicative Impact</t>
  </si>
  <si>
    <t>CPA End-to-End Calculation</t>
  </si>
  <si>
    <t>EV End to End Example</t>
  </si>
  <si>
    <t>HP End to End Example</t>
  </si>
  <si>
    <t>Type</t>
  </si>
  <si>
    <t>CPA Additional Information</t>
  </si>
  <si>
    <t>Lists and shorthand mapping used throughout the workbook</t>
  </si>
  <si>
    <t>Mapping</t>
  </si>
  <si>
    <t>CPA IDs</t>
  </si>
  <si>
    <t>CPA ID info</t>
  </si>
  <si>
    <t>tRESP building block for EV and HP</t>
  </si>
  <si>
    <t>tRESP BB for EV and HP</t>
  </si>
  <si>
    <t>Back to contents</t>
  </si>
  <si>
    <t>Date</t>
  </si>
  <si>
    <t>Classification</t>
  </si>
  <si>
    <t>Changes</t>
  </si>
  <si>
    <t>Public</t>
  </si>
  <si>
    <t>Initial Published Version</t>
  </si>
  <si>
    <t>Overview of CPA scope</t>
  </si>
  <si>
    <r>
      <t xml:space="preserve">The modelling process is designed for the assessment of demand during </t>
    </r>
    <r>
      <rPr>
        <b/>
        <sz val="10"/>
        <color rgb="FF000000"/>
        <rFont val="Poppins"/>
      </rPr>
      <t>four representative days</t>
    </r>
    <r>
      <rPr>
        <sz val="10"/>
        <color rgb="FF000000"/>
        <rFont val="Poppins"/>
      </rPr>
      <t xml:space="preserve"> (peak demand winter day, peak demand summer day, peak demand shoulder season day, overall minimum demand day) within an average weather year, to focus on the assessment of scenarios that drive network planning. There is expected to be little variation in demand between seasons for electric vehicles, so the CPAs provided apply across all representative days. However, heat pump demand is heavily dependent on outside air temperature and so different half-hourly demand profiles and other relevant CPAs are provided for each of the representative days.  </t>
    </r>
  </si>
  <si>
    <r>
      <t xml:space="preserve">For both electric vehicles and heat pumps, CPAs are provided to enable users to account for the impact of </t>
    </r>
    <r>
      <rPr>
        <b/>
        <sz val="10"/>
        <color rgb="FF000000"/>
        <rFont val="Poppins"/>
      </rPr>
      <t>diversity</t>
    </r>
    <r>
      <rPr>
        <sz val="10"/>
        <color rgb="FF000000"/>
        <rFont val="Poppins"/>
      </rPr>
      <t>, i.e. the reduction in peak demand that is associated with multiple end users, reflecting the fact that not all end users will operate at their maximum capacity simultaneously. </t>
    </r>
  </si>
  <si>
    <r>
      <t xml:space="preserve">Where the CPAs are provided on an annual basis, the </t>
    </r>
    <r>
      <rPr>
        <b/>
        <sz val="10"/>
        <color rgb="FF000000"/>
        <rFont val="Poppins"/>
      </rPr>
      <t>years refer to the period from 1st April to 31st March</t>
    </r>
    <r>
      <rPr>
        <sz val="10"/>
        <color rgb="FF000000"/>
        <rFont val="Poppins"/>
      </rPr>
      <t xml:space="preserve">, in line with the tRESP Pathways definition of years. That is, the baseline year, 2025, refers to the year ending on 31st March 2025. </t>
    </r>
  </si>
  <si>
    <t>For electric vehicles, the modelling process is designed to enable consideration of different vehicle types, charger types and behaviours, as well as allowing for regional/national and temporal variation. The scope of vehicle types, charger types and behaviours considered are summarised in Table 1.  </t>
  </si>
  <si>
    <t>Vehicle types </t>
  </si>
  <si>
    <t>Charger types </t>
  </si>
  <si>
    <t>Behaviours (domestic chargers only) </t>
  </si>
  <si>
    <r>
      <t>Electric light vans, cars and motorbikes</t>
    </r>
    <r>
      <rPr>
        <b/>
        <sz val="10"/>
        <color rgb="FF000000"/>
        <rFont val="Poppins"/>
      </rPr>
      <t> </t>
    </r>
  </si>
  <si>
    <t>Domestic </t>
  </si>
  <si>
    <t>No flexibility </t>
  </si>
  <si>
    <r>
      <t>Plug in hybrid light vans, cars and motorbikes</t>
    </r>
    <r>
      <rPr>
        <b/>
        <sz val="10"/>
        <color rgb="FF000000"/>
        <rFont val="Poppins"/>
      </rPr>
      <t> </t>
    </r>
  </si>
  <si>
    <t>Workplace </t>
  </si>
  <si>
    <t>Static smart charging </t>
  </si>
  <si>
    <r>
      <t>Electric heavy goods vehicles and buses</t>
    </r>
    <r>
      <rPr>
        <b/>
        <sz val="10"/>
        <color rgb="FF000000"/>
        <rFont val="Poppins"/>
      </rPr>
      <t> </t>
    </r>
  </si>
  <si>
    <t>Public slow/ fast </t>
  </si>
  <si>
    <r>
      <t>Plug in hybrid heavy goods vehicles and buses</t>
    </r>
    <r>
      <rPr>
        <b/>
        <sz val="10"/>
        <color rgb="FF000000"/>
        <rFont val="Poppins"/>
      </rPr>
      <t> </t>
    </r>
  </si>
  <si>
    <t>Public rapid </t>
  </si>
  <si>
    <t>HGV depot </t>
  </si>
  <si>
    <r>
      <t xml:space="preserve">Table </t>
    </r>
    <r>
      <rPr>
        <i/>
        <sz val="9"/>
        <color rgb="FF000000"/>
        <rFont val="Poppins"/>
      </rPr>
      <t>1</t>
    </r>
    <r>
      <rPr>
        <i/>
        <sz val="9"/>
        <color rgb="FF44546A"/>
        <rFont val="Poppins"/>
      </rPr>
      <t>: vehicle types, charger types and charging behaviours considered within the scope of the tRESP CPAs for electric vehicles </t>
    </r>
  </si>
  <si>
    <t>For heat pumps, the modelling process is designed to enable consideration of different dwelling categories, representative days in a year and space-heating behaviours, as well as allowing for regional/national and temporal variation. The scope of the variations considered are summarised in Table 2.  </t>
  </si>
  <si>
    <t>Dwelling categories </t>
  </si>
  <si>
    <t>Representative days </t>
  </si>
  <si>
    <t>Space-heating behaviours  </t>
  </si>
  <si>
    <r>
      <t>Detached (existing build)</t>
    </r>
    <r>
      <rPr>
        <b/>
        <sz val="10"/>
        <color rgb="FF000000"/>
        <rFont val="Poppins"/>
      </rPr>
      <t> </t>
    </r>
  </si>
  <si>
    <t>Peak demand winter day </t>
  </si>
  <si>
    <t>Bimodal  </t>
  </si>
  <si>
    <r>
      <t>Semi-detached and end-terraced (existing build)</t>
    </r>
    <r>
      <rPr>
        <b/>
        <sz val="10"/>
        <color rgb="FF000000"/>
        <rFont val="Poppins"/>
      </rPr>
      <t> </t>
    </r>
  </si>
  <si>
    <t>Peak demand summer day </t>
  </si>
  <si>
    <t>Daytime </t>
  </si>
  <si>
    <r>
      <t>Mid-terraced (existing build)</t>
    </r>
    <r>
      <rPr>
        <b/>
        <sz val="10"/>
        <color rgb="FF000000"/>
        <rFont val="Poppins"/>
      </rPr>
      <t> </t>
    </r>
  </si>
  <si>
    <t>Peak demand shoulder season day </t>
  </si>
  <si>
    <t>Continuous </t>
  </si>
  <si>
    <r>
      <t>Flats (existing build)</t>
    </r>
    <r>
      <rPr>
        <b/>
        <sz val="10"/>
        <color rgb="FF000000"/>
        <rFont val="Poppins"/>
      </rPr>
      <t> </t>
    </r>
  </si>
  <si>
    <t>Overall minimum demand day </t>
  </si>
  <si>
    <r>
      <t>Detached (new build)</t>
    </r>
    <r>
      <rPr>
        <b/>
        <sz val="10"/>
        <color rgb="FF000000"/>
        <rFont val="Poppins"/>
      </rPr>
      <t> </t>
    </r>
  </si>
  <si>
    <r>
      <t>Semi-detached and end-terraced (new build)</t>
    </r>
    <r>
      <rPr>
        <b/>
        <sz val="10"/>
        <color rgb="FF000000"/>
        <rFont val="Poppins"/>
      </rPr>
      <t> </t>
    </r>
  </si>
  <si>
    <r>
      <t>Mid-terraced (new build)</t>
    </r>
    <r>
      <rPr>
        <b/>
        <sz val="10"/>
        <color rgb="FF000000"/>
        <rFont val="Poppins"/>
      </rPr>
      <t> </t>
    </r>
  </si>
  <si>
    <r>
      <t>Flats (new build)</t>
    </r>
    <r>
      <rPr>
        <b/>
        <sz val="10"/>
        <color rgb="FF000000"/>
        <rFont val="Poppins"/>
      </rPr>
      <t> </t>
    </r>
  </si>
  <si>
    <r>
      <t xml:space="preserve">Table </t>
    </r>
    <r>
      <rPr>
        <i/>
        <sz val="9"/>
        <color rgb="FF000000"/>
        <rFont val="Poppins"/>
      </rPr>
      <t>2</t>
    </r>
    <r>
      <rPr>
        <i/>
        <sz val="9"/>
        <color rgb="FF44546A"/>
        <rFont val="Poppins"/>
      </rPr>
      <t>: dwelling categories, representative days and space-heating behaviours considered within the scope of the tRESP CPAs for residential heat pumps </t>
    </r>
  </si>
  <si>
    <t>Whilst the tRESP CPAs focus primarily on electric vehicles and residential heat pumps, a CPA is also provided to drive consistency in the impact of energy efficiency improvements (for lighting and appliances) on residential electricity demand.  </t>
  </si>
  <si>
    <t>Glossary</t>
  </si>
  <si>
    <t>Term/ Acronym</t>
  </si>
  <si>
    <t>Definition</t>
  </si>
  <si>
    <t>BBs</t>
  </si>
  <si>
    <t>Building Blocks</t>
  </si>
  <si>
    <t>BRE</t>
  </si>
  <si>
    <t>Building Research Establishment</t>
  </si>
  <si>
    <t>COP</t>
  </si>
  <si>
    <t>Coefficient of Performance</t>
  </si>
  <si>
    <t>Consistent Planning Assumptions</t>
  </si>
  <si>
    <t>DC</t>
  </si>
  <si>
    <t>Dwelling Category</t>
  </si>
  <si>
    <t>DESNZ</t>
  </si>
  <si>
    <t>Department for Energy Security and Net Zero</t>
  </si>
  <si>
    <t>DfT</t>
  </si>
  <si>
    <t>Department for Transport</t>
  </si>
  <si>
    <t>DNO</t>
  </si>
  <si>
    <t>Any Electricity Distributor in whose electricity distribution licence the requirements of Section B of the standard conditions of that licence have effect (whether in whole or in part).</t>
  </si>
  <si>
    <t>EE</t>
  </si>
  <si>
    <t>Energy Efficiency</t>
  </si>
  <si>
    <t>ESC</t>
  </si>
  <si>
    <t>Energy Systems Catapult</t>
  </si>
  <si>
    <t>EVs</t>
  </si>
  <si>
    <r>
      <t xml:space="preserve">Electric vehicles – </t>
    </r>
    <r>
      <rPr>
        <i/>
        <sz val="11"/>
        <color theme="1"/>
        <rFont val="Poppins"/>
      </rPr>
      <t>vehicles wholly driven by an electric motor that is wholly powered through a battery and does not produce any tailpipe emissions</t>
    </r>
  </si>
  <si>
    <t>FES</t>
  </si>
  <si>
    <t>Future Energy Scenarios</t>
  </si>
  <si>
    <t>GB</t>
  </si>
  <si>
    <t>Great Britain</t>
  </si>
  <si>
    <t>HGV</t>
  </si>
  <si>
    <t>Heavy Goods Vehicles</t>
  </si>
  <si>
    <t>HPs</t>
  </si>
  <si>
    <t>Heat pumps</t>
  </si>
  <si>
    <t>kW</t>
  </si>
  <si>
    <t>Kilowatt (unit of power)</t>
  </si>
  <si>
    <t>kWh</t>
  </si>
  <si>
    <t>Kilowatt hour (unit of energy)</t>
  </si>
  <si>
    <t>LCT</t>
  </si>
  <si>
    <t>Low Carbon Technology: LCTs is the collective term for the following technologies: 
• Heat pumps at existing connections that do not lead to a new or modified connection 
• Electric vehicle (EV) chargers, both slow and fast charging, at existing connections that do not lead to a new or modified connection 
• Photovoltaics (PV) connected under Engineering Recommendation G98 
• Other renewable Distributed Generation (DG), excluding PV, connected under Engineering Recommendation G98 
• Renewable DG not connected under Engineering Recommendation G98</t>
  </si>
  <si>
    <t>PHEV</t>
  </si>
  <si>
    <t>Plug-in hybrid electric vehicle</t>
  </si>
  <si>
    <t>SPF</t>
  </si>
  <si>
    <t>Seasonal Performance Factor</t>
  </si>
  <si>
    <t>tRESP</t>
  </si>
  <si>
    <t xml:space="preserve">Transitional Regional Energy Strategic Plan </t>
  </si>
  <si>
    <t>The CPAs have unique name IDs depending on technology, scope, representative day, behaviour category, spatial granularity</t>
  </si>
  <si>
    <t>CPA technology ID</t>
  </si>
  <si>
    <t>CPA Number</t>
  </si>
  <si>
    <t>Technology detail</t>
  </si>
  <si>
    <t>Representative days</t>
  </si>
  <si>
    <t>Behaviours</t>
  </si>
  <si>
    <t>Spatial granularity</t>
  </si>
  <si>
    <t>Examples</t>
  </si>
  <si>
    <r>
      <rPr>
        <b/>
        <i/>
        <sz val="11"/>
        <color theme="1"/>
        <rFont val="Poppins"/>
      </rPr>
      <t>Identifier for the technology category the CPA applies to:</t>
    </r>
    <r>
      <rPr>
        <i/>
        <sz val="11"/>
        <color theme="1"/>
        <rFont val="Poppins"/>
      </rPr>
      <t xml:space="preserve"> EV=electric vehicle, 
HP=heat pump, 
EE=energy efficiency</t>
    </r>
  </si>
  <si>
    <t>Identifier for the assumption, numbers restart for each technology category</t>
  </si>
  <si>
    <t>Identifier for the specific sub-technology (can be one or multiple, separated by a hyphen/technologies or archetype/s the assumption applies to (can be one or multiple, separated by a hyphen). For EVs, these correspond to Building Blocks (BB) or charger types, for HPs, these correspond to the Dwelling Categories (DC).</t>
  </si>
  <si>
    <r>
      <rPr>
        <b/>
        <i/>
        <sz val="11"/>
        <color theme="1"/>
        <rFont val="Poppins"/>
      </rPr>
      <t>The representative day for which the assumption applies:</t>
    </r>
    <r>
      <rPr>
        <i/>
        <sz val="11"/>
        <color theme="1"/>
        <rFont val="Poppins"/>
      </rPr>
      <t xml:space="preserve">
WP=winter peak, 
SP=summer peak, 
SSP=shoulder season peak, MIN=overall minimum, ALL=applicable to all representative days, 
NA=not applicable</t>
    </r>
  </si>
  <si>
    <t xml:space="preserve">The consumer behaviour for which the assumption applies. These behaviours can be different for each technology and are indicated by a number or shorthand. 
BHV1=  behaviour type 1 (e.g. bimodal heat pump operation), 
BHV2=  behaviour type 2 (e.g. daytime demand heat pump operation), 
ALL=applicable to all behaviours, 
NA=not applicable
etc. </t>
  </si>
  <si>
    <t>The spatial region the assumption applies to: 
GB=same value/s for all of GB, NorthEast=assumption applies to North East (note: government regions), MersNWales = assumptions applies to the Merseyside and North Wales DNO licence area.</t>
  </si>
  <si>
    <t>CPA ID</t>
  </si>
  <si>
    <t>Description</t>
  </si>
  <si>
    <t>EV</t>
  </si>
  <si>
    <t>01</t>
  </si>
  <si>
    <t>BB1</t>
  </si>
  <si>
    <t>NA</t>
  </si>
  <si>
    <t>EV01_BB1-BB2_NA_NA_East</t>
  </si>
  <si>
    <t>EV assumption 1, applies to building blocks 1 and 2, does not apply to specific representative days or flexibility behaviours, specific assumption for East of England.</t>
  </si>
  <si>
    <t>HP</t>
  </si>
  <si>
    <t>02</t>
  </si>
  <si>
    <t>BB2</t>
  </si>
  <si>
    <t>ALL</t>
  </si>
  <si>
    <t>NorthEast</t>
  </si>
  <si>
    <t>EV05_BB10_ALL_FLX2_GB</t>
  </si>
  <si>
    <t>EV assumption 1, applies to building block 10, applicable for all representative days, flexibility behaviour type 2, applicable to all of GB.</t>
  </si>
  <si>
    <t>03</t>
  </si>
  <si>
    <t>BB1-BB2</t>
  </si>
  <si>
    <t>WP</t>
  </si>
  <si>
    <t>BHV1</t>
  </si>
  <si>
    <t>NorthWest</t>
  </si>
  <si>
    <t>HP01_DC1_NA_ALL_GB</t>
  </si>
  <si>
    <t>HP assumption 1, applies to dwelling category 1, does not apply to specific representative days, applicable to all flexibility behaviours, applicable to all of GB.</t>
  </si>
  <si>
    <t>04</t>
  </si>
  <si>
    <t>etc. (related to BBs/DCs where applicable)</t>
  </si>
  <si>
    <t>SP</t>
  </si>
  <si>
    <t>BHV2</t>
  </si>
  <si>
    <t>East</t>
  </si>
  <si>
    <t>HP05_NA_WP_NA_NorthEast</t>
  </si>
  <si>
    <t>HP assumption 5, does not apply to specific dwelling categories, applies to winter peak demand day, does not apply for specific flexibility behaviours, specific assumption for the North East.</t>
  </si>
  <si>
    <t>05</t>
  </si>
  <si>
    <t>DC1</t>
  </si>
  <si>
    <t>SSP</t>
  </si>
  <si>
    <t>BHV3</t>
  </si>
  <si>
    <t>etc.</t>
  </si>
  <si>
    <t>DC2</t>
  </si>
  <si>
    <t>MIN</t>
  </si>
  <si>
    <t>EV CPA</t>
  </si>
  <si>
    <t>EV BBs</t>
  </si>
  <si>
    <t>BB shorthand</t>
  </si>
  <si>
    <t>EV charger type</t>
  </si>
  <si>
    <t>EV charger type shorthand</t>
  </si>
  <si>
    <t>EV flexibility behaviours</t>
  </si>
  <si>
    <t>Flex shorthand</t>
  </si>
  <si>
    <t>HP CPA</t>
  </si>
  <si>
    <t>HP BBs</t>
  </si>
  <si>
    <t>Dwelling categories</t>
  </si>
  <si>
    <t>Dwelling categories shorthand</t>
  </si>
  <si>
    <t>HP behaviours</t>
  </si>
  <si>
    <t>Behaviour shorthand</t>
  </si>
  <si>
    <t>CPA number</t>
  </si>
  <si>
    <t>EE CPA</t>
  </si>
  <si>
    <t>Representative days shorthand</t>
  </si>
  <si>
    <t>Temporal granularity</t>
  </si>
  <si>
    <t>New build status</t>
  </si>
  <si>
    <t>New build status shorthand</t>
  </si>
  <si>
    <t>Government regions</t>
  </si>
  <si>
    <t>Region shorthand</t>
  </si>
  <si>
    <t>DNO licence areas</t>
  </si>
  <si>
    <t>DNO licence areas shorthand</t>
  </si>
  <si>
    <t>RAG list</t>
  </si>
  <si>
    <t>Year list</t>
  </si>
  <si>
    <t>Switch</t>
  </si>
  <si>
    <t>Vehicle mileage</t>
  </si>
  <si>
    <t>Lct_BB001</t>
  </si>
  <si>
    <t>Domestic</t>
  </si>
  <si>
    <t>domestic</t>
  </si>
  <si>
    <t>No flexibility</t>
  </si>
  <si>
    <t>NoFlex</t>
  </si>
  <si>
    <t>Size of heat pump</t>
  </si>
  <si>
    <t>Lct_BB005</t>
  </si>
  <si>
    <t>BB5</t>
  </si>
  <si>
    <t>Detached</t>
  </si>
  <si>
    <t>Bimodal (reference only)</t>
  </si>
  <si>
    <t>Peak demand winter day</t>
  </si>
  <si>
    <t>None</t>
  </si>
  <si>
    <t>Existing build</t>
  </si>
  <si>
    <t>EXIST</t>
  </si>
  <si>
    <t>Scotland</t>
  </si>
  <si>
    <t>East Midlands</t>
  </si>
  <si>
    <t>EastMids</t>
  </si>
  <si>
    <t>ON</t>
  </si>
  <si>
    <t>Distance in EV mode</t>
  </si>
  <si>
    <t>Lct_BB002</t>
  </si>
  <si>
    <t>Workplace</t>
  </si>
  <si>
    <t>workplace</t>
  </si>
  <si>
    <t>Flexibility (static TouT)</t>
  </si>
  <si>
    <t>Smart</t>
  </si>
  <si>
    <t>Dwelling thermal efficiency factor</t>
  </si>
  <si>
    <t>Lct_BB006</t>
  </si>
  <si>
    <t>BB6</t>
  </si>
  <si>
    <t>Semi-detached and end-terraced</t>
  </si>
  <si>
    <t>Daytime (reference only)</t>
  </si>
  <si>
    <t>Peak demand summer day</t>
  </si>
  <si>
    <t>Region</t>
  </si>
  <si>
    <t>Annual</t>
  </si>
  <si>
    <t>New build</t>
  </si>
  <si>
    <t>NEW</t>
  </si>
  <si>
    <t>Wales</t>
  </si>
  <si>
    <t>Eastern</t>
  </si>
  <si>
    <t>OFF</t>
  </si>
  <si>
    <t>EV efficiency</t>
  </si>
  <si>
    <t>Lct_BB003</t>
  </si>
  <si>
    <t>BB3</t>
  </si>
  <si>
    <t>Slow/fast public</t>
  </si>
  <si>
    <t>slowfast</t>
  </si>
  <si>
    <t>Applicable across all</t>
  </si>
  <si>
    <t>Efficiency of heat pump (COP/SPF)</t>
  </si>
  <si>
    <t>N/A</t>
  </si>
  <si>
    <t>Mid-terraced</t>
  </si>
  <si>
    <t>DC3</t>
  </si>
  <si>
    <t>Continuous (reference only)</t>
  </si>
  <si>
    <t>Peak demand shoulder season day</t>
  </si>
  <si>
    <t>Half-hourly</t>
  </si>
  <si>
    <t>London</t>
  </si>
  <si>
    <t>Proportion of charging by charger type</t>
  </si>
  <si>
    <t>Lct_BB004</t>
  </si>
  <si>
    <t>BB4</t>
  </si>
  <si>
    <t>Rapid public</t>
  </si>
  <si>
    <t>rapid</t>
  </si>
  <si>
    <t>Specific heat pump heat output</t>
  </si>
  <si>
    <t>Flats</t>
  </si>
  <si>
    <t>DC4</t>
  </si>
  <si>
    <t>Overall minimum demand day</t>
  </si>
  <si>
    <t>Half-hourly, annual</t>
  </si>
  <si>
    <t>Merseyside and North Wales</t>
  </si>
  <si>
    <t>MersNWales</t>
  </si>
  <si>
    <t>Proportion of consumers by flexibility behaviour</t>
  </si>
  <si>
    <t>HGV depot</t>
  </si>
  <si>
    <t>depot</t>
  </si>
  <si>
    <t>Temperature difference</t>
  </si>
  <si>
    <t>Weighted average</t>
  </si>
  <si>
    <t>WA</t>
  </si>
  <si>
    <t>Midlands</t>
  </si>
  <si>
    <t>Wmids</t>
  </si>
  <si>
    <t>Normalised half-hourly profile</t>
  </si>
  <si>
    <t>Normalised half-hourly profiles</t>
  </si>
  <si>
    <t>North East</t>
  </si>
  <si>
    <t>North Scotland</t>
  </si>
  <si>
    <t>NorthScot</t>
  </si>
  <si>
    <t>Diversity-correction curve</t>
  </si>
  <si>
    <t>Proportion of consumers with each behaviour pattern</t>
  </si>
  <si>
    <t>Yorkshire and The Humber</t>
  </si>
  <si>
    <t>YorksHumber</t>
  </si>
  <si>
    <t>North Western</t>
  </si>
  <si>
    <t>Minimum count for full diversification</t>
  </si>
  <si>
    <t>North West</t>
  </si>
  <si>
    <t>Northern</t>
  </si>
  <si>
    <t>North</t>
  </si>
  <si>
    <t>Charge point utilisation</t>
  </si>
  <si>
    <t>South West</t>
  </si>
  <si>
    <t>SouthWest</t>
  </si>
  <si>
    <t>South Eastern</t>
  </si>
  <si>
    <t>SouthEast</t>
  </si>
  <si>
    <t>Size of chargers</t>
  </si>
  <si>
    <t>West Midlands</t>
  </si>
  <si>
    <t>WestMids</t>
  </si>
  <si>
    <t>South Scotland</t>
  </si>
  <si>
    <t>SouthScot</t>
  </si>
  <si>
    <t>South East</t>
  </si>
  <si>
    <t>South Wales</t>
  </si>
  <si>
    <t>SouthWales</t>
  </si>
  <si>
    <t>South Western</t>
  </si>
  <si>
    <t>Southern</t>
  </si>
  <si>
    <t>South</t>
  </si>
  <si>
    <t>Yorkshire</t>
  </si>
  <si>
    <t>tRESP  Building blocks for Electric Vehicles and Heat Pumps</t>
  </si>
  <si>
    <t>Technology</t>
  </si>
  <si>
    <t>FES BB ID Number</t>
  </si>
  <si>
    <t>Electric Vehicles</t>
  </si>
  <si>
    <t>Pure Electric (vans, cars and motorbikes)</t>
  </si>
  <si>
    <t>Plug-in-hybrid (vans, cars and motorbikes)</t>
  </si>
  <si>
    <t>Pure Electric (buses, coaches and HGV)</t>
  </si>
  <si>
    <t>Plug-in-hybrid (buses, coaches and HGVs)</t>
  </si>
  <si>
    <t>Heat Pumps</t>
  </si>
  <si>
    <t>Domestic - Non-hybrid</t>
  </si>
  <si>
    <t>Domestic – Hybrid</t>
  </si>
  <si>
    <t xml:space="preserve">Back to EV CPA Summary Table </t>
  </si>
  <si>
    <t>EV CPA Summary Table</t>
  </si>
  <si>
    <t>Unit</t>
  </si>
  <si>
    <t>Data source/s</t>
  </si>
  <si>
    <t>Link/s</t>
  </si>
  <si>
    <t>Data processing comment</t>
  </si>
  <si>
    <t>Default values comment</t>
  </si>
  <si>
    <t>Overall RAG rating</t>
  </si>
  <si>
    <t>Based on reliable source</t>
  </si>
  <si>
    <t>RAG</t>
  </si>
  <si>
    <t>Be relevant</t>
  </si>
  <si>
    <t>Be up to date</t>
  </si>
  <si>
    <t>Be location specific</t>
  </si>
  <si>
    <t>Considers changes through time</t>
  </si>
  <si>
    <t>Weather and climate impact</t>
  </si>
  <si>
    <t>The number of kilometres travelled in one year per vehicle.</t>
  </si>
  <si>
    <t>Defined for Lct_BB001 and Lct_BB002, Lct_BB003 and Lct_BB004</t>
  </si>
  <si>
    <t>km/year</t>
  </si>
  <si>
    <t xml:space="preserve">a) DfT TRA0206 table
</t>
  </si>
  <si>
    <t>https://www.gov.uk/government/statistical-data-sets/road-traffic-statistics-tra#traffic-volume-in-kilometres-tra02</t>
  </si>
  <si>
    <t>Number of kilometres travelled from TAR0206 and TRA8905 tables divided by number of vehicles from VEH0105 tables to get mileage. 
Table TRA8905 provides vehicle kilometres for three selected vehicle types at local authority resolution, Cars and Taxis, Light Commercial Vehicles, and Heavy Goods Vehicles. Table TRA0206 provides vehicle kilometres for two additional vehicle types, Motorcycles, and Buses and Coaches by nation and region in GB, i.e. Scotland, Wales and the nine English Government regions. 
Where local authority data is available, this was used to derive values for the total vehicle kilometres at licence area resolution. For Motorcycles, and Buses and Coaches, the licence area values are a weighted average of the government region data for the regions overlapping each licence area, weighted by vehicle registrations from VEH0105 rather than geographic area. Default values are average over two historic years (2023-2024).</t>
  </si>
  <si>
    <t>Default values are values for the licence area each network asset sits within. Additional detail can be added by using different vehicle type categories (e.g. defining mileage for cars and light commercial vehicles separately) and/or by defining values at higher geospatial resolution.</t>
  </si>
  <si>
    <t>Government published data</t>
  </si>
  <si>
    <t xml:space="preserve">DfT tables log milage and total vehicle stock for Lct_BB001-2 (cars and taxis, light commercial vehicles, motorcycles), and Lct_BB002-3 (heavy goods vehicles, buses and coaches). </t>
  </si>
  <si>
    <t xml:space="preserve">Road traffic data updated annually, vehicle stock data updated quarterly. </t>
  </si>
  <si>
    <t>Datasets are GB-specific and are available for Scotland, Wales and the UK Government-defined English regions, with some data available by local authority</t>
  </si>
  <si>
    <t xml:space="preserve">Not considered. </t>
  </si>
  <si>
    <t>Not considered.</t>
  </si>
  <si>
    <t>b) DfT TRA8905 table</t>
  </si>
  <si>
    <t>https://www.gov.uk/government/statistical-data-sets/road-traffic-statistics-tra#traffic-volume-in-kilometres-tra89</t>
  </si>
  <si>
    <t>c) DfT and DVLA VEH0105 table</t>
  </si>
  <si>
    <t>https://www.gov.uk/government/statistical-data-sets/vehicle-licensing-statistics-data-tables</t>
  </si>
  <si>
    <t>The proportion of vehicle kilometres travelled that use the electric component of plug-in vehicles (for full battery electric vehicles, this is 100%).</t>
  </si>
  <si>
    <t>Defined for Lct_BB002, Lct_BB004</t>
  </si>
  <si>
    <t>% of mileage</t>
  </si>
  <si>
    <r>
      <t xml:space="preserve">a) Department for Transport, </t>
    </r>
    <r>
      <rPr>
        <i/>
        <sz val="10"/>
        <color theme="1"/>
        <rFont val="Poppins"/>
      </rPr>
      <t>Zero Emission Vehicle Mandate and CO2 Regulations - Vehicle Emissions Trading Scheme Updates: Cost Benefit Analysis</t>
    </r>
    <r>
      <rPr>
        <sz val="10"/>
        <color theme="1"/>
        <rFont val="Poppins"/>
      </rPr>
      <t>, November 2025</t>
    </r>
  </si>
  <si>
    <t>https://www.legislation.gov.uk/uksi/2025/1101/pdfs/uksiod_20251101_en_001.pdf</t>
  </si>
  <si>
    <t xml:space="preserve">Lct_BB002 values are derived from DfT analysis underlying amendments to the VETS order (data source a). This is based on analysis conducted by the ICCT (data source b) and internal DfT statistics on vehicle registrations, combined with European data on PHEV electric ranges (data source c). </t>
  </si>
  <si>
    <t xml:space="preserve">Default values provided for all trip speeds but the report highlighted that there is a case for making this a variable for trip speeds. </t>
  </si>
  <si>
    <t>Based on Department of Transport (DfT) analysis.</t>
  </si>
  <si>
    <t xml:space="preserve">Based on real-world usage study of plug-in-hybrid cars and modelled values for other vehicle types. </t>
  </si>
  <si>
    <t>Analysis from 2025 based on data from 2022 and more recent</t>
  </si>
  <si>
    <t>UK DfT analysis based on data from both UK and Europe</t>
  </si>
  <si>
    <t>Not considered</t>
  </si>
  <si>
    <r>
      <t xml:space="preserve">b) ICCT White Paper, </t>
    </r>
    <r>
      <rPr>
        <i/>
        <sz val="10"/>
        <color theme="1"/>
        <rFont val="Poppins"/>
      </rPr>
      <t>Real-World Usage of Plug-in Hybrid Vehicles in Europe: A 2022 Update on Fuel Consumption, Electric Driving, and CO2 Emissions</t>
    </r>
    <r>
      <rPr>
        <sz val="10"/>
        <color theme="1"/>
        <rFont val="Poppins"/>
      </rPr>
      <t>, June 2022</t>
    </r>
  </si>
  <si>
    <t>https://theicct.org/wp-content/uploads/2022/06/real-world-phev-use-jun22-1.pdf</t>
  </si>
  <si>
    <t>c) European Environment Agency Datahub, CO2 emissions from new passenger cars, Updated June 2025</t>
  </si>
  <si>
    <t>https://co2cars.apps.eea.europa.eu</t>
  </si>
  <si>
    <r>
      <t xml:space="preserve">d) Ricardo for Department for Transport, </t>
    </r>
    <r>
      <rPr>
        <i/>
        <sz val="10"/>
        <color theme="1"/>
        <rFont val="Poppins"/>
      </rPr>
      <t>Speed-Emission/Energy Consumption Curves for Ultra-Low Emission Vehicles and Non-Fuel Operating Costs for All Vehicles</t>
    </r>
    <r>
      <rPr>
        <sz val="10"/>
        <color theme="1"/>
        <rFont val="Poppins"/>
      </rPr>
      <t>, July 2023</t>
    </r>
  </si>
  <si>
    <t>https://assets.publishing.service.gov.uk/media/6899f224e7be62b4f0643229/speed-emission-energy-consumption-curves-operating-costs.pdf</t>
  </si>
  <si>
    <t xml:space="preserve">Lct_BB004 values are weighted average for HGVs, buses, and coaches from Section 2.2.5. Note that these are modelled values as PHEV HGVs, buses, and coaches are not in widespread use in the UK and therefore no trial data available. </t>
  </si>
  <si>
    <t>The amount of electrical energy an EV consumes to travel one kilometre, with lower values indicating higher efficiency.</t>
  </si>
  <si>
    <t>Defined for Lct_BB001, Lct_BB002, Lct_BB003 and Lct_BB004</t>
  </si>
  <si>
    <t>kWh/km</t>
  </si>
  <si>
    <t>a) DfT TAG (Transport Analysis Guidance) data book. Table A 1.3.11</t>
  </si>
  <si>
    <t>https://www.gov.uk/government/publications/tag-data-book</t>
  </si>
  <si>
    <t>Lct_BB001 values are weighted average Car and LGV values, from Table A 1.3.11, using weighting factors from FES25 HT. Lct_BB002 values are weighted average Car and LGV values, from DfT supporting information, using weighting factors from FES25 HT  Lct_BB003 and Lct_BB004 values are PSV values from Table A 1.3.11.</t>
  </si>
  <si>
    <t xml:space="preserve">Additional detail can be added by using different vehicle type categories (e.g. defining efficiency for cars and light commercial vehicles separately). </t>
  </si>
  <si>
    <t>TAG data book contains vehicle efficiencies for Lct_BB001/2(cars, light goods vehicles) and public service vehicles.</t>
  </si>
  <si>
    <t>Latest version TAG May 25 v2.01</t>
  </si>
  <si>
    <t>Based on GB-specific data</t>
  </si>
  <si>
    <t>Data covers years 2010-2089 to account for improvements in vehicle efficiency over time.</t>
  </si>
  <si>
    <t>b) Supporting information for PHEV car and LGV efficiencies, provided to NESO by DfT</t>
  </si>
  <si>
    <t>The distribution of charging demand to different charger types, defined for each vehicle type. Represented as the proportion of required charging energy (kWh) from each charger type.</t>
  </si>
  <si>
    <t>Defined for Lct_BB001, Lct_BB002, Lct_BB003, Lct_BB004 as proportion of charging met by domestic, workplace, public slow/fast, public rapid, and HGV depot charging.</t>
  </si>
  <si>
    <t>%</t>
  </si>
  <si>
    <r>
      <t xml:space="preserve">a) Element Energy for National Grid ESO, </t>
    </r>
    <r>
      <rPr>
        <i/>
        <sz val="10"/>
        <color theme="1"/>
        <rFont val="Poppins"/>
      </rPr>
      <t>Electric Vehicle Charging Behaviour Study</t>
    </r>
    <r>
      <rPr>
        <sz val="10"/>
        <color theme="1"/>
        <rFont val="Poppins"/>
      </rPr>
      <t>, March 2019.</t>
    </r>
  </si>
  <si>
    <t>https://www.erm.com/contentassets/553cd40a6def42b196e32e4d70e149a1/ev-charging-behaviour-study.pdf</t>
  </si>
  <si>
    <t>Table 6-4 from a) used for Lct_BB001 and Lct_BB002 values. 
Allowable ranges found by assessing the charging distribution at GSP level, using assumptions from Table 5 from c) with Table TS061 from d) to reflect commuter status, and Table TS044 from d) to estimate home charging. 
Lct_BB003 values from b) assuming no public charging for Lct_BB004.</t>
  </si>
  <si>
    <t xml:space="preserve">Default values are provided for the GB-average, additional regionality can be added on a sub-GSP scale. </t>
  </si>
  <si>
    <t>Detailed study based on real world data.</t>
  </si>
  <si>
    <t xml:space="preserve">Discusses charging distribution for BEV and PHEV cars into residential, work, slow/fast public charging, and rapid public charging. </t>
  </si>
  <si>
    <t>Analysis/reporting in 2019 based on charging data from 2017 and 2018.</t>
  </si>
  <si>
    <t>GB-specific study.</t>
  </si>
  <si>
    <r>
      <t xml:space="preserve">b) Element Energy for Transport and Environment, </t>
    </r>
    <r>
      <rPr>
        <i/>
        <sz val="10"/>
        <color theme="1"/>
        <rFont val="Poppins"/>
      </rPr>
      <t>Why Great Britain's long-distance, heavy-duty HGVs can go battery electric - and what needs to be done to achieve this</t>
    </r>
    <r>
      <rPr>
        <sz val="10"/>
        <color theme="1"/>
        <rFont val="Poppins"/>
      </rPr>
      <t>, April 2023</t>
    </r>
  </si>
  <si>
    <t>https://www.erm.com/contentassets/553cd40a6def42b196e32e4d70e149a1/phase-two-report-use-cases-that-do-need-public-charging.pdf</t>
  </si>
  <si>
    <r>
      <t>c) ICCT White Paper,</t>
    </r>
    <r>
      <rPr>
        <i/>
        <sz val="10"/>
        <color theme="1"/>
        <rFont val="Poppins"/>
      </rPr>
      <t xml:space="preserve"> Quantifying the electric vehicle charging infrastructure gap in the United Kingdom</t>
    </r>
    <r>
      <rPr>
        <sz val="10"/>
        <color theme="1"/>
        <rFont val="Poppins"/>
      </rPr>
      <t>, August 2020</t>
    </r>
  </si>
  <si>
    <t>https://theicct.org/wp-content/uploads/2021/06/UK-charging-gap-082020.pdf</t>
  </si>
  <si>
    <t>d) Office for National Statistics, 2021 Census of Population</t>
  </si>
  <si>
    <t>https://www.nomisweb.co.uk/sources/census_2021</t>
  </si>
  <si>
    <t>Proportion of consumers by behaviour</t>
  </si>
  <si>
    <t>The proportion of domestic charging events that use the flexed charging profile.</t>
  </si>
  <si>
    <t>Defined as annual %</t>
  </si>
  <si>
    <t>FES 2025, NESO data for Table ED5 (received internally from NESO data team)</t>
  </si>
  <si>
    <t>https://www.neso.energy/publications/future-energy-scenarios-fes/fes-documents</t>
  </si>
  <si>
    <t xml:space="preserve">Values for Holistic Transition used. </t>
  </si>
  <si>
    <t>Default values are provided for the GB-average.</t>
  </si>
  <si>
    <t>Based on NESO FES data, compiled over multiple years with input from stakeholders</t>
  </si>
  <si>
    <t>Relates to residentially charging cars, vans and motorbikes.</t>
  </si>
  <si>
    <t>Latest version July 2025</t>
  </si>
  <si>
    <t>GB-specific assumption.</t>
  </si>
  <si>
    <t xml:space="preserve">Data covers years 2024-2050. </t>
  </si>
  <si>
    <t xml:space="preserve">The half-hourly diversified demand contribution for each charging type, normalised against the annual consumption for that charger type. </t>
  </si>
  <si>
    <t>Defined for domestic (normal, flexed), workplace, public slow/fast, public rapid, and HGV depot charging.</t>
  </si>
  <si>
    <t>kW/annual kWh</t>
  </si>
  <si>
    <t>a) NESO data. From Element Energy for National Grid ESO, Electric Vehicle Charging Behaviour Study, March 2019 (received dataset internally from NESO data team)</t>
  </si>
  <si>
    <t>Non-flexible profiles are based on Element Energy processing of NESO data and averaged across the year. See further details in linked study. Flexible profiles are based on results from UKPN Shift,ToU DUoS trial.</t>
  </si>
  <si>
    <t>Default profiles are provided as applicable to all representative days.</t>
  </si>
  <si>
    <t xml:space="preserve">Considers charging of BEV and PHEV cars at residential, work slow/fast public and rapid public charging. </t>
  </si>
  <si>
    <t>Based on GB-specific study.</t>
  </si>
  <si>
    <t>Change through time captured for domestic charging through EV05 and smart charging profile. Changes through time not considered for other charging types.</t>
  </si>
  <si>
    <t xml:space="preserve">b) UK Power Networks: Shift Innovation Project, 2021. Results from ToU DUoS trial. </t>
  </si>
  <si>
    <t>https://innovation.ukpowernetworks.co.uk/projects/shift</t>
  </si>
  <si>
    <t>The ‘un-diversification’ scaling factor to be applied to the fully diversified profile based on the number of electric vehicles on a network asset.</t>
  </si>
  <si>
    <t>Defined for domestic, workplace, public slow/fast, public rapid, and HGV depot charging.</t>
  </si>
  <si>
    <t>N/A (scaling factor)</t>
  </si>
  <si>
    <t xml:space="preserve">a) Electric Nation trial data (Crowd Charge Transactions and GreenFlux Transactions), National Grid, 2019.
</t>
  </si>
  <si>
    <t>https://connecteddata.nationalgrid.co.uk/dataset/electric-nation</t>
  </si>
  <si>
    <t xml:space="preserve">Diversity-correction curve calculated by first creating simulated profiles for individual charging events by charger type. This is done using normalised, diversified profiles from EV06 as the probability distribution for the charging session mid-point, and data from the Electric Nation trial transaction data for charging durations and frequency. For each N (number of EVs in sample), randomly draw subsets of profiles from the simulated profiles and find the ratio between the peak load for the aggregated subset (normalised by N) and the diversified peak. For each N, the random draw was repeated 10000 times and the mean of the top 10% of the ratios (to provide a smooth approximation for the 95th percentile) for each N was set as the diversity-correction factor. </t>
  </si>
  <si>
    <t>Default values provided for each charger type.</t>
  </si>
  <si>
    <t>Based on real-word trial data</t>
  </si>
  <si>
    <t xml:space="preserve">Relates to all different charging types modelled, domestic, workplace, slow/fast public, rapid public, and HGV depot. </t>
  </si>
  <si>
    <t>Charging data from 2017 and 2018.</t>
  </si>
  <si>
    <t>Change through time captured by relating the diversity correction to the number of electric vehicles at the asset - higher EV adoption leads to higher diversity of demand.</t>
  </si>
  <si>
    <t>b) NESO data. From Element Energy for National Grid ESO, Electric Vehicle Charging Behaviour Study, March 2019 (received dataset internally from NESO data team)</t>
  </si>
  <si>
    <t>The minimum number of electric vehicles at which the profile should be considered fully diversified.</t>
  </si>
  <si>
    <t># of vehicles</t>
  </si>
  <si>
    <t>Electric Nation trial data (Crowd Charge Transactions and GreenFlux Transactions), National Grid, 2019.</t>
  </si>
  <si>
    <t xml:space="preserve">The minimum count for full diversification is the lowest N (number of EVs) that gives a diversity correction of &lt;1.2. </t>
  </si>
  <si>
    <t xml:space="preserve">The total time a charging station is actively used to charge electric vehicles, measured in hours per year. </t>
  </si>
  <si>
    <t>hours/year</t>
  </si>
  <si>
    <t xml:space="preserve">a) Green Finance Institute (based on Zapmap data), </t>
  </si>
  <si>
    <t>https://www.greenfinanceinstitute.com/wp-content/uploads/2024/09/Demystifying-Utilisation-2024-Update.pdf</t>
  </si>
  <si>
    <t xml:space="preserve">Public charge point utilisation from Green Finance Institute report (based on Zapmap data), Domestic and Workplace utilisation based on NESO modelling. Domestic: using tRESP CPAs to find the annual energy demand of vehicles, charging at domestic charge points, assuming one charger per vehicle and capacity of 7kW. </t>
  </si>
  <si>
    <t xml:space="preserve">Default values are averages, additional information can be added to the analysis by utilising location-specific data, where available. </t>
  </si>
  <si>
    <t>Zapmap tracks public charge point installations in the UK</t>
  </si>
  <si>
    <t>Zapmap data only available for public charge points, domestic and workplace utilisation modelled.</t>
  </si>
  <si>
    <t>Updated Q1 2024</t>
  </si>
  <si>
    <t>UK specific data</t>
  </si>
  <si>
    <t>b) NESO modelling, using tRESP CPAs</t>
  </si>
  <si>
    <t xml:space="preserve">The average rated capacity of each charger type or the maximum amount of electrical power that a charger can deliver to an electric vehicle at any given moment. </t>
  </si>
  <si>
    <t>Defined domestic, workplace, public slow/fast, public rapid, and HGV depot charging.</t>
  </si>
  <si>
    <t>a) DfT EV public charging infrastructure statistics (July 2025)</t>
  </si>
  <si>
    <t>https://www.gov.uk/government/collections/electric-vehicle-charging-infrastructure-statistics</t>
  </si>
  <si>
    <t xml:space="preserve">Domestic and workplace capacity from British gas article (aligned to industry standard), public charge points from DfT EV public charging infrastructure statistics (Chart 3). HGV depot capacity from ES Catapult report. </t>
  </si>
  <si>
    <t xml:space="preserve">Default values and ranges provided. </t>
  </si>
  <si>
    <t>Partially based on Government published data</t>
  </si>
  <si>
    <t>Data for charge point size in UK but does not relate directly to the categorisation considered here.</t>
  </si>
  <si>
    <t>Statistic from 2024.</t>
  </si>
  <si>
    <t>b) British Gas article</t>
  </si>
  <si>
    <t>https://www.britishgas.co.uk/electrical/guides/ev-charger-types.html</t>
  </si>
  <si>
    <r>
      <t>c) Energy Systems Catapult,</t>
    </r>
    <r>
      <rPr>
        <i/>
        <sz val="10"/>
        <color rgb="FF000000"/>
        <rFont val="Poppins"/>
      </rPr>
      <t xml:space="preserve"> Electric Heavy Goods Vehicles? Industry perspectives on the prospect for their adoption in the UK</t>
    </r>
    <r>
      <rPr>
        <sz val="10"/>
        <color rgb="FF000000"/>
        <rFont val="Poppins"/>
      </rPr>
      <t>,  2024</t>
    </r>
  </si>
  <si>
    <t>https://es.catapult.org.uk/report/electric-heavy-goods-vehicles-industry-perspectives-on-the-prospects-for-their-adoption-in-the-uk/</t>
  </si>
  <si>
    <t>BB2 (if applicable)</t>
  </si>
  <si>
    <t>Charger type</t>
  </si>
  <si>
    <t>Representative day</t>
  </si>
  <si>
    <t>Flexibility behaviour</t>
  </si>
  <si>
    <t>Level of spatial granularity</t>
  </si>
  <si>
    <t>h/y</t>
  </si>
  <si>
    <t>Licence area</t>
  </si>
  <si>
    <t>Default value</t>
  </si>
  <si>
    <t>Range (lower bound)</t>
  </si>
  <si>
    <t>Range (upper bound)</t>
  </si>
  <si>
    <t>Year</t>
  </si>
  <si>
    <t>Start of half hour period</t>
  </si>
  <si>
    <t>Number of electric vehicles - lower bound</t>
  </si>
  <si>
    <t>Number of electric vehicles - upper bound</t>
  </si>
  <si>
    <t>Corresponding time-based utilisation (%)</t>
  </si>
  <si>
    <t>Indicative calculation (as presented in the September 2025 tRESP consultation)</t>
  </si>
  <si>
    <t>Parameter</t>
  </si>
  <si>
    <t>Vehicle type</t>
  </si>
  <si>
    <t>Value</t>
  </si>
  <si>
    <t>Number of Battery Electric cars, vans, motorcycles</t>
  </si>
  <si>
    <t>All</t>
  </si>
  <si>
    <t>#</t>
  </si>
  <si>
    <t>Number of Plug-in hybrid electric cars, vans, motorcycles</t>
  </si>
  <si>
    <t>Number of Battery electric buses and HGVs</t>
  </si>
  <si>
    <t>Number of Plug-in hybrid buses and HGVs</t>
  </si>
  <si>
    <t>Annual energy demand - Battery Electric cars, vans, motorcycles</t>
  </si>
  <si>
    <t>Annual energy demand - Plug-in hybrid electric cars, vans, motorcycles</t>
  </si>
  <si>
    <t>Annual energy demand - Battery electric buses and HGVs</t>
  </si>
  <si>
    <t>Annual energy demand - Plug-in hybrid buses and HGVs</t>
  </si>
  <si>
    <t>Annual energy demand - domestic charging</t>
  </si>
  <si>
    <t>Annual energy demand - workplace charging</t>
  </si>
  <si>
    <t>Annual energy demand - public slow/fast charging</t>
  </si>
  <si>
    <t>Annual energy demand - public rapid charging</t>
  </si>
  <si>
    <t>Annual energy demand - HGV depot</t>
  </si>
  <si>
    <t>Peak demand - domestic charging</t>
  </si>
  <si>
    <t>workplace charging - at time of domestic peak</t>
  </si>
  <si>
    <t>public slow/fast charging - at time of domestic peak</t>
  </si>
  <si>
    <t>public rapid charging - at time of domestic peak</t>
  </si>
  <si>
    <t>HGV depot charging - at time of domestic peak</t>
  </si>
  <si>
    <t>Total EV peak demand</t>
  </si>
  <si>
    <t>Peak demand per EV</t>
  </si>
  <si>
    <t>CPAs used for the indicative calculation</t>
  </si>
  <si>
    <t>Selected scope</t>
  </si>
  <si>
    <t>vehicle mileage</t>
  </si>
  <si>
    <t>Strict average across regions</t>
  </si>
  <si>
    <t>distance in EV mode</t>
  </si>
  <si>
    <t>kwh/km</t>
  </si>
  <si>
    <t>proportion of charging by charger type</t>
  </si>
  <si>
    <t>Proportion of consumers by behaviour (non-smart)</t>
  </si>
  <si>
    <t>Peak of normalised half-hourly profile</t>
  </si>
  <si>
    <t>weighted average across behaviours (smart and non-smart)</t>
  </si>
  <si>
    <t>kW/ annual kWh</t>
  </si>
  <si>
    <t>time of peak</t>
  </si>
  <si>
    <t>value of normalised half-hourly profile at time of domestic peak</t>
  </si>
  <si>
    <t>Value at domestic charging peak</t>
  </si>
  <si>
    <t xml:space="preserve"> Other assumptions used for the indicative calculation</t>
  </si>
  <si>
    <t>Assumption</t>
  </si>
  <si>
    <t>Source</t>
  </si>
  <si>
    <t>Proportion of EV stock that are Battery Electric cars, vans, motorcycles</t>
  </si>
  <si>
    <t>Totals taken from FES25, 2030 HT, values not important, ratio between values important</t>
  </si>
  <si>
    <t>Proportion of EV stock that are Plug-in hybrid electric cars, vans, motorcycles</t>
  </si>
  <si>
    <t>Proportion of EV stock that are Battery electric buses and HGVs</t>
  </si>
  <si>
    <t>Proportion of EV stock that are Plug-in hybrid buses and HGVs</t>
  </si>
  <si>
    <t>CPA Value Selection Tool and End-to-End Calculation: Electric Vehicles</t>
  </si>
  <si>
    <t>Information</t>
  </si>
  <si>
    <t>This sheet is a tool to support users of the CPAs to select the right values for the conditions they wish to model, and create kW per half-hour profiles.</t>
  </si>
  <si>
    <t>Key for sheet:</t>
  </si>
  <si>
    <t>User inputs:  Choose the conditions and technology numbers for the end-end calculation.</t>
  </si>
  <si>
    <t>input</t>
  </si>
  <si>
    <t>Dashboard:  Summarises the results of the end -end calculation based on the user inputs and CPA values, including charts of total and per-EV demand.</t>
  </si>
  <si>
    <t>linked input (do not edit)</t>
  </si>
  <si>
    <t>CPA values selected:  Display of the default, lower range, and upper range CPA values that should be applied in calculations for the user inputs selected.</t>
  </si>
  <si>
    <t>linked data (reference to values from CPA tables)</t>
  </si>
  <si>
    <t>End-to-end calculation:  Example of calculations aligned with the EV CPA process, using the chosen inputs, for default, lower range, and upper range values.</t>
  </si>
  <si>
    <t>Calculation</t>
  </si>
  <si>
    <t>User inputs</t>
  </si>
  <si>
    <t>Please select the conditions for the value selector and input values for the end-to-end calculation.</t>
  </si>
  <si>
    <t>Inputs for CPA selection</t>
  </si>
  <si>
    <t>Value inputs for calculation. Values represent technology numbers on a single network asset.</t>
  </si>
  <si>
    <t>DNO licence area</t>
  </si>
  <si>
    <t>Below a count defined per GSP in the tRESP pathways, DNOs to identify the spatial allocation of the technology totals to specific network assets.</t>
  </si>
  <si>
    <t xml:space="preserve">Please note that in this demonstration, a distinction between the vehicle location and where their demand appears is not made. </t>
  </si>
  <si>
    <t xml:space="preserve">Therefore, the calculations reflect all electricity demand from the vehicles below and no other vehicles. </t>
  </si>
  <si>
    <t>Switch to include/exclude domestic smart charging in response to static time of use tariffs.</t>
  </si>
  <si>
    <t>Default setting: ON (EV05 assumption applied for proportion of flexibility behaviour). Use OFF (100% no flexibility) for flexibility sensitivity analysis.</t>
  </si>
  <si>
    <t>Domestic smart charging</t>
  </si>
  <si>
    <t>Dashboard</t>
  </si>
  <si>
    <t>Total EV demand - Default value</t>
  </si>
  <si>
    <t>Peak demand</t>
  </si>
  <si>
    <t>Peak time</t>
  </si>
  <si>
    <t>Per-EV demand</t>
  </si>
  <si>
    <t>Small EVs</t>
  </si>
  <si>
    <t>Number of small EVs:</t>
  </si>
  <si>
    <t>Lct_BB001 + Lct_BB002</t>
  </si>
  <si>
    <t>Lct_BB001, Lct_BB002</t>
  </si>
  <si>
    <t>Number of large EVs:</t>
  </si>
  <si>
    <t>Lct_BB003 + Lct_BB004</t>
  </si>
  <si>
    <t>Diversity correction required?</t>
  </si>
  <si>
    <t>Large EVs</t>
  </si>
  <si>
    <t>Lct_BB003, Lct_BB004</t>
  </si>
  <si>
    <t>For reference: Charge points</t>
  </si>
  <si>
    <t>Number of charge points</t>
  </si>
  <si>
    <t>Installed capacity</t>
  </si>
  <si>
    <t>CPA values selected</t>
  </si>
  <si>
    <t xml:space="preserve">This table lists the default, lower range, and upper range values that should be applied in calculations for the conditions listed in the user inputs. </t>
  </si>
  <si>
    <t>Spatial scope</t>
  </si>
  <si>
    <t>Value - Default</t>
  </si>
  <si>
    <t>Lower range</t>
  </si>
  <si>
    <t>Upper range</t>
  </si>
  <si>
    <t>Diversity correction factor</t>
  </si>
  <si>
    <t>h/year</t>
  </si>
  <si>
    <t>Table unit: kW/annual kWh</t>
  </si>
  <si>
    <t>Default</t>
  </si>
  <si>
    <t>Half hour start time</t>
  </si>
  <si>
    <t>Weighted average flexibility, no flexibility</t>
  </si>
  <si>
    <t>End-to-end calculation</t>
  </si>
  <si>
    <t>Detail</t>
  </si>
  <si>
    <t>1. Check if diversity correction is required</t>
  </si>
  <si>
    <t>Diversity correction check</t>
  </si>
  <si>
    <t>Domestic charging</t>
  </si>
  <si>
    <t>Y/N</t>
  </si>
  <si>
    <t>5. Find installed capacity of chargers by type</t>
  </si>
  <si>
    <t>Installed capacity of chargers</t>
  </si>
  <si>
    <t>Domestic charging capacity</t>
  </si>
  <si>
    <t>Workplace charging</t>
  </si>
  <si>
    <t>Workplace charging capacity</t>
  </si>
  <si>
    <t>Public slow/fast charging</t>
  </si>
  <si>
    <t>Slow/fast public charging capacity</t>
  </si>
  <si>
    <t>Public rapid charging</t>
  </si>
  <si>
    <t>Rapid public charging capacity</t>
  </si>
  <si>
    <t>HGV depot charging capacity</t>
  </si>
  <si>
    <t>2. Calculate annual electricity demand by vehicle type</t>
  </si>
  <si>
    <t>Annual energy demand</t>
  </si>
  <si>
    <t>Battery electric cars, vans, motorcycles</t>
  </si>
  <si>
    <t>6. Convert charger capacity to number of charge points</t>
  </si>
  <si>
    <t>Number of domestic charge points</t>
  </si>
  <si>
    <t>Plug-in hybrid electric cars, vans, motorcycles</t>
  </si>
  <si>
    <t>Number of workplace charge points</t>
  </si>
  <si>
    <t>Battery electric buses and HGVs</t>
  </si>
  <si>
    <t>Number of slow/fast public charge points</t>
  </si>
  <si>
    <t>Plug-in hybrid buses and HGVs</t>
  </si>
  <si>
    <t>Number of rapid public charge points</t>
  </si>
  <si>
    <t>Number of HGV depot charge points</t>
  </si>
  <si>
    <t>3. Calculate annual electricity demand by charger type</t>
  </si>
  <si>
    <t>7. (Optional) Round Number of charge points to integer</t>
  </si>
  <si>
    <t>Number of charge points (rounded)</t>
  </si>
  <si>
    <t>Number of domestic charge points (rounded)</t>
  </si>
  <si>
    <t xml:space="preserve">Note: rounds all values up </t>
  </si>
  <si>
    <t>Number of workplace charge points (rounded)</t>
  </si>
  <si>
    <t>Number of slow/fast public charge points (rounded)</t>
  </si>
  <si>
    <t>Number of rapid public charge points (rounded)</t>
  </si>
  <si>
    <t>Number of HGV depot charge points (rounded)</t>
  </si>
  <si>
    <t>3.1  (Alternative step for graphs) 
Calculate annual electricity demand by charger type for small EVs only</t>
  </si>
  <si>
    <t>Small EVs only:</t>
  </si>
  <si>
    <t>3.2  (Alternative step for graphs) 
Calculate annual electricity demand by charger type for large EVs only</t>
  </si>
  <si>
    <t>Large EVs only:</t>
  </si>
  <si>
    <t xml:space="preserve">4. Apply half-hourly profiles and find peak demand values in the day and its time. This is done for each charger type for default values, lower range values, and upper range values. </t>
  </si>
  <si>
    <t>All EVs - Default values</t>
  </si>
  <si>
    <t>All EVs - Lower range values</t>
  </si>
  <si>
    <t>All EVs - Upper range values</t>
  </si>
  <si>
    <t>Total</t>
  </si>
  <si>
    <t>Total - per EV</t>
  </si>
  <si>
    <t>Time of peak demand</t>
  </si>
  <si>
    <t>Table unit: kW</t>
  </si>
  <si>
    <t>4.1  (Alternative step for graphs) 
Apply half-hourly profiles and find peak demand values and times for small EVs only.</t>
  </si>
  <si>
    <t>Small EVs only - Default values</t>
  </si>
  <si>
    <t>Small EVs only - Lower range values</t>
  </si>
  <si>
    <t>Small EVs only - Upper range values</t>
  </si>
  <si>
    <t>4.2  (Alternative step for graphs) 
Apply half-hourly profiles and find peak demand values and times for large EVs only.</t>
  </si>
  <si>
    <t>Large EVs only - Default values</t>
  </si>
  <si>
    <t>Large EVs only - Lower range values</t>
  </si>
  <si>
    <t>Large EVs only - Upper range values</t>
  </si>
  <si>
    <t>Size of HP</t>
  </si>
  <si>
    <t>The heat pump installation size.</t>
  </si>
  <si>
    <t>Defined for four dwelling categories (Detached, semi-detached and end-terraced, mid-terraced, flats), and for existing stock and new builds</t>
  </si>
  <si>
    <t>kW_th</t>
  </si>
  <si>
    <t>a) Building Research Establishment (BRE): Dwelling heat loss</t>
  </si>
  <si>
    <t xml:space="preserve">https://tools.bregroup.com/heatpumpefficiency/dwelling-heat-loss </t>
  </si>
  <si>
    <t>BRE source provides an estimate of dwelling design heat losses in the UK, which can serve as a proxy for the heat pump size required. BRE estimates are provided for different dwelling age categories. For existing builds, the heat pump size is based on the weighted average dwelling design heat loss across all dwelling age categories, using government council tax stock data to provide the proportions of dwelling stock by dwelling age. For new builds, the dwelling design heat loss for 2007 onwards from the BRE source is used.</t>
  </si>
  <si>
    <t>Default values are provided based on the average age of dwellings in England and Wales. Additional regionality can be added by calculating an adjusted weighted average of the BRE data for the distribution of dwelling stock ages in a particular region.</t>
  </si>
  <si>
    <t>Based on English Housing Survey Data using the Building Research Establishment Standard Assessment Procedure (the UK's National Calculation Methodology for energy rating of dwellings), and published government data.</t>
  </si>
  <si>
    <t>Developed as part of the Domestic Annual Heat Pump System Efficiency (DAHPSE) Estimator, data provided by dwelling category.</t>
  </si>
  <si>
    <t>Analysis conducted within last 10 years.</t>
  </si>
  <si>
    <t xml:space="preserve">UK-based analysis based on English Housing Survey data. Dwelling age data from council tax data for England and Wales. Data has not been disaggregated by region. </t>
  </si>
  <si>
    <t xml:space="preserve">Captured through HP02 instead (although separate values provided for new builds). </t>
  </si>
  <si>
    <t>Not considered (captured through other CPAs).</t>
  </si>
  <si>
    <t>b) GOV.UK Council Tax: stock of properties, 2024 (Table CTSOP 4.0)</t>
  </si>
  <si>
    <t>https://www.gov.uk/government/statistics/council-tax-stock-of-properties-2024</t>
  </si>
  <si>
    <t>A factor to account for improvements in building fabric efficiency, defined as a proportion of the baseline efficiency (i.e. the factor is 1 at baseline and less than 1 in future years).</t>
  </si>
  <si>
    <t>Defined as a global assumption across dwelling categories (but projected improvements are not applicable for new builds)</t>
  </si>
  <si>
    <t>FES Data Workbook 2025 (National Energy System Operator) Table ED7</t>
  </si>
  <si>
    <t xml:space="preserve">Approximated from FES based on savings from insulation as a proportion of total heat pump energy consumption in 2050. The pace of efficiency improvements depends on a range of complex factors, so the data has been simplified by assuming that improvements are linear on an annual basis up until 2035, then the efficiency factor relative to the baseline remains constant from 2035. </t>
  </si>
  <si>
    <t>Default value provided across all dwelling categories at a GB-level. Note that this improvement in building fabric efficiency does not apply to new builds, as the higher fabric efficiency is already reflected in the lower values for HP01 for new builds.</t>
  </si>
  <si>
    <t>Based on interpretation of FES data. FES modelling is very granular so the interpreted data may include the impact of other factors.</t>
  </si>
  <si>
    <t>Relies on interpretation of FES data which may include the impact of other factors.</t>
  </si>
  <si>
    <t>FES data published in 2025.</t>
  </si>
  <si>
    <t>Based on FES projection in 2050. Intermediate years interpolated.</t>
  </si>
  <si>
    <t>Efficiency of HP</t>
  </si>
  <si>
    <t>A measure of efficiency of the heat pump that indicates how much heat energy is produced for every unit of electrical energy consumed.</t>
  </si>
  <si>
    <t>Defined for each representative day</t>
  </si>
  <si>
    <t>Energy Systems Catapult "Electrification of Heat" data, Analysis 2 (combined with HP05, see below for sources)</t>
  </si>
  <si>
    <t>https://github.com/ES-Catapult/electrification_of_heat/blob/main/notebooks/Analysis%202%20-%20COP%20%26%20Energy%20vs%20Temperature.ipynb</t>
  </si>
  <si>
    <t>COP provided as a function of outside air temperature in the "Electrification of Heat" data. Outside air temperature for each region is based on HP05. For the overall minimum demand day and peak demand summer day, the COP for an outside air temperature of 18˚C has been used (offering a conservative approach for peak demand summer day, as the analysis by ESC shows a slight decrease in COP once the outside air temperature increases above 10˚C).</t>
  </si>
  <si>
    <t>Default values are provided by government region, aligned with HP05.</t>
  </si>
  <si>
    <t>Based on the Electrification of Heat trial project funded by DESNZ.</t>
  </si>
  <si>
    <t>This trial project was focused on ca. 700 homes equipped with heat pumps.</t>
  </si>
  <si>
    <t>The data was recorded between December 2020 and September 2023.</t>
  </si>
  <si>
    <t>The efficiency of Air Source Heat Pumps is linked to the outside air temperature. Hence, the temperature difference is an input to the choice of the COP for the region to be modelled.</t>
  </si>
  <si>
    <t>This data does not account for potential improvements in the quality of installation, controls, etc. as it is based on metered data.</t>
  </si>
  <si>
    <t>The default value is based on the coldest day recorded during the project period. The impact of climate change could result in more extreme scenarios which would impact the value used. More data would be needed for extreme weather.</t>
  </si>
  <si>
    <t>Specific HP heat output</t>
  </si>
  <si>
    <t>Defined as the daily thermal output of the heat pump (kWh_th) relative to the installed capacity (kW_th) and the temperature difference between target inside air temperature and the outdoor air temperature (˚C).</t>
  </si>
  <si>
    <t>Defined as a global assumption</t>
  </si>
  <si>
    <t>kWh_th/kW/temp_diff (for peak demand winter day and peak demand shoulder season day)
or 
kWh_th/kW (for peak demand summer day and overall minimum demand day)</t>
  </si>
  <si>
    <t>a) Energy Systems Catapult "Electrification of Heat" data cleansed 30 min interval dataset</t>
  </si>
  <si>
    <t>https://beta.ukdataservice.ac.uk/datacatalogue/studies/study?id=9209</t>
  </si>
  <si>
    <t xml:space="preserve">The "Electrification of Heat" cleansed 30min data was combined with information about the heating system (size and type of heat-pumps). The data was then aggregated at daily resolution and only Air Source Heat Pumps were kept for this analysis.
For peak demand winter day and peak demand shoulder season day, it is the median value of the ratio between heat output, size of heat pump and temperature difference between the average daily temperature and the indoor air temperature of 21˚C from all daily records with a daily temperature between -2˚C to 9˚C after removing the records falling above the 95th percentiles and below the 5th percentiles. 
For peak demand summer day and overall minimum demand day, it is the median value of the ratio between heat output and size of heat pump from all daily records with a daily temperature above 20˚C after removing the records falling above the 95th percentiles and below the 5th percentiles. </t>
  </si>
  <si>
    <t>Default value provided across all dwelling categories at a GB-level (regional variation and dwelling-type variation captured through other CPAs).</t>
  </si>
  <si>
    <t>The data is from UK homes and include information about location but this information was not used as this CPA is not expected to differ between regions.</t>
  </si>
  <si>
    <t>The default value is based on the coldest day recorded during the project period. The impact of climate change could result in more extreme scenarios which would impact the value used.</t>
  </si>
  <si>
    <t>b) Energy Systems Catapult  "DESNZ  Electrification of Heat Project - Heat Pump Performance Data Summary</t>
  </si>
  <si>
    <t>https://usmart.io/org/esc/discovery/discovery-view-detail/6a5e5753-aaff-455e-8b3b-8ee282010261</t>
  </si>
  <si>
    <t>Temperature difference between target inside air temperature (assumed to be 21˚C) and the calculated representative outdoor air temperature.</t>
  </si>
  <si>
    <t>˚C</t>
  </si>
  <si>
    <t>a) Met Office HadUK-Grid dataset (Gridded Climate Observations on a 12km grid over the UK, v1.3.1.ceda)</t>
  </si>
  <si>
    <t>https://catalogue.ceda.ac.uk/uuid/3302df4f8d174999bfbc5d0b86d93dce/?jump=related-docs-anchor</t>
  </si>
  <si>
    <r>
      <rPr>
        <b/>
        <sz val="10"/>
        <color rgb="FF000000"/>
        <rFont val="Poppins"/>
      </rPr>
      <t>For peak demand winter and peak demand shoulder season:</t>
    </r>
    <r>
      <rPr>
        <sz val="10"/>
        <color rgb="FF000000"/>
        <rFont val="Poppins"/>
      </rPr>
      <t xml:space="preserve"> To find the temperature difference CPAs, we first find representative minimum outdoor air temperatures for each month (using source a), based on the day within each month when the minimum temperature occurs. The representative temperature provided is the ‘daily midrange temperature’ for this day (i.e. the midpoint between the maximum and minimum temperature on the day), averaged across all 12 km squares that fall within each DNO licence area, averaged over 2015 to 2024. For peak demand winter day, the month with the lowest representative minimum temperature is use</t>
    </r>
    <r>
      <rPr>
        <sz val="10"/>
        <rFont val="Poppins"/>
      </rPr>
      <t>d (coldest minimum temperature)</t>
    </r>
    <r>
      <rPr>
        <sz val="10"/>
        <color rgb="FF000000"/>
        <rFont val="Poppins"/>
      </rPr>
      <t xml:space="preserve">. For peak demand shoulder season day, first the month with the highest representative minimum temperature is identified </t>
    </r>
    <r>
      <rPr>
        <sz val="10"/>
        <rFont val="Poppins"/>
      </rPr>
      <t xml:space="preserve">(warmest minimum temperature), then the minimum temperature in the shoulder month is identified by taking the average between this temperature and the peak demand winter day temperature, and the converting it to a daily midrange temperature. </t>
    </r>
    <r>
      <rPr>
        <sz val="10"/>
        <color rgb="FF000000"/>
        <rFont val="Poppins"/>
      </rPr>
      <t xml:space="preserve">
To find the range of allowable temperature differences for each DNO licence area, the same calculation is performed as above, but instead finding the 12 km square within each licence area with the lowest and highest representative minimum outdoor air temperatures (as opposed to the average across all squares), but continuing to average across 2015 to 2024. 
In all cases, the CPA is presented as the temperature difference between the calculated representative outdoor air temperature and a target indoor air temperature of 21˚C (source b). 
</t>
    </r>
    <r>
      <rPr>
        <b/>
        <sz val="10"/>
        <color rgb="FF000000"/>
        <rFont val="Poppins"/>
      </rPr>
      <t>For peak demand summer day and minimum overall day</t>
    </r>
    <r>
      <rPr>
        <sz val="10"/>
        <color rgb="FF000000"/>
        <rFont val="Poppins"/>
      </rPr>
      <t xml:space="preserve">: temperature difference is N/A, assuming that HP usage for these representative days is dominated by hot water demand, with no significant space heating (noting that the scope of tRESP includes only residential, not commercial heat pumps). </t>
    </r>
  </si>
  <si>
    <t>Default values are provided by DNO licence area.
Note that the use of temperature difference in the calculation of daily electricity consumption is only applicable for the peak demand winter day and peak demand shoulder season day.</t>
  </si>
  <si>
    <t>Government published data.</t>
  </si>
  <si>
    <t xml:space="preserve">Measured temperature data across all relevant regions. Other data processing approaches (e.g. average daily temperature rather than minimum daily temperature) could also be considered. </t>
  </si>
  <si>
    <t xml:space="preserve">Data is from 2015 to 2024 inclusive. </t>
  </si>
  <si>
    <t>Data provided for the whole of the UK, at a high spatial granularity (12 km squares).</t>
  </si>
  <si>
    <t xml:space="preserve">Temperature averaged across 10 years. Future changes in temperature (as a result of climate change) are not considered. </t>
  </si>
  <si>
    <t xml:space="preserve">Weather impacts inherently captured. Future changes in temperature (as a result of climate change) are not considered. </t>
  </si>
  <si>
    <t xml:space="preserve">b) Microgeneration Certification Scheme, Heat Pump: Design Standard (2025), Table 1 </t>
  </si>
  <si>
    <t>https://mcscertified.com/wp-content/uploads/2025/02/MIS-3005-D-2025-V1.0.pdf</t>
  </si>
  <si>
    <t>The half-hourly diversified demand contribution from heat pumps, normalised against the daily electricity consumption for that heat pump type and consumer behaviour.</t>
  </si>
  <si>
    <t>Defined for each representative day and type of consumer behaviour</t>
  </si>
  <si>
    <t>kW/daily kWh_e</t>
  </si>
  <si>
    <t>a) Energy Systems Catapult Electrification of heat data, Cleansed 30-minute interval dataset</t>
  </si>
  <si>
    <t xml:space="preserve">For peak demand winter day and peak demand shoulder season day, the cleansed 30-minute data from the electrification of heat dataset is used. For peak demand winter day, a subset of recorded daily profiles with a daily average temperature between -2˚C to 1 ˚C is found. For peak demand shoulder season day, a daily average temperature range of 4.5˚C to 8.5˚C is used. Both temperature ranges are in line with HP05. The profiles are normalised, converting to kW/daily kWh_e. To offer visibility of the expected patterns of usage that make up the overall profile, k-means clustering is used to identify 3 behavioural clusters, using the bimodal, daytime and continuous profiles from Watson (2021) for the relevant temperature range to initialise clusters.
For peak demand summer day and overall minimum demand day, the domestic hot water profile from Watson (2021) is used (which in turn is drawn from the Energy Demand Research Project). Again, this is normalised to convert to kW/daily kWh_e. </t>
  </si>
  <si>
    <t xml:space="preserve">Default value provided across all dwelling categories at a GB-level. </t>
  </si>
  <si>
    <t>The data is from UK homes and include information about location but this information was not used as regional differences are instead captured through the temperature difference CPA.</t>
  </si>
  <si>
    <t xml:space="preserve">Weather impacts captured by considering relevant temperature ranges. Future changes in temperature (as a result of climate change) are not considered. </t>
  </si>
  <si>
    <t>b) S.D. Watson, K.J. Lomas, R.A. Buswell, "How will heat pumps alter national half-hourly heat demands? Empirical modelling based on GB field trials"
Energy and Buildings</t>
  </si>
  <si>
    <t>https://www.sciencedirect.com/science/article/pii/S037877882100061X</t>
  </si>
  <si>
    <t xml:space="preserve">Percentage of consumers exhibiting each behaviour pattern </t>
  </si>
  <si>
    <t xml:space="preserve">Defined as a proportional split between types of consumer behaviour </t>
  </si>
  <si>
    <t>For the peak demand winter day and peak demand shoulder season day, the counts of profiles in each of the three clusters (as described under HP06) are used to provide the proportions of each behaviour type. Separate behavioural profiles are not provided for peak demand summer day and overall minimum demand day. Note that this CPA is provided for reference only, to support understanding of the separate behavioural profiles provided in HP06, but is not required for use in DNO analysis as the provided weighted average profiles shall be used directly by DNOs.</t>
  </si>
  <si>
    <t>The data is from UK homes and include information about location but this information was not used as regional differences are instead captured through the temperature difference CPA. More nuanced consideration of how behaviour might vary between regions, decoupled from temperature, was not considered.</t>
  </si>
  <si>
    <t>This data does not account for changes in consumer behaviour, as it is based on metered data.</t>
  </si>
  <si>
    <t>b) S.D. Watson, K.J. Lomas, R.A. Buswell, How will heat pumps alter national half-hourly heat demands? Empirical modelling based on GB field trials,
Energy and Buildings</t>
  </si>
  <si>
    <t>The ‘un-diversification’ scaling factor to be applied to the fully diversified profile based on the number of heat pumps on a network asset.</t>
  </si>
  <si>
    <t>Energy Systems Catapult Electrification of heat data, Cleansed 30-minute interval dataset</t>
  </si>
  <si>
    <t xml:space="preserve">Diversity-correction curves calculated using the cleansed 30-minute data from the "Electrification of Heat" dataset. For peak demand winter day, a set of recorded daily profiles with a daily average temperature between -2˚C to 1 ˚C is found. For peak demand shoulder season day, a daily average temperature range of 4.5˚C to 8.5˚C is used, and for peak demand summer day and overall minimum demand day a temperature range of 20˚C to 30˚C is used. The fully diversified profile was calculated by finding the mean half-hourly values for each representative day's set. For each N (number of HPs in a sample), subsets of profiles from the full representative day profiles subset were drawn. The ratio between the peak load and the peak of the fully-diversified profile was found. For each N, the random draw was repeated 1000 times and the 95th percentile of the calculated ratios for each N was set as the diversity-correction factor. </t>
  </si>
  <si>
    <t>Default value provided across all dwelling categories at a GB-level, across all behaviour types (based on weighted average profile).</t>
  </si>
  <si>
    <t>The minimum number of heat pumps at which the profile should be considered fully diversified.</t>
  </si>
  <si>
    <t xml:space="preserve"># of heat pumps </t>
  </si>
  <si>
    <t xml:space="preserve">Set by finding the minimum count for full diversification is the lowest count of heat pumps that gives a diversity correction of &lt;1.2, using the HP08 curves. </t>
  </si>
  <si>
    <t xml:space="preserve">Default value provided across all dwelling categories at a GB-level, for each representative day. </t>
  </si>
  <si>
    <t xml:space="preserve">The data is from UK homes and include information about location but this information was not used as regional differences are instead captured through the temperature difference CPA. </t>
  </si>
  <si>
    <t>Back to HP CPA Summary Table</t>
  </si>
  <si>
    <t>Behaviour</t>
  </si>
  <si>
    <t>heat:power</t>
  </si>
  <si>
    <t>daily kWh_th/ kW_th/ °C</t>
  </si>
  <si>
    <t>daily kWh_th/ kW_th</t>
  </si>
  <si>
    <t>°C</t>
  </si>
  <si>
    <t>kW/daily kWh</t>
  </si>
  <si>
    <t># of heat pumps</t>
  </si>
  <si>
    <t>all years</t>
  </si>
  <si>
    <t>BB</t>
  </si>
  <si>
    <t>Licence Area</t>
  </si>
  <si>
    <t>Number of heat pumps - lower bound</t>
  </si>
  <si>
    <t>Number of heat pumps - upper bound</t>
  </si>
  <si>
    <t xml:space="preserve">Total installed capacity </t>
  </si>
  <si>
    <t>Weighted average across dwelling categories</t>
  </si>
  <si>
    <t>kW_th/ heat pump</t>
  </si>
  <si>
    <t>Daily electricity consumption</t>
  </si>
  <si>
    <t>kWh_e/ heat pump</t>
  </si>
  <si>
    <t>HP demand profile peak per HP</t>
  </si>
  <si>
    <t>kW/ heat pump</t>
  </si>
  <si>
    <t>Winter peak, fully-diversified, across dwelling types at 2030 efficiency</t>
  </si>
  <si>
    <t>Semi-detached</t>
  </si>
  <si>
    <t>Terraced</t>
  </si>
  <si>
    <t>Peak demand winter day GB-average</t>
  </si>
  <si>
    <t>Peak demand winter day (weighted average across behaviours)</t>
  </si>
  <si>
    <t>Source link</t>
  </si>
  <si>
    <t>Proportion of HPs by dwelling category</t>
  </si>
  <si>
    <t>From census data (2021), averaged across England and Wales and excluding caravans</t>
  </si>
  <si>
    <t>https://www.ons.gov.uk/peoplepopulationandcommunity/housing/bulletins/housingenglandandwales/census2021</t>
  </si>
  <si>
    <t>As above</t>
  </si>
  <si>
    <t>Flat</t>
  </si>
  <si>
    <t>CPA Value Selection Tool and End-to-End Calculation: Heat Pumps</t>
  </si>
  <si>
    <t>Dashboard:  Summarises the results of the end -end calculation based on the user inputs and CPA values, including charts of total and per-HP demand.</t>
  </si>
  <si>
    <t>End-to-end calculation:  Example of calculations aligned with the HP CPA process, using the chosen inputs, for default, lower range, and upper range values.</t>
  </si>
  <si>
    <t>Value inputs for calculation.</t>
  </si>
  <si>
    <t>Heat pump type</t>
  </si>
  <si>
    <t>Dwelling type</t>
  </si>
  <si>
    <t>Values represent technology numbers on a single network asset.  Below a count defined per GSP in the tRESP pathways, DNOs to identify the spatial allocation of the technology totals to specific network assets.</t>
  </si>
  <si>
    <r>
      <t xml:space="preserve">Number of </t>
    </r>
    <r>
      <rPr>
        <b/>
        <sz val="11"/>
        <color theme="1"/>
        <rFont val="Poppins"/>
      </rPr>
      <t>non-hybrid</t>
    </r>
    <r>
      <rPr>
        <sz val="11"/>
        <color theme="1"/>
        <rFont val="Poppins"/>
      </rPr>
      <t xml:space="preserve"> heat pumps</t>
    </r>
  </si>
  <si>
    <r>
      <t xml:space="preserve">Number of </t>
    </r>
    <r>
      <rPr>
        <b/>
        <sz val="11"/>
        <color theme="1"/>
        <rFont val="Poppins"/>
      </rPr>
      <t xml:space="preserve">hybrid </t>
    </r>
    <r>
      <rPr>
        <sz val="11"/>
        <color theme="1"/>
        <rFont val="Poppins"/>
      </rPr>
      <t>heat pumps</t>
    </r>
  </si>
  <si>
    <t>Values represent the distribution of heat pumps to building archetypes.</t>
  </si>
  <si>
    <t>Reference values</t>
  </si>
  <si>
    <t>Data source</t>
  </si>
  <si>
    <r>
      <t xml:space="preserve">Proportion heat pumps in </t>
    </r>
    <r>
      <rPr>
        <b/>
        <sz val="11"/>
        <color theme="1"/>
        <rFont val="Poppins"/>
      </rPr>
      <t>existing</t>
    </r>
    <r>
      <rPr>
        <sz val="11"/>
        <color theme="1"/>
        <rFont val="Poppins"/>
      </rPr>
      <t xml:space="preserve"> detached homes</t>
    </r>
  </si>
  <si>
    <t>Existing</t>
  </si>
  <si>
    <r>
      <t xml:space="preserve">Proportion heat pumps in </t>
    </r>
    <r>
      <rPr>
        <b/>
        <sz val="11"/>
        <color theme="1"/>
        <rFont val="Poppins"/>
      </rPr>
      <t>existing</t>
    </r>
    <r>
      <rPr>
        <sz val="11"/>
        <color theme="1"/>
        <rFont val="Poppins"/>
      </rPr>
      <t xml:space="preserve"> semi-detached homes</t>
    </r>
  </si>
  <si>
    <r>
      <t>Proportion heat pumps in</t>
    </r>
    <r>
      <rPr>
        <b/>
        <sz val="11"/>
        <color theme="1"/>
        <rFont val="Poppins"/>
      </rPr>
      <t xml:space="preserve"> existing </t>
    </r>
    <r>
      <rPr>
        <sz val="11"/>
        <color theme="1"/>
        <rFont val="Poppins"/>
      </rPr>
      <t>terraced homes</t>
    </r>
  </si>
  <si>
    <r>
      <t xml:space="preserve">Proportion heat pumps in </t>
    </r>
    <r>
      <rPr>
        <b/>
        <sz val="11"/>
        <color theme="1"/>
        <rFont val="Poppins"/>
      </rPr>
      <t>existing</t>
    </r>
    <r>
      <rPr>
        <sz val="11"/>
        <color theme="1"/>
        <rFont val="Poppins"/>
      </rPr>
      <t xml:space="preserve"> flats</t>
    </r>
  </si>
  <si>
    <r>
      <t xml:space="preserve">Proportion heat pumps in </t>
    </r>
    <r>
      <rPr>
        <b/>
        <sz val="11"/>
        <color theme="1"/>
        <rFont val="Poppins"/>
      </rPr>
      <t xml:space="preserve">new </t>
    </r>
    <r>
      <rPr>
        <sz val="11"/>
        <color theme="1"/>
        <rFont val="Poppins"/>
      </rPr>
      <t>detached homes</t>
    </r>
  </si>
  <si>
    <t>New</t>
  </si>
  <si>
    <r>
      <t xml:space="preserve">Proportion heat pumps in </t>
    </r>
    <r>
      <rPr>
        <b/>
        <sz val="11"/>
        <color theme="1"/>
        <rFont val="Poppins"/>
      </rPr>
      <t xml:space="preserve">new </t>
    </r>
    <r>
      <rPr>
        <sz val="11"/>
        <color theme="1"/>
        <rFont val="Poppins"/>
      </rPr>
      <t>semi-detached homes</t>
    </r>
  </si>
  <si>
    <r>
      <t xml:space="preserve">Proportion heat pumps in </t>
    </r>
    <r>
      <rPr>
        <b/>
        <sz val="11"/>
        <color theme="1"/>
        <rFont val="Poppins"/>
      </rPr>
      <t>new</t>
    </r>
    <r>
      <rPr>
        <sz val="11"/>
        <color theme="1"/>
        <rFont val="Poppins"/>
      </rPr>
      <t xml:space="preserve"> terraced homes</t>
    </r>
  </si>
  <si>
    <r>
      <t xml:space="preserve">Proportion heat pumps in </t>
    </r>
    <r>
      <rPr>
        <b/>
        <sz val="11"/>
        <color theme="1"/>
        <rFont val="Poppins"/>
      </rPr>
      <t>new</t>
    </r>
    <r>
      <rPr>
        <sz val="11"/>
        <color theme="1"/>
        <rFont val="Poppins"/>
      </rPr>
      <t xml:space="preserve"> flats</t>
    </r>
  </si>
  <si>
    <t>Check sum</t>
  </si>
  <si>
    <t>Total HP demand</t>
  </si>
  <si>
    <t>Per-HP demand</t>
  </si>
  <si>
    <t xml:space="preserve">For reference: </t>
  </si>
  <si>
    <t>Total HP demand by behaviour</t>
  </si>
  <si>
    <t>Number of non-hybrid heat pumps</t>
  </si>
  <si>
    <t>Number of hybrid heat pumps</t>
  </si>
  <si>
    <t>Outside air temperature</t>
  </si>
  <si>
    <t>Temperature range</t>
  </si>
  <si>
    <t>Hot water</t>
  </si>
  <si>
    <t>Continuous</t>
  </si>
  <si>
    <t>Daytime</t>
  </si>
  <si>
    <t>Bimodal</t>
  </si>
  <si>
    <t xml:space="preserve">This table lists the default, lower range, and upper range values that should be applied in calculations for the conditions listed in the inputs. </t>
  </si>
  <si>
    <t>Heat pump type 1</t>
  </si>
  <si>
    <t>Heat pump type 2</t>
  </si>
  <si>
    <t>Dwelling category</t>
  </si>
  <si>
    <t>For reference: Behavioural breakdown</t>
  </si>
  <si>
    <t>Table unit: kW/daily kWh_e</t>
  </si>
  <si>
    <t>N/A (summer and minimum)</t>
  </si>
  <si>
    <t>Time</t>
  </si>
  <si>
    <t>2. Calculate total installed heat pump capacity</t>
  </si>
  <si>
    <t>Total installed capacity</t>
  </si>
  <si>
    <t>3. Calculate daily electricity consumption</t>
  </si>
  <si>
    <t>KWh_e</t>
  </si>
  <si>
    <t>4. Apply half-hourly profiles and find peak demand values in the day and its time. Calculations by behaviour (bimodal, daytime, continuous) provided for reference.</t>
  </si>
  <si>
    <t>Total heat pump demand for all behavioural types, default, lower range, and upper range values.</t>
  </si>
  <si>
    <t>Per-heat pump demand for all behavioural types, default, lower range, and upper range values.</t>
  </si>
  <si>
    <t xml:space="preserve">For reference: default values by behaviour. Note that for peak demand summer day and overall minimum day, there is only a requirement for hot water and not space heating and a split to behaviours is not applicable. </t>
  </si>
  <si>
    <t>Per HP demand</t>
  </si>
  <si>
    <t>Hot water (summer and minimum)</t>
  </si>
  <si>
    <t>Residential appliance and lighting electricity consumption (kWh/household)  compared to the base year.</t>
  </si>
  <si>
    <t>FES 2025 (With adjustments, see comment. Received NESO data models from FES team internally)</t>
  </si>
  <si>
    <t>https://www.neso.energy/publications/future-energy-scenarios-fes</t>
  </si>
  <si>
    <t>The initial data is the residential electricity demand for lights and appliances for Holistic Transition for years 2024-2050. The FES projections are based on Energy Consumption in the UK (ECUK) data and consider how demand per appliance and appliance ownership change through time. Adjustment are made to the FES models to (a) update the baseline values for lighting and efficiency based on the most up-to-date data from ECUK, and (b) remove the impact of population growth, such that the trends represent changes to existing stock only. This approach recognises that new build growth rates vary by location and therefore by removing the impact of stock growth, the assumption can be applied across regions. This is then converted to percentage change compared to baseline year value (2025, representing year ending 31 March 2025).</t>
  </si>
  <si>
    <t xml:space="preserve">The default values are based on the Holistic Transition pathways. They are average values for the entire existing GB dwelling stock and cover the years 2024 to 2050. Additional detail can be added by splitting the building stock by dwelling categories and regions. They start at 100% meaning no improvement to the demand and decrease to reach 60% by 2050 (which is equivalent to a 40% decrease in demand). </t>
  </si>
  <si>
    <t xml:space="preserve">Based on FES 25 Holistic Transition data.  </t>
  </si>
  <si>
    <t>This is based on data on  electricity demand for residential lights and appliances.</t>
  </si>
  <si>
    <t>This is based on FES 25 which was published in July 2025.</t>
  </si>
  <si>
    <t>This is based on GB data. More regionalisation could be done.</t>
  </si>
  <si>
    <t>The data covers years from 2024 to 2050.</t>
  </si>
  <si>
    <t>Back to EE CPA Summary Table</t>
  </si>
  <si>
    <t>EE01_NA_NA_NA_GB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</si>
</sst>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 #,##0.00_-;_-* &quot;-&quot;??_-;_-@_-"/>
    <numFmt numFmtId="165" formatCode="0.0%"/>
    <numFmt numFmtId="166" formatCode="0.0"/>
    <numFmt numFmtId="167" formatCode="_(* #,##0_);_(* \(#,##0\);_(* &quot;-&quot;??_);_(@_)"/>
    <numFmt numFmtId="168" formatCode="0.000"/>
    <numFmt numFmtId="169" formatCode="#,##0_ ;\-#,##0\ "/>
    <numFmt numFmtId="170" formatCode="[$-F400]h:mm:ss\ AM/PM"/>
    <numFmt numFmtId="171" formatCode="0.0000"/>
    <numFmt numFmtId="172" formatCode="#,##0.0"/>
    <numFmt numFmtId="173" formatCode="_-* #,##0_-;\-* #,##0_-;_-* &quot;-&quot;??_-;_-@_-"/>
    <numFmt numFmtId="174" formatCode="_-* #,##0.0_-;\-* #,##0.0_-;_-* &quot;-&quot;??_-;_-@_-"/>
    <numFmt numFmtId="175" formatCode="[$-F800]dddd\,\ mmmm\ dd\,\ yyyy"/>
  </numFmts>
  <fonts count="67">
    <font>
      <sz val="11"/>
      <color theme="1"/>
      <name val="Poppins"/>
    </font>
    <font>
      <sz val="11"/>
      <color theme="1"/>
      <name val="Aptos Narrow"/>
      <family val="2"/>
      <scheme val="minor"/>
    </font>
    <font>
      <b/>
      <sz val="11"/>
      <color theme="1"/>
      <name val="Aptos Narrow"/>
      <family val="2"/>
      <scheme val="minor"/>
    </font>
    <font>
      <sz val="8"/>
      <name val="Aptos Narrow"/>
      <family val="2"/>
      <scheme val="minor"/>
    </font>
    <font>
      <b/>
      <sz val="10"/>
      <color rgb="FFFFFFFF"/>
      <name val="Poppins"/>
    </font>
    <font>
      <b/>
      <sz val="10"/>
      <color rgb="FF000000"/>
      <name val="Poppins"/>
    </font>
    <font>
      <sz val="10"/>
      <color rgb="FF000000"/>
      <name val="Poppins"/>
    </font>
    <font>
      <sz val="10"/>
      <name val="Poppins"/>
    </font>
    <font>
      <b/>
      <sz val="10"/>
      <color theme="1"/>
      <name val="Poppins"/>
    </font>
    <font>
      <sz val="10"/>
      <color theme="1"/>
      <name val="Poppins"/>
    </font>
    <font>
      <sz val="8"/>
      <color theme="1"/>
      <name val="Poppins"/>
    </font>
    <font>
      <u/>
      <sz val="10"/>
      <color theme="10"/>
      <name val="Poppins"/>
    </font>
    <font>
      <sz val="11"/>
      <color theme="1"/>
      <name val="Poppins"/>
    </font>
    <font>
      <i/>
      <sz val="11"/>
      <color theme="1"/>
      <name val="Poppins"/>
    </font>
    <font>
      <u/>
      <sz val="11"/>
      <color theme="10"/>
      <name val="Aptos Narrow"/>
      <family val="2"/>
      <scheme val="minor"/>
    </font>
    <font>
      <sz val="11"/>
      <color theme="0"/>
      <name val="Poppins"/>
    </font>
    <font>
      <sz val="11"/>
      <color rgb="FF454546"/>
      <name val="Poppins"/>
    </font>
    <font>
      <b/>
      <sz val="11"/>
      <color theme="7"/>
      <name val="Poppins"/>
    </font>
    <font>
      <b/>
      <sz val="11"/>
      <color theme="1"/>
      <name val="Poppins"/>
    </font>
    <font>
      <sz val="11"/>
      <name val="Poppins"/>
    </font>
    <font>
      <b/>
      <sz val="11"/>
      <color rgb="FFFFFFFF"/>
      <name val="Poppins"/>
    </font>
    <font>
      <b/>
      <sz val="11"/>
      <color theme="0"/>
      <name val="Poppins"/>
    </font>
    <font>
      <u/>
      <sz val="11"/>
      <color theme="10"/>
      <name val="Poppins"/>
    </font>
    <font>
      <sz val="11"/>
      <color rgb="FFFF0000"/>
      <name val="Poppins"/>
    </font>
    <font>
      <b/>
      <sz val="12"/>
      <color rgb="FFFFFFFF"/>
      <name val="Poppins"/>
    </font>
    <font>
      <b/>
      <sz val="14"/>
      <color theme="0"/>
      <name val="Poppins"/>
    </font>
    <font>
      <sz val="14"/>
      <color theme="0"/>
      <name val="Poppins"/>
    </font>
    <font>
      <b/>
      <sz val="16"/>
      <color theme="0"/>
      <name val="Poppins"/>
    </font>
    <font>
      <sz val="16"/>
      <color theme="0"/>
      <name val="Poppins"/>
    </font>
    <font>
      <u/>
      <sz val="10"/>
      <color rgb="FF0079C1"/>
      <name val="Poppins"/>
    </font>
    <font>
      <u/>
      <sz val="11"/>
      <color rgb="FF0079C1"/>
      <name val="Poppins"/>
    </font>
    <font>
      <b/>
      <sz val="11"/>
      <color rgb="FF7A3864"/>
      <name val="Poppins"/>
    </font>
    <font>
      <b/>
      <sz val="16"/>
      <color rgb="FFFFFFFF"/>
      <name val="Helvetica"/>
      <family val="2"/>
    </font>
    <font>
      <b/>
      <u/>
      <sz val="11"/>
      <color theme="1"/>
      <name val="Aptos Narrow"/>
      <family val="2"/>
      <scheme val="minor"/>
    </font>
    <font>
      <u/>
      <sz val="11"/>
      <color theme="5"/>
      <name val="Arial"/>
      <family val="2"/>
    </font>
    <font>
      <b/>
      <sz val="11"/>
      <color rgb="FF3F0731"/>
      <name val="Poppins"/>
    </font>
    <font>
      <b/>
      <i/>
      <sz val="11"/>
      <color theme="1"/>
      <name val="Poppins"/>
    </font>
    <font>
      <i/>
      <sz val="9"/>
      <color rgb="FF000000"/>
      <name val="Poppins"/>
    </font>
    <font>
      <i/>
      <sz val="9"/>
      <color rgb="FF44546A"/>
      <name val="Poppins"/>
    </font>
    <font>
      <b/>
      <u/>
      <sz val="11"/>
      <color rgb="FF454545"/>
      <name val="Poppins"/>
    </font>
    <font>
      <sz val="11"/>
      <color rgb="FFFF0000"/>
      <name val="Aptos Narrow"/>
      <family val="2"/>
      <scheme val="minor"/>
    </font>
    <font>
      <b/>
      <sz val="10"/>
      <color theme="0"/>
      <name val="Poppins"/>
    </font>
    <font>
      <b/>
      <sz val="10"/>
      <color rgb="FF3F0731"/>
      <name val="Poppins"/>
    </font>
    <font>
      <sz val="8"/>
      <name val="Poppins"/>
    </font>
    <font>
      <b/>
      <sz val="11"/>
      <color rgb="FFFA7D00"/>
      <name val="Aptos Narrow"/>
      <family val="2"/>
      <scheme val="minor"/>
    </font>
    <font>
      <b/>
      <sz val="12"/>
      <color theme="1"/>
      <name val="Poppins"/>
    </font>
    <font>
      <b/>
      <sz val="16"/>
      <color theme="1"/>
      <name val="Poppins"/>
    </font>
    <font>
      <b/>
      <sz val="18"/>
      <color theme="1"/>
      <name val="Poppins"/>
    </font>
    <font>
      <b/>
      <sz val="20"/>
      <name val="Poppins"/>
    </font>
    <font>
      <sz val="14"/>
      <color theme="1"/>
      <name val="Poppins"/>
    </font>
    <font>
      <b/>
      <sz val="16"/>
      <name val="Poppins"/>
    </font>
    <font>
      <b/>
      <sz val="20"/>
      <color theme="1"/>
      <name val="Poppins"/>
    </font>
    <font>
      <b/>
      <sz val="20"/>
      <color theme="8" tint="-0.499984740745262"/>
      <name val="Poppins"/>
    </font>
    <font>
      <b/>
      <sz val="16"/>
      <color theme="8" tint="-0.499984740745262"/>
      <name val="Poppins"/>
    </font>
    <font>
      <b/>
      <sz val="11"/>
      <color rgb="FFFF0000"/>
      <name val="Poppins"/>
    </font>
    <font>
      <b/>
      <sz val="18"/>
      <name val="Poppins"/>
    </font>
    <font>
      <b/>
      <sz val="18"/>
      <color theme="7" tint="-0.499984740745262"/>
      <name val="Poppins"/>
    </font>
    <font>
      <b/>
      <sz val="18"/>
      <color rgb="FFC00000"/>
      <name val="Poppins"/>
    </font>
    <font>
      <sz val="12"/>
      <color theme="1"/>
      <name val="Poppins"/>
    </font>
    <font>
      <b/>
      <sz val="11"/>
      <name val="Poppins"/>
    </font>
    <font>
      <sz val="16"/>
      <color theme="1"/>
      <name val="Poppins"/>
    </font>
    <font>
      <sz val="9"/>
      <color indexed="81"/>
      <name val="Tahoma"/>
      <family val="2"/>
    </font>
    <font>
      <sz val="14"/>
      <color rgb="FF000000"/>
      <name val="Poppins"/>
    </font>
    <font>
      <b/>
      <sz val="9"/>
      <color indexed="81"/>
      <name val="Tahoma"/>
      <family val="2"/>
    </font>
    <font>
      <sz val="16"/>
      <name val="Poppins"/>
    </font>
    <font>
      <i/>
      <sz val="10"/>
      <color rgb="FF000000"/>
      <name val="Poppins"/>
    </font>
    <font>
      <i/>
      <sz val="10"/>
      <color theme="1"/>
      <name val="Poppins"/>
    </font>
  </fonts>
  <fills count="18">
    <fill>
      <patternFill patternType="none"/>
    </fill>
    <fill>
      <patternFill patternType="gray125"/>
    </fill>
    <fill>
      <patternFill patternType="solid">
        <fgColor theme="0"/>
        <bgColor indexed="64"/>
      </patternFill>
    </fill>
    <fill>
      <patternFill patternType="solid">
        <fgColor rgb="FF7A3864"/>
        <bgColor indexed="64"/>
      </patternFill>
    </fill>
    <fill>
      <patternFill patternType="solid">
        <fgColor rgb="FFEAD1E1"/>
        <bgColor indexed="64"/>
      </patternFill>
    </fill>
    <fill>
      <patternFill patternType="solid">
        <fgColor rgb="FF00B05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3F0731"/>
        <bgColor indexed="64"/>
      </patternFill>
    </fill>
    <fill>
      <patternFill patternType="solid">
        <fgColor rgb="FFBE70A4"/>
        <bgColor indexed="64"/>
      </patternFill>
    </fill>
    <fill>
      <patternFill patternType="solid">
        <fgColor rgb="FFFAECF9"/>
        <bgColor indexed="64"/>
      </patternFill>
    </fill>
    <fill>
      <patternFill patternType="solid">
        <fgColor rgb="FFF2F2F2"/>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156082"/>
        <bgColor indexed="64"/>
      </patternFill>
    </fill>
    <fill>
      <patternFill patternType="solid">
        <fgColor rgb="FFE97132"/>
        <bgColor indexed="64"/>
      </patternFill>
    </fill>
    <fill>
      <patternFill patternType="solid">
        <fgColor theme="6"/>
        <bgColor indexed="64"/>
      </patternFill>
    </fill>
    <fill>
      <patternFill patternType="solid">
        <fgColor theme="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7A3864"/>
      </left>
      <right/>
      <top style="medium">
        <color rgb="FF7A3864"/>
      </top>
      <bottom style="medium">
        <color rgb="FF7A3864"/>
      </bottom>
      <diagonal/>
    </border>
    <border>
      <left/>
      <right/>
      <top style="medium">
        <color rgb="FF7A3864"/>
      </top>
      <bottom style="medium">
        <color rgb="FF7A3864"/>
      </bottom>
      <diagonal/>
    </border>
    <border>
      <left/>
      <right style="medium">
        <color rgb="FF7A3864"/>
      </right>
      <top style="medium">
        <color rgb="FF7A3864"/>
      </top>
      <bottom style="medium">
        <color rgb="FF7A3864"/>
      </bottom>
      <diagonal/>
    </border>
    <border>
      <left/>
      <right style="medium">
        <color rgb="FF7A3864"/>
      </right>
      <top/>
      <bottom/>
      <diagonal/>
    </border>
    <border>
      <left style="medium">
        <color rgb="FFC076A7"/>
      </left>
      <right style="medium">
        <color rgb="FFC076A7"/>
      </right>
      <top/>
      <bottom style="medium">
        <color rgb="FFC076A7"/>
      </bottom>
      <diagonal/>
    </border>
    <border>
      <left/>
      <right style="medium">
        <color rgb="FFC076A7"/>
      </right>
      <top/>
      <bottom style="medium">
        <color rgb="FFC076A7"/>
      </bottom>
      <diagonal/>
    </border>
    <border>
      <left/>
      <right/>
      <top/>
      <bottom style="thin">
        <color indexed="64"/>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rgb="FF7F7F7F"/>
      </right>
      <top style="thin">
        <color rgb="FF7F7F7F"/>
      </top>
      <bottom style="thin">
        <color indexed="64"/>
      </bottom>
      <diagonal/>
    </border>
    <border>
      <left style="thin">
        <color rgb="FF7F7F7F"/>
      </left>
      <right style="thin">
        <color indexed="64"/>
      </right>
      <top style="thin">
        <color rgb="FF7F7F7F"/>
      </top>
      <bottom style="thin">
        <color indexed="64"/>
      </bottom>
      <diagonal/>
    </border>
    <border>
      <left/>
      <right style="thin">
        <color rgb="FF7F7F7F"/>
      </right>
      <top style="thin">
        <color rgb="FF7F7F7F"/>
      </top>
      <bottom style="thin">
        <color rgb="FF7F7F7F"/>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style="thin">
        <color rgb="FF7F7F7F"/>
      </right>
      <top/>
      <bottom style="thin">
        <color rgb="FF7F7F7F"/>
      </bottom>
      <diagonal/>
    </border>
    <border>
      <left/>
      <right/>
      <top style="thin">
        <color indexed="64"/>
      </top>
      <bottom style="thin">
        <color indexed="64"/>
      </bottom>
      <diagonal/>
    </border>
    <border>
      <left style="medium">
        <color rgb="FFC076A7"/>
      </left>
      <right style="medium">
        <color rgb="FFC076A7"/>
      </right>
      <top/>
      <bottom/>
      <diagonal/>
    </border>
    <border>
      <left style="medium">
        <color rgb="FFC076A7"/>
      </left>
      <right style="medium">
        <color rgb="FFC076A7"/>
      </right>
      <top style="medium">
        <color rgb="FF7A3864"/>
      </top>
      <bottom/>
      <diagonal/>
    </border>
    <border>
      <left style="medium">
        <color rgb="FFC076A7"/>
      </left>
      <right style="medium">
        <color rgb="FFC076A7"/>
      </right>
      <top style="medium">
        <color rgb="FFC076A7"/>
      </top>
      <bottom/>
      <diagonal/>
    </border>
    <border>
      <left/>
      <right style="medium">
        <color rgb="FFC076A7"/>
      </right>
      <top/>
      <bottom/>
      <diagonal/>
    </border>
  </borders>
  <cellStyleXfs count="14">
    <xf numFmtId="0" fontId="0" fillId="0" borderId="0"/>
    <xf numFmtId="0" fontId="11" fillId="0" borderId="0" applyNumberForma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xf numFmtId="0" fontId="34" fillId="0" borderId="0" applyNumberFormat="0" applyFill="0" applyBorder="0" applyAlignment="0" applyProtection="0"/>
    <xf numFmtId="0" fontId="19" fillId="7" borderId="1" applyNumberFormat="0" applyAlignment="0" applyProtection="0"/>
    <xf numFmtId="0" fontId="21" fillId="3" borderId="1"/>
    <xf numFmtId="1" fontId="19" fillId="10" borderId="1"/>
    <xf numFmtId="0" fontId="21" fillId="8" borderId="1">
      <alignment vertical="center" wrapText="1"/>
    </xf>
    <xf numFmtId="0" fontId="21" fillId="9" borderId="1">
      <alignment horizontal="left" vertical="center"/>
      <protection locked="0"/>
    </xf>
    <xf numFmtId="0" fontId="35" fillId="7" borderId="1"/>
    <xf numFmtId="0" fontId="44" fillId="11" borderId="25" applyNumberFormat="0" applyAlignment="0" applyProtection="0"/>
    <xf numFmtId="0" fontId="12" fillId="12" borderId="1"/>
  </cellStyleXfs>
  <cellXfs count="419">
    <xf numFmtId="0" fontId="0" fillId="0" borderId="0" xfId="0"/>
    <xf numFmtId="0" fontId="2" fillId="0" borderId="0" xfId="0" applyFont="1"/>
    <xf numFmtId="0" fontId="0" fillId="0" borderId="1" xfId="0" applyBorder="1"/>
    <xf numFmtId="0" fontId="0" fillId="2" borderId="0" xfId="0" applyFill="1"/>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5" fillId="4" borderId="7" xfId="0" applyFont="1" applyFill="1" applyBorder="1" applyAlignment="1">
      <alignment vertical="center" wrapText="1"/>
    </xf>
    <xf numFmtId="0" fontId="6" fillId="4" borderId="8" xfId="0" applyFont="1" applyFill="1" applyBorder="1" applyAlignment="1">
      <alignment vertical="center" wrapText="1"/>
    </xf>
    <xf numFmtId="0" fontId="11" fillId="4" borderId="8" xfId="1" applyFill="1" applyBorder="1" applyAlignment="1">
      <alignment vertical="center" wrapText="1"/>
    </xf>
    <xf numFmtId="0" fontId="7" fillId="4" borderId="8" xfId="0" applyFont="1" applyFill="1" applyBorder="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0" fontId="11" fillId="0" borderId="8" xfId="1" applyBorder="1" applyAlignment="1">
      <alignment vertical="center" wrapText="1"/>
    </xf>
    <xf numFmtId="0" fontId="6" fillId="4" borderId="7" xfId="0" applyFont="1" applyFill="1" applyBorder="1" applyAlignment="1">
      <alignment vertical="center" wrapText="1"/>
    </xf>
    <xf numFmtId="0" fontId="11" fillId="2" borderId="8" xfId="1" applyFill="1" applyBorder="1" applyAlignment="1">
      <alignment vertical="center" wrapText="1"/>
    </xf>
    <xf numFmtId="0" fontId="11" fillId="0" borderId="0" xfId="1"/>
    <xf numFmtId="0" fontId="9" fillId="0" borderId="7" xfId="0" applyFont="1" applyBorder="1" applyAlignment="1">
      <alignment vertical="center" wrapText="1"/>
    </xf>
    <xf numFmtId="9" fontId="0" fillId="0" borderId="0" xfId="0" applyNumberFormat="1"/>
    <xf numFmtId="166" fontId="0" fillId="0" borderId="0" xfId="0" applyNumberFormat="1"/>
    <xf numFmtId="0" fontId="6" fillId="5" borderId="8" xfId="0" applyFont="1" applyFill="1" applyBorder="1" applyAlignment="1">
      <alignment vertical="center" wrapText="1"/>
    </xf>
    <xf numFmtId="0" fontId="11" fillId="0" borderId="7" xfId="1" applyBorder="1" applyAlignment="1">
      <alignment vertical="center" wrapText="1"/>
    </xf>
    <xf numFmtId="0" fontId="7" fillId="0" borderId="7" xfId="0" applyFont="1" applyBorder="1" applyAlignment="1">
      <alignment vertical="center" wrapText="1"/>
    </xf>
    <xf numFmtId="0" fontId="7" fillId="4" borderId="7" xfId="0" applyFont="1" applyFill="1" applyBorder="1" applyAlignment="1">
      <alignment vertical="center" wrapText="1"/>
    </xf>
    <xf numFmtId="0" fontId="12" fillId="0" borderId="0" xfId="0" applyFont="1"/>
    <xf numFmtId="0" fontId="11" fillId="4" borderId="7" xfId="1" applyFill="1" applyBorder="1" applyAlignment="1">
      <alignment vertical="center" wrapText="1"/>
    </xf>
    <xf numFmtId="0" fontId="7" fillId="2" borderId="8" xfId="0" applyFont="1" applyFill="1" applyBorder="1" applyAlignment="1">
      <alignment vertical="center" wrapText="1"/>
    </xf>
    <xf numFmtId="168" fontId="0" fillId="0" borderId="0" xfId="0" applyNumberFormat="1"/>
    <xf numFmtId="0" fontId="12" fillId="2" borderId="0" xfId="0" applyFont="1" applyFill="1"/>
    <xf numFmtId="0" fontId="15" fillId="2" borderId="0" xfId="0" applyFont="1" applyFill="1"/>
    <xf numFmtId="0" fontId="18" fillId="0" borderId="0" xfId="0" applyFont="1"/>
    <xf numFmtId="0" fontId="19" fillId="0" borderId="0" xfId="0" applyFont="1"/>
    <xf numFmtId="0" fontId="12" fillId="0" borderId="0" xfId="0" applyFont="1" applyAlignment="1">
      <alignment wrapText="1"/>
    </xf>
    <xf numFmtId="0" fontId="18" fillId="7" borderId="0" xfId="0" applyFont="1" applyFill="1"/>
    <xf numFmtId="0" fontId="18" fillId="0" borderId="0" xfId="0" applyFont="1" applyAlignment="1">
      <alignment wrapText="1"/>
    </xf>
    <xf numFmtId="0" fontId="12" fillId="0" borderId="1" xfId="0" applyFont="1" applyBorder="1"/>
    <xf numFmtId="0" fontId="12" fillId="0" borderId="1"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2" fillId="0" borderId="1" xfId="0" applyFont="1" applyBorder="1" applyAlignment="1">
      <alignment vertical="center"/>
    </xf>
    <xf numFmtId="0" fontId="12" fillId="0" borderId="1" xfId="0" quotePrefix="1" applyFont="1" applyBorder="1" applyAlignment="1">
      <alignment vertical="center"/>
    </xf>
    <xf numFmtId="0" fontId="12" fillId="0" borderId="2" xfId="0" quotePrefix="1" applyFont="1" applyBorder="1" applyAlignment="1">
      <alignment vertical="center"/>
    </xf>
    <xf numFmtId="0" fontId="12" fillId="0" borderId="2" xfId="0" applyFont="1" applyBorder="1" applyAlignment="1">
      <alignment vertical="center"/>
    </xf>
    <xf numFmtId="0" fontId="13" fillId="0" borderId="1" xfId="0" applyFont="1" applyBorder="1" applyAlignment="1">
      <alignment vertical="center"/>
    </xf>
    <xf numFmtId="0" fontId="13" fillId="0" borderId="1" xfId="0" quotePrefix="1" applyFont="1" applyBorder="1" applyAlignment="1">
      <alignment vertical="center"/>
    </xf>
    <xf numFmtId="0" fontId="13" fillId="0" borderId="2" xfId="0" applyFont="1" applyBorder="1" applyAlignment="1">
      <alignment vertical="center"/>
    </xf>
    <xf numFmtId="0" fontId="18" fillId="0" borderId="1" xfId="0" applyFont="1" applyBorder="1" applyAlignment="1">
      <alignment vertical="center" wrapText="1"/>
    </xf>
    <xf numFmtId="0" fontId="12" fillId="0" borderId="1" xfId="0" applyFont="1" applyBorder="1" applyAlignment="1">
      <alignment wrapText="1"/>
    </xf>
    <xf numFmtId="0" fontId="20" fillId="3" borderId="5" xfId="0" applyFont="1" applyFill="1" applyBorder="1" applyAlignment="1">
      <alignment vertical="center" wrapText="1"/>
    </xf>
    <xf numFmtId="0" fontId="20" fillId="3" borderId="6" xfId="0" applyFont="1" applyFill="1" applyBorder="1" applyAlignment="1">
      <alignment vertical="center" wrapText="1"/>
    </xf>
    <xf numFmtId="0" fontId="21" fillId="8" borderId="1" xfId="0" applyFont="1" applyFill="1" applyBorder="1"/>
    <xf numFmtId="9" fontId="12" fillId="0" borderId="0" xfId="0" applyNumberFormat="1" applyFont="1"/>
    <xf numFmtId="9" fontId="12" fillId="0" borderId="1" xfId="0" applyNumberFormat="1" applyFont="1" applyBorder="1"/>
    <xf numFmtId="9" fontId="12" fillId="0" borderId="1" xfId="2" applyFont="1" applyBorder="1"/>
    <xf numFmtId="170" fontId="12" fillId="0" borderId="1" xfId="0" applyNumberFormat="1" applyFont="1" applyBorder="1"/>
    <xf numFmtId="168" fontId="12" fillId="0" borderId="1" xfId="0" applyNumberFormat="1" applyFont="1" applyBorder="1"/>
    <xf numFmtId="1" fontId="12" fillId="0" borderId="1" xfId="0" applyNumberFormat="1" applyFont="1" applyBorder="1"/>
    <xf numFmtId="9" fontId="12" fillId="0" borderId="1" xfId="2" applyFont="1" applyFill="1" applyBorder="1"/>
    <xf numFmtId="1" fontId="12" fillId="0" borderId="0" xfId="0" applyNumberFormat="1" applyFont="1"/>
    <xf numFmtId="169" fontId="12" fillId="0" borderId="0" xfId="3" applyNumberFormat="1" applyFont="1"/>
    <xf numFmtId="164" fontId="12" fillId="0" borderId="0" xfId="3" applyFont="1"/>
    <xf numFmtId="164" fontId="12" fillId="0" borderId="0" xfId="0" applyNumberFormat="1" applyFont="1"/>
    <xf numFmtId="164" fontId="18" fillId="6" borderId="0" xfId="0" applyNumberFormat="1" applyFont="1" applyFill="1"/>
    <xf numFmtId="0" fontId="23" fillId="0" borderId="0" xfId="0" applyFont="1"/>
    <xf numFmtId="11" fontId="19" fillId="0" borderId="0" xfId="0" applyNumberFormat="1" applyFont="1"/>
    <xf numFmtId="170" fontId="18" fillId="0" borderId="0" xfId="0" applyNumberFormat="1" applyFont="1"/>
    <xf numFmtId="11" fontId="12" fillId="0" borderId="0" xfId="0" applyNumberFormat="1" applyFont="1"/>
    <xf numFmtId="3" fontId="19" fillId="0" borderId="0" xfId="0" applyNumberFormat="1" applyFont="1"/>
    <xf numFmtId="168" fontId="19" fillId="0" borderId="0" xfId="0" applyNumberFormat="1" applyFont="1"/>
    <xf numFmtId="9" fontId="12" fillId="0" borderId="0" xfId="2" applyFont="1"/>
    <xf numFmtId="164" fontId="23" fillId="0" borderId="0" xfId="0" applyNumberFormat="1" applyFont="1"/>
    <xf numFmtId="0" fontId="20" fillId="3" borderId="5" xfId="0" applyFont="1" applyFill="1" applyBorder="1" applyAlignment="1">
      <alignment vertical="center"/>
    </xf>
    <xf numFmtId="0" fontId="24" fillId="3" borderId="5" xfId="0" applyFont="1" applyFill="1" applyBorder="1" applyAlignment="1">
      <alignment vertical="center"/>
    </xf>
    <xf numFmtId="165" fontId="12" fillId="0" borderId="1" xfId="2" applyNumberFormat="1" applyFont="1" applyBorder="1"/>
    <xf numFmtId="2" fontId="12" fillId="0" borderId="1" xfId="0" applyNumberFormat="1" applyFont="1" applyBorder="1"/>
    <xf numFmtId="166" fontId="12" fillId="0" borderId="1" xfId="0" applyNumberFormat="1" applyFont="1" applyBorder="1"/>
    <xf numFmtId="172" fontId="19" fillId="0" borderId="0" xfId="0" applyNumberFormat="1" applyFont="1"/>
    <xf numFmtId="172" fontId="19" fillId="6" borderId="0" xfId="0" applyNumberFormat="1" applyFont="1" applyFill="1"/>
    <xf numFmtId="0" fontId="12" fillId="0" borderId="0" xfId="0" applyFont="1" applyAlignment="1">
      <alignment horizontal="left" wrapText="1"/>
    </xf>
    <xf numFmtId="9" fontId="19" fillId="0" borderId="0" xfId="2" applyFont="1"/>
    <xf numFmtId="165" fontId="12" fillId="0" borderId="0" xfId="0" applyNumberFormat="1" applyFont="1"/>
    <xf numFmtId="2" fontId="19" fillId="0" borderId="0" xfId="0" applyNumberFormat="1" applyFont="1"/>
    <xf numFmtId="166" fontId="19" fillId="0" borderId="0" xfId="0" applyNumberFormat="1" applyFont="1"/>
    <xf numFmtId="171" fontId="19" fillId="0" borderId="0" xfId="0" applyNumberFormat="1" applyFont="1"/>
    <xf numFmtId="0" fontId="22" fillId="0" borderId="0" xfId="1" applyFont="1" applyAlignment="1">
      <alignment wrapText="1"/>
    </xf>
    <xf numFmtId="3" fontId="12" fillId="0" borderId="0" xfId="0" applyNumberFormat="1" applyFont="1"/>
    <xf numFmtId="0" fontId="27" fillId="3" borderId="0" xfId="0" applyFont="1" applyFill="1" applyAlignment="1">
      <alignment vertical="center"/>
    </xf>
    <xf numFmtId="0" fontId="25" fillId="3" borderId="0" xfId="0" applyFont="1" applyFill="1" applyAlignment="1">
      <alignment horizontal="left" vertical="center"/>
    </xf>
    <xf numFmtId="0" fontId="12" fillId="2" borderId="0" xfId="0" applyFont="1" applyFill="1" applyAlignment="1">
      <alignment vertical="center"/>
    </xf>
    <xf numFmtId="0" fontId="0" fillId="3" borderId="0" xfId="0" applyFill="1"/>
    <xf numFmtId="0" fontId="32" fillId="3" borderId="0" xfId="0" applyFont="1" applyFill="1" applyAlignment="1">
      <alignment vertical="center"/>
    </xf>
    <xf numFmtId="0" fontId="33" fillId="0" borderId="0" xfId="0" applyFont="1"/>
    <xf numFmtId="0" fontId="0" fillId="0" borderId="0" xfId="0" applyAlignment="1">
      <alignment vertical="top" wrapText="1"/>
    </xf>
    <xf numFmtId="0" fontId="15" fillId="3" borderId="0" xfId="0" applyFont="1" applyFill="1" applyAlignment="1">
      <alignment vertical="center"/>
    </xf>
    <xf numFmtId="0" fontId="12" fillId="0" borderId="0" xfId="0" applyFont="1" applyAlignment="1">
      <alignment vertical="center"/>
    </xf>
    <xf numFmtId="0" fontId="15" fillId="3" borderId="0" xfId="0" applyFont="1" applyFill="1" applyAlignment="1">
      <alignment horizontal="left" vertical="center"/>
    </xf>
    <xf numFmtId="0" fontId="12" fillId="0" borderId="0" xfId="0" applyFont="1" applyAlignment="1">
      <alignment horizontal="left" vertical="center"/>
    </xf>
    <xf numFmtId="0" fontId="11" fillId="0" borderId="0" xfId="1" applyFill="1"/>
    <xf numFmtId="0" fontId="29" fillId="0" borderId="0" xfId="1" applyFont="1" applyFill="1"/>
    <xf numFmtId="0" fontId="27" fillId="3" borderId="0" xfId="0" applyFont="1" applyFill="1" applyAlignment="1" applyProtection="1">
      <alignment vertical="center"/>
      <protection locked="0"/>
    </xf>
    <xf numFmtId="0" fontId="28" fillId="3" borderId="0" xfId="0" applyFont="1" applyFill="1" applyAlignment="1" applyProtection="1">
      <alignment vertical="center"/>
      <protection locked="0"/>
    </xf>
    <xf numFmtId="0" fontId="12" fillId="2" borderId="0" xfId="0" applyFont="1" applyFill="1" applyProtection="1">
      <protection locked="0"/>
    </xf>
    <xf numFmtId="0" fontId="15" fillId="2" borderId="0" xfId="0" applyFont="1" applyFill="1" applyProtection="1">
      <protection locked="0"/>
    </xf>
    <xf numFmtId="0" fontId="21" fillId="9" borderId="1" xfId="0" applyFont="1" applyFill="1" applyBorder="1" applyAlignment="1" applyProtection="1">
      <alignment horizontal="left" vertical="center"/>
      <protection locked="0"/>
    </xf>
    <xf numFmtId="0" fontId="30" fillId="0" borderId="1" xfId="1" applyFont="1" applyFill="1" applyBorder="1" applyProtection="1">
      <protection locked="0"/>
    </xf>
    <xf numFmtId="0" fontId="21" fillId="3" borderId="0" xfId="0" applyFont="1" applyFill="1" applyProtection="1">
      <protection locked="0"/>
    </xf>
    <xf numFmtId="0" fontId="15" fillId="3" borderId="0" xfId="0" applyFont="1" applyFill="1" applyProtection="1">
      <protection locked="0"/>
    </xf>
    <xf numFmtId="0" fontId="30" fillId="0" borderId="1" xfId="1" applyFont="1" applyFill="1" applyBorder="1" applyAlignment="1" applyProtection="1">
      <alignment horizontal="left" vertical="center"/>
      <protection locked="0"/>
    </xf>
    <xf numFmtId="0" fontId="12" fillId="2" borderId="1" xfId="0" applyFont="1" applyFill="1" applyBorder="1" applyProtection="1">
      <protection locked="0"/>
    </xf>
    <xf numFmtId="0" fontId="16" fillId="2" borderId="0" xfId="0" applyFont="1" applyFill="1" applyAlignment="1" applyProtection="1">
      <alignment horizontal="left" vertical="top"/>
      <protection locked="0"/>
    </xf>
    <xf numFmtId="14" fontId="12" fillId="2" borderId="0" xfId="0" applyNumberFormat="1" applyFont="1" applyFill="1" applyAlignment="1" applyProtection="1">
      <alignment horizontal="left" vertical="top"/>
      <protection locked="0"/>
    </xf>
    <xf numFmtId="14" fontId="12" fillId="2" borderId="0" xfId="0" applyNumberFormat="1" applyFont="1" applyFill="1" applyAlignment="1" applyProtection="1">
      <alignment horizontal="left" vertical="top" wrapText="1"/>
      <protection locked="0"/>
    </xf>
    <xf numFmtId="0" fontId="22" fillId="0" borderId="1" xfId="1" applyFont="1" applyFill="1" applyBorder="1" applyProtection="1">
      <protection locked="0"/>
    </xf>
    <xf numFmtId="0" fontId="12" fillId="2" borderId="1" xfId="1" applyFont="1" applyFill="1" applyBorder="1" applyAlignment="1" applyProtection="1">
      <alignment wrapText="1"/>
      <protection locked="0"/>
    </xf>
    <xf numFmtId="0" fontId="12" fillId="2" borderId="1" xfId="1" applyFont="1" applyFill="1" applyBorder="1" applyProtection="1">
      <protection locked="0"/>
    </xf>
    <xf numFmtId="0" fontId="12" fillId="2" borderId="1" xfId="0" applyFont="1" applyFill="1" applyBorder="1"/>
    <xf numFmtId="0" fontId="11" fillId="0" borderId="0" xfId="1" applyFill="1" applyProtection="1">
      <protection locked="0"/>
    </xf>
    <xf numFmtId="0" fontId="12" fillId="0" borderId="0" xfId="0" applyFont="1" applyProtection="1">
      <protection locked="0"/>
    </xf>
    <xf numFmtId="0" fontId="0" fillId="0" borderId="0" xfId="0" applyProtection="1">
      <protection locked="0"/>
    </xf>
    <xf numFmtId="0" fontId="12" fillId="0" borderId="1" xfId="0" applyFont="1" applyBorder="1" applyProtection="1">
      <protection locked="0"/>
    </xf>
    <xf numFmtId="167" fontId="12" fillId="0" borderId="1" xfId="0" applyNumberFormat="1" applyFont="1" applyBorder="1" applyAlignment="1">
      <alignment vertical="center"/>
    </xf>
    <xf numFmtId="9" fontId="12" fillId="0" borderId="1" xfId="2" applyFont="1" applyBorder="1" applyProtection="1"/>
    <xf numFmtId="9" fontId="0" fillId="0" borderId="0" xfId="0" applyNumberFormat="1" applyProtection="1">
      <protection locked="0"/>
    </xf>
    <xf numFmtId="10" fontId="0" fillId="0" borderId="0" xfId="0" applyNumberFormat="1" applyProtection="1">
      <protection locked="0"/>
    </xf>
    <xf numFmtId="10" fontId="12" fillId="0" borderId="1" xfId="0" applyNumberFormat="1" applyFont="1" applyBorder="1"/>
    <xf numFmtId="9" fontId="0" fillId="0" borderId="0" xfId="2" applyFont="1" applyProtection="1">
      <protection locked="0"/>
    </xf>
    <xf numFmtId="170" fontId="12" fillId="0" borderId="1" xfId="0" applyNumberFormat="1" applyFont="1" applyBorder="1" applyProtection="1">
      <protection locked="0"/>
    </xf>
    <xf numFmtId="11" fontId="12" fillId="0" borderId="1" xfId="0" applyNumberFormat="1" applyFont="1" applyBorder="1" applyProtection="1">
      <protection locked="0"/>
    </xf>
    <xf numFmtId="11" fontId="0" fillId="0" borderId="0" xfId="0" applyNumberFormat="1" applyProtection="1">
      <protection locked="0"/>
    </xf>
    <xf numFmtId="171" fontId="12" fillId="0" borderId="1" xfId="0" applyNumberFormat="1" applyFont="1" applyBorder="1"/>
    <xf numFmtId="0" fontId="35" fillId="7" borderId="1" xfId="0" applyFont="1" applyFill="1" applyBorder="1"/>
    <xf numFmtId="0" fontId="13" fillId="0" borderId="1" xfId="0" quotePrefix="1" applyFont="1" applyBorder="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22" fillId="0" borderId="1" xfId="1" applyFont="1" applyFill="1" applyBorder="1" applyAlignment="1" applyProtection="1">
      <alignment horizontal="left" vertical="center"/>
      <protection locked="0"/>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16" xfId="0" applyFont="1" applyBorder="1" applyAlignment="1">
      <alignment horizontal="left" vertical="center" wrapText="1"/>
    </xf>
    <xf numFmtId="0" fontId="6" fillId="0" borderId="12" xfId="0" applyFont="1" applyBorder="1" applyAlignment="1">
      <alignment horizontal="left" vertical="center" wrapText="1"/>
    </xf>
    <xf numFmtId="0" fontId="6" fillId="0" borderId="23" xfId="0" applyFont="1" applyBorder="1" applyAlignment="1">
      <alignment horizontal="left" vertical="center" wrapText="1"/>
    </xf>
    <xf numFmtId="0" fontId="6" fillId="0" borderId="22" xfId="0" applyFont="1" applyBorder="1" applyAlignment="1">
      <alignment horizontal="left" vertical="center" wrapText="1"/>
    </xf>
    <xf numFmtId="0" fontId="0" fillId="0" borderId="22" xfId="0" applyBorder="1" applyAlignment="1">
      <alignment vertical="top" wrapText="1"/>
    </xf>
    <xf numFmtId="0" fontId="0" fillId="0" borderId="18" xfId="0" applyBorder="1" applyAlignment="1">
      <alignment vertical="top" wrapText="1"/>
    </xf>
    <xf numFmtId="0" fontId="6" fillId="0" borderId="9" xfId="0" applyFont="1" applyBorder="1" applyAlignment="1">
      <alignment horizontal="left" vertical="center" wrapText="1"/>
    </xf>
    <xf numFmtId="0" fontId="0" fillId="0" borderId="24" xfId="0" applyBorder="1" applyAlignment="1">
      <alignment vertical="top" wrapText="1"/>
    </xf>
    <xf numFmtId="0" fontId="0" fillId="0" borderId="0" xfId="0" applyAlignment="1">
      <alignment horizontal="left"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0" fillId="0" borderId="22" xfId="0" applyBorder="1" applyAlignment="1">
      <alignment horizontal="left" vertical="center" wrapText="1"/>
    </xf>
    <xf numFmtId="0" fontId="6" fillId="0" borderId="18" xfId="0" applyFont="1" applyBorder="1" applyAlignment="1">
      <alignment horizontal="left" vertical="center" wrapText="1"/>
    </xf>
    <xf numFmtId="0" fontId="0" fillId="0" borderId="9" xfId="0" applyBorder="1" applyAlignment="1">
      <alignment vertical="top" wrapText="1"/>
    </xf>
    <xf numFmtId="0" fontId="25" fillId="3" borderId="0" xfId="0" applyFont="1" applyFill="1" applyAlignment="1">
      <alignment vertical="center"/>
    </xf>
    <xf numFmtId="0" fontId="26" fillId="3" borderId="0" xfId="0" applyFont="1" applyFill="1" applyAlignment="1">
      <alignment vertical="center"/>
    </xf>
    <xf numFmtId="0" fontId="11" fillId="0" borderId="21" xfId="1" applyFill="1" applyBorder="1"/>
    <xf numFmtId="0" fontId="39" fillId="0" borderId="0" xfId="0" applyFont="1"/>
    <xf numFmtId="0" fontId="12" fillId="0" borderId="0" xfId="0" applyFont="1" applyAlignment="1">
      <alignment horizontal="left" vertical="top" wrapText="1"/>
    </xf>
    <xf numFmtId="0" fontId="31" fillId="2" borderId="1" xfId="0" applyFont="1" applyFill="1" applyBorder="1" applyAlignment="1" applyProtection="1">
      <alignment vertical="center"/>
      <protection locked="0"/>
    </xf>
    <xf numFmtId="0" fontId="31" fillId="2" borderId="0" xfId="0" applyFont="1" applyFill="1" applyAlignment="1" applyProtection="1">
      <alignment vertical="center"/>
      <protection locked="0"/>
    </xf>
    <xf numFmtId="0" fontId="30" fillId="0" borderId="1" xfId="1" applyFont="1" applyFill="1" applyBorder="1"/>
    <xf numFmtId="0" fontId="27" fillId="3" borderId="0" xfId="0" applyFont="1" applyFill="1"/>
    <xf numFmtId="0" fontId="11" fillId="0" borderId="0" xfId="1" applyFill="1" applyBorder="1"/>
    <xf numFmtId="0" fontId="12" fillId="3" borderId="0" xfId="0" applyFont="1" applyFill="1" applyAlignment="1">
      <alignment vertical="center"/>
    </xf>
    <xf numFmtId="0" fontId="19" fillId="0" borderId="0" xfId="0" applyFont="1" applyAlignment="1">
      <alignment horizontal="left"/>
    </xf>
    <xf numFmtId="0" fontId="19" fillId="7" borderId="1" xfId="6"/>
    <xf numFmtId="1" fontId="19" fillId="7" borderId="1" xfId="6" applyNumberFormat="1"/>
    <xf numFmtId="0" fontId="21" fillId="3" borderId="1" xfId="7"/>
    <xf numFmtId="1" fontId="19" fillId="10" borderId="1" xfId="8"/>
    <xf numFmtId="0" fontId="21" fillId="8" borderId="1" xfId="9">
      <alignment vertical="center" wrapText="1"/>
    </xf>
    <xf numFmtId="0" fontId="21" fillId="9" borderId="1" xfId="10">
      <alignment horizontal="left" vertical="center"/>
      <protection locked="0"/>
    </xf>
    <xf numFmtId="0" fontId="35" fillId="7" borderId="1" xfId="11"/>
    <xf numFmtId="0" fontId="42" fillId="7" borderId="1" xfId="11" applyFont="1"/>
    <xf numFmtId="0" fontId="23" fillId="2" borderId="0" xfId="0" applyFont="1" applyFill="1"/>
    <xf numFmtId="0" fontId="18" fillId="2" borderId="0" xfId="0" applyFont="1" applyFill="1"/>
    <xf numFmtId="0" fontId="0" fillId="2" borderId="1" xfId="0" applyFill="1" applyBorder="1"/>
    <xf numFmtId="11" fontId="19" fillId="2" borderId="1" xfId="0" applyNumberFormat="1" applyFont="1" applyFill="1" applyBorder="1"/>
    <xf numFmtId="0" fontId="18" fillId="2" borderId="1" xfId="0" applyFont="1" applyFill="1" applyBorder="1"/>
    <xf numFmtId="0" fontId="12" fillId="12" borderId="1" xfId="13"/>
    <xf numFmtId="170" fontId="18" fillId="2" borderId="1" xfId="0" applyNumberFormat="1" applyFont="1" applyFill="1" applyBorder="1" applyProtection="1">
      <protection locked="0"/>
    </xf>
    <xf numFmtId="11" fontId="12" fillId="12" borderId="1" xfId="13" applyNumberFormat="1"/>
    <xf numFmtId="0" fontId="44" fillId="11" borderId="25" xfId="12"/>
    <xf numFmtId="0" fontId="44" fillId="11" borderId="26" xfId="12" applyBorder="1"/>
    <xf numFmtId="0" fontId="44" fillId="11" borderId="27" xfId="12" applyBorder="1"/>
    <xf numFmtId="0" fontId="44" fillId="11" borderId="28" xfId="12" applyBorder="1"/>
    <xf numFmtId="169" fontId="44" fillId="11" borderId="25" xfId="12" applyNumberFormat="1"/>
    <xf numFmtId="169" fontId="44" fillId="11" borderId="28" xfId="12" applyNumberFormat="1" applyBorder="1"/>
    <xf numFmtId="169" fontId="44" fillId="11" borderId="29" xfId="12" applyNumberFormat="1" applyBorder="1"/>
    <xf numFmtId="169" fontId="44" fillId="11" borderId="30" xfId="12" applyNumberFormat="1" applyBorder="1"/>
    <xf numFmtId="11" fontId="44" fillId="11" borderId="25" xfId="12" applyNumberFormat="1"/>
    <xf numFmtId="164" fontId="44" fillId="11" borderId="25" xfId="3" applyFont="1" applyFill="1" applyBorder="1"/>
    <xf numFmtId="164" fontId="44" fillId="11" borderId="25" xfId="12" applyNumberFormat="1"/>
    <xf numFmtId="170" fontId="44" fillId="11" borderId="25" xfId="12" applyNumberFormat="1" applyProtection="1">
      <protection locked="0"/>
    </xf>
    <xf numFmtId="0" fontId="0" fillId="13" borderId="0" xfId="0" applyFill="1"/>
    <xf numFmtId="0" fontId="40" fillId="13" borderId="0" xfId="0" applyFont="1" applyFill="1"/>
    <xf numFmtId="0" fontId="18" fillId="13" borderId="0" xfId="0" applyFont="1" applyFill="1"/>
    <xf numFmtId="0" fontId="47" fillId="13" borderId="0" xfId="0" applyFont="1" applyFill="1"/>
    <xf numFmtId="0" fontId="23" fillId="13" borderId="0" xfId="0" applyFont="1" applyFill="1"/>
    <xf numFmtId="0" fontId="48" fillId="2" borderId="0" xfId="0" applyFont="1" applyFill="1"/>
    <xf numFmtId="0" fontId="45" fillId="2" borderId="0" xfId="0" applyFont="1" applyFill="1"/>
    <xf numFmtId="0" fontId="50" fillId="2" borderId="0" xfId="0" applyFont="1" applyFill="1"/>
    <xf numFmtId="0" fontId="50" fillId="2" borderId="0" xfId="0" applyFont="1" applyFill="1" applyAlignment="1">
      <alignment horizontal="right"/>
    </xf>
    <xf numFmtId="0" fontId="51" fillId="2" borderId="0" xfId="0" applyFont="1" applyFill="1" applyAlignment="1">
      <alignment horizontal="center" vertical="center"/>
    </xf>
    <xf numFmtId="0" fontId="51" fillId="2" borderId="0" xfId="0" applyFont="1" applyFill="1" applyAlignment="1">
      <alignment vertical="center"/>
    </xf>
    <xf numFmtId="164" fontId="52" fillId="2" borderId="0" xfId="0" applyNumberFormat="1" applyFont="1" applyFill="1" applyAlignment="1">
      <alignment horizontal="center" vertical="center"/>
    </xf>
    <xf numFmtId="0" fontId="52" fillId="2" borderId="0" xfId="0" applyFont="1" applyFill="1" applyAlignment="1">
      <alignment horizontal="left" vertical="center"/>
    </xf>
    <xf numFmtId="0" fontId="46" fillId="2" borderId="0" xfId="0" applyFont="1" applyFill="1" applyAlignment="1">
      <alignment horizontal="right" vertical="center"/>
    </xf>
    <xf numFmtId="170" fontId="52" fillId="2" borderId="0" xfId="0" applyNumberFormat="1" applyFont="1" applyFill="1" applyAlignment="1">
      <alignment horizontal="center" vertical="center"/>
    </xf>
    <xf numFmtId="164" fontId="53" fillId="2" borderId="0" xfId="0" applyNumberFormat="1" applyFont="1" applyFill="1" applyAlignment="1">
      <alignment horizontal="right" vertical="center"/>
    </xf>
    <xf numFmtId="0" fontId="53" fillId="2" borderId="0" xfId="0" applyFont="1" applyFill="1" applyAlignment="1">
      <alignment horizontal="left" vertical="center"/>
    </xf>
    <xf numFmtId="0" fontId="18" fillId="2" borderId="11" xfId="0" applyFont="1" applyFill="1" applyBorder="1"/>
    <xf numFmtId="0" fontId="12" fillId="13" borderId="0" xfId="0" applyFont="1" applyFill="1"/>
    <xf numFmtId="0" fontId="35" fillId="7" borderId="1" xfId="11" applyAlignment="1">
      <alignment wrapText="1"/>
    </xf>
    <xf numFmtId="0" fontId="12" fillId="2" borderId="2" xfId="0" applyFont="1" applyFill="1" applyBorder="1"/>
    <xf numFmtId="0" fontId="12" fillId="2" borderId="11" xfId="0" applyFont="1" applyFill="1" applyBorder="1"/>
    <xf numFmtId="9" fontId="19" fillId="7" borderId="1" xfId="2" applyFont="1" applyFill="1" applyBorder="1"/>
    <xf numFmtId="9" fontId="44" fillId="11" borderId="25" xfId="12" applyNumberFormat="1"/>
    <xf numFmtId="0" fontId="12" fillId="2" borderId="0" xfId="0" applyFont="1" applyFill="1" applyAlignment="1">
      <alignment horizontal="left" vertical="center"/>
    </xf>
    <xf numFmtId="9" fontId="12" fillId="12" borderId="1" xfId="2" applyFont="1" applyFill="1" applyBorder="1"/>
    <xf numFmtId="9" fontId="12" fillId="12" borderId="1" xfId="13" applyNumberFormat="1"/>
    <xf numFmtId="0" fontId="55" fillId="2" borderId="0" xfId="0" applyFont="1" applyFill="1"/>
    <xf numFmtId="0" fontId="46" fillId="2" borderId="1" xfId="0" applyFont="1" applyFill="1" applyBorder="1" applyAlignment="1">
      <alignment horizontal="center" vertical="center"/>
    </xf>
    <xf numFmtId="2" fontId="12" fillId="12" borderId="1" xfId="13" applyNumberFormat="1"/>
    <xf numFmtId="1" fontId="12" fillId="12" borderId="1" xfId="13" applyNumberFormat="1"/>
    <xf numFmtId="1" fontId="12" fillId="12" borderId="1" xfId="2" applyNumberFormat="1" applyFont="1" applyFill="1" applyBorder="1"/>
    <xf numFmtId="166" fontId="44" fillId="11" borderId="26" xfId="12" applyNumberFormat="1" applyBorder="1"/>
    <xf numFmtId="1" fontId="44" fillId="11" borderId="26" xfId="12" applyNumberFormat="1" applyBorder="1"/>
    <xf numFmtId="173" fontId="52" fillId="2" borderId="0" xfId="0" applyNumberFormat="1" applyFont="1" applyFill="1" applyAlignment="1">
      <alignment horizontal="center" vertical="center"/>
    </xf>
    <xf numFmtId="173" fontId="52" fillId="2" borderId="0" xfId="0" applyNumberFormat="1" applyFont="1" applyFill="1" applyAlignment="1">
      <alignment horizontal="left" vertical="center"/>
    </xf>
    <xf numFmtId="173" fontId="52" fillId="2" borderId="0" xfId="0" applyNumberFormat="1" applyFont="1" applyFill="1" applyAlignment="1">
      <alignment horizontal="right" vertical="center"/>
    </xf>
    <xf numFmtId="166" fontId="44" fillId="11" borderId="25" xfId="12" applyNumberFormat="1"/>
    <xf numFmtId="166" fontId="44" fillId="11" borderId="31" xfId="12" applyNumberFormat="1" applyBorder="1"/>
    <xf numFmtId="166" fontId="44" fillId="11" borderId="0" xfId="12" applyNumberFormat="1" applyBorder="1"/>
    <xf numFmtId="166" fontId="52" fillId="2" borderId="0" xfId="0" applyNumberFormat="1" applyFont="1" applyFill="1" applyAlignment="1">
      <alignment horizontal="center" vertical="center"/>
    </xf>
    <xf numFmtId="0" fontId="56" fillId="2" borderId="0" xfId="0" applyFont="1" applyFill="1" applyAlignment="1">
      <alignment horizontal="right"/>
    </xf>
    <xf numFmtId="0" fontId="0" fillId="2" borderId="0" xfId="0" applyFill="1" applyAlignment="1">
      <alignment horizontal="right"/>
    </xf>
    <xf numFmtId="166" fontId="48" fillId="2" borderId="0" xfId="0" applyNumberFormat="1" applyFont="1" applyFill="1" applyAlignment="1">
      <alignment horizontal="right"/>
    </xf>
    <xf numFmtId="0" fontId="57" fillId="2" borderId="0" xfId="0" applyFont="1" applyFill="1" applyAlignment="1">
      <alignment horizontal="left"/>
    </xf>
    <xf numFmtId="0" fontId="58" fillId="2" borderId="0" xfId="0" applyFont="1" applyFill="1"/>
    <xf numFmtId="0" fontId="0" fillId="14" borderId="0" xfId="0" applyFill="1"/>
    <xf numFmtId="0" fontId="0" fillId="15" borderId="0" xfId="0" applyFill="1"/>
    <xf numFmtId="0" fontId="0" fillId="16" borderId="0" xfId="0" applyFill="1"/>
    <xf numFmtId="0" fontId="0" fillId="17" borderId="0" xfId="0" applyFill="1"/>
    <xf numFmtId="0" fontId="48" fillId="2" borderId="0" xfId="0" applyFont="1" applyFill="1" applyAlignment="1">
      <alignment horizontal="center"/>
    </xf>
    <xf numFmtId="0" fontId="59" fillId="7" borderId="1" xfId="6" applyFont="1"/>
    <xf numFmtId="0" fontId="60" fillId="13" borderId="0" xfId="0" applyFont="1" applyFill="1"/>
    <xf numFmtId="0" fontId="11" fillId="2" borderId="0" xfId="1" applyFill="1"/>
    <xf numFmtId="0" fontId="49" fillId="13" borderId="0" xfId="0" applyFont="1" applyFill="1"/>
    <xf numFmtId="0" fontId="21" fillId="8" borderId="1" xfId="9" applyAlignment="1">
      <alignment vertical="center"/>
    </xf>
    <xf numFmtId="0" fontId="30" fillId="13" borderId="0" xfId="1" applyFont="1" applyFill="1" applyBorder="1" applyProtection="1">
      <protection locked="0"/>
    </xf>
    <xf numFmtId="0" fontId="58" fillId="13" borderId="0" xfId="0" applyFont="1" applyFill="1"/>
    <xf numFmtId="0" fontId="58" fillId="13" borderId="0" xfId="0" applyFont="1" applyFill="1" applyAlignment="1">
      <alignment horizontal="left" vertical="top" wrapText="1"/>
    </xf>
    <xf numFmtId="0" fontId="30" fillId="2" borderId="0" xfId="1" applyFont="1" applyFill="1" applyBorder="1" applyProtection="1">
      <protection locked="0"/>
    </xf>
    <xf numFmtId="0" fontId="45" fillId="13" borderId="0" xfId="0" applyFont="1" applyFill="1"/>
    <xf numFmtId="164" fontId="44" fillId="11" borderId="31" xfId="12" applyNumberFormat="1" applyBorder="1"/>
    <xf numFmtId="170" fontId="44" fillId="11" borderId="31" xfId="12" applyNumberFormat="1" applyBorder="1" applyProtection="1">
      <protection locked="0"/>
    </xf>
    <xf numFmtId="0" fontId="21" fillId="3" borderId="1" xfId="7" applyAlignment="1">
      <alignment wrapText="1"/>
    </xf>
    <xf numFmtId="164" fontId="44" fillId="11" borderId="34" xfId="3" applyFont="1" applyFill="1" applyBorder="1"/>
    <xf numFmtId="164" fontId="44" fillId="11" borderId="34" xfId="12" applyNumberFormat="1" applyBorder="1"/>
    <xf numFmtId="0" fontId="21" fillId="3" borderId="1" xfId="7" applyAlignment="1">
      <alignment horizontal="center" wrapText="1"/>
    </xf>
    <xf numFmtId="0" fontId="30" fillId="13" borderId="0" xfId="1" applyFont="1" applyFill="1" applyProtection="1">
      <protection locked="0"/>
    </xf>
    <xf numFmtId="165" fontId="0" fillId="2" borderId="1" xfId="0" applyNumberFormat="1" applyFill="1" applyBorder="1"/>
    <xf numFmtId="0" fontId="54" fillId="13" borderId="0" xfId="0" applyFont="1" applyFill="1"/>
    <xf numFmtId="0" fontId="11" fillId="13" borderId="0" xfId="1" applyFill="1"/>
    <xf numFmtId="174" fontId="52" fillId="2" borderId="0" xfId="0" applyNumberFormat="1" applyFont="1" applyFill="1" applyAlignment="1">
      <alignment horizontal="center" vertical="center"/>
    </xf>
    <xf numFmtId="166" fontId="52" fillId="2" borderId="0" xfId="0" applyNumberFormat="1" applyFont="1" applyFill="1" applyAlignment="1">
      <alignment horizontal="right" vertical="center" indent="1"/>
    </xf>
    <xf numFmtId="164" fontId="52" fillId="2" borderId="0" xfId="0" applyNumberFormat="1" applyFont="1" applyFill="1" applyAlignment="1">
      <alignment horizontal="right" vertical="center" indent="1"/>
    </xf>
    <xf numFmtId="0" fontId="64" fillId="2" borderId="0" xfId="0" applyFont="1" applyFill="1" applyAlignment="1">
      <alignment horizontal="left"/>
    </xf>
    <xf numFmtId="0" fontId="60" fillId="2" borderId="0" xfId="0" applyFont="1" applyFill="1"/>
    <xf numFmtId="0" fontId="49" fillId="13" borderId="0" xfId="0" applyFont="1" applyFill="1" applyAlignment="1">
      <alignment vertical="top"/>
    </xf>
    <xf numFmtId="0" fontId="62" fillId="13" borderId="0" xfId="0" applyFont="1" applyFill="1" applyAlignment="1">
      <alignment vertical="top"/>
    </xf>
    <xf numFmtId="0" fontId="16" fillId="2" borderId="1" xfId="0" applyFont="1" applyFill="1" applyBorder="1" applyAlignment="1">
      <alignment horizontal="left" vertical="center"/>
    </xf>
    <xf numFmtId="14" fontId="0" fillId="2" borderId="1" xfId="0" applyNumberFormat="1" applyFill="1" applyBorder="1" applyAlignment="1">
      <alignment horizontal="left" vertical="top" wrapText="1"/>
    </xf>
    <xf numFmtId="175" fontId="12" fillId="2" borderId="1" xfId="0" applyNumberFormat="1" applyFont="1" applyFill="1" applyBorder="1" applyAlignment="1">
      <alignment horizontal="left" vertical="center"/>
    </xf>
    <xf numFmtId="170" fontId="0" fillId="0" borderId="1" xfId="0" applyNumberFormat="1" applyBorder="1"/>
    <xf numFmtId="171" fontId="0" fillId="0" borderId="1" xfId="0" applyNumberFormat="1" applyBorder="1"/>
    <xf numFmtId="166" fontId="0" fillId="0" borderId="1" xfId="0" applyNumberFormat="1" applyBorder="1"/>
    <xf numFmtId="0" fontId="51" fillId="2" borderId="0" xfId="0" applyFont="1" applyFill="1" applyAlignment="1">
      <alignment horizontal="left" vertical="center"/>
    </xf>
    <xf numFmtId="0" fontId="46" fillId="2" borderId="0" xfId="0" applyFont="1" applyFill="1"/>
    <xf numFmtId="165" fontId="12" fillId="0" borderId="1" xfId="2" applyNumberFormat="1" applyFont="1" applyFill="1" applyBorder="1"/>
    <xf numFmtId="0" fontId="0" fillId="3" borderId="0" xfId="0" applyFill="1" applyAlignment="1">
      <alignment horizontal="left"/>
    </xf>
    <xf numFmtId="0" fontId="0" fillId="0" borderId="0" xfId="0" applyAlignment="1">
      <alignment horizontal="left"/>
    </xf>
    <xf numFmtId="0" fontId="20" fillId="3" borderId="5" xfId="0" applyFont="1" applyFill="1" applyBorder="1" applyAlignment="1">
      <alignment horizontal="left" vertical="center" wrapText="1"/>
    </xf>
    <xf numFmtId="0" fontId="9" fillId="0" borderId="8" xfId="0" applyFont="1" applyBorder="1" applyAlignment="1">
      <alignment horizontal="left" vertical="center" wrapText="1"/>
    </xf>
    <xf numFmtId="0" fontId="6" fillId="4" borderId="8"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2" borderId="8"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5" fillId="4" borderId="7" xfId="0" applyFont="1" applyFill="1" applyBorder="1" applyAlignment="1">
      <alignment horizontal="left" vertical="center" wrapText="1"/>
    </xf>
    <xf numFmtId="0" fontId="8" fillId="0" borderId="7" xfId="0" applyFont="1" applyBorder="1" applyAlignment="1">
      <alignment horizontal="left" vertical="center" wrapText="1"/>
    </xf>
    <xf numFmtId="0" fontId="5" fillId="2" borderId="7" xfId="0" applyFont="1" applyFill="1" applyBorder="1" applyAlignment="1">
      <alignment horizontal="left" vertical="center" wrapText="1"/>
    </xf>
    <xf numFmtId="0" fontId="10" fillId="0" borderId="0" xfId="0" applyFont="1" applyAlignment="1">
      <alignment horizontal="left" vertical="center"/>
    </xf>
    <xf numFmtId="0" fontId="27" fillId="3" borderId="0" xfId="0" applyFont="1" applyFill="1" applyAlignment="1">
      <alignment horizontal="left" vertical="center"/>
    </xf>
    <xf numFmtId="0" fontId="11" fillId="0" borderId="0" xfId="1" applyFill="1" applyAlignment="1">
      <alignment horizontal="left"/>
    </xf>
    <xf numFmtId="0" fontId="20" fillId="3" borderId="4"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11" fillId="4" borderId="8" xfId="1" applyFill="1" applyBorder="1" applyAlignment="1">
      <alignment horizontal="left" vertical="center" wrapText="1"/>
    </xf>
    <xf numFmtId="0" fontId="11" fillId="0" borderId="8" xfId="1" applyBorder="1" applyAlignment="1">
      <alignment horizontal="left" vertical="center" wrapText="1"/>
    </xf>
    <xf numFmtId="0" fontId="6" fillId="2" borderId="8" xfId="0" applyFont="1" applyFill="1" applyBorder="1" applyAlignment="1">
      <alignment horizontal="left" vertical="center" wrapText="1"/>
    </xf>
    <xf numFmtId="0" fontId="11" fillId="2" borderId="8" xfId="1" applyFill="1" applyBorder="1" applyAlignment="1">
      <alignment horizontal="left" vertical="center" wrapText="1"/>
    </xf>
    <xf numFmtId="0" fontId="9" fillId="4" borderId="8" xfId="0" applyFont="1" applyFill="1" applyBorder="1" applyAlignment="1">
      <alignment horizontal="left" vertical="center" wrapText="1"/>
    </xf>
    <xf numFmtId="0" fontId="9" fillId="0" borderId="39" xfId="0" applyFont="1" applyBorder="1" applyAlignment="1">
      <alignment horizontal="left" vertical="center" wrapText="1"/>
    </xf>
    <xf numFmtId="9" fontId="0" fillId="0" borderId="1" xfId="2" applyFont="1" applyBorder="1"/>
    <xf numFmtId="9" fontId="0" fillId="0" borderId="1" xfId="0" applyNumberFormat="1" applyBorder="1"/>
    <xf numFmtId="0" fontId="0" fillId="0" borderId="1" xfId="0" applyBorder="1" applyAlignment="1">
      <alignment vertical="center"/>
    </xf>
    <xf numFmtId="168" fontId="0" fillId="0" borderId="1" xfId="0" applyNumberFormat="1" applyBorder="1"/>
    <xf numFmtId="0" fontId="6" fillId="0" borderId="0" xfId="0" applyFont="1"/>
    <xf numFmtId="0" fontId="19" fillId="2" borderId="0" xfId="0" applyFont="1" applyFill="1" applyAlignment="1">
      <alignment horizontal="left" vertical="top" wrapText="1"/>
    </xf>
    <xf numFmtId="0" fontId="12" fillId="2" borderId="0" xfId="0" applyFont="1" applyFill="1" applyAlignment="1">
      <alignment vertical="top"/>
    </xf>
    <xf numFmtId="0" fontId="12" fillId="2" borderId="0" xfId="0" applyFont="1" applyFill="1" applyAlignment="1">
      <alignment vertical="top" wrapText="1"/>
    </xf>
    <xf numFmtId="0" fontId="17" fillId="2" borderId="0" xfId="0" applyFont="1" applyFill="1" applyAlignment="1">
      <alignment vertical="top"/>
    </xf>
    <xf numFmtId="0" fontId="12" fillId="2" borderId="0" xfId="0" applyFont="1" applyFill="1" applyAlignment="1">
      <alignment horizontal="left" vertical="top" wrapText="1"/>
    </xf>
    <xf numFmtId="0" fontId="19" fillId="2" borderId="0" xfId="0" applyFont="1" applyFill="1"/>
    <xf numFmtId="0" fontId="19" fillId="2" borderId="0" xfId="0" applyFont="1" applyFill="1" applyAlignment="1">
      <alignment vertical="top"/>
    </xf>
    <xf numFmtId="0" fontId="19" fillId="2" borderId="0" xfId="0" applyFont="1" applyFill="1" applyAlignment="1">
      <alignment vertical="top" wrapText="1"/>
    </xf>
    <xf numFmtId="14" fontId="12" fillId="2" borderId="1" xfId="0" applyNumberFormat="1" applyFont="1" applyFill="1" applyBorder="1" applyAlignment="1">
      <alignment horizontal="left" vertical="center"/>
    </xf>
    <xf numFmtId="0" fontId="0" fillId="0" borderId="0" xfId="0" applyAlignment="1">
      <alignment horizontal="left" vertical="top" wrapText="1"/>
    </xf>
    <xf numFmtId="0" fontId="31" fillId="2" borderId="13" xfId="0" applyFont="1" applyFill="1" applyBorder="1" applyAlignment="1" applyProtection="1">
      <alignment horizontal="left" vertical="center" wrapText="1"/>
      <protection locked="0"/>
    </xf>
    <xf numFmtId="0" fontId="31" fillId="2" borderId="14" xfId="0" applyFont="1" applyFill="1" applyBorder="1" applyAlignment="1" applyProtection="1">
      <alignment horizontal="left" vertical="center" wrapText="1"/>
      <protection locked="0"/>
    </xf>
    <xf numFmtId="0" fontId="31" fillId="2" borderId="15" xfId="0" applyFont="1" applyFill="1" applyBorder="1" applyAlignment="1" applyProtection="1">
      <alignment horizontal="left" vertical="center" wrapText="1"/>
      <protection locked="0"/>
    </xf>
    <xf numFmtId="0" fontId="31" fillId="2" borderId="1" xfId="0" applyFont="1" applyFill="1" applyBorder="1" applyAlignment="1" applyProtection="1">
      <alignment horizontal="left" vertical="center"/>
      <protection locked="0"/>
    </xf>
    <xf numFmtId="0" fontId="31" fillId="2" borderId="1" xfId="0" applyFont="1" applyFill="1" applyBorder="1" applyAlignment="1" applyProtection="1">
      <alignment horizontal="left" vertical="center" wrapText="1"/>
      <protection locked="0"/>
    </xf>
    <xf numFmtId="0" fontId="30" fillId="0" borderId="1" xfId="1" applyFont="1" applyFill="1" applyBorder="1" applyAlignment="1" applyProtection="1">
      <alignment horizontal="left" vertical="center"/>
      <protection locked="0"/>
    </xf>
    <xf numFmtId="0" fontId="22" fillId="0" borderId="1" xfId="1" applyFont="1" applyFill="1" applyBorder="1" applyAlignment="1" applyProtection="1">
      <alignment horizontal="left" vertical="center"/>
      <protection locked="0"/>
    </xf>
    <xf numFmtId="0" fontId="0" fillId="2" borderId="0" xfId="0" applyFill="1" applyAlignment="1">
      <alignment horizontal="left" vertical="center"/>
    </xf>
    <xf numFmtId="175" fontId="0" fillId="2" borderId="0" xfId="0" applyNumberFormat="1" applyFill="1" applyAlignment="1">
      <alignment horizontal="left" vertical="center"/>
    </xf>
    <xf numFmtId="0" fontId="12" fillId="2" borderId="0" xfId="0" applyFont="1" applyFill="1" applyAlignment="1">
      <alignment horizontal="left" vertical="center"/>
    </xf>
    <xf numFmtId="175" fontId="12" fillId="2" borderId="0" xfId="0" applyNumberFormat="1" applyFont="1" applyFill="1" applyAlignment="1">
      <alignment horizontal="left" vertical="center"/>
    </xf>
    <xf numFmtId="0" fontId="19" fillId="2" borderId="0" xfId="0" applyFont="1" applyFill="1" applyAlignment="1">
      <alignment horizontal="left" vertical="center" wrapText="1"/>
    </xf>
    <xf numFmtId="175" fontId="19" fillId="2" borderId="0" xfId="0" applyNumberFormat="1" applyFont="1" applyFill="1" applyAlignment="1">
      <alignment horizontal="left" vertical="center"/>
    </xf>
    <xf numFmtId="0" fontId="16" fillId="2" borderId="0" xfId="0" applyFont="1" applyFill="1" applyAlignment="1">
      <alignment horizontal="left" vertical="center"/>
    </xf>
    <xf numFmtId="0" fontId="12" fillId="2" borderId="0" xfId="0" applyFont="1" applyFill="1" applyAlignment="1">
      <alignment horizontal="left" vertical="center" wrapText="1"/>
    </xf>
    <xf numFmtId="0" fontId="6" fillId="0" borderId="0" xfId="0" applyFont="1" applyAlignment="1">
      <alignment horizontal="left" vertical="center" wrapText="1"/>
    </xf>
    <xf numFmtId="0" fontId="38" fillId="0" borderId="0" xfId="0" applyFont="1" applyAlignment="1">
      <alignment horizontal="left" vertical="center" wrapText="1"/>
    </xf>
    <xf numFmtId="0" fontId="6" fillId="0" borderId="21" xfId="0" applyFont="1" applyBorder="1" applyAlignment="1">
      <alignment horizontal="left" vertical="center" wrapText="1"/>
    </xf>
    <xf numFmtId="0" fontId="21" fillId="9" borderId="1" xfId="10" applyAlignment="1">
      <alignment horizontal="center" vertical="center"/>
      <protection locked="0"/>
    </xf>
    <xf numFmtId="0" fontId="7" fillId="0" borderId="38" xfId="0" applyFont="1" applyBorder="1" applyAlignment="1">
      <alignment horizontal="left" vertical="center" wrapText="1"/>
    </xf>
    <xf numFmtId="0" fontId="7" fillId="0" borderId="36" xfId="0" applyFont="1" applyBorder="1" applyAlignment="1">
      <alignment horizontal="left" vertical="center" wrapText="1"/>
    </xf>
    <xf numFmtId="0" fontId="7" fillId="0" borderId="7" xfId="0" applyFont="1" applyBorder="1" applyAlignment="1">
      <alignment horizontal="left" vertical="center" wrapText="1"/>
    </xf>
    <xf numFmtId="0" fontId="9" fillId="0" borderId="38" xfId="0" applyFont="1" applyBorder="1" applyAlignment="1">
      <alignment horizontal="left" vertical="center" wrapText="1"/>
    </xf>
    <xf numFmtId="0" fontId="9" fillId="0" borderId="36" xfId="0" applyFont="1" applyBorder="1" applyAlignment="1">
      <alignment horizontal="left" vertical="center" wrapText="1"/>
    </xf>
    <xf numFmtId="0" fontId="9" fillId="0" borderId="7" xfId="0" applyFont="1" applyBorder="1" applyAlignment="1">
      <alignment horizontal="left" vertical="center" wrapText="1"/>
    </xf>
    <xf numFmtId="0" fontId="6" fillId="4" borderId="38"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38" xfId="0" applyFont="1" applyFill="1" applyBorder="1" applyAlignment="1">
      <alignment horizontal="left" vertical="center" wrapText="1"/>
    </xf>
    <xf numFmtId="0" fontId="6" fillId="4" borderId="3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7" fillId="0" borderId="38"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7" xfId="0" applyFont="1" applyBorder="1" applyAlignment="1">
      <alignment horizontal="center" vertical="center" wrapText="1"/>
    </xf>
    <xf numFmtId="0" fontId="7" fillId="4" borderId="38" xfId="0" applyFont="1" applyFill="1" applyBorder="1" applyAlignment="1">
      <alignment horizontal="left" vertical="center" wrapText="1"/>
    </xf>
    <xf numFmtId="0" fontId="7" fillId="4" borderId="3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7"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7" fillId="2" borderId="7" xfId="0" applyFont="1" applyFill="1" applyBorder="1" applyAlignment="1">
      <alignment horizontal="left" vertical="center" wrapText="1"/>
    </xf>
    <xf numFmtId="0" fontId="9" fillId="4" borderId="38" xfId="0" applyFont="1" applyFill="1" applyBorder="1" applyAlignment="1">
      <alignment horizontal="left" vertical="center" wrapText="1"/>
    </xf>
    <xf numFmtId="0" fontId="9" fillId="4" borderId="7" xfId="0" applyFont="1" applyFill="1" applyBorder="1" applyAlignment="1">
      <alignment horizontal="left" vertical="center" wrapText="1"/>
    </xf>
    <xf numFmtId="0" fontId="6" fillId="2" borderId="36" xfId="0" applyFont="1" applyFill="1" applyBorder="1" applyAlignment="1">
      <alignment horizontal="left" vertical="center" wrapText="1"/>
    </xf>
    <xf numFmtId="0" fontId="8" fillId="0" borderId="38" xfId="0" applyFont="1" applyBorder="1" applyAlignment="1">
      <alignment horizontal="left" vertical="center" wrapText="1"/>
    </xf>
    <xf numFmtId="0" fontId="8" fillId="0" borderId="36" xfId="0" applyFont="1" applyBorder="1" applyAlignment="1">
      <alignment horizontal="left" vertical="center" wrapText="1"/>
    </xf>
    <xf numFmtId="0" fontId="8" fillId="0" borderId="7" xfId="0" applyFont="1" applyBorder="1" applyAlignment="1">
      <alignment horizontal="left" vertical="center" wrapText="1"/>
    </xf>
    <xf numFmtId="0" fontId="5" fillId="2" borderId="38"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7" fillId="4" borderId="38"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9" fillId="0" borderId="38" xfId="0" applyFont="1" applyBorder="1" applyAlignment="1">
      <alignment horizontal="center" vertical="center" wrapText="1"/>
    </xf>
    <xf numFmtId="0" fontId="9" fillId="0" borderId="7" xfId="0" applyFont="1" applyBorder="1" applyAlignment="1">
      <alignment horizontal="center" vertical="center" wrapText="1"/>
    </xf>
    <xf numFmtId="0" fontId="5" fillId="4" borderId="38" xfId="0" applyFont="1" applyFill="1" applyBorder="1" applyAlignment="1">
      <alignment horizontal="left" vertical="center" wrapText="1"/>
    </xf>
    <xf numFmtId="0" fontId="5" fillId="4" borderId="7" xfId="0" applyFont="1" applyFill="1" applyBorder="1" applyAlignment="1">
      <alignment horizontal="left" vertical="center" wrapText="1"/>
    </xf>
    <xf numFmtId="0" fontId="8" fillId="4" borderId="38" xfId="0" applyFont="1" applyFill="1" applyBorder="1" applyAlignment="1">
      <alignment horizontal="left" vertical="center" wrapText="1"/>
    </xf>
    <xf numFmtId="0" fontId="8" fillId="4" borderId="7" xfId="0" applyFont="1" applyFill="1" applyBorder="1" applyAlignment="1">
      <alignment horizontal="left" vertical="center" wrapText="1"/>
    </xf>
    <xf numFmtId="0" fontId="9" fillId="4" borderId="38"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5" fillId="4" borderId="37" xfId="0" applyFont="1" applyFill="1" applyBorder="1" applyAlignment="1">
      <alignment horizontal="left" vertical="center" wrapText="1"/>
    </xf>
    <xf numFmtId="0" fontId="5" fillId="4" borderId="36" xfId="0" applyFont="1" applyFill="1" applyBorder="1" applyAlignment="1">
      <alignment horizontal="left" vertical="center" wrapText="1"/>
    </xf>
    <xf numFmtId="0" fontId="9" fillId="0" borderId="36" xfId="0" applyFont="1" applyBorder="1" applyAlignment="1">
      <alignment horizontal="center" vertical="center" wrapText="1"/>
    </xf>
    <xf numFmtId="0" fontId="6" fillId="4" borderId="37"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6" fillId="4" borderId="37" xfId="0" applyFont="1" applyFill="1" applyBorder="1" applyAlignment="1">
      <alignment horizontal="left" vertical="center" wrapText="1"/>
    </xf>
    <xf numFmtId="0" fontId="7" fillId="4" borderId="36" xfId="0" applyFont="1" applyFill="1" applyBorder="1" applyAlignment="1">
      <alignment vertical="center" wrapText="1"/>
    </xf>
    <xf numFmtId="0" fontId="7" fillId="4" borderId="7" xfId="0" applyFont="1" applyFill="1" applyBorder="1" applyAlignment="1">
      <alignment vertical="center" wrapText="1"/>
    </xf>
    <xf numFmtId="0" fontId="58" fillId="13" borderId="0" xfId="0" applyFont="1" applyFill="1" applyAlignment="1">
      <alignment horizontal="left" vertical="top" wrapText="1"/>
    </xf>
    <xf numFmtId="0" fontId="21" fillId="3" borderId="2" xfId="7" applyBorder="1" applyAlignment="1">
      <alignment horizontal="center"/>
    </xf>
    <xf numFmtId="0" fontId="21" fillId="3" borderId="11" xfId="7" applyBorder="1" applyAlignment="1">
      <alignment horizontal="center"/>
    </xf>
    <xf numFmtId="0" fontId="19" fillId="7" borderId="2" xfId="6" applyBorder="1" applyAlignment="1">
      <alignment horizontal="left"/>
    </xf>
    <xf numFmtId="0" fontId="19" fillId="7" borderId="11" xfId="6" applyBorder="1" applyAlignment="1">
      <alignment horizontal="left"/>
    </xf>
    <xf numFmtId="1" fontId="19" fillId="10" borderId="2" xfId="8" applyBorder="1" applyAlignment="1">
      <alignment horizontal="left"/>
    </xf>
    <xf numFmtId="1" fontId="19" fillId="10" borderId="11" xfId="8" applyBorder="1" applyAlignment="1">
      <alignment horizontal="left"/>
    </xf>
    <xf numFmtId="0" fontId="12" fillId="12" borderId="2" xfId="13" applyBorder="1" applyAlignment="1">
      <alignment horizontal="left"/>
    </xf>
    <xf numFmtId="0" fontId="12" fillId="12" borderId="11" xfId="13" applyBorder="1" applyAlignment="1">
      <alignment horizontal="left"/>
    </xf>
    <xf numFmtId="0" fontId="44" fillId="11" borderId="32" xfId="12" applyBorder="1" applyAlignment="1">
      <alignment horizontal="left"/>
    </xf>
    <xf numFmtId="0" fontId="44" fillId="11" borderId="33" xfId="12" applyBorder="1" applyAlignment="1">
      <alignment horizontal="left"/>
    </xf>
    <xf numFmtId="0" fontId="46" fillId="2" borderId="13" xfId="0" applyFont="1" applyFill="1" applyBorder="1" applyAlignment="1">
      <alignment horizontal="center" vertical="center"/>
    </xf>
    <xf numFmtId="0" fontId="46" fillId="2" borderId="14" xfId="0" applyFont="1" applyFill="1" applyBorder="1" applyAlignment="1">
      <alignment horizontal="center" vertical="center"/>
    </xf>
    <xf numFmtId="0" fontId="46" fillId="2" borderId="15" xfId="0" applyFont="1" applyFill="1" applyBorder="1" applyAlignment="1">
      <alignment horizontal="center" vertical="center"/>
    </xf>
    <xf numFmtId="0" fontId="46" fillId="2" borderId="1" xfId="0" applyFont="1" applyFill="1" applyBorder="1" applyAlignment="1">
      <alignment horizontal="center" vertical="center"/>
    </xf>
    <xf numFmtId="0" fontId="51" fillId="2" borderId="0" xfId="0" applyFont="1"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51" fillId="2" borderId="0" xfId="0" applyFont="1" applyFill="1" applyAlignment="1">
      <alignment horizontal="left" vertical="center"/>
    </xf>
    <xf numFmtId="0" fontId="6" fillId="4" borderId="38" xfId="0" applyFont="1" applyFill="1" applyBorder="1" applyAlignment="1">
      <alignment vertical="center" wrapText="1"/>
    </xf>
    <xf numFmtId="0" fontId="6" fillId="4" borderId="7" xfId="0" applyFont="1" applyFill="1" applyBorder="1" applyAlignment="1">
      <alignment vertical="center" wrapText="1"/>
    </xf>
    <xf numFmtId="0" fontId="7" fillId="2" borderId="3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7" fillId="4" borderId="38" xfId="0" applyFont="1" applyFill="1" applyBorder="1" applyAlignment="1">
      <alignment vertical="center" wrapText="1"/>
    </xf>
    <xf numFmtId="0" fontId="18" fillId="2" borderId="2" xfId="0" applyFont="1" applyFill="1" applyBorder="1" applyAlignment="1">
      <alignment horizontal="left"/>
    </xf>
    <xf numFmtId="0" fontId="18" fillId="2" borderId="35" xfId="0" applyFont="1" applyFill="1" applyBorder="1" applyAlignment="1">
      <alignment horizontal="left"/>
    </xf>
    <xf numFmtId="0" fontId="18" fillId="2" borderId="11" xfId="0" applyFont="1" applyFill="1" applyBorder="1" applyAlignment="1">
      <alignment horizontal="left"/>
    </xf>
    <xf numFmtId="0" fontId="41" fillId="9" borderId="1" xfId="10" applyFont="1" applyAlignment="1">
      <alignment horizontal="left" vertical="center"/>
      <protection locked="0"/>
    </xf>
  </cellXfs>
  <cellStyles count="14">
    <cellStyle name="Calculation" xfId="12" builtinId="22"/>
    <cellStyle name="Comma" xfId="3" builtinId="3"/>
    <cellStyle name="ContentHeading" xfId="10" xr:uid="{F7CD5F63-2A9F-4431-BD24-EEE36C9BEEE6}"/>
    <cellStyle name="Heading" xfId="7" xr:uid="{E94DBD6A-08F6-4657-83D5-08D2369B375E}"/>
    <cellStyle name="Hyperlink" xfId="1" builtinId="8" customBuiltin="1"/>
    <cellStyle name="Hyperlink 2" xfId="4" xr:uid="{F6C50EEE-B0C9-4694-837F-1B7EE0179C05}"/>
    <cellStyle name="Hyperlink 3" xfId="5" xr:uid="{516D2FCE-278D-4B77-8878-69000E0769B0}"/>
    <cellStyle name="Input" xfId="6" builtinId="20" customBuiltin="1"/>
    <cellStyle name="linked_data" xfId="13" xr:uid="{F95795B9-00EF-453D-8FEC-B8AE477F1870}"/>
    <cellStyle name="Linked_input" xfId="8" xr:uid="{C65374B2-ECE6-460A-97B8-7A4B1C08D8F7}"/>
    <cellStyle name="Normal" xfId="0" builtinId="0" customBuiltin="1"/>
    <cellStyle name="Per cent" xfId="2" builtinId="5"/>
    <cellStyle name="SubContentHeading" xfId="11" xr:uid="{01383F4D-0CE5-4BF4-B37E-BA27A79408E1}"/>
    <cellStyle name="TableHeading" xfId="9" xr:uid="{44CC6CCC-8CB1-470C-A6DA-0706FB74B6BB}"/>
  </cellStyles>
  <dxfs count="17">
    <dxf>
      <font>
        <color rgb="FFFF0000"/>
      </font>
      <fill>
        <patternFill>
          <bgColor rgb="FFFF0000"/>
        </patternFill>
      </fill>
    </dxf>
    <dxf>
      <font>
        <color rgb="FFFFC000"/>
      </font>
      <fill>
        <patternFill>
          <bgColor rgb="FFFFC000"/>
        </patternFill>
      </fill>
    </dxf>
    <dxf>
      <font>
        <color rgb="FF00B050"/>
      </font>
      <fill>
        <patternFill>
          <bgColor rgb="FF00B050"/>
        </patternFill>
      </fill>
    </dxf>
    <dxf>
      <font>
        <color theme="1"/>
      </font>
      <fill>
        <patternFill>
          <bgColor theme="0" tint="-4.9989318521683403E-2"/>
        </patternFill>
      </fill>
    </dxf>
    <dxf>
      <font>
        <color theme="0"/>
      </font>
      <fill>
        <patternFill>
          <bgColor theme="0"/>
        </patternFill>
      </fill>
    </dxf>
    <dxf>
      <font>
        <b/>
        <i val="0"/>
        <color rgb="FFC00000"/>
      </font>
    </dxf>
    <dxf>
      <font>
        <b/>
        <i val="0"/>
        <color theme="6"/>
      </font>
    </dxf>
    <dxf>
      <font>
        <color rgb="FFFF0000"/>
      </font>
      <fill>
        <patternFill>
          <bgColor rgb="FFFF0000"/>
        </patternFill>
      </fill>
    </dxf>
    <dxf>
      <font>
        <color rgb="FFFFC000"/>
      </font>
      <fill>
        <patternFill>
          <bgColor rgb="FFFFC000"/>
        </patternFill>
      </fill>
    </dxf>
    <dxf>
      <font>
        <color rgb="FF00B050"/>
      </font>
      <fill>
        <patternFill>
          <bgColor rgb="FF00B050"/>
        </patternFill>
      </fill>
    </dxf>
    <dxf>
      <font>
        <color theme="1"/>
      </font>
      <fill>
        <patternFill>
          <bgColor theme="0" tint="-4.9989318521683403E-2"/>
        </patternFill>
      </fill>
    </dxf>
    <dxf>
      <font>
        <b/>
        <i val="0"/>
        <color theme="6"/>
      </font>
    </dxf>
    <dxf>
      <font>
        <b/>
        <i val="0"/>
        <color rgb="FFC00000"/>
      </font>
    </dxf>
    <dxf>
      <font>
        <strike val="0"/>
        <color rgb="FFFF0000"/>
      </font>
      <fill>
        <patternFill>
          <bgColor rgb="FFFF0000"/>
        </patternFill>
      </fill>
    </dxf>
    <dxf>
      <font>
        <strike val="0"/>
        <color rgb="FFFFC000"/>
      </font>
      <fill>
        <patternFill>
          <bgColor rgb="FFFFC000"/>
        </patternFill>
      </fill>
    </dxf>
    <dxf>
      <font>
        <strike val="0"/>
        <color rgb="FF00B050"/>
      </font>
      <fill>
        <patternFill>
          <bgColor rgb="FF00B050"/>
        </patternFill>
      </fill>
    </dxf>
    <dxf>
      <font>
        <color theme="1"/>
      </font>
      <fill>
        <patternFill>
          <bgColor theme="0" tint="-4.9989318521683403E-2"/>
        </patternFill>
      </fill>
    </dxf>
  </dxfs>
  <tableStyles count="0" defaultTableStyle="TableStyleMedium2" defaultPivotStyle="PivotStyleLight16"/>
  <colors>
    <mruColors>
      <color rgb="FF0079C1"/>
      <color rgb="FFE97132"/>
      <color rgb="FF156082"/>
      <color rgb="FF7A3864"/>
      <color rgb="FFFAECF9"/>
      <color rgb="FFBE70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'EV End to End Example'!$E$230</c:f>
              <c:strCache>
                <c:ptCount val="1"/>
                <c:pt idx="0">
                  <c:v>Domestic</c:v>
                </c:pt>
              </c:strCache>
            </c:strRef>
          </c:tx>
          <c:spPr>
            <a:solidFill>
              <a:schemeClr val="accent1"/>
            </a:solidFill>
            <a:ln>
              <a:noFill/>
            </a:ln>
            <a:effectLst/>
          </c:spPr>
          <c:cat>
            <c:numRef>
              <c:f>'EV End to End Example'!$D$232:$D$279</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Example'!$E$232:$E$279</c:f>
              <c:numCache>
                <c:formatCode>_-* #,##0.00_-;\-* #,##0.00_-;_-* "-"??_-;_-@_-</c:formatCode>
                <c:ptCount val="48"/>
                <c:pt idx="0">
                  <c:v>76.519944273583064</c:v>
                </c:pt>
                <c:pt idx="1">
                  <c:v>84.089137775059271</c:v>
                </c:pt>
                <c:pt idx="2">
                  <c:v>81.320028046230689</c:v>
                </c:pt>
                <c:pt idx="3">
                  <c:v>75.682099458587643</c:v>
                </c:pt>
                <c:pt idx="4">
                  <c:v>75.001763871235426</c:v>
                </c:pt>
                <c:pt idx="5">
                  <c:v>70.863622335499372</c:v>
                </c:pt>
                <c:pt idx="6">
                  <c:v>65.395394872855931</c:v>
                </c:pt>
                <c:pt idx="7">
                  <c:v>57.38359229264632</c:v>
                </c:pt>
                <c:pt idx="8">
                  <c:v>48.767205200205964</c:v>
                </c:pt>
                <c:pt idx="9">
                  <c:v>38.876349372729209</c:v>
                </c:pt>
                <c:pt idx="10">
                  <c:v>30.255121020936709</c:v>
                </c:pt>
                <c:pt idx="11">
                  <c:v>24.714914500806248</c:v>
                </c:pt>
                <c:pt idx="12">
                  <c:v>20.988553446205923</c:v>
                </c:pt>
                <c:pt idx="13">
                  <c:v>16.822773522204638</c:v>
                </c:pt>
                <c:pt idx="14">
                  <c:v>17.493669696047991</c:v>
                </c:pt>
                <c:pt idx="15">
                  <c:v>16.068989972788589</c:v>
                </c:pt>
                <c:pt idx="16">
                  <c:v>13.435141225067991</c:v>
                </c:pt>
                <c:pt idx="17">
                  <c:v>15.855564135817819</c:v>
                </c:pt>
                <c:pt idx="18">
                  <c:v>16.583150412322031</c:v>
                </c:pt>
                <c:pt idx="19">
                  <c:v>17.42580013627774</c:v>
                </c:pt>
                <c:pt idx="20">
                  <c:v>18.510283665125769</c:v>
                </c:pt>
                <c:pt idx="21">
                  <c:v>19.820391043421466</c:v>
                </c:pt>
                <c:pt idx="22">
                  <c:v>20.405088935878872</c:v>
                </c:pt>
                <c:pt idx="23">
                  <c:v>21.896050819294093</c:v>
                </c:pt>
                <c:pt idx="24">
                  <c:v>22.661603216871132</c:v>
                </c:pt>
                <c:pt idx="25">
                  <c:v>23.516387547503054</c:v>
                </c:pt>
                <c:pt idx="26">
                  <c:v>23.8874123395121</c:v>
                </c:pt>
                <c:pt idx="27">
                  <c:v>25.054692782723187</c:v>
                </c:pt>
                <c:pt idx="28">
                  <c:v>25.254638006365326</c:v>
                </c:pt>
                <c:pt idx="29">
                  <c:v>25.068881771350611</c:v>
                </c:pt>
                <c:pt idx="30">
                  <c:v>25.971377658350956</c:v>
                </c:pt>
                <c:pt idx="31">
                  <c:v>28.617916010245988</c:v>
                </c:pt>
                <c:pt idx="32">
                  <c:v>33.682792411063339</c:v>
                </c:pt>
                <c:pt idx="33">
                  <c:v>37.790385293999073</c:v>
                </c:pt>
                <c:pt idx="34">
                  <c:v>42.502562689165323</c:v>
                </c:pt>
                <c:pt idx="35">
                  <c:v>47.482620230383262</c:v>
                </c:pt>
                <c:pt idx="36">
                  <c:v>52.220935895547434</c:v>
                </c:pt>
                <c:pt idx="37">
                  <c:v>55.668661619206283</c:v>
                </c:pt>
                <c:pt idx="38">
                  <c:v>57.786209487119422</c:v>
                </c:pt>
                <c:pt idx="39">
                  <c:v>58.124536624885408</c:v>
                </c:pt>
                <c:pt idx="40">
                  <c:v>58.462771833812944</c:v>
                </c:pt>
                <c:pt idx="41">
                  <c:v>61.039869029910555</c:v>
                </c:pt>
                <c:pt idx="42">
                  <c:v>60.835785540909086</c:v>
                </c:pt>
                <c:pt idx="43">
                  <c:v>60.243303198639808</c:v>
                </c:pt>
                <c:pt idx="44">
                  <c:v>59.408987051478427</c:v>
                </c:pt>
                <c:pt idx="45">
                  <c:v>59.038603804500084</c:v>
                </c:pt>
                <c:pt idx="46">
                  <c:v>62.174810728459121</c:v>
                </c:pt>
                <c:pt idx="47">
                  <c:v>64.208363182641733</c:v>
                </c:pt>
              </c:numCache>
            </c:numRef>
          </c:val>
          <c:extLst>
            <c:ext xmlns:c16="http://schemas.microsoft.com/office/drawing/2014/chart" uri="{C3380CC4-5D6E-409C-BE32-E72D297353CC}">
              <c16:uniqueId val="{00000000-50B2-4D89-A26B-8AAE36B0F1C5}"/>
            </c:ext>
          </c:extLst>
        </c:ser>
        <c:ser>
          <c:idx val="1"/>
          <c:order val="1"/>
          <c:tx>
            <c:strRef>
              <c:f>'EV End to End Example'!$F$230</c:f>
              <c:strCache>
                <c:ptCount val="1"/>
                <c:pt idx="0">
                  <c:v>Workplace</c:v>
                </c:pt>
              </c:strCache>
            </c:strRef>
          </c:tx>
          <c:spPr>
            <a:solidFill>
              <a:schemeClr val="accent2"/>
            </a:solidFill>
            <a:ln>
              <a:noFill/>
            </a:ln>
            <a:effectLst/>
          </c:spPr>
          <c:cat>
            <c:numRef>
              <c:f>'EV End to End Example'!$D$232:$D$279</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Example'!$F$232:$F$279</c:f>
              <c:numCache>
                <c:formatCode>_-* #,##0.00_-;\-* #,##0.00_-;_-* "-"??_-;_-@_-</c:formatCode>
                <c:ptCount val="48"/>
                <c:pt idx="0">
                  <c:v>1.2519423500489228</c:v>
                </c:pt>
                <c:pt idx="1">
                  <c:v>1.08565857987278</c:v>
                </c:pt>
                <c:pt idx="2">
                  <c:v>0.9193748096966371</c:v>
                </c:pt>
                <c:pt idx="3">
                  <c:v>0.82892685977453229</c:v>
                </c:pt>
                <c:pt idx="4">
                  <c:v>0.73853554601393157</c:v>
                </c:pt>
                <c:pt idx="5">
                  <c:v>0.70959446748531807</c:v>
                </c:pt>
                <c:pt idx="6">
                  <c:v>0.68059675279520049</c:v>
                </c:pt>
                <c:pt idx="7">
                  <c:v>0.70007959235262329</c:v>
                </c:pt>
                <c:pt idx="8">
                  <c:v>0.7195057957485419</c:v>
                </c:pt>
                <c:pt idx="9">
                  <c:v>0.94350181449739912</c:v>
                </c:pt>
                <c:pt idx="10">
                  <c:v>1.1674411970847522</c:v>
                </c:pt>
                <c:pt idx="11">
                  <c:v>2.7418132145767209</c:v>
                </c:pt>
                <c:pt idx="12">
                  <c:v>4.3161852320686886</c:v>
                </c:pt>
                <c:pt idx="13">
                  <c:v>9.0423596372658182</c:v>
                </c:pt>
                <c:pt idx="14">
                  <c:v>13.768477406301441</c:v>
                </c:pt>
                <c:pt idx="15">
                  <c:v>18.811927588244739</c:v>
                </c:pt>
                <c:pt idx="16">
                  <c:v>23.855434406349541</c:v>
                </c:pt>
                <c:pt idx="17">
                  <c:v>22.727355341510165</c:v>
                </c:pt>
                <c:pt idx="18">
                  <c:v>21.599276276670782</c:v>
                </c:pt>
                <c:pt idx="19">
                  <c:v>17.897650033083472</c:v>
                </c:pt>
                <c:pt idx="20">
                  <c:v>14.196023789496161</c:v>
                </c:pt>
                <c:pt idx="21">
                  <c:v>12.369281036341766</c:v>
                </c:pt>
                <c:pt idx="22">
                  <c:v>10.542481647025864</c:v>
                </c:pt>
                <c:pt idx="23">
                  <c:v>10.127621764008069</c:v>
                </c:pt>
                <c:pt idx="24">
                  <c:v>9.7127052448287685</c:v>
                </c:pt>
                <c:pt idx="25">
                  <c:v>9.7047195460566869</c:v>
                </c:pt>
                <c:pt idx="26">
                  <c:v>9.6967338472846016</c:v>
                </c:pt>
                <c:pt idx="27">
                  <c:v>9.061049570562183</c:v>
                </c:pt>
                <c:pt idx="28">
                  <c:v>8.4254219300012654</c:v>
                </c:pt>
                <c:pt idx="29">
                  <c:v>7.7898509256018524</c:v>
                </c:pt>
                <c:pt idx="30">
                  <c:v>7.1543365573639459</c:v>
                </c:pt>
                <c:pt idx="31">
                  <c:v>6.5907501142362896</c:v>
                </c:pt>
                <c:pt idx="32">
                  <c:v>6.0272203072701371</c:v>
                </c:pt>
                <c:pt idx="33">
                  <c:v>5.4671453061557385</c:v>
                </c:pt>
                <c:pt idx="34">
                  <c:v>4.9070703050413389</c:v>
                </c:pt>
                <c:pt idx="35">
                  <c:v>4.3868105254643464</c:v>
                </c:pt>
                <c:pt idx="36">
                  <c:v>3.8665507458873538</c:v>
                </c:pt>
                <c:pt idx="37">
                  <c:v>3.5103092900263402</c:v>
                </c:pt>
                <c:pt idx="38">
                  <c:v>3.1540678341653257</c:v>
                </c:pt>
                <c:pt idx="39">
                  <c:v>2.861711968480976</c:v>
                </c:pt>
                <c:pt idx="40">
                  <c:v>2.5694127389581314</c:v>
                </c:pt>
                <c:pt idx="41">
                  <c:v>2.399787435253244</c:v>
                </c:pt>
                <c:pt idx="42">
                  <c:v>2.2301621315483575</c:v>
                </c:pt>
                <c:pt idx="43">
                  <c:v>2.1310488489161195</c:v>
                </c:pt>
                <c:pt idx="44">
                  <c:v>2.0319355662838818</c:v>
                </c:pt>
                <c:pt idx="45">
                  <c:v>1.8343319987959521</c:v>
                </c:pt>
                <c:pt idx="46">
                  <c:v>1.6367284313080217</c:v>
                </c:pt>
                <c:pt idx="47">
                  <c:v>1.4443353906784724</c:v>
                </c:pt>
              </c:numCache>
            </c:numRef>
          </c:val>
          <c:extLst>
            <c:ext xmlns:c16="http://schemas.microsoft.com/office/drawing/2014/chart" uri="{C3380CC4-5D6E-409C-BE32-E72D297353CC}">
              <c16:uniqueId val="{00000001-50B2-4D89-A26B-8AAE36B0F1C5}"/>
            </c:ext>
          </c:extLst>
        </c:ser>
        <c:ser>
          <c:idx val="2"/>
          <c:order val="2"/>
          <c:tx>
            <c:strRef>
              <c:f>'EV End to End Example'!$G$230</c:f>
              <c:strCache>
                <c:ptCount val="1"/>
                <c:pt idx="0">
                  <c:v>Slow/fast public</c:v>
                </c:pt>
              </c:strCache>
            </c:strRef>
          </c:tx>
          <c:spPr>
            <a:solidFill>
              <a:schemeClr val="accent3"/>
            </a:solidFill>
            <a:ln>
              <a:noFill/>
            </a:ln>
            <a:effectLst/>
          </c:spPr>
          <c:cat>
            <c:numRef>
              <c:f>'EV End to End Example'!$D$232:$D$279</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Example'!$G$232:$G$279</c:f>
              <c:numCache>
                <c:formatCode>_-* #,##0.00_-;\-* #,##0.00_-;_-* "-"??_-;_-@_-</c:formatCode>
                <c:ptCount val="48"/>
                <c:pt idx="0">
                  <c:v>0.61886678449657373</c:v>
                </c:pt>
                <c:pt idx="1">
                  <c:v>0.56206560179612908</c:v>
                </c:pt>
                <c:pt idx="2">
                  <c:v>0.50526441909568409</c:v>
                </c:pt>
                <c:pt idx="3">
                  <c:v>0.4505440854586828</c:v>
                </c:pt>
                <c:pt idx="4">
                  <c:v>0.39582375182168161</c:v>
                </c:pt>
                <c:pt idx="5">
                  <c:v>0.3548324684638734</c:v>
                </c:pt>
                <c:pt idx="6">
                  <c:v>0.31384118510606523</c:v>
                </c:pt>
                <c:pt idx="7">
                  <c:v>0.30362674209069346</c:v>
                </c:pt>
                <c:pt idx="8">
                  <c:v>0.29341229907532179</c:v>
                </c:pt>
                <c:pt idx="9">
                  <c:v>0.35884689724362645</c:v>
                </c:pt>
                <c:pt idx="10">
                  <c:v>0.42428149541193111</c:v>
                </c:pt>
                <c:pt idx="11">
                  <c:v>0.65442342764857431</c:v>
                </c:pt>
                <c:pt idx="12">
                  <c:v>0.88456535988521734</c:v>
                </c:pt>
                <c:pt idx="13">
                  <c:v>1.4776813454202238</c:v>
                </c:pt>
                <c:pt idx="14">
                  <c:v>2.070797330955231</c:v>
                </c:pt>
                <c:pt idx="15">
                  <c:v>3.0909223455356818</c:v>
                </c:pt>
                <c:pt idx="16">
                  <c:v>4.1110473601161326</c:v>
                </c:pt>
                <c:pt idx="17">
                  <c:v>4.7435610279899185</c:v>
                </c:pt>
                <c:pt idx="18">
                  <c:v>5.3760746958637036</c:v>
                </c:pt>
                <c:pt idx="19">
                  <c:v>5.2101136641685963</c:v>
                </c:pt>
                <c:pt idx="20">
                  <c:v>5.0441526324734864</c:v>
                </c:pt>
                <c:pt idx="21">
                  <c:v>4.775388404332193</c:v>
                </c:pt>
                <c:pt idx="22">
                  <c:v>4.5066241761908978</c:v>
                </c:pt>
                <c:pt idx="23">
                  <c:v>4.3986906431058683</c:v>
                </c:pt>
                <c:pt idx="24">
                  <c:v>4.2907571100208388</c:v>
                </c:pt>
                <c:pt idx="25">
                  <c:v>4.2280466030043264</c:v>
                </c:pt>
                <c:pt idx="26">
                  <c:v>4.165336095987815</c:v>
                </c:pt>
                <c:pt idx="27">
                  <c:v>4.0063177398618199</c:v>
                </c:pt>
                <c:pt idx="28">
                  <c:v>3.8472993837358236</c:v>
                </c:pt>
                <c:pt idx="29">
                  <c:v>3.6166850858368851</c:v>
                </c:pt>
                <c:pt idx="30">
                  <c:v>3.3860707879379475</c:v>
                </c:pt>
                <c:pt idx="31">
                  <c:v>3.2173493839552525</c:v>
                </c:pt>
                <c:pt idx="32">
                  <c:v>3.0486279799725571</c:v>
                </c:pt>
                <c:pt idx="33">
                  <c:v>2.9798031306007848</c:v>
                </c:pt>
                <c:pt idx="34">
                  <c:v>2.9109782812290117</c:v>
                </c:pt>
                <c:pt idx="35">
                  <c:v>2.8836680092303606</c:v>
                </c:pt>
                <c:pt idx="36">
                  <c:v>2.856357737231709</c:v>
                </c:pt>
                <c:pt idx="37">
                  <c:v>2.6737286697609171</c:v>
                </c:pt>
                <c:pt idx="38">
                  <c:v>2.4910996022901246</c:v>
                </c:pt>
                <c:pt idx="39">
                  <c:v>2.1781947231254</c:v>
                </c:pt>
                <c:pt idx="40">
                  <c:v>1.865289843960676</c:v>
                </c:pt>
                <c:pt idx="41">
                  <c:v>1.5796168364555103</c:v>
                </c:pt>
                <c:pt idx="42">
                  <c:v>1.2939438289503444</c:v>
                </c:pt>
                <c:pt idx="43">
                  <c:v>1.1183613703659241</c:v>
                </c:pt>
                <c:pt idx="44">
                  <c:v>0.94277891178150397</c:v>
                </c:pt>
                <c:pt idx="45">
                  <c:v>0.84598113389560836</c:v>
                </c:pt>
                <c:pt idx="46">
                  <c:v>0.74918335600971253</c:v>
                </c:pt>
                <c:pt idx="47">
                  <c:v>0.68402507025314319</c:v>
                </c:pt>
              </c:numCache>
            </c:numRef>
          </c:val>
          <c:extLst>
            <c:ext xmlns:c16="http://schemas.microsoft.com/office/drawing/2014/chart" uri="{C3380CC4-5D6E-409C-BE32-E72D297353CC}">
              <c16:uniqueId val="{00000002-50B2-4D89-A26B-8AAE36B0F1C5}"/>
            </c:ext>
          </c:extLst>
        </c:ser>
        <c:ser>
          <c:idx val="3"/>
          <c:order val="3"/>
          <c:tx>
            <c:strRef>
              <c:f>'EV End to End Example'!$H$230</c:f>
              <c:strCache>
                <c:ptCount val="1"/>
                <c:pt idx="0">
                  <c:v>Rapid public</c:v>
                </c:pt>
              </c:strCache>
            </c:strRef>
          </c:tx>
          <c:spPr>
            <a:solidFill>
              <a:schemeClr val="accent4"/>
            </a:solidFill>
            <a:ln>
              <a:noFill/>
            </a:ln>
            <a:effectLst/>
          </c:spPr>
          <c:cat>
            <c:numRef>
              <c:f>'EV End to End Example'!$D$232:$D$279</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Example'!$H$232:$H$279</c:f>
              <c:numCache>
                <c:formatCode>_-* #,##0.00_-;\-* #,##0.00_-;_-* "-"??_-;_-@_-</c:formatCode>
                <c:ptCount val="48"/>
                <c:pt idx="0">
                  <c:v>5.2870420818982264</c:v>
                </c:pt>
                <c:pt idx="1">
                  <c:v>4.0888675881609666</c:v>
                </c:pt>
                <c:pt idx="2">
                  <c:v>3.3461858883463922</c:v>
                </c:pt>
                <c:pt idx="3">
                  <c:v>2.6036595937839242</c:v>
                </c:pt>
                <c:pt idx="4">
                  <c:v>2.1546938204496904</c:v>
                </c:pt>
                <c:pt idx="5">
                  <c:v>1.7057280471154561</c:v>
                </c:pt>
                <c:pt idx="6">
                  <c:v>1.5063431086634582</c:v>
                </c:pt>
                <c:pt idx="7">
                  <c:v>1.3069581702114603</c:v>
                </c:pt>
                <c:pt idx="8">
                  <c:v>1.3548229878601081</c:v>
                </c:pt>
                <c:pt idx="9">
                  <c:v>1.4028432107608622</c:v>
                </c:pt>
                <c:pt idx="10">
                  <c:v>2.0081466677137323</c:v>
                </c:pt>
                <c:pt idx="11">
                  <c:v>2.6134501246666022</c:v>
                </c:pt>
                <c:pt idx="12">
                  <c:v>4.724319664022401</c:v>
                </c:pt>
                <c:pt idx="13">
                  <c:v>6.8351892033781994</c:v>
                </c:pt>
                <c:pt idx="14">
                  <c:v>9.5361324849804792</c:v>
                </c:pt>
                <c:pt idx="15">
                  <c:v>12.237231171834866</c:v>
                </c:pt>
                <c:pt idx="16">
                  <c:v>15.224430927816398</c:v>
                </c:pt>
                <c:pt idx="17">
                  <c:v>18.211630683797932</c:v>
                </c:pt>
                <c:pt idx="18">
                  <c:v>20.887398314559039</c:v>
                </c:pt>
                <c:pt idx="19">
                  <c:v>23.563165945320147</c:v>
                </c:pt>
                <c:pt idx="20">
                  <c:v>24.5384893075374</c:v>
                </c:pt>
                <c:pt idx="21">
                  <c:v>25.51381266975466</c:v>
                </c:pt>
                <c:pt idx="22">
                  <c:v>26.884486993329578</c:v>
                </c:pt>
                <c:pt idx="23">
                  <c:v>28.255005911652393</c:v>
                </c:pt>
                <c:pt idx="24">
                  <c:v>30.030666322215549</c:v>
                </c:pt>
                <c:pt idx="25">
                  <c:v>31.806482138030812</c:v>
                </c:pt>
                <c:pt idx="26">
                  <c:v>32.620961064318365</c:v>
                </c:pt>
                <c:pt idx="27">
                  <c:v>33.4354399906059</c:v>
                </c:pt>
                <c:pt idx="28">
                  <c:v>32.989426917061685</c:v>
                </c:pt>
                <c:pt idx="29">
                  <c:v>32.543413843517463</c:v>
                </c:pt>
                <c:pt idx="30">
                  <c:v>32.079062950224731</c:v>
                </c:pt>
                <c:pt idx="31">
                  <c:v>31.614712056932007</c:v>
                </c:pt>
                <c:pt idx="32">
                  <c:v>31.267536723727204</c:v>
                </c:pt>
                <c:pt idx="33">
                  <c:v>30.920516795774507</c:v>
                </c:pt>
                <c:pt idx="34">
                  <c:v>30.798989888627613</c:v>
                </c:pt>
                <c:pt idx="35">
                  <c:v>30.677462981480719</c:v>
                </c:pt>
                <c:pt idx="36">
                  <c:v>30.338990342393849</c:v>
                </c:pt>
                <c:pt idx="37">
                  <c:v>30.000362298054878</c:v>
                </c:pt>
                <c:pt idx="38">
                  <c:v>27.901458963111246</c:v>
                </c:pt>
                <c:pt idx="39">
                  <c:v>25.802555628167603</c:v>
                </c:pt>
                <c:pt idx="40">
                  <c:v>22.980085439418435</c:v>
                </c:pt>
                <c:pt idx="41">
                  <c:v>20.157459845417158</c:v>
                </c:pt>
                <c:pt idx="42">
                  <c:v>17.292874833347259</c:v>
                </c:pt>
                <c:pt idx="43">
                  <c:v>14.428289821277362</c:v>
                </c:pt>
                <c:pt idx="44">
                  <c:v>11.993244926028446</c:v>
                </c:pt>
                <c:pt idx="45">
                  <c:v>9.5582000307795312</c:v>
                </c:pt>
                <c:pt idx="46">
                  <c:v>8.0218637084596143</c:v>
                </c:pt>
                <c:pt idx="47">
                  <c:v>6.4853719808875931</c:v>
                </c:pt>
              </c:numCache>
            </c:numRef>
          </c:val>
          <c:extLst>
            <c:ext xmlns:c16="http://schemas.microsoft.com/office/drawing/2014/chart" uri="{C3380CC4-5D6E-409C-BE32-E72D297353CC}">
              <c16:uniqueId val="{00000003-50B2-4D89-A26B-8AAE36B0F1C5}"/>
            </c:ext>
          </c:extLst>
        </c:ser>
        <c:ser>
          <c:idx val="4"/>
          <c:order val="4"/>
          <c:tx>
            <c:strRef>
              <c:f>'EV End to End Example'!$I$230</c:f>
              <c:strCache>
                <c:ptCount val="1"/>
                <c:pt idx="0">
                  <c:v>HGV depot</c:v>
                </c:pt>
              </c:strCache>
            </c:strRef>
          </c:tx>
          <c:spPr>
            <a:solidFill>
              <a:schemeClr val="accent5"/>
            </a:solidFill>
            <a:ln>
              <a:noFill/>
            </a:ln>
            <a:effectLst/>
          </c:spPr>
          <c:cat>
            <c:numRef>
              <c:f>'EV End to End Example'!$D$232:$D$279</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Example'!$I$232:$I$279</c:f>
              <c:numCache>
                <c:formatCode>_-* #,##0.00_-;\-* #,##0.00_-;_-* "-"??_-;_-@_-</c:formatCode>
                <c:ptCount val="48"/>
                <c:pt idx="0">
                  <c:v>519.16071084917758</c:v>
                </c:pt>
                <c:pt idx="1">
                  <c:v>494.28232174540796</c:v>
                </c:pt>
                <c:pt idx="2">
                  <c:v>495.52472271052801</c:v>
                </c:pt>
                <c:pt idx="3">
                  <c:v>496.76712367564801</c:v>
                </c:pt>
                <c:pt idx="4">
                  <c:v>498.10339493591039</c:v>
                </c:pt>
                <c:pt idx="5">
                  <c:v>499.43966619617282</c:v>
                </c:pt>
                <c:pt idx="6">
                  <c:v>486.18462834385923</c:v>
                </c:pt>
                <c:pt idx="7">
                  <c:v>472.93235138257921</c:v>
                </c:pt>
                <c:pt idx="8">
                  <c:v>437.44385803668479</c:v>
                </c:pt>
                <c:pt idx="9">
                  <c:v>401.95536469079042</c:v>
                </c:pt>
                <c:pt idx="10">
                  <c:v>356.64914282941442</c:v>
                </c:pt>
                <c:pt idx="11">
                  <c:v>311.34568185907204</c:v>
                </c:pt>
                <c:pt idx="12">
                  <c:v>280.73844386058244</c:v>
                </c:pt>
                <c:pt idx="13">
                  <c:v>250.1312058620928</c:v>
                </c:pt>
                <c:pt idx="14">
                  <c:v>224.11809054351357</c:v>
                </c:pt>
                <c:pt idx="15">
                  <c:v>198.1022143339008</c:v>
                </c:pt>
                <c:pt idx="16">
                  <c:v>178.83119491937279</c:v>
                </c:pt>
                <c:pt idx="17">
                  <c:v>159.56017550484481</c:v>
                </c:pt>
                <c:pt idx="18">
                  <c:v>144.7065817440768</c:v>
                </c:pt>
                <c:pt idx="19">
                  <c:v>129.85298798330882</c:v>
                </c:pt>
                <c:pt idx="20">
                  <c:v>119.93586739061762</c:v>
                </c:pt>
                <c:pt idx="21">
                  <c:v>110.01874679792641</c:v>
                </c:pt>
                <c:pt idx="22">
                  <c:v>104.9304246230016</c:v>
                </c:pt>
                <c:pt idx="23">
                  <c:v>99.839341557043198</c:v>
                </c:pt>
                <c:pt idx="24">
                  <c:v>96.752665381478408</c:v>
                </c:pt>
                <c:pt idx="25">
                  <c:v>93.668750096947207</c:v>
                </c:pt>
                <c:pt idx="26">
                  <c:v>92.705199126220805</c:v>
                </c:pt>
                <c:pt idx="27">
                  <c:v>91.741648155494403</c:v>
                </c:pt>
                <c:pt idx="28">
                  <c:v>93.505857525964799</c:v>
                </c:pt>
                <c:pt idx="29">
                  <c:v>95.27006689643521</c:v>
                </c:pt>
                <c:pt idx="30">
                  <c:v>104.90281571266561</c:v>
                </c:pt>
                <c:pt idx="31">
                  <c:v>114.53556452889599</c:v>
                </c:pt>
                <c:pt idx="32">
                  <c:v>140.4078744047616</c:v>
                </c:pt>
                <c:pt idx="33">
                  <c:v>166.2801842806272</c:v>
                </c:pt>
                <c:pt idx="34">
                  <c:v>218.76472282936319</c:v>
                </c:pt>
                <c:pt idx="35">
                  <c:v>271.24650048706559</c:v>
                </c:pt>
                <c:pt idx="36">
                  <c:v>347.33941826411524</c:v>
                </c:pt>
                <c:pt idx="37">
                  <c:v>423.43233604116483</c:v>
                </c:pt>
                <c:pt idx="38">
                  <c:v>467.11515397478405</c:v>
                </c:pt>
                <c:pt idx="39">
                  <c:v>510.79797190840321</c:v>
                </c:pt>
                <c:pt idx="40">
                  <c:v>522.34953999298568</c:v>
                </c:pt>
                <c:pt idx="41">
                  <c:v>533.89834718653447</c:v>
                </c:pt>
                <c:pt idx="42">
                  <c:v>541.78345197849603</c:v>
                </c:pt>
                <c:pt idx="43">
                  <c:v>549.66855677045771</c:v>
                </c:pt>
                <c:pt idx="44">
                  <c:v>547.47364839874558</c:v>
                </c:pt>
                <c:pt idx="45">
                  <c:v>545.27874002703368</c:v>
                </c:pt>
                <c:pt idx="46">
                  <c:v>544.65753954447359</c:v>
                </c:pt>
                <c:pt idx="47">
                  <c:v>544.03909995294714</c:v>
                </c:pt>
              </c:numCache>
            </c:numRef>
          </c:val>
          <c:extLst>
            <c:ext xmlns:c16="http://schemas.microsoft.com/office/drawing/2014/chart" uri="{C3380CC4-5D6E-409C-BE32-E72D297353CC}">
              <c16:uniqueId val="{00000004-50B2-4D89-A26B-8AAE36B0F1C5}"/>
            </c:ext>
          </c:extLst>
        </c:ser>
        <c:dLbls>
          <c:showLegendKey val="0"/>
          <c:showVal val="0"/>
          <c:showCatName val="0"/>
          <c:showSerName val="0"/>
          <c:showPercent val="0"/>
          <c:showBubbleSize val="0"/>
        </c:dLbls>
        <c:axId val="1738695800"/>
        <c:axId val="1738694360"/>
      </c:areaChart>
      <c:catAx>
        <c:axId val="1738695800"/>
        <c:scaling>
          <c:orientation val="minMax"/>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Time of day</a:t>
                </a:r>
              </a:p>
            </c:rich>
          </c:tx>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title>
        <c:numFmt formatCode="[$-F400]h:mm:ss\ AM/P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738694360"/>
        <c:crosses val="autoZero"/>
        <c:auto val="1"/>
        <c:lblAlgn val="ctr"/>
        <c:lblOffset val="100"/>
        <c:noMultiLvlLbl val="0"/>
      </c:catAx>
      <c:valAx>
        <c:axId val="1738694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Demand (kW)</a:t>
                </a:r>
              </a:p>
            </c:rich>
          </c:tx>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738695800"/>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'EV End to End Example'!$U$293</c:f>
              <c:strCache>
                <c:ptCount val="1"/>
                <c:pt idx="0">
                  <c:v>Lower range</c:v>
                </c:pt>
              </c:strCache>
            </c:strRef>
          </c:tx>
          <c:spPr>
            <a:ln w="28575" cap="rnd">
              <a:solidFill>
                <a:schemeClr val="accent2">
                  <a:lumMod val="60000"/>
                  <a:lumOff val="40000"/>
                </a:schemeClr>
              </a:solidFill>
              <a:round/>
            </a:ln>
            <a:effectLst/>
          </c:spPr>
          <c:marker>
            <c:symbol val="none"/>
          </c:marker>
          <c:cat>
            <c:numRef>
              <c:f>'EV End to End Example'!$D$294:$D$341</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Example'!$U$294:$U$341</c:f>
              <c:numCache>
                <c:formatCode>_-* #,##0.00_-;\-* #,##0.00_-;_-* "-"??_-;_-@_-</c:formatCode>
                <c:ptCount val="48"/>
                <c:pt idx="0">
                  <c:v>0.60840831769724502</c:v>
                </c:pt>
                <c:pt idx="1">
                  <c:v>0.66489612952313482</c:v>
                </c:pt>
                <c:pt idx="2">
                  <c:v>0.64150452459896279</c:v>
                </c:pt>
                <c:pt idx="3">
                  <c:v>0.59637279620969974</c:v>
                </c:pt>
                <c:pt idx="4">
                  <c:v>0.5899857436025312</c:v>
                </c:pt>
                <c:pt idx="5">
                  <c:v>0.55720307780562361</c:v>
                </c:pt>
                <c:pt idx="6">
                  <c:v>0.51430686460962816</c:v>
                </c:pt>
                <c:pt idx="7">
                  <c:v>0.45204965290090576</c:v>
                </c:pt>
                <c:pt idx="8">
                  <c:v>0.38530993689500376</c:v>
                </c:pt>
                <c:pt idx="9">
                  <c:v>0.3102270572907278</c:v>
                </c:pt>
                <c:pt idx="10">
                  <c:v>0.24547965176847791</c:v>
                </c:pt>
                <c:pt idx="11">
                  <c:v>0.21437003945124525</c:v>
                </c:pt>
                <c:pt idx="12">
                  <c:v>0.1986352446365677</c:v>
                </c:pt>
                <c:pt idx="13">
                  <c:v>0.20213029763073151</c:v>
                </c:pt>
                <c:pt idx="14">
                  <c:v>0.24368474634192694</c:v>
                </c:pt>
                <c:pt idx="15">
                  <c:v>0.27186694180781762</c:v>
                </c:pt>
                <c:pt idx="16">
                  <c:v>0.29090655097268964</c:v>
                </c:pt>
                <c:pt idx="17">
                  <c:v>0.3053664196862767</c:v>
                </c:pt>
                <c:pt idx="18">
                  <c:v>0.30641537092426407</c:v>
                </c:pt>
                <c:pt idx="19">
                  <c:v>0.2890744268368714</c:v>
                </c:pt>
                <c:pt idx="20">
                  <c:v>0.27215249736970348</c:v>
                </c:pt>
                <c:pt idx="21">
                  <c:v>0.26994594281487555</c:v>
                </c:pt>
                <c:pt idx="22">
                  <c:v>0.26244580068256357</c:v>
                </c:pt>
                <c:pt idx="23">
                  <c:v>0.27212222955974202</c:v>
                </c:pt>
                <c:pt idx="24">
                  <c:v>0.27651346932191029</c:v>
                </c:pt>
                <c:pt idx="25">
                  <c:v>0.28451834445160745</c:v>
                </c:pt>
                <c:pt idx="26">
                  <c:v>0.28794249496078905</c:v>
                </c:pt>
                <c:pt idx="27">
                  <c:v>0.29300177793506776</c:v>
                </c:pt>
                <c:pt idx="28">
                  <c:v>0.28946946506741156</c:v>
                </c:pt>
                <c:pt idx="29">
                  <c:v>0.28282937304212485</c:v>
                </c:pt>
                <c:pt idx="30">
                  <c:v>0.28462351118905566</c:v>
                </c:pt>
                <c:pt idx="31">
                  <c:v>0.30056065888135119</c:v>
                </c:pt>
                <c:pt idx="32">
                  <c:v>0.33537552714689273</c:v>
                </c:pt>
                <c:pt idx="33">
                  <c:v>0.36294034202785863</c:v>
                </c:pt>
                <c:pt idx="34">
                  <c:v>0.39539279044341591</c:v>
                </c:pt>
                <c:pt idx="35">
                  <c:v>0.43026969488079569</c:v>
                </c:pt>
                <c:pt idx="36">
                  <c:v>0.46308353290969517</c:v>
                </c:pt>
                <c:pt idx="37">
                  <c:v>0.48677884987868503</c:v>
                </c:pt>
                <c:pt idx="38">
                  <c:v>0.4986362178357831</c:v>
                </c:pt>
                <c:pt idx="39">
                  <c:v>0.49691993466501072</c:v>
                </c:pt>
                <c:pt idx="40">
                  <c:v>0.49458264787965733</c:v>
                </c:pt>
                <c:pt idx="41">
                  <c:v>0.51053054345971405</c:v>
                </c:pt>
                <c:pt idx="42">
                  <c:v>0.50484840137467346</c:v>
                </c:pt>
                <c:pt idx="43">
                  <c:v>0.49681872524390863</c:v>
                </c:pt>
                <c:pt idx="44">
                  <c:v>0.48727983407858294</c:v>
                </c:pt>
                <c:pt idx="45">
                  <c:v>0.4807783745550292</c:v>
                </c:pt>
                <c:pt idx="46">
                  <c:v>0.50227421378609749</c:v>
                </c:pt>
                <c:pt idx="47">
                  <c:v>0.51529514936547682</c:v>
                </c:pt>
              </c:numCache>
            </c:numRef>
          </c:val>
          <c:smooth val="0"/>
          <c:extLst>
            <c:ext xmlns:c16="http://schemas.microsoft.com/office/drawing/2014/chart" uri="{C3380CC4-5D6E-409C-BE32-E72D297353CC}">
              <c16:uniqueId val="{00000001-4C72-4074-9EB6-1B305ABB8BD5}"/>
            </c:ext>
          </c:extLst>
        </c:ser>
        <c:ser>
          <c:idx val="2"/>
          <c:order val="1"/>
          <c:tx>
            <c:strRef>
              <c:f>'EV End to End Example'!$AE$293</c:f>
              <c:strCache>
                <c:ptCount val="1"/>
                <c:pt idx="0">
                  <c:v>Upper range</c:v>
                </c:pt>
              </c:strCache>
            </c:strRef>
          </c:tx>
          <c:spPr>
            <a:ln w="28575" cap="rnd">
              <a:solidFill>
                <a:schemeClr val="accent5">
                  <a:lumMod val="40000"/>
                  <a:lumOff val="60000"/>
                </a:schemeClr>
              </a:solidFill>
              <a:round/>
            </a:ln>
            <a:effectLst/>
          </c:spPr>
          <c:marker>
            <c:symbol val="none"/>
          </c:marker>
          <c:cat>
            <c:numRef>
              <c:f>'EV End to End Example'!$D$294:$D$341</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Example'!$AE$294:$AE$341</c:f>
              <c:numCache>
                <c:formatCode>_-* #,##0.00_-;\-* #,##0.00_-;_-* "-"??_-;_-@_-</c:formatCode>
                <c:ptCount val="48"/>
                <c:pt idx="0">
                  <c:v>0.83644014693814639</c:v>
                </c:pt>
                <c:pt idx="1">
                  <c:v>0.90549741742022627</c:v>
                </c:pt>
                <c:pt idx="2">
                  <c:v>0.87060203282794357</c:v>
                </c:pt>
                <c:pt idx="3">
                  <c:v>0.80711100273769498</c:v>
                </c:pt>
                <c:pt idx="4">
                  <c:v>0.79595841283714053</c:v>
                </c:pt>
                <c:pt idx="5">
                  <c:v>0.75021682222383457</c:v>
                </c:pt>
                <c:pt idx="6">
                  <c:v>0.69202880881408091</c:v>
                </c:pt>
                <c:pt idx="7">
                  <c:v>0.60881012096896325</c:v>
                </c:pt>
                <c:pt idx="8">
                  <c:v>0.52058404588278762</c:v>
                </c:pt>
                <c:pt idx="9">
                  <c:v>0.42288055770773358</c:v>
                </c:pt>
                <c:pt idx="10">
                  <c:v>0.34092352066115461</c:v>
                </c:pt>
                <c:pt idx="11">
                  <c:v>0.30832646215937048</c:v>
                </c:pt>
                <c:pt idx="12">
                  <c:v>0.30167474714466946</c:v>
                </c:pt>
                <c:pt idx="13">
                  <c:v>0.33147661247194088</c:v>
                </c:pt>
                <c:pt idx="14">
                  <c:v>0.41381529213965634</c:v>
                </c:pt>
                <c:pt idx="15">
                  <c:v>0.48588612110756368</c:v>
                </c:pt>
                <c:pt idx="16">
                  <c:v>0.54693101231530861</c:v>
                </c:pt>
                <c:pt idx="17">
                  <c:v>0.58556122052364701</c:v>
                </c:pt>
                <c:pt idx="18">
                  <c:v>0.60529338331069005</c:v>
                </c:pt>
                <c:pt idx="19">
                  <c:v>0.58359269090053234</c:v>
                </c:pt>
                <c:pt idx="20">
                  <c:v>0.5561096784420585</c:v>
                </c:pt>
                <c:pt idx="21">
                  <c:v>0.54949538200086345</c:v>
                </c:pt>
                <c:pt idx="22">
                  <c:v>0.53735282720617239</c:v>
                </c:pt>
                <c:pt idx="23">
                  <c:v>0.5528357306565066</c:v>
                </c:pt>
                <c:pt idx="24">
                  <c:v>0.56283796704069233</c:v>
                </c:pt>
                <c:pt idx="25">
                  <c:v>0.57901651089363693</c:v>
                </c:pt>
                <c:pt idx="26">
                  <c:v>0.58555418832833284</c:v>
                </c:pt>
                <c:pt idx="27">
                  <c:v>0.59167179591290175</c:v>
                </c:pt>
                <c:pt idx="28">
                  <c:v>0.58172900877586298</c:v>
                </c:pt>
                <c:pt idx="29">
                  <c:v>0.56651918183300043</c:v>
                </c:pt>
                <c:pt idx="30">
                  <c:v>0.56239638296390981</c:v>
                </c:pt>
                <c:pt idx="31">
                  <c:v>0.57809700638648231</c:v>
                </c:pt>
                <c:pt idx="32">
                  <c:v>0.61920238755926549</c:v>
                </c:pt>
                <c:pt idx="33">
                  <c:v>0.65233890337957434</c:v>
                </c:pt>
                <c:pt idx="34">
                  <c:v>0.69278016865527003</c:v>
                </c:pt>
                <c:pt idx="35">
                  <c:v>0.73716391379709012</c:v>
                </c:pt>
                <c:pt idx="36">
                  <c:v>0.77801058488160513</c:v>
                </c:pt>
                <c:pt idx="37">
                  <c:v>0.80455526361218965</c:v>
                </c:pt>
                <c:pt idx="38">
                  <c:v>0.80888338117694747</c:v>
                </c:pt>
                <c:pt idx="39">
                  <c:v>0.79325845958718921</c:v>
                </c:pt>
                <c:pt idx="40">
                  <c:v>0.77411598828465145</c:v>
                </c:pt>
                <c:pt idx="41">
                  <c:v>0.7797978875258279</c:v>
                </c:pt>
                <c:pt idx="42">
                  <c:v>0.75671514061052936</c:v>
                </c:pt>
                <c:pt idx="43">
                  <c:v>0.73242149725408601</c:v>
                </c:pt>
                <c:pt idx="44">
                  <c:v>0.70773237159804747</c:v>
                </c:pt>
                <c:pt idx="45">
                  <c:v>0.68817237515738461</c:v>
                </c:pt>
                <c:pt idx="46">
                  <c:v>0.70899106299724612</c:v>
                </c:pt>
                <c:pt idx="47">
                  <c:v>0.71911980736739256</c:v>
                </c:pt>
              </c:numCache>
            </c:numRef>
          </c:val>
          <c:smooth val="0"/>
          <c:extLst>
            <c:ext xmlns:c16="http://schemas.microsoft.com/office/drawing/2014/chart" uri="{C3380CC4-5D6E-409C-BE32-E72D297353CC}">
              <c16:uniqueId val="{00000002-4C72-4074-9EB6-1B305ABB8BD5}"/>
            </c:ext>
          </c:extLst>
        </c:ser>
        <c:ser>
          <c:idx val="0"/>
          <c:order val="2"/>
          <c:tx>
            <c:strRef>
              <c:f>'EV End to End Example'!$K$293</c:f>
              <c:strCache>
                <c:ptCount val="1"/>
                <c:pt idx="0">
                  <c:v>Default</c:v>
                </c:pt>
              </c:strCache>
            </c:strRef>
          </c:tx>
          <c:spPr>
            <a:ln w="28575" cap="rnd">
              <a:solidFill>
                <a:srgbClr val="7A3864"/>
              </a:solidFill>
              <a:round/>
            </a:ln>
            <a:effectLst/>
          </c:spPr>
          <c:marker>
            <c:symbol val="none"/>
          </c:marker>
          <c:cat>
            <c:numRef>
              <c:f>'EV End to End Example'!$D$294:$D$341</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Example'!$K$294:$K$341</c:f>
              <c:numCache>
                <c:formatCode>_-* #,##0.00_-;\-* #,##0.00_-;_-* "-"??_-;_-@_-</c:formatCode>
                <c:ptCount val="48"/>
                <c:pt idx="0">
                  <c:v>0.71503511795829622</c:v>
                </c:pt>
                <c:pt idx="1">
                  <c:v>0.77719933340328173</c:v>
                </c:pt>
                <c:pt idx="2">
                  <c:v>0.74835969823419823</c:v>
                </c:pt>
                <c:pt idx="3">
                  <c:v>0.69460173787912838</c:v>
                </c:pt>
                <c:pt idx="4">
                  <c:v>0.68594790830514929</c:v>
                </c:pt>
                <c:pt idx="5">
                  <c:v>0.64709205495552158</c:v>
                </c:pt>
                <c:pt idx="6">
                  <c:v>0.59707357584999876</c:v>
                </c:pt>
                <c:pt idx="7">
                  <c:v>0.5250522599321884</c:v>
                </c:pt>
                <c:pt idx="8">
                  <c:v>0.44833934401454584</c:v>
                </c:pt>
                <c:pt idx="9">
                  <c:v>0.36274964140196336</c:v>
                </c:pt>
                <c:pt idx="10">
                  <c:v>0.29008887876807077</c:v>
                </c:pt>
                <c:pt idx="11">
                  <c:v>0.25846527506841915</c:v>
                </c:pt>
                <c:pt idx="12">
                  <c:v>0.24734170982091275</c:v>
                </c:pt>
                <c:pt idx="13">
                  <c:v>0.26367669431985785</c:v>
                </c:pt>
                <c:pt idx="14">
                  <c:v>0.32488302782243161</c:v>
                </c:pt>
                <c:pt idx="15">
                  <c:v>0.37402521233854891</c:v>
                </c:pt>
                <c:pt idx="16">
                  <c:v>0.41318982298625412</c:v>
                </c:pt>
                <c:pt idx="17">
                  <c:v>0.43891759817699139</c:v>
                </c:pt>
                <c:pt idx="18">
                  <c:v>0.44864025692198167</c:v>
                </c:pt>
                <c:pt idx="19">
                  <c:v>0.42928292967710313</c:v>
                </c:pt>
                <c:pt idx="20">
                  <c:v>0.40722261186065012</c:v>
                </c:pt>
                <c:pt idx="21">
                  <c:v>0.40299893818200427</c:v>
                </c:pt>
                <c:pt idx="22">
                  <c:v>0.39342834812471084</c:v>
                </c:pt>
                <c:pt idx="23">
                  <c:v>0.40599154756425371</c:v>
                </c:pt>
                <c:pt idx="24">
                  <c:v>0.41323582550005972</c:v>
                </c:pt>
                <c:pt idx="25">
                  <c:v>0.42531434940191143</c:v>
                </c:pt>
                <c:pt idx="26">
                  <c:v>0.43032476161064703</c:v>
                </c:pt>
                <c:pt idx="27">
                  <c:v>0.43598025617779551</c:v>
                </c:pt>
                <c:pt idx="28">
                  <c:v>0.4293951057678223</c:v>
                </c:pt>
                <c:pt idx="29">
                  <c:v>0.4187274485340251</c:v>
                </c:pt>
                <c:pt idx="30">
                  <c:v>0.41772439893887842</c:v>
                </c:pt>
                <c:pt idx="31">
                  <c:v>0.43348798580731368</c:v>
                </c:pt>
                <c:pt idx="32">
                  <c:v>0.47117943213672531</c:v>
                </c:pt>
                <c:pt idx="33">
                  <c:v>0.50124692856656161</c:v>
                </c:pt>
                <c:pt idx="34">
                  <c:v>0.5373572718475651</c:v>
                </c:pt>
                <c:pt idx="35">
                  <c:v>0.57658556106573122</c:v>
                </c:pt>
                <c:pt idx="36">
                  <c:v>0.61303510979732445</c:v>
                </c:pt>
                <c:pt idx="37">
                  <c:v>0.63803876404741799</c:v>
                </c:pt>
                <c:pt idx="38">
                  <c:v>0.64613252953626887</c:v>
                </c:pt>
                <c:pt idx="39">
                  <c:v>0.63774762581383027</c:v>
                </c:pt>
                <c:pt idx="40">
                  <c:v>0.62729345241345513</c:v>
                </c:pt>
                <c:pt idx="41">
                  <c:v>0.63816711844148266</c:v>
                </c:pt>
                <c:pt idx="42">
                  <c:v>0.62408883603151288</c:v>
                </c:pt>
                <c:pt idx="43">
                  <c:v>0.60815522966373592</c:v>
                </c:pt>
                <c:pt idx="44">
                  <c:v>0.59129061248640935</c:v>
                </c:pt>
                <c:pt idx="45">
                  <c:v>0.57839231045217121</c:v>
                </c:pt>
                <c:pt idx="46">
                  <c:v>0.59937260100133993</c:v>
                </c:pt>
                <c:pt idx="47">
                  <c:v>0.61083633601965837</c:v>
                </c:pt>
              </c:numCache>
            </c:numRef>
          </c:val>
          <c:smooth val="0"/>
          <c:extLst>
            <c:ext xmlns:c16="http://schemas.microsoft.com/office/drawing/2014/chart" uri="{C3380CC4-5D6E-409C-BE32-E72D297353CC}">
              <c16:uniqueId val="{00000000-4C72-4074-9EB6-1B305ABB8BD5}"/>
            </c:ext>
          </c:extLst>
        </c:ser>
        <c:dLbls>
          <c:showLegendKey val="0"/>
          <c:showVal val="0"/>
          <c:showCatName val="0"/>
          <c:showSerName val="0"/>
          <c:showPercent val="0"/>
          <c:showBubbleSize val="0"/>
        </c:dLbls>
        <c:smooth val="0"/>
        <c:axId val="1840053472"/>
        <c:axId val="1840050952"/>
      </c:lineChart>
      <c:catAx>
        <c:axId val="1840053472"/>
        <c:scaling>
          <c:orientation val="minMax"/>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Time of day</a:t>
                </a:r>
              </a:p>
            </c:rich>
          </c:tx>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title>
        <c:numFmt formatCode="[$-F400]h:mm:ss\ AM/P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840050952"/>
        <c:crosses val="autoZero"/>
        <c:auto val="1"/>
        <c:lblAlgn val="ctr"/>
        <c:lblOffset val="100"/>
        <c:noMultiLvlLbl val="0"/>
      </c:catAx>
      <c:valAx>
        <c:axId val="1840050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Demand (kW)</a:t>
                </a:r>
              </a:p>
            </c:rich>
          </c:tx>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8400534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'EV End to End Example'!$U$355</c:f>
              <c:strCache>
                <c:ptCount val="1"/>
                <c:pt idx="0">
                  <c:v>Lower range</c:v>
                </c:pt>
              </c:strCache>
            </c:strRef>
          </c:tx>
          <c:spPr>
            <a:ln w="28575" cap="rnd">
              <a:solidFill>
                <a:schemeClr val="accent2">
                  <a:lumMod val="60000"/>
                  <a:lumOff val="40000"/>
                </a:schemeClr>
              </a:solidFill>
              <a:round/>
            </a:ln>
            <a:effectLst/>
          </c:spPr>
          <c:marker>
            <c:symbol val="none"/>
          </c:marker>
          <c:cat>
            <c:numRef>
              <c:f>'EV End to End Example'!$D$356:$D$403</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Example'!$U$356:$U$403</c:f>
              <c:numCache>
                <c:formatCode>_-* #,##0.00_-;\-* #,##0.00_-;_-* "-"??_-;_-@_-</c:formatCode>
                <c:ptCount val="48"/>
                <c:pt idx="0">
                  <c:v>65.344321640984404</c:v>
                </c:pt>
                <c:pt idx="1">
                  <c:v>62.132715743641192</c:v>
                </c:pt>
                <c:pt idx="2">
                  <c:v>62.224911208958403</c:v>
                </c:pt>
                <c:pt idx="3">
                  <c:v>62.3171198788488</c:v>
                </c:pt>
                <c:pt idx="4">
                  <c:v>62.4460057744068</c:v>
                </c:pt>
                <c:pt idx="5">
                  <c:v>62.574891669964806</c:v>
                </c:pt>
                <c:pt idx="6">
                  <c:v>60.901070471010001</c:v>
                </c:pt>
                <c:pt idx="7">
                  <c:v>59.227594383434401</c:v>
                </c:pt>
                <c:pt idx="8">
                  <c:v>54.795599723743202</c:v>
                </c:pt>
                <c:pt idx="9">
                  <c:v>50.363618268625203</c:v>
                </c:pt>
                <c:pt idx="10">
                  <c:v>44.751772348567201</c:v>
                </c:pt>
                <c:pt idx="11">
                  <c:v>39.140271539888403</c:v>
                </c:pt>
                <c:pt idx="12">
                  <c:v>35.493724507852804</c:v>
                </c:pt>
                <c:pt idx="13">
                  <c:v>31.847177475817201</c:v>
                </c:pt>
                <c:pt idx="14">
                  <c:v>28.825033543210797</c:v>
                </c:pt>
                <c:pt idx="15">
                  <c:v>25.802557703798399</c:v>
                </c:pt>
                <c:pt idx="16">
                  <c:v>23.6474985830328</c:v>
                </c:pt>
                <c:pt idx="17">
                  <c:v>21.4924394622672</c:v>
                </c:pt>
                <c:pt idx="18">
                  <c:v>19.863096583528801</c:v>
                </c:pt>
                <c:pt idx="19">
                  <c:v>18.233753704790402</c:v>
                </c:pt>
                <c:pt idx="20">
                  <c:v>17.076985532107201</c:v>
                </c:pt>
                <c:pt idx="21">
                  <c:v>15.920217359424001</c:v>
                </c:pt>
                <c:pt idx="22">
                  <c:v>15.4006414231824</c:v>
                </c:pt>
                <c:pt idx="23">
                  <c:v>14.8807071709884</c:v>
                </c:pt>
                <c:pt idx="24">
                  <c:v>14.645748102426001</c:v>
                </c:pt>
                <c:pt idx="25">
                  <c:v>14.411147349816002</c:v>
                </c:pt>
                <c:pt idx="26">
                  <c:v>14.3599086466164</c:v>
                </c:pt>
                <c:pt idx="27">
                  <c:v>14.308669943416801</c:v>
                </c:pt>
                <c:pt idx="28">
                  <c:v>14.491298989641599</c:v>
                </c:pt>
                <c:pt idx="29">
                  <c:v>14.673928035866401</c:v>
                </c:pt>
                <c:pt idx="30">
                  <c:v>15.838566373173602</c:v>
                </c:pt>
                <c:pt idx="31">
                  <c:v>17.003204710480798</c:v>
                </c:pt>
                <c:pt idx="32">
                  <c:v>20.207744428435198</c:v>
                </c:pt>
                <c:pt idx="33">
                  <c:v>23.412297350962799</c:v>
                </c:pt>
                <c:pt idx="34">
                  <c:v>29.9625386933124</c:v>
                </c:pt>
                <c:pt idx="35">
                  <c:v>36.5124349242828</c:v>
                </c:pt>
                <c:pt idx="36">
                  <c:v>45.995290085984408</c:v>
                </c:pt>
                <c:pt idx="37">
                  <c:v>55.478132043112801</c:v>
                </c:pt>
                <c:pt idx="38">
                  <c:v>60.760143319176009</c:v>
                </c:pt>
                <c:pt idx="39">
                  <c:v>66.042154595239197</c:v>
                </c:pt>
                <c:pt idx="40">
                  <c:v>67.246279147353604</c:v>
                </c:pt>
                <c:pt idx="41">
                  <c:v>68.450045383515615</c:v>
                </c:pt>
                <c:pt idx="42">
                  <c:v>69.192283584715199</c:v>
                </c:pt>
                <c:pt idx="43">
                  <c:v>69.934521785914811</c:v>
                </c:pt>
                <c:pt idx="44">
                  <c:v>69.453255781980005</c:v>
                </c:pt>
                <c:pt idx="45">
                  <c:v>68.971989778045213</c:v>
                </c:pt>
                <c:pt idx="46">
                  <c:v>68.763799307070002</c:v>
                </c:pt>
                <c:pt idx="47">
                  <c:v>68.555940742900788</c:v>
                </c:pt>
              </c:numCache>
            </c:numRef>
          </c:val>
          <c:smooth val="0"/>
          <c:extLst>
            <c:ext xmlns:c16="http://schemas.microsoft.com/office/drawing/2014/chart" uri="{C3380CC4-5D6E-409C-BE32-E72D297353CC}">
              <c16:uniqueId val="{00000006-81BE-48E4-9935-DA651991F2CE}"/>
            </c:ext>
          </c:extLst>
        </c:ser>
        <c:ser>
          <c:idx val="2"/>
          <c:order val="1"/>
          <c:tx>
            <c:strRef>
              <c:f>'EV End to End Example'!$AE$355</c:f>
              <c:strCache>
                <c:ptCount val="1"/>
                <c:pt idx="0">
                  <c:v>Upper range</c:v>
                </c:pt>
              </c:strCache>
            </c:strRef>
          </c:tx>
          <c:spPr>
            <a:ln w="28575" cap="rnd">
              <a:solidFill>
                <a:schemeClr val="accent5">
                  <a:lumMod val="40000"/>
                  <a:lumOff val="60000"/>
                </a:schemeClr>
              </a:solidFill>
              <a:round/>
            </a:ln>
            <a:effectLst/>
          </c:spPr>
          <c:marker>
            <c:symbol val="none"/>
          </c:marker>
          <c:cat>
            <c:numRef>
              <c:f>'EV End to End Example'!$D$356:$D$403</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Example'!$AE$356:$AE$403</c:f>
              <c:numCache>
                <c:formatCode>_-* #,##0.00_-;\-* #,##0.00_-;_-* "-"??_-;_-@_-</c:formatCode>
                <c:ptCount val="48"/>
                <c:pt idx="0">
                  <c:v>65.344321640984404</c:v>
                </c:pt>
                <c:pt idx="1">
                  <c:v>62.132715743641192</c:v>
                </c:pt>
                <c:pt idx="2">
                  <c:v>62.224911208958403</c:v>
                </c:pt>
                <c:pt idx="3">
                  <c:v>62.3171198788488</c:v>
                </c:pt>
                <c:pt idx="4">
                  <c:v>62.4460057744068</c:v>
                </c:pt>
                <c:pt idx="5">
                  <c:v>62.574891669964806</c:v>
                </c:pt>
                <c:pt idx="6">
                  <c:v>60.901070471010001</c:v>
                </c:pt>
                <c:pt idx="7">
                  <c:v>59.227594383434401</c:v>
                </c:pt>
                <c:pt idx="8">
                  <c:v>54.795599723743202</c:v>
                </c:pt>
                <c:pt idx="9">
                  <c:v>50.363618268625203</c:v>
                </c:pt>
                <c:pt idx="10">
                  <c:v>44.751772348567201</c:v>
                </c:pt>
                <c:pt idx="11">
                  <c:v>39.140271539888403</c:v>
                </c:pt>
                <c:pt idx="12">
                  <c:v>35.493724507852804</c:v>
                </c:pt>
                <c:pt idx="13">
                  <c:v>31.847177475817201</c:v>
                </c:pt>
                <c:pt idx="14">
                  <c:v>28.825033543210797</c:v>
                </c:pt>
                <c:pt idx="15">
                  <c:v>25.802557703798399</c:v>
                </c:pt>
                <c:pt idx="16">
                  <c:v>23.6474985830328</c:v>
                </c:pt>
                <c:pt idx="17">
                  <c:v>21.4924394622672</c:v>
                </c:pt>
                <c:pt idx="18">
                  <c:v>19.863096583528801</c:v>
                </c:pt>
                <c:pt idx="19">
                  <c:v>18.233753704790402</c:v>
                </c:pt>
                <c:pt idx="20">
                  <c:v>17.076985532107201</c:v>
                </c:pt>
                <c:pt idx="21">
                  <c:v>15.920217359424001</c:v>
                </c:pt>
                <c:pt idx="22">
                  <c:v>15.4006414231824</c:v>
                </c:pt>
                <c:pt idx="23">
                  <c:v>14.8807071709884</c:v>
                </c:pt>
                <c:pt idx="24">
                  <c:v>14.645748102426001</c:v>
                </c:pt>
                <c:pt idx="25">
                  <c:v>14.411147349816002</c:v>
                </c:pt>
                <c:pt idx="26">
                  <c:v>14.3599086466164</c:v>
                </c:pt>
                <c:pt idx="27">
                  <c:v>14.308669943416801</c:v>
                </c:pt>
                <c:pt idx="28">
                  <c:v>14.491298989641599</c:v>
                </c:pt>
                <c:pt idx="29">
                  <c:v>14.673928035866401</c:v>
                </c:pt>
                <c:pt idx="30">
                  <c:v>15.838566373173602</c:v>
                </c:pt>
                <c:pt idx="31">
                  <c:v>17.003204710480798</c:v>
                </c:pt>
                <c:pt idx="32">
                  <c:v>20.207744428435198</c:v>
                </c:pt>
                <c:pt idx="33">
                  <c:v>23.412297350962799</c:v>
                </c:pt>
                <c:pt idx="34">
                  <c:v>29.9625386933124</c:v>
                </c:pt>
                <c:pt idx="35">
                  <c:v>36.5124349242828</c:v>
                </c:pt>
                <c:pt idx="36">
                  <c:v>45.995290085984408</c:v>
                </c:pt>
                <c:pt idx="37">
                  <c:v>55.478132043112801</c:v>
                </c:pt>
                <c:pt idx="38">
                  <c:v>60.760143319176009</c:v>
                </c:pt>
                <c:pt idx="39">
                  <c:v>66.042154595239197</c:v>
                </c:pt>
                <c:pt idx="40">
                  <c:v>67.246279147353604</c:v>
                </c:pt>
                <c:pt idx="41">
                  <c:v>68.450045383515615</c:v>
                </c:pt>
                <c:pt idx="42">
                  <c:v>69.192283584715199</c:v>
                </c:pt>
                <c:pt idx="43">
                  <c:v>69.934521785914811</c:v>
                </c:pt>
                <c:pt idx="44">
                  <c:v>69.453255781980005</c:v>
                </c:pt>
                <c:pt idx="45">
                  <c:v>68.971989778045213</c:v>
                </c:pt>
                <c:pt idx="46">
                  <c:v>68.763799307070002</c:v>
                </c:pt>
                <c:pt idx="47">
                  <c:v>68.555940742900788</c:v>
                </c:pt>
              </c:numCache>
            </c:numRef>
          </c:val>
          <c:smooth val="0"/>
          <c:extLst>
            <c:ext xmlns:c16="http://schemas.microsoft.com/office/drawing/2014/chart" uri="{C3380CC4-5D6E-409C-BE32-E72D297353CC}">
              <c16:uniqueId val="{00000008-81BE-48E4-9935-DA651991F2CE}"/>
            </c:ext>
          </c:extLst>
        </c:ser>
        <c:ser>
          <c:idx val="0"/>
          <c:order val="2"/>
          <c:tx>
            <c:strRef>
              <c:f>'EV End to End Example'!$K$355</c:f>
              <c:strCache>
                <c:ptCount val="1"/>
                <c:pt idx="0">
                  <c:v>Default</c:v>
                </c:pt>
              </c:strCache>
            </c:strRef>
          </c:tx>
          <c:spPr>
            <a:ln w="28575" cap="rnd">
              <a:solidFill>
                <a:srgbClr val="7A3864"/>
              </a:solidFill>
              <a:round/>
            </a:ln>
            <a:effectLst/>
          </c:spPr>
          <c:marker>
            <c:symbol val="none"/>
          </c:marker>
          <c:cat>
            <c:numRef>
              <c:f>'EV End to End Example'!$D$356:$D$403</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'EV End to End Example'!$K$356:$K$403</c:f>
              <c:numCache>
                <c:formatCode>_-* #,##0.00_-;\-* #,##0.00_-;_-* "-"??_-;_-@_-</c:formatCode>
                <c:ptCount val="48"/>
                <c:pt idx="0">
                  <c:v>65.344321640984404</c:v>
                </c:pt>
                <c:pt idx="1">
                  <c:v>62.132715743641192</c:v>
                </c:pt>
                <c:pt idx="2">
                  <c:v>62.224911208958403</c:v>
                </c:pt>
                <c:pt idx="3">
                  <c:v>62.3171198788488</c:v>
                </c:pt>
                <c:pt idx="4">
                  <c:v>62.4460057744068</c:v>
                </c:pt>
                <c:pt idx="5">
                  <c:v>62.574891669964806</c:v>
                </c:pt>
                <c:pt idx="6">
                  <c:v>60.901070471010001</c:v>
                </c:pt>
                <c:pt idx="7">
                  <c:v>59.227594383434401</c:v>
                </c:pt>
                <c:pt idx="8">
                  <c:v>54.795599723743202</c:v>
                </c:pt>
                <c:pt idx="9">
                  <c:v>50.363618268625203</c:v>
                </c:pt>
                <c:pt idx="10">
                  <c:v>44.751772348567201</c:v>
                </c:pt>
                <c:pt idx="11">
                  <c:v>39.140271539888403</c:v>
                </c:pt>
                <c:pt idx="12">
                  <c:v>35.493724507852804</c:v>
                </c:pt>
                <c:pt idx="13">
                  <c:v>31.847177475817201</c:v>
                </c:pt>
                <c:pt idx="14">
                  <c:v>28.825033543210797</c:v>
                </c:pt>
                <c:pt idx="15">
                  <c:v>25.802557703798399</c:v>
                </c:pt>
                <c:pt idx="16">
                  <c:v>23.6474985830328</c:v>
                </c:pt>
                <c:pt idx="17">
                  <c:v>21.4924394622672</c:v>
                </c:pt>
                <c:pt idx="18">
                  <c:v>19.863096583528801</c:v>
                </c:pt>
                <c:pt idx="19">
                  <c:v>18.233753704790402</c:v>
                </c:pt>
                <c:pt idx="20">
                  <c:v>17.076985532107201</c:v>
                </c:pt>
                <c:pt idx="21">
                  <c:v>15.920217359424001</c:v>
                </c:pt>
                <c:pt idx="22">
                  <c:v>15.4006414231824</c:v>
                </c:pt>
                <c:pt idx="23">
                  <c:v>14.8807071709884</c:v>
                </c:pt>
                <c:pt idx="24">
                  <c:v>14.645748102426001</c:v>
                </c:pt>
                <c:pt idx="25">
                  <c:v>14.411147349816002</c:v>
                </c:pt>
                <c:pt idx="26">
                  <c:v>14.3599086466164</c:v>
                </c:pt>
                <c:pt idx="27">
                  <c:v>14.308669943416801</c:v>
                </c:pt>
                <c:pt idx="28">
                  <c:v>14.491298989641599</c:v>
                </c:pt>
                <c:pt idx="29">
                  <c:v>14.673928035866401</c:v>
                </c:pt>
                <c:pt idx="30">
                  <c:v>15.838566373173602</c:v>
                </c:pt>
                <c:pt idx="31">
                  <c:v>17.003204710480798</c:v>
                </c:pt>
                <c:pt idx="32">
                  <c:v>20.207744428435198</c:v>
                </c:pt>
                <c:pt idx="33">
                  <c:v>23.412297350962799</c:v>
                </c:pt>
                <c:pt idx="34">
                  <c:v>29.9625386933124</c:v>
                </c:pt>
                <c:pt idx="35">
                  <c:v>36.5124349242828</c:v>
                </c:pt>
                <c:pt idx="36">
                  <c:v>45.995290085984408</c:v>
                </c:pt>
                <c:pt idx="37">
                  <c:v>55.478132043112801</c:v>
                </c:pt>
                <c:pt idx="38">
                  <c:v>60.760143319176009</c:v>
                </c:pt>
                <c:pt idx="39">
                  <c:v>66.042154595239197</c:v>
                </c:pt>
                <c:pt idx="40">
                  <c:v>67.246279147353604</c:v>
                </c:pt>
                <c:pt idx="41">
                  <c:v>68.450045383515615</c:v>
                </c:pt>
                <c:pt idx="42">
                  <c:v>69.192283584715199</c:v>
                </c:pt>
                <c:pt idx="43">
                  <c:v>69.934521785914811</c:v>
                </c:pt>
                <c:pt idx="44">
                  <c:v>69.453255781980005</c:v>
                </c:pt>
                <c:pt idx="45">
                  <c:v>68.971989778045213</c:v>
                </c:pt>
                <c:pt idx="46">
                  <c:v>68.763799307070002</c:v>
                </c:pt>
                <c:pt idx="47">
                  <c:v>68.555940742900788</c:v>
                </c:pt>
              </c:numCache>
            </c:numRef>
          </c:val>
          <c:smooth val="0"/>
          <c:extLst>
            <c:ext xmlns:c16="http://schemas.microsoft.com/office/drawing/2014/chart" uri="{C3380CC4-5D6E-409C-BE32-E72D297353CC}">
              <c16:uniqueId val="{00000004-81BE-48E4-9935-DA651991F2CE}"/>
            </c:ext>
          </c:extLst>
        </c:ser>
        <c:dLbls>
          <c:showLegendKey val="0"/>
          <c:showVal val="0"/>
          <c:showCatName val="0"/>
          <c:showSerName val="0"/>
          <c:showPercent val="0"/>
          <c:showBubbleSize val="0"/>
        </c:dLbls>
        <c:smooth val="0"/>
        <c:axId val="1840053472"/>
        <c:axId val="1840050952"/>
      </c:lineChart>
      <c:catAx>
        <c:axId val="1840053472"/>
        <c:scaling>
          <c:orientation val="minMax"/>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Time of day</a:t>
                </a:r>
              </a:p>
            </c:rich>
          </c:tx>
          <c:overlay val="0"/>
          <c:spPr>
            <a:noFill/>
            <a:ln>
              <a:noFill/>
            </a:ln>
            <a:effectLst/>
          </c:spPr>
        </c:title>
        <c:numFmt formatCode="[$-F400]h:mm:ss\ AM/P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840050952"/>
        <c:crosses val="autoZero"/>
        <c:auto val="1"/>
        <c:lblAlgn val="ctr"/>
        <c:lblOffset val="100"/>
        <c:noMultiLvlLbl val="0"/>
      </c:catAx>
      <c:valAx>
        <c:axId val="1840050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Demand (kW)</a:t>
                </a:r>
              </a:p>
            </c:rich>
          </c:tx>
          <c:overlay val="0"/>
          <c:spPr>
            <a:noFill/>
            <a:ln>
              <a:noFill/>
            </a:ln>
            <a:effectLst/>
          </c:sp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840053472"/>
        <c:crosses val="autoZero"/>
        <c:crossBetween val="between"/>
      </c:valAx>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1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2"/>
          <c:order val="0"/>
          <c:tx>
            <c:v>Upper range</c:v>
          </c:tx>
          <c:spPr>
            <a:solidFill>
              <a:schemeClr val="accent5">
                <a:lumMod val="40000"/>
                <a:lumOff val="60000"/>
              </a:schemeClr>
            </a:solidFill>
            <a:ln>
              <a:noFill/>
            </a:ln>
            <a:effectLst/>
          </c:spPr>
          <c:invertIfNegative val="0"/>
          <c:dLbls>
            <c:delete val="1"/>
          </c:dLbls>
          <c:cat>
            <c:strRef>
              <c:f>'EV End to End Example'!$U$203:$U$207</c:f>
              <c:strCache>
                <c:ptCount val="5"/>
                <c:pt idx="0">
                  <c:v>Domestic</c:v>
                </c:pt>
                <c:pt idx="1">
                  <c:v>Workplace</c:v>
                </c:pt>
                <c:pt idx="2">
                  <c:v>Slow/fast public</c:v>
                </c:pt>
                <c:pt idx="3">
                  <c:v>Rapid public</c:v>
                </c:pt>
                <c:pt idx="4">
                  <c:v>HGV depot</c:v>
                </c:pt>
              </c:strCache>
            </c:strRef>
          </c:cat>
          <c:val>
            <c:numRef>
              <c:f>'EV End to End Example'!$Y$203:$Y$207</c:f>
              <c:numCache>
                <c:formatCode>0</c:formatCode>
                <c:ptCount val="5"/>
                <c:pt idx="0">
                  <c:v>127</c:v>
                </c:pt>
                <c:pt idx="1">
                  <c:v>8</c:v>
                </c:pt>
                <c:pt idx="2">
                  <c:v>4</c:v>
                </c:pt>
                <c:pt idx="3">
                  <c:v>2</c:v>
                </c:pt>
                <c:pt idx="4">
                  <c:v>9</c:v>
                </c:pt>
              </c:numCache>
            </c:numRef>
          </c:val>
          <c:extLst>
            <c:ext xmlns:c16="http://schemas.microsoft.com/office/drawing/2014/chart" uri="{C3380CC4-5D6E-409C-BE32-E72D297353CC}">
              <c16:uniqueId val="{00000002-DFFE-41B9-A3EB-83448489A502}"/>
            </c:ext>
          </c:extLst>
        </c:ser>
        <c:ser>
          <c:idx val="0"/>
          <c:order val="1"/>
          <c:tx>
            <c:v>Default</c:v>
          </c:tx>
          <c:spPr>
            <a:solidFill>
              <a:srgbClr val="7A386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'EV End to End Example'!$U$203:$U$207</c:f>
              <c:strCache>
                <c:ptCount val="5"/>
                <c:pt idx="0">
                  <c:v>Domestic</c:v>
                </c:pt>
                <c:pt idx="1">
                  <c:v>Workplace</c:v>
                </c:pt>
                <c:pt idx="2">
                  <c:v>Slow/fast public</c:v>
                </c:pt>
                <c:pt idx="3">
                  <c:v>Rapid public</c:v>
                </c:pt>
                <c:pt idx="4">
                  <c:v>HGV depot</c:v>
                </c:pt>
              </c:strCache>
            </c:strRef>
          </c:cat>
          <c:val>
            <c:numRef>
              <c:f>'EV End to End Example'!$W$203:$W$207</c:f>
              <c:numCache>
                <c:formatCode>0</c:formatCode>
                <c:ptCount val="5"/>
                <c:pt idx="0">
                  <c:v>111</c:v>
                </c:pt>
                <c:pt idx="1">
                  <c:v>6</c:v>
                </c:pt>
                <c:pt idx="2">
                  <c:v>1</c:v>
                </c:pt>
                <c:pt idx="3">
                  <c:v>2</c:v>
                </c:pt>
                <c:pt idx="4">
                  <c:v>3</c:v>
                </c:pt>
              </c:numCache>
            </c:numRef>
          </c:val>
          <c:extLst>
            <c:ext xmlns:c16="http://schemas.microsoft.com/office/drawing/2014/chart" uri="{C3380CC4-5D6E-409C-BE32-E72D297353CC}">
              <c16:uniqueId val="{00000000-DFFE-41B9-A3EB-83448489A502}"/>
            </c:ext>
          </c:extLst>
        </c:ser>
        <c:ser>
          <c:idx val="1"/>
          <c:order val="2"/>
          <c:tx>
            <c:v>Lower range</c:v>
          </c:tx>
          <c:spPr>
            <a:solidFill>
              <a:schemeClr val="accent2">
                <a:lumMod val="60000"/>
                <a:lumOff val="40000"/>
              </a:schemeClr>
            </a:solidFill>
            <a:ln>
              <a:noFill/>
            </a:ln>
            <a:effectLst/>
          </c:spPr>
          <c:invertIfNegative val="0"/>
          <c:dLbls>
            <c:delete val="1"/>
          </c:dLbls>
          <c:cat>
            <c:strRef>
              <c:f>'EV End to End Example'!$U$203:$U$207</c:f>
              <c:strCache>
                <c:ptCount val="5"/>
                <c:pt idx="0">
                  <c:v>Domestic</c:v>
                </c:pt>
                <c:pt idx="1">
                  <c:v>Workplace</c:v>
                </c:pt>
                <c:pt idx="2">
                  <c:v>Slow/fast public</c:v>
                </c:pt>
                <c:pt idx="3">
                  <c:v>Rapid public</c:v>
                </c:pt>
                <c:pt idx="4">
                  <c:v>HGV depot</c:v>
                </c:pt>
              </c:strCache>
            </c:strRef>
          </c:cat>
          <c:val>
            <c:numRef>
              <c:f>'EV End to End Example'!$X$203:$X$207</c:f>
              <c:numCache>
                <c:formatCode>0</c:formatCode>
                <c:ptCount val="5"/>
                <c:pt idx="0">
                  <c:v>97</c:v>
                </c:pt>
                <c:pt idx="1">
                  <c:v>2</c:v>
                </c:pt>
                <c:pt idx="2">
                  <c:v>1</c:v>
                </c:pt>
                <c:pt idx="3">
                  <c:v>1</c:v>
                </c:pt>
                <c:pt idx="4">
                  <c:v>1</c:v>
                </c:pt>
              </c:numCache>
            </c:numRef>
          </c:val>
          <c:extLst>
            <c:ext xmlns:c16="http://schemas.microsoft.com/office/drawing/2014/chart" uri="{C3380CC4-5D6E-409C-BE32-E72D297353CC}">
              <c16:uniqueId val="{00000001-DFFE-41B9-A3EB-83448489A502}"/>
            </c:ext>
          </c:extLst>
        </c:ser>
        <c:dLbls>
          <c:dLblPos val="outEnd"/>
          <c:showLegendKey val="0"/>
          <c:showVal val="1"/>
          <c:showCatName val="0"/>
          <c:showSerName val="0"/>
          <c:showPercent val="0"/>
          <c:showBubbleSize val="0"/>
        </c:dLbls>
        <c:gapWidth val="219"/>
        <c:axId val="1631049888"/>
        <c:axId val="1631048448"/>
      </c:barChart>
      <c:catAx>
        <c:axId val="1631049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1048448"/>
        <c:crosses val="autoZero"/>
        <c:auto val="1"/>
        <c:lblAlgn val="ctr"/>
        <c:lblOffset val="100"/>
        <c:noMultiLvlLbl val="0"/>
      </c:catAx>
      <c:valAx>
        <c:axId val="16310484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a:t>Number</a:t>
                </a:r>
                <a:r>
                  <a:rPr lang="en-GB" baseline="0"/>
                  <a:t> of charge points</a:t>
                </a:r>
              </a:p>
            </c:rich>
          </c:tx>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10498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2"/>
          <c:order val="0"/>
          <c:tx>
            <c:strRef>
              <c:f>'EV End to End Example'!$Y$190</c:f>
              <c:strCache>
                <c:ptCount val="1"/>
                <c:pt idx="0">
                  <c:v>Upper range</c:v>
                </c:pt>
              </c:strCache>
            </c:strRef>
          </c:tx>
          <c:spPr>
            <a:solidFill>
              <a:schemeClr val="accent5">
                <a:lumMod val="40000"/>
                <a:lumOff val="60000"/>
              </a:schemeClr>
            </a:solidFill>
            <a:ln>
              <a:noFill/>
            </a:ln>
            <a:effectLst/>
          </c:spPr>
          <c:invertIfNegative val="0"/>
          <c:dLbls>
            <c:delete val="1"/>
          </c:dLbls>
          <c:cat>
            <c:strRef>
              <c:f>'EV End to End Example'!$U$191:$U$195</c:f>
              <c:strCache>
                <c:ptCount val="5"/>
                <c:pt idx="0">
                  <c:v>Domestic</c:v>
                </c:pt>
                <c:pt idx="1">
                  <c:v>Workplace</c:v>
                </c:pt>
                <c:pt idx="2">
                  <c:v>Slow/fast public</c:v>
                </c:pt>
                <c:pt idx="3">
                  <c:v>Rapid public</c:v>
                </c:pt>
                <c:pt idx="4">
                  <c:v>HGV depot</c:v>
                </c:pt>
              </c:strCache>
            </c:strRef>
          </c:cat>
          <c:val>
            <c:numRef>
              <c:f>'EV End to End Example'!$Y$191:$Y$195</c:f>
              <c:numCache>
                <c:formatCode>0.0</c:formatCode>
                <c:ptCount val="5"/>
                <c:pt idx="0">
                  <c:v>888.88328770491808</c:v>
                </c:pt>
                <c:pt idx="1">
                  <c:v>51.153469425287355</c:v>
                </c:pt>
                <c:pt idx="2">
                  <c:v>24.759525085910653</c:v>
                </c:pt>
                <c:pt idx="3">
                  <c:v>81.402316425531907</c:v>
                </c:pt>
                <c:pt idx="4">
                  <c:v>406.80306382978728</c:v>
                </c:pt>
              </c:numCache>
            </c:numRef>
          </c:val>
          <c:extLst>
            <c:ext xmlns:c16="http://schemas.microsoft.com/office/drawing/2014/chart" uri="{C3380CC4-5D6E-409C-BE32-E72D297353CC}">
              <c16:uniqueId val="{0000000A-4DE7-45E8-8894-93FF36A92CD4}"/>
            </c:ext>
          </c:extLst>
        </c:ser>
        <c:ser>
          <c:idx val="0"/>
          <c:order val="1"/>
          <c:tx>
            <c:v>Default</c:v>
          </c:tx>
          <c:spPr>
            <a:solidFill>
              <a:srgbClr val="7A386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'EV End to End Example'!$U$191:$U$195</c:f>
              <c:strCache>
                <c:ptCount val="5"/>
                <c:pt idx="0">
                  <c:v>Domestic</c:v>
                </c:pt>
                <c:pt idx="1">
                  <c:v>Workplace</c:v>
                </c:pt>
                <c:pt idx="2">
                  <c:v>Slow/fast public</c:v>
                </c:pt>
                <c:pt idx="3">
                  <c:v>Rapid public</c:v>
                </c:pt>
                <c:pt idx="4">
                  <c:v>HGV depot</c:v>
                </c:pt>
              </c:strCache>
            </c:strRef>
          </c:cat>
          <c:val>
            <c:numRef>
              <c:f>'EV End to End Example'!$W$191:$W$195</c:f>
              <c:numCache>
                <c:formatCode>0.0</c:formatCode>
                <c:ptCount val="5"/>
                <c:pt idx="0">
                  <c:v>772.83596852590165</c:v>
                </c:pt>
                <c:pt idx="1">
                  <c:v>41.918246111816103</c:v>
                </c:pt>
                <c:pt idx="2">
                  <c:v>12.111785740893472</c:v>
                </c:pt>
                <c:pt idx="3">
                  <c:v>66.495620425531925</c:v>
                </c:pt>
                <c:pt idx="4">
                  <c:v>406.80306382978728</c:v>
                </c:pt>
              </c:numCache>
            </c:numRef>
          </c:val>
          <c:extLst>
            <c:ext xmlns:c16="http://schemas.microsoft.com/office/drawing/2014/chart" uri="{C3380CC4-5D6E-409C-BE32-E72D297353CC}">
              <c16:uniqueId val="{0000000C-4DE7-45E8-8894-93FF36A92CD4}"/>
            </c:ext>
          </c:extLst>
        </c:ser>
        <c:ser>
          <c:idx val="1"/>
          <c:order val="2"/>
          <c:tx>
            <c:strRef>
              <c:f>'EV End to End Example'!$X$190</c:f>
              <c:strCache>
                <c:ptCount val="1"/>
                <c:pt idx="0">
                  <c:v>Lower range</c:v>
                </c:pt>
              </c:strCache>
            </c:strRef>
          </c:tx>
          <c:spPr>
            <a:solidFill>
              <a:schemeClr val="accent2">
                <a:lumMod val="60000"/>
                <a:lumOff val="40000"/>
              </a:schemeClr>
            </a:solidFill>
            <a:ln>
              <a:noFill/>
            </a:ln>
            <a:effectLst/>
          </c:spPr>
          <c:invertIfNegative val="0"/>
          <c:dLbls>
            <c:delete val="1"/>
          </c:dLbls>
          <c:cat>
            <c:strRef>
              <c:f>'EV End to End Example'!$U$191:$U$195</c:f>
              <c:strCache>
                <c:ptCount val="5"/>
                <c:pt idx="0">
                  <c:v>Domestic</c:v>
                </c:pt>
                <c:pt idx="1">
                  <c:v>Workplace</c:v>
                </c:pt>
                <c:pt idx="2">
                  <c:v>Slow/fast public</c:v>
                </c:pt>
                <c:pt idx="3">
                  <c:v>Rapid public</c:v>
                </c:pt>
                <c:pt idx="4">
                  <c:v>HGV depot</c:v>
                </c:pt>
              </c:strCache>
            </c:strRef>
          </c:cat>
          <c:val>
            <c:numRef>
              <c:f>'EV End to End Example'!$X$191:$X$195</c:f>
              <c:numCache>
                <c:formatCode>0.0</c:formatCode>
                <c:ptCount val="5"/>
                <c:pt idx="0">
                  <c:v>672.06322475409831</c:v>
                </c:pt>
                <c:pt idx="1">
                  <c:v>32.869613195402302</c:v>
                </c:pt>
                <c:pt idx="2">
                  <c:v>2.1496524054982817</c:v>
                </c:pt>
                <c:pt idx="3">
                  <c:v>51.588924425531914</c:v>
                </c:pt>
                <c:pt idx="4">
                  <c:v>406.80306382978728</c:v>
                </c:pt>
              </c:numCache>
            </c:numRef>
          </c:val>
          <c:extLst>
            <c:ext xmlns:c16="http://schemas.microsoft.com/office/drawing/2014/chart" uri="{C3380CC4-5D6E-409C-BE32-E72D297353CC}">
              <c16:uniqueId val="{0000000E-4DE7-45E8-8894-93FF36A92CD4}"/>
            </c:ext>
          </c:extLst>
        </c:ser>
        <c:dLbls>
          <c:dLblPos val="outEnd"/>
          <c:showLegendKey val="0"/>
          <c:showVal val="1"/>
          <c:showCatName val="0"/>
          <c:showSerName val="0"/>
          <c:showPercent val="0"/>
          <c:showBubbleSize val="0"/>
        </c:dLbls>
        <c:gapWidth val="219"/>
        <c:axId val="1631049888"/>
        <c:axId val="1631048448"/>
      </c:barChart>
      <c:catAx>
        <c:axId val="1631049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1048448"/>
        <c:crosses val="autoZero"/>
        <c:auto val="1"/>
        <c:lblAlgn val="ctr"/>
        <c:lblOffset val="100"/>
        <c:noMultiLvlLbl val="0"/>
      </c:catAx>
      <c:valAx>
        <c:axId val="16310484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a:t>Installed capacity (kW)</a:t>
                </a:r>
                <a:endParaRPr lang="en-GB" baseline="0"/>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1049888"/>
        <c:crosses val="autoZero"/>
        <c:crossBetween val="between"/>
      </c:valAx>
    </c:plotArea>
    <c:legend>
      <c:legendPos val="r"/>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4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v>Lower range</c:v>
          </c:tx>
          <c:spPr>
            <a:ln w="28575" cap="rnd">
              <a:solidFill>
                <a:schemeClr val="accent2">
                  <a:lumMod val="60000"/>
                  <a:lumOff val="40000"/>
                </a:schemeClr>
              </a:solidFill>
              <a:round/>
            </a:ln>
            <a:effectLst/>
          </c:spPr>
          <c:marker>
            <c:symbol val="none"/>
          </c:marke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Example'!$L$153:$L$200</c:f>
              <c:numCache>
                <c:formatCode>0.0</c:formatCode>
                <c:ptCount val="48"/>
                <c:pt idx="0">
                  <c:v>0.59305172428514064</c:v>
                </c:pt>
                <c:pt idx="1">
                  <c:v>0.61253152544779121</c:v>
                </c:pt>
                <c:pt idx="2">
                  <c:v>0.64499786071887566</c:v>
                </c:pt>
                <c:pt idx="3">
                  <c:v>0.67962861834136545</c:v>
                </c:pt>
                <c:pt idx="4">
                  <c:v>0.70993053126104433</c:v>
                </c:pt>
                <c:pt idx="5">
                  <c:v>0.74456128888353423</c:v>
                </c:pt>
                <c:pt idx="6">
                  <c:v>0.76620551239759049</c:v>
                </c:pt>
                <c:pt idx="7">
                  <c:v>0.79217858061445789</c:v>
                </c:pt>
                <c:pt idx="8">
                  <c:v>0.82248049353413655</c:v>
                </c:pt>
                <c:pt idx="9">
                  <c:v>0.872262207616466</c:v>
                </c:pt>
                <c:pt idx="10">
                  <c:v>0.93719487815863456</c:v>
                </c:pt>
                <c:pt idx="11">
                  <c:v>1.0410871510261044</c:v>
                </c:pt>
                <c:pt idx="12">
                  <c:v>1.1449794238935744</c:v>
                </c:pt>
                <c:pt idx="13">
                  <c:v>1.2423784297068274</c:v>
                </c:pt>
                <c:pt idx="14">
                  <c:v>1.2791736096807229</c:v>
                </c:pt>
                <c:pt idx="15">
                  <c:v>1.2705159202751006</c:v>
                </c:pt>
                <c:pt idx="16">
                  <c:v>1.2272274732469881</c:v>
                </c:pt>
                <c:pt idx="17">
                  <c:v>1.1687880697590363</c:v>
                </c:pt>
                <c:pt idx="18">
                  <c:v>1.0973621321626508</c:v>
                </c:pt>
                <c:pt idx="19">
                  <c:v>1.0324294616204821</c:v>
                </c:pt>
                <c:pt idx="20">
                  <c:v>0.97182563578112469</c:v>
                </c:pt>
                <c:pt idx="21">
                  <c:v>0.93070161110441763</c:v>
                </c:pt>
                <c:pt idx="22">
                  <c:v>0.88741316407630533</c:v>
                </c:pt>
                <c:pt idx="23">
                  <c:v>0.86144009585943793</c:v>
                </c:pt>
                <c:pt idx="24">
                  <c:v>0.83979587234538167</c:v>
                </c:pt>
                <c:pt idx="25">
                  <c:v>0.82897376058835348</c:v>
                </c:pt>
                <c:pt idx="26">
                  <c:v>0.81382280412851415</c:v>
                </c:pt>
                <c:pt idx="27">
                  <c:v>0.80732953707429733</c:v>
                </c:pt>
                <c:pt idx="28">
                  <c:v>0.81165838177710847</c:v>
                </c:pt>
                <c:pt idx="29">
                  <c:v>0.84196029469678713</c:v>
                </c:pt>
                <c:pt idx="30">
                  <c:v>0.8809198970220885</c:v>
                </c:pt>
                <c:pt idx="31">
                  <c:v>0.92853718875301217</c:v>
                </c:pt>
                <c:pt idx="32">
                  <c:v>0.969661213429719</c:v>
                </c:pt>
                <c:pt idx="33">
                  <c:v>1.0086208157550203</c:v>
                </c:pt>
                <c:pt idx="34">
                  <c:v>1.0302650392690764</c:v>
                </c:pt>
                <c:pt idx="35">
                  <c:v>1.0410871510261044</c:v>
                </c:pt>
                <c:pt idx="36">
                  <c:v>1.0389227286746989</c:v>
                </c:pt>
                <c:pt idx="37">
                  <c:v>1.0410871510261044</c:v>
                </c:pt>
                <c:pt idx="38">
                  <c:v>1.0345938839718876</c:v>
                </c:pt>
                <c:pt idx="39">
                  <c:v>1.0216073498634539</c:v>
                </c:pt>
                <c:pt idx="40">
                  <c:v>0.99130543694377526</c:v>
                </c:pt>
                <c:pt idx="41">
                  <c:v>0.94152372286144581</c:v>
                </c:pt>
                <c:pt idx="42">
                  <c:v>0.87659105231927725</c:v>
                </c:pt>
                <c:pt idx="43">
                  <c:v>0.77919204650602403</c:v>
                </c:pt>
                <c:pt idx="44">
                  <c:v>0.68612188539558239</c:v>
                </c:pt>
                <c:pt idx="45">
                  <c:v>0.60820268074497996</c:v>
                </c:pt>
                <c:pt idx="46">
                  <c:v>0.57573634547389563</c:v>
                </c:pt>
                <c:pt idx="47">
                  <c:v>0.56491423371686755</c:v>
                </c:pt>
              </c:numCache>
            </c:numRef>
          </c:val>
          <c:smooth val="0"/>
          <c:extLst>
            <c:ext xmlns:c16="http://schemas.microsoft.com/office/drawing/2014/chart" uri="{C3380CC4-5D6E-409C-BE32-E72D297353CC}">
              <c16:uniqueId val="{00000004-A375-4D8E-B307-01D27FC7D0BB}"/>
            </c:ext>
          </c:extLst>
        </c:ser>
        <c:ser>
          <c:idx val="2"/>
          <c:order val="1"/>
          <c:tx>
            <c:v>Upper range</c:v>
          </c:tx>
          <c:spPr>
            <a:ln w="28575" cap="rnd">
              <a:solidFill>
                <a:schemeClr val="accent5">
                  <a:lumMod val="40000"/>
                  <a:lumOff val="60000"/>
                </a:schemeClr>
              </a:solidFill>
              <a:round/>
            </a:ln>
            <a:effectLst/>
          </c:spPr>
          <c:marker>
            <c:symbol val="none"/>
          </c:marke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Example'!$M$153:$M$200</c:f>
              <c:numCache>
                <c:formatCode>0.0</c:formatCode>
                <c:ptCount val="48"/>
                <c:pt idx="0">
                  <c:v>0.70820739890361462</c:v>
                </c:pt>
                <c:pt idx="1">
                  <c:v>0.7314696857289158</c:v>
                </c:pt>
                <c:pt idx="2">
                  <c:v>0.77024016377108451</c:v>
                </c:pt>
                <c:pt idx="3">
                  <c:v>0.81159534034939762</c:v>
                </c:pt>
                <c:pt idx="4">
                  <c:v>0.84778111985542193</c:v>
                </c:pt>
                <c:pt idx="5">
                  <c:v>0.88913629643373515</c:v>
                </c:pt>
                <c:pt idx="6">
                  <c:v>0.91498328179518085</c:v>
                </c:pt>
                <c:pt idx="7">
                  <c:v>0.94599966422891579</c:v>
                </c:pt>
                <c:pt idx="8">
                  <c:v>0.98218544373493999</c:v>
                </c:pt>
                <c:pt idx="9">
                  <c:v>1.0416335100662653</c:v>
                </c:pt>
                <c:pt idx="10">
                  <c:v>1.1191744661506025</c:v>
                </c:pt>
                <c:pt idx="11">
                  <c:v>1.2432399958855422</c:v>
                </c:pt>
                <c:pt idx="12">
                  <c:v>1.3673055256204822</c:v>
                </c:pt>
                <c:pt idx="13">
                  <c:v>1.4836169597469882</c:v>
                </c:pt>
                <c:pt idx="14">
                  <c:v>1.5275568348614461</c:v>
                </c:pt>
                <c:pt idx="15">
                  <c:v>1.5172180407168676</c:v>
                </c:pt>
                <c:pt idx="16">
                  <c:v>1.4655240699939762</c:v>
                </c:pt>
                <c:pt idx="17">
                  <c:v>1.3957372095180725</c:v>
                </c:pt>
                <c:pt idx="18">
                  <c:v>1.3104421578253016</c:v>
                </c:pt>
                <c:pt idx="19">
                  <c:v>1.232901201740964</c:v>
                </c:pt>
                <c:pt idx="20">
                  <c:v>1.160529642728916</c:v>
                </c:pt>
                <c:pt idx="21">
                  <c:v>1.1114203705421688</c:v>
                </c:pt>
                <c:pt idx="22">
                  <c:v>1.0597263998192774</c:v>
                </c:pt>
                <c:pt idx="23">
                  <c:v>1.0287100173855424</c:v>
                </c:pt>
                <c:pt idx="24">
                  <c:v>1.0028630320240965</c:v>
                </c:pt>
                <c:pt idx="25">
                  <c:v>0.98993953934337364</c:v>
                </c:pt>
                <c:pt idx="26">
                  <c:v>0.97184664959036171</c:v>
                </c:pt>
                <c:pt idx="27">
                  <c:v>0.96409255398192795</c:v>
                </c:pt>
                <c:pt idx="28">
                  <c:v>0.96926195105421697</c:v>
                </c:pt>
                <c:pt idx="29">
                  <c:v>1.0054477305602412</c:v>
                </c:pt>
                <c:pt idx="30">
                  <c:v>1.0519723042108435</c:v>
                </c:pt>
                <c:pt idx="31">
                  <c:v>1.1088356720060244</c:v>
                </c:pt>
                <c:pt idx="32">
                  <c:v>1.1579449441927712</c:v>
                </c:pt>
                <c:pt idx="33">
                  <c:v>1.2044695178433737</c:v>
                </c:pt>
                <c:pt idx="34">
                  <c:v>1.2303165032048198</c:v>
                </c:pt>
                <c:pt idx="35">
                  <c:v>1.2432399958855422</c:v>
                </c:pt>
                <c:pt idx="36">
                  <c:v>1.2406552973493978</c:v>
                </c:pt>
                <c:pt idx="37">
                  <c:v>1.2432399958855422</c:v>
                </c:pt>
                <c:pt idx="38">
                  <c:v>1.2354859002771088</c:v>
                </c:pt>
                <c:pt idx="39">
                  <c:v>1.2199777090602411</c:v>
                </c:pt>
                <c:pt idx="40">
                  <c:v>1.1837919295542172</c:v>
                </c:pt>
                <c:pt idx="41">
                  <c:v>1.1243438632228917</c:v>
                </c:pt>
                <c:pt idx="42">
                  <c:v>1.0468029071385545</c:v>
                </c:pt>
                <c:pt idx="43">
                  <c:v>0.93049147301204826</c:v>
                </c:pt>
                <c:pt idx="44">
                  <c:v>0.8193494359578315</c:v>
                </c:pt>
                <c:pt idx="45">
                  <c:v>0.72630028865662666</c:v>
                </c:pt>
                <c:pt idx="46">
                  <c:v>0.68752981061445784</c:v>
                </c:pt>
                <c:pt idx="47">
                  <c:v>0.67460631793373504</c:v>
                </c:pt>
              </c:numCache>
            </c:numRef>
          </c:val>
          <c:smooth val="0"/>
          <c:extLst>
            <c:ext xmlns:c16="http://schemas.microsoft.com/office/drawing/2014/chart" uri="{C3380CC4-5D6E-409C-BE32-E72D297353CC}">
              <c16:uniqueId val="{00000006-A375-4D8E-B307-01D27FC7D0BB}"/>
            </c:ext>
          </c:extLst>
        </c:ser>
        <c:ser>
          <c:idx val="0"/>
          <c:order val="2"/>
          <c:tx>
            <c:v>Default</c:v>
          </c:tx>
          <c:spPr>
            <a:ln w="28575" cap="rnd">
              <a:solidFill>
                <a:srgbClr val="7A3864"/>
              </a:solidFill>
              <a:round/>
            </a:ln>
            <a:effectLst/>
          </c:spPr>
          <c:marker>
            <c:symbol val="none"/>
          </c:marke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Example'!$K$153:$K$200</c:f>
              <c:numCache>
                <c:formatCode>0.0</c:formatCode>
                <c:ptCount val="48"/>
                <c:pt idx="0">
                  <c:v>0.63911399413253023</c:v>
                </c:pt>
                <c:pt idx="1">
                  <c:v>0.66010678956024094</c:v>
                </c:pt>
                <c:pt idx="2">
                  <c:v>0.69509478193975904</c:v>
                </c:pt>
                <c:pt idx="3">
                  <c:v>0.73241530714457825</c:v>
                </c:pt>
                <c:pt idx="4">
                  <c:v>0.76507076669879526</c:v>
                </c:pt>
                <c:pt idx="5">
                  <c:v>0.80239129190361447</c:v>
                </c:pt>
                <c:pt idx="6">
                  <c:v>0.82571662015662661</c:v>
                </c:pt>
                <c:pt idx="7">
                  <c:v>0.85370701406024097</c:v>
                </c:pt>
                <c:pt idx="8">
                  <c:v>0.88636247361445786</c:v>
                </c:pt>
                <c:pt idx="9">
                  <c:v>0.94001072859638557</c:v>
                </c:pt>
                <c:pt idx="10">
                  <c:v>1.0099867133554217</c:v>
                </c:pt>
                <c:pt idx="11">
                  <c:v>1.1219482889698793</c:v>
                </c:pt>
                <c:pt idx="12">
                  <c:v>1.2339098645843374</c:v>
                </c:pt>
                <c:pt idx="13">
                  <c:v>1.3388738417228916</c:v>
                </c:pt>
                <c:pt idx="14">
                  <c:v>1.378526899753012</c:v>
                </c:pt>
                <c:pt idx="15">
                  <c:v>1.3691967684518072</c:v>
                </c:pt>
                <c:pt idx="16">
                  <c:v>1.3225461119457831</c:v>
                </c:pt>
                <c:pt idx="17">
                  <c:v>1.2595677256626505</c:v>
                </c:pt>
                <c:pt idx="18">
                  <c:v>1.1825941424277109</c:v>
                </c:pt>
                <c:pt idx="19">
                  <c:v>1.1126181576686747</c:v>
                </c:pt>
                <c:pt idx="20">
                  <c:v>1.0473072385602409</c:v>
                </c:pt>
                <c:pt idx="21">
                  <c:v>1.002989114879518</c:v>
                </c:pt>
                <c:pt idx="22">
                  <c:v>0.95633845837349407</c:v>
                </c:pt>
                <c:pt idx="23">
                  <c:v>0.92834806446987961</c:v>
                </c:pt>
                <c:pt idx="24">
                  <c:v>0.90502273621686746</c:v>
                </c:pt>
                <c:pt idx="25">
                  <c:v>0.8933600720903615</c:v>
                </c:pt>
                <c:pt idx="26">
                  <c:v>0.877032342313253</c:v>
                </c:pt>
                <c:pt idx="27">
                  <c:v>0.87003474383734947</c:v>
                </c:pt>
                <c:pt idx="28">
                  <c:v>0.8746998094879519</c:v>
                </c:pt>
                <c:pt idx="29">
                  <c:v>0.90735526904216868</c:v>
                </c:pt>
                <c:pt idx="30">
                  <c:v>0.94934085989759043</c:v>
                </c:pt>
                <c:pt idx="31">
                  <c:v>1.0006565820542168</c:v>
                </c:pt>
                <c:pt idx="32">
                  <c:v>1.0449747057349399</c:v>
                </c:pt>
                <c:pt idx="33">
                  <c:v>1.0869602965903615</c:v>
                </c:pt>
                <c:pt idx="34">
                  <c:v>1.1102856248433735</c:v>
                </c:pt>
                <c:pt idx="35">
                  <c:v>1.1219482889698793</c:v>
                </c:pt>
                <c:pt idx="36">
                  <c:v>1.1196157561445783</c:v>
                </c:pt>
                <c:pt idx="37">
                  <c:v>1.1219482889698793</c:v>
                </c:pt>
                <c:pt idx="38">
                  <c:v>1.1149506904939759</c:v>
                </c:pt>
                <c:pt idx="39">
                  <c:v>1.1009554935421688</c:v>
                </c:pt>
                <c:pt idx="40">
                  <c:v>1.0683000339879518</c:v>
                </c:pt>
                <c:pt idx="41">
                  <c:v>1.0146517790060241</c:v>
                </c:pt>
                <c:pt idx="42">
                  <c:v>0.944675794246988</c:v>
                </c:pt>
                <c:pt idx="43">
                  <c:v>0.83971181710843368</c:v>
                </c:pt>
                <c:pt idx="44">
                  <c:v>0.7394129056204819</c:v>
                </c:pt>
                <c:pt idx="45">
                  <c:v>0.65544172390963851</c:v>
                </c:pt>
                <c:pt idx="46">
                  <c:v>0.62045373153012051</c:v>
                </c:pt>
                <c:pt idx="47">
                  <c:v>0.60879106740361455</c:v>
                </c:pt>
              </c:numCache>
            </c:numRef>
          </c:val>
          <c:smooth val="0"/>
          <c:extLst>
            <c:ext xmlns:c16="http://schemas.microsoft.com/office/drawing/2014/chart" uri="{C3380CC4-5D6E-409C-BE32-E72D297353CC}">
              <c16:uniqueId val="{00000008-A375-4D8E-B307-01D27FC7D0BB}"/>
            </c:ext>
          </c:extLst>
        </c:ser>
        <c:dLbls>
          <c:showLegendKey val="0"/>
          <c:showVal val="0"/>
          <c:showCatName val="0"/>
          <c:showSerName val="0"/>
          <c:showPercent val="0"/>
          <c:showBubbleSize val="0"/>
        </c:dLbls>
        <c:smooth val="0"/>
        <c:axId val="1840053472"/>
        <c:axId val="1840050952"/>
      </c:lineChart>
      <c:catAx>
        <c:axId val="1840053472"/>
        <c:scaling>
          <c:orientation val="minMax"/>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Time of day</a:t>
                </a:r>
              </a:p>
            </c:rich>
          </c:tx>
          <c:overlay val="0"/>
          <c:spPr>
            <a:noFill/>
            <a:ln>
              <a:noFill/>
            </a:ln>
            <a:effectLst/>
          </c:spPr>
        </c:title>
        <c:numFmt formatCode="[$-F400]h:mm:ss\ AM/P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840050952"/>
        <c:crosses val="autoZero"/>
        <c:auto val="1"/>
        <c:lblAlgn val="ctr"/>
        <c:lblOffset val="100"/>
        <c:noMultiLvlLbl val="0"/>
      </c:catAx>
      <c:valAx>
        <c:axId val="1840050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Demand (kW)</a:t>
                </a:r>
              </a:p>
            </c:rich>
          </c:tx>
          <c:overlay val="0"/>
          <c:spPr>
            <a:noFill/>
            <a:ln>
              <a:noFill/>
            </a:ln>
            <a:effectLst/>
          </c:sp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840053472"/>
        <c:crosses val="autoZero"/>
        <c:crossBetween val="between"/>
      </c:valAx>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1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v>Bimodal</c:v>
          </c:tx>
          <c:spPr>
            <a:solidFill>
              <a:schemeClr val="accent1"/>
            </a:solidFill>
            <a:ln>
              <a:noFill/>
            </a:ln>
            <a:effectLst/>
          </c:spP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Example'!$Q$153:$Q$200</c:f>
              <c:numCache>
                <c:formatCode>0.0</c:formatCode>
                <c:ptCount val="48"/>
                <c:pt idx="0">
                  <c:v>372.34221490283136</c:v>
                </c:pt>
                <c:pt idx="1">
                  <c:v>388.99649927548194</c:v>
                </c:pt>
                <c:pt idx="2">
                  <c:v>413.97792583445784</c:v>
                </c:pt>
                <c:pt idx="3">
                  <c:v>436.58016891162657</c:v>
                </c:pt>
                <c:pt idx="4">
                  <c:v>450.85526980246993</c:v>
                </c:pt>
                <c:pt idx="5">
                  <c:v>465.1303706933133</c:v>
                </c:pt>
                <c:pt idx="6">
                  <c:v>474.64710462054217</c:v>
                </c:pt>
                <c:pt idx="7">
                  <c:v>488.92220551138553</c:v>
                </c:pt>
                <c:pt idx="8">
                  <c:v>506.76608162493977</c:v>
                </c:pt>
                <c:pt idx="9">
                  <c:v>531.74750818391567</c:v>
                </c:pt>
                <c:pt idx="10">
                  <c:v>561.48730170650606</c:v>
                </c:pt>
                <c:pt idx="11">
                  <c:v>606.69178786084331</c:v>
                </c:pt>
                <c:pt idx="12">
                  <c:v>648.3274987924699</c:v>
                </c:pt>
                <c:pt idx="13">
                  <c:v>680.4464757968675</c:v>
                </c:pt>
                <c:pt idx="14">
                  <c:v>673.30892535144574</c:v>
                </c:pt>
                <c:pt idx="15">
                  <c:v>632.86280616072293</c:v>
                </c:pt>
                <c:pt idx="16">
                  <c:v>567.43526041102405</c:v>
                </c:pt>
                <c:pt idx="17">
                  <c:v>496.05975595680724</c:v>
                </c:pt>
                <c:pt idx="18">
                  <c:v>430.63221020710847</c:v>
                </c:pt>
                <c:pt idx="19">
                  <c:v>381.85894883006023</c:v>
                </c:pt>
                <c:pt idx="20">
                  <c:v>348.55038008475901</c:v>
                </c:pt>
                <c:pt idx="21">
                  <c:v>333.08568745301204</c:v>
                </c:pt>
                <c:pt idx="22">
                  <c:v>324.75854526668678</c:v>
                </c:pt>
                <c:pt idx="23">
                  <c:v>333.08568745301204</c:v>
                </c:pt>
                <c:pt idx="24">
                  <c:v>340.22323789843375</c:v>
                </c:pt>
                <c:pt idx="25">
                  <c:v>346.17119660295185</c:v>
                </c:pt>
                <c:pt idx="26">
                  <c:v>348.55038008475901</c:v>
                </c:pt>
                <c:pt idx="27">
                  <c:v>358.06711401198794</c:v>
                </c:pt>
                <c:pt idx="28">
                  <c:v>375.91099012554218</c:v>
                </c:pt>
                <c:pt idx="29">
                  <c:v>411.59874235265062</c:v>
                </c:pt>
                <c:pt idx="30">
                  <c:v>454.4240450251807</c:v>
                </c:pt>
                <c:pt idx="31">
                  <c:v>507.95567336584338</c:v>
                </c:pt>
                <c:pt idx="32">
                  <c:v>561.48730170650606</c:v>
                </c:pt>
                <c:pt idx="33">
                  <c:v>612.63974656536141</c:v>
                </c:pt>
                <c:pt idx="34">
                  <c:v>650.70668227427711</c:v>
                </c:pt>
                <c:pt idx="35">
                  <c:v>674.4985170923494</c:v>
                </c:pt>
                <c:pt idx="36">
                  <c:v>686.3944345013856</c:v>
                </c:pt>
                <c:pt idx="37">
                  <c:v>692.3423932059037</c:v>
                </c:pt>
                <c:pt idx="38">
                  <c:v>685.20484276048194</c:v>
                </c:pt>
                <c:pt idx="39">
                  <c:v>667.36096664692764</c:v>
                </c:pt>
                <c:pt idx="40">
                  <c:v>642.3795400879518</c:v>
                </c:pt>
                <c:pt idx="41">
                  <c:v>601.93342089722887</c:v>
                </c:pt>
                <c:pt idx="42">
                  <c:v>556.72893474289162</c:v>
                </c:pt>
                <c:pt idx="43">
                  <c:v>492.49098073409641</c:v>
                </c:pt>
                <c:pt idx="44">
                  <c:v>442.52812761614456</c:v>
                </c:pt>
                <c:pt idx="45">
                  <c:v>396.13404972090365</c:v>
                </c:pt>
                <c:pt idx="46">
                  <c:v>374.72139838463858</c:v>
                </c:pt>
                <c:pt idx="47">
                  <c:v>365.20466445740965</c:v>
                </c:pt>
              </c:numCache>
            </c:numRef>
          </c:val>
          <c:extLst>
            <c:ext xmlns:c16="http://schemas.microsoft.com/office/drawing/2014/chart" uri="{C3380CC4-5D6E-409C-BE32-E72D297353CC}">
              <c16:uniqueId val="{00000005-83B5-46E6-86BD-A43820165521}"/>
            </c:ext>
          </c:extLst>
        </c:ser>
        <c:ser>
          <c:idx val="1"/>
          <c:order val="1"/>
          <c:tx>
            <c:v>Daytime</c:v>
          </c:tx>
          <c:spPr>
            <a:solidFill>
              <a:schemeClr val="accent2"/>
            </a:solidFill>
            <a:ln>
              <a:noFill/>
            </a:ln>
            <a:effectLst/>
          </c:spP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Example'!$R$153:$R$200</c:f>
              <c:numCache>
                <c:formatCode>0.0</c:formatCode>
                <c:ptCount val="48"/>
                <c:pt idx="0">
                  <c:v>218.88488032626506</c:v>
                </c:pt>
                <c:pt idx="1">
                  <c:v>229.5912059943976</c:v>
                </c:pt>
                <c:pt idx="2">
                  <c:v>245.0558986261446</c:v>
                </c:pt>
                <c:pt idx="3">
                  <c:v>268.84773344421683</c:v>
                </c:pt>
                <c:pt idx="4">
                  <c:v>287.88120129867468</c:v>
                </c:pt>
                <c:pt idx="5">
                  <c:v>314.05221959855425</c:v>
                </c:pt>
                <c:pt idx="6">
                  <c:v>329.51691223030122</c:v>
                </c:pt>
                <c:pt idx="7">
                  <c:v>347.3607883438554</c:v>
                </c:pt>
                <c:pt idx="8">
                  <c:v>367.58384793921687</c:v>
                </c:pt>
                <c:pt idx="9">
                  <c:v>406.84037538903618</c:v>
                </c:pt>
                <c:pt idx="10">
                  <c:v>457.99282024789159</c:v>
                </c:pt>
                <c:pt idx="11">
                  <c:v>540.07465037024099</c:v>
                </c:pt>
                <c:pt idx="12">
                  <c:v>626.91484745620482</c:v>
                </c:pt>
                <c:pt idx="13">
                  <c:v>714.94463628307233</c:v>
                </c:pt>
                <c:pt idx="14">
                  <c:v>768.47626462373501</c:v>
                </c:pt>
                <c:pt idx="15">
                  <c:v>797.02646640542173</c:v>
                </c:pt>
                <c:pt idx="16">
                  <c:v>801.78483336903616</c:v>
                </c:pt>
                <c:pt idx="17">
                  <c:v>797.02646640542173</c:v>
                </c:pt>
                <c:pt idx="18">
                  <c:v>775.61381506915654</c:v>
                </c:pt>
                <c:pt idx="19">
                  <c:v>744.68442980566272</c:v>
                </c:pt>
                <c:pt idx="20">
                  <c:v>708.99667757855423</c:v>
                </c:pt>
                <c:pt idx="21">
                  <c:v>674.4985170923494</c:v>
                </c:pt>
                <c:pt idx="22">
                  <c:v>638.81076486524091</c:v>
                </c:pt>
                <c:pt idx="23">
                  <c:v>606.69178786084331</c:v>
                </c:pt>
                <c:pt idx="24">
                  <c:v>578.14158607915658</c:v>
                </c:pt>
                <c:pt idx="25">
                  <c:v>561.48730170650606</c:v>
                </c:pt>
                <c:pt idx="26">
                  <c:v>544.83301733385542</c:v>
                </c:pt>
                <c:pt idx="27">
                  <c:v>531.74750818391567</c:v>
                </c:pt>
                <c:pt idx="28">
                  <c:v>521.04118251578313</c:v>
                </c:pt>
                <c:pt idx="29">
                  <c:v>522.2307742566868</c:v>
                </c:pt>
                <c:pt idx="30">
                  <c:v>529.36832470210845</c:v>
                </c:pt>
                <c:pt idx="31">
                  <c:v>535.31628340662655</c:v>
                </c:pt>
                <c:pt idx="32">
                  <c:v>536.50587514753011</c:v>
                </c:pt>
                <c:pt idx="33">
                  <c:v>535.31628340662655</c:v>
                </c:pt>
                <c:pt idx="34">
                  <c:v>530.55791644301212</c:v>
                </c:pt>
                <c:pt idx="35">
                  <c:v>521.04118251578313</c:v>
                </c:pt>
                <c:pt idx="36">
                  <c:v>507.95567336584338</c:v>
                </c:pt>
                <c:pt idx="37">
                  <c:v>502.00771466132534</c:v>
                </c:pt>
                <c:pt idx="38">
                  <c:v>500.81812292042167</c:v>
                </c:pt>
                <c:pt idx="39">
                  <c:v>497.24934769771079</c:v>
                </c:pt>
                <c:pt idx="40">
                  <c:v>481.78465506596388</c:v>
                </c:pt>
                <c:pt idx="41">
                  <c:v>456.80322850698792</c:v>
                </c:pt>
                <c:pt idx="42">
                  <c:v>418.73629279807233</c:v>
                </c:pt>
                <c:pt idx="43">
                  <c:v>356.87752227108433</c:v>
                </c:pt>
                <c:pt idx="44">
                  <c:v>290.26038478048196</c:v>
                </c:pt>
                <c:pt idx="45">
                  <c:v>235.5391646989157</c:v>
                </c:pt>
                <c:pt idx="46">
                  <c:v>215.31610510355424</c:v>
                </c:pt>
                <c:pt idx="47">
                  <c:v>209.36814639903616</c:v>
                </c:pt>
              </c:numCache>
            </c:numRef>
          </c:val>
          <c:extLst>
            <c:ext xmlns:c16="http://schemas.microsoft.com/office/drawing/2014/chart" uri="{C3380CC4-5D6E-409C-BE32-E72D297353CC}">
              <c16:uniqueId val="{00000007-83B5-46E6-86BD-A43820165521}"/>
            </c:ext>
          </c:extLst>
        </c:ser>
        <c:ser>
          <c:idx val="2"/>
          <c:order val="2"/>
          <c:tx>
            <c:v>Continuous</c:v>
          </c:tx>
          <c:spPr>
            <a:solidFill>
              <a:schemeClr val="accent3"/>
            </a:solidFill>
            <a:ln>
              <a:noFill/>
            </a:ln>
            <a:effectLst/>
          </c:spP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Example'!$S$153:$S$200</c:f>
              <c:numCache>
                <c:formatCode>0.0</c:formatCode>
                <c:ptCount val="48"/>
                <c:pt idx="0">
                  <c:v>551.97056777927708</c:v>
                </c:pt>
                <c:pt idx="1">
                  <c:v>546.02260907475909</c:v>
                </c:pt>
                <c:pt idx="2">
                  <c:v>547.21220081566264</c:v>
                </c:pt>
                <c:pt idx="3">
                  <c:v>546.02260907475909</c:v>
                </c:pt>
                <c:pt idx="4">
                  <c:v>554.34975126108441</c:v>
                </c:pt>
                <c:pt idx="5">
                  <c:v>563.86648518831328</c:v>
                </c:pt>
                <c:pt idx="6">
                  <c:v>569.81444389283126</c:v>
                </c:pt>
                <c:pt idx="7">
                  <c:v>573.38321911554215</c:v>
                </c:pt>
                <c:pt idx="8">
                  <c:v>572.19362737463848</c:v>
                </c:pt>
                <c:pt idx="9">
                  <c:v>568.62485215192771</c:v>
                </c:pt>
                <c:pt idx="10">
                  <c:v>571.00403563373493</c:v>
                </c:pt>
                <c:pt idx="11">
                  <c:v>578.14158607915658</c:v>
                </c:pt>
                <c:pt idx="12">
                  <c:v>584.08954478367468</c:v>
                </c:pt>
                <c:pt idx="13">
                  <c:v>576.95199433825303</c:v>
                </c:pt>
                <c:pt idx="14">
                  <c:v>568.62485215192771</c:v>
                </c:pt>
                <c:pt idx="15">
                  <c:v>560.29770996560251</c:v>
                </c:pt>
                <c:pt idx="16">
                  <c:v>562.67689344740973</c:v>
                </c:pt>
                <c:pt idx="17">
                  <c:v>554.34975126108441</c:v>
                </c:pt>
                <c:pt idx="18">
                  <c:v>534.12669166572289</c:v>
                </c:pt>
                <c:pt idx="19">
                  <c:v>516.2828155521687</c:v>
                </c:pt>
                <c:pt idx="20">
                  <c:v>499.62853117951812</c:v>
                </c:pt>
                <c:pt idx="21">
                  <c:v>487.73261377048198</c:v>
                </c:pt>
                <c:pt idx="22">
                  <c:v>462.75118721150602</c:v>
                </c:pt>
                <c:pt idx="23">
                  <c:v>444.90731109795183</c:v>
                </c:pt>
                <c:pt idx="24">
                  <c:v>427.06343498439759</c:v>
                </c:pt>
                <c:pt idx="25">
                  <c:v>418.73629279807233</c:v>
                </c:pt>
                <c:pt idx="26">
                  <c:v>406.84037538903618</c:v>
                </c:pt>
                <c:pt idx="27">
                  <c:v>403.2716001663253</c:v>
                </c:pt>
                <c:pt idx="28">
                  <c:v>402.08200842542163</c:v>
                </c:pt>
                <c:pt idx="29">
                  <c:v>410.40915061174701</c:v>
                </c:pt>
                <c:pt idx="30">
                  <c:v>418.73629279807233</c:v>
                </c:pt>
                <c:pt idx="31">
                  <c:v>429.44261846620481</c:v>
                </c:pt>
                <c:pt idx="32">
                  <c:v>434.20098542981924</c:v>
                </c:pt>
                <c:pt idx="33">
                  <c:v>437.76976065253012</c:v>
                </c:pt>
                <c:pt idx="34">
                  <c:v>437.76976065253012</c:v>
                </c:pt>
                <c:pt idx="35">
                  <c:v>440.14894413433734</c:v>
                </c:pt>
                <c:pt idx="36">
                  <c:v>442.52812761614456</c:v>
                </c:pt>
                <c:pt idx="37">
                  <c:v>449.66567806156627</c:v>
                </c:pt>
                <c:pt idx="38">
                  <c:v>454.4240450251807</c:v>
                </c:pt>
                <c:pt idx="39">
                  <c:v>462.75118721150602</c:v>
                </c:pt>
                <c:pt idx="40">
                  <c:v>466.31996243421685</c:v>
                </c:pt>
                <c:pt idx="41">
                  <c:v>471.0783293978314</c:v>
                </c:pt>
                <c:pt idx="42">
                  <c:v>472.26792113873495</c:v>
                </c:pt>
                <c:pt idx="43">
                  <c:v>475.83669636144577</c:v>
                </c:pt>
                <c:pt idx="44">
                  <c:v>477.02628810234938</c:v>
                </c:pt>
                <c:pt idx="45">
                  <c:v>479.40547158415666</c:v>
                </c:pt>
                <c:pt idx="46">
                  <c:v>487.73261377048198</c:v>
                </c:pt>
                <c:pt idx="47">
                  <c:v>491.3013889931928</c:v>
                </c:pt>
              </c:numCache>
            </c:numRef>
          </c:val>
          <c:extLst>
            <c:ext xmlns:c16="http://schemas.microsoft.com/office/drawing/2014/chart" uri="{C3380CC4-5D6E-409C-BE32-E72D297353CC}">
              <c16:uniqueId val="{00000009-83B5-46E6-86BD-A43820165521}"/>
            </c:ext>
          </c:extLst>
        </c:ser>
        <c:ser>
          <c:idx val="3"/>
          <c:order val="3"/>
          <c:tx>
            <c:v>Hot water</c:v>
          </c:tx>
          <c:spPr>
            <a:solidFill>
              <a:schemeClr val="accent4"/>
            </a:solidFill>
            <a:ln>
              <a:noFill/>
            </a:ln>
            <a:effectLst/>
          </c:spP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Example'!$T$153:$T$200</c:f>
              <c:numCache>
                <c:formatCode>0.0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B-83B5-46E6-86BD-A43820165521}"/>
            </c:ext>
          </c:extLst>
        </c:ser>
        <c:dLbls>
          <c:showLegendKey val="0"/>
          <c:showVal val="0"/>
          <c:showCatName val="0"/>
          <c:showSerName val="0"/>
          <c:showPercent val="0"/>
          <c:showBubbleSize val="0"/>
        </c:dLbls>
        <c:axId val="1738695800"/>
        <c:axId val="1738694360"/>
      </c:areaChart>
      <c:catAx>
        <c:axId val="1738695800"/>
        <c:scaling>
          <c:orientation val="minMax"/>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Time of day</a:t>
                </a:r>
              </a:p>
            </c:rich>
          </c:tx>
          <c:overlay val="0"/>
          <c:spPr>
            <a:noFill/>
            <a:ln>
              <a:noFill/>
            </a:ln>
            <a:effectLst/>
          </c:spPr>
        </c:title>
        <c:numFmt formatCode="[$-F400]h:mm:ss\ AM/P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738694360"/>
        <c:crosses val="autoZero"/>
        <c:auto val="1"/>
        <c:lblAlgn val="ctr"/>
        <c:lblOffset val="100"/>
        <c:noMultiLvlLbl val="0"/>
      </c:catAx>
      <c:valAx>
        <c:axId val="1738694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Demand (kW)</a:t>
                </a:r>
              </a:p>
            </c:rich>
          </c:tx>
          <c:overlay val="0"/>
          <c:spPr>
            <a:noFill/>
            <a:ln>
              <a:noFill/>
            </a:ln>
            <a:effectLst/>
          </c:sp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738695800"/>
        <c:crosses val="autoZero"/>
        <c:crossBetween val="midCat"/>
      </c:valAx>
    </c:plotArea>
    <c:plotVisOnly val="1"/>
    <c:dispBlanksAs val="zero"/>
    <c:showDLblsOverMax val="0"/>
    <c:extLst/>
  </c:chart>
  <c:spPr>
    <a:solidFill>
      <a:schemeClr val="bg1"/>
    </a:solidFill>
    <a:ln w="9525" cap="flat" cmpd="sng" algn="ctr">
      <a:noFill/>
      <a:round/>
    </a:ln>
    <a:effectLst/>
  </c:spPr>
  <c:txPr>
    <a:bodyPr/>
    <a:lstStyle/>
    <a:p>
      <a:pPr>
        <a:defRPr>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v>Lower range</c:v>
          </c:tx>
          <c:spPr>
            <a:ln w="28575" cap="rnd">
              <a:solidFill>
                <a:schemeClr val="accent2">
                  <a:lumMod val="60000"/>
                  <a:lumOff val="40000"/>
                </a:schemeClr>
              </a:solidFill>
              <a:round/>
            </a:ln>
            <a:effectLst/>
          </c:spPr>
          <c:marker>
            <c:symbol val="none"/>
          </c:marke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Example'!$F$153:$F$200</c:f>
              <c:numCache>
                <c:formatCode>0.0</c:formatCode>
                <c:ptCount val="48"/>
                <c:pt idx="0">
                  <c:v>302.45637938542171</c:v>
                </c:pt>
                <c:pt idx="1">
                  <c:v>312.39107797837352</c:v>
                </c:pt>
                <c:pt idx="2">
                  <c:v>328.94890896662656</c:v>
                </c:pt>
                <c:pt idx="3">
                  <c:v>346.6105953540964</c:v>
                </c:pt>
                <c:pt idx="4">
                  <c:v>362.06457094313259</c:v>
                </c:pt>
                <c:pt idx="5">
                  <c:v>379.72625733060244</c:v>
                </c:pt>
                <c:pt idx="6">
                  <c:v>390.76481132277115</c:v>
                </c:pt>
                <c:pt idx="7">
                  <c:v>404.01107611337352</c:v>
                </c:pt>
                <c:pt idx="8">
                  <c:v>419.46505170240965</c:v>
                </c:pt>
                <c:pt idx="9">
                  <c:v>444.85372588439765</c:v>
                </c:pt>
                <c:pt idx="10">
                  <c:v>477.96938786090362</c:v>
                </c:pt>
                <c:pt idx="11">
                  <c:v>530.95444702331326</c:v>
                </c:pt>
                <c:pt idx="12">
                  <c:v>583.93950618572296</c:v>
                </c:pt>
                <c:pt idx="13">
                  <c:v>633.61299915048198</c:v>
                </c:pt>
                <c:pt idx="14">
                  <c:v>652.37854093716874</c:v>
                </c:pt>
                <c:pt idx="15">
                  <c:v>647.96311934030132</c:v>
                </c:pt>
                <c:pt idx="16">
                  <c:v>625.88601135596389</c:v>
                </c:pt>
                <c:pt idx="17">
                  <c:v>596.08191557710848</c:v>
                </c:pt>
                <c:pt idx="18">
                  <c:v>559.65468740295194</c:v>
                </c:pt>
                <c:pt idx="19">
                  <c:v>526.53902542644585</c:v>
                </c:pt>
                <c:pt idx="20">
                  <c:v>495.63107424837358</c:v>
                </c:pt>
                <c:pt idx="21">
                  <c:v>474.657821663253</c:v>
                </c:pt>
                <c:pt idx="22">
                  <c:v>452.58071367891574</c:v>
                </c:pt>
                <c:pt idx="23">
                  <c:v>439.33444888831332</c:v>
                </c:pt>
                <c:pt idx="24">
                  <c:v>428.29589489614466</c:v>
                </c:pt>
                <c:pt idx="25">
                  <c:v>422.77661790006027</c:v>
                </c:pt>
                <c:pt idx="26">
                  <c:v>415.04963010554224</c:v>
                </c:pt>
                <c:pt idx="27">
                  <c:v>411.73806390789161</c:v>
                </c:pt>
                <c:pt idx="28">
                  <c:v>413.94577470632532</c:v>
                </c:pt>
                <c:pt idx="29">
                  <c:v>429.39975029536146</c:v>
                </c:pt>
                <c:pt idx="30">
                  <c:v>449.26914748126512</c:v>
                </c:pt>
                <c:pt idx="31">
                  <c:v>473.55396626403621</c:v>
                </c:pt>
                <c:pt idx="32">
                  <c:v>494.52721884915667</c:v>
                </c:pt>
                <c:pt idx="33">
                  <c:v>514.39661603506033</c:v>
                </c:pt>
                <c:pt idx="34">
                  <c:v>525.43517002722899</c:v>
                </c:pt>
                <c:pt idx="35">
                  <c:v>530.95444702331326</c:v>
                </c:pt>
                <c:pt idx="36">
                  <c:v>529.85059162409641</c:v>
                </c:pt>
                <c:pt idx="37">
                  <c:v>530.95444702331326</c:v>
                </c:pt>
                <c:pt idx="38">
                  <c:v>527.6428808256627</c:v>
                </c:pt>
                <c:pt idx="39">
                  <c:v>521.01974843036146</c:v>
                </c:pt>
                <c:pt idx="40">
                  <c:v>505.56577284132538</c:v>
                </c:pt>
                <c:pt idx="41">
                  <c:v>480.17709865933739</c:v>
                </c:pt>
                <c:pt idx="42">
                  <c:v>447.06143668283141</c:v>
                </c:pt>
                <c:pt idx="43">
                  <c:v>397.38794371807228</c:v>
                </c:pt>
                <c:pt idx="44">
                  <c:v>349.92216155174702</c:v>
                </c:pt>
                <c:pt idx="45">
                  <c:v>310.18336717993981</c:v>
                </c:pt>
                <c:pt idx="46">
                  <c:v>293.62553619168676</c:v>
                </c:pt>
                <c:pt idx="47">
                  <c:v>288.10625919560243</c:v>
                </c:pt>
              </c:numCache>
            </c:numRef>
          </c:val>
          <c:smooth val="0"/>
          <c:extLst>
            <c:ext xmlns:c16="http://schemas.microsoft.com/office/drawing/2014/chart" uri="{C3380CC4-5D6E-409C-BE32-E72D297353CC}">
              <c16:uniqueId val="{00000004-2F8B-44F6-AF91-9F0E2CFC6A5B}"/>
            </c:ext>
          </c:extLst>
        </c:ser>
        <c:ser>
          <c:idx val="2"/>
          <c:order val="1"/>
          <c:tx>
            <c:v>Upper range</c:v>
          </c:tx>
          <c:spPr>
            <a:ln w="28575" cap="rnd">
              <a:solidFill>
                <a:schemeClr val="accent5">
                  <a:lumMod val="40000"/>
                  <a:lumOff val="60000"/>
                </a:schemeClr>
              </a:solidFill>
              <a:round/>
            </a:ln>
            <a:effectLst/>
          </c:spPr>
          <c:marker>
            <c:symbol val="none"/>
          </c:marke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Example'!$G$153:$G$200</c:f>
              <c:numCache>
                <c:formatCode>0.0</c:formatCode>
                <c:ptCount val="48"/>
                <c:pt idx="0">
                  <c:v>361.18577344084343</c:v>
                </c:pt>
                <c:pt idx="1">
                  <c:v>373.04953972174707</c:v>
                </c:pt>
                <c:pt idx="2">
                  <c:v>392.82248352325308</c:v>
                </c:pt>
                <c:pt idx="3">
                  <c:v>413.91362357819281</c:v>
                </c:pt>
                <c:pt idx="4">
                  <c:v>432.36837112626517</c:v>
                </c:pt>
                <c:pt idx="5">
                  <c:v>453.4595111812049</c:v>
                </c:pt>
                <c:pt idx="6">
                  <c:v>466.64147371554225</c:v>
                </c:pt>
                <c:pt idx="7">
                  <c:v>482.45982875674707</c:v>
                </c:pt>
                <c:pt idx="8">
                  <c:v>500.91457630481938</c:v>
                </c:pt>
                <c:pt idx="9">
                  <c:v>531.23309013379526</c:v>
                </c:pt>
                <c:pt idx="10">
                  <c:v>570.77897773680729</c:v>
                </c:pt>
                <c:pt idx="11">
                  <c:v>634.05239790162659</c:v>
                </c:pt>
                <c:pt idx="12">
                  <c:v>697.32581806644589</c:v>
                </c:pt>
                <c:pt idx="13">
                  <c:v>756.64464947096394</c:v>
                </c:pt>
                <c:pt idx="14">
                  <c:v>779.05398577933749</c:v>
                </c:pt>
                <c:pt idx="15">
                  <c:v>773.78120076560253</c:v>
                </c:pt>
                <c:pt idx="16">
                  <c:v>747.41727569692785</c:v>
                </c:pt>
                <c:pt idx="17">
                  <c:v>711.82597685421695</c:v>
                </c:pt>
                <c:pt idx="18">
                  <c:v>668.32550049090378</c:v>
                </c:pt>
                <c:pt idx="19">
                  <c:v>628.77961288789163</c:v>
                </c:pt>
                <c:pt idx="20">
                  <c:v>591.87011779174713</c:v>
                </c:pt>
                <c:pt idx="21">
                  <c:v>566.82438897650604</c:v>
                </c:pt>
                <c:pt idx="22">
                  <c:v>540.46046390783147</c:v>
                </c:pt>
                <c:pt idx="23">
                  <c:v>524.64210886662659</c:v>
                </c:pt>
                <c:pt idx="24">
                  <c:v>511.46014633228924</c:v>
                </c:pt>
                <c:pt idx="25">
                  <c:v>504.86916506512057</c:v>
                </c:pt>
                <c:pt idx="26">
                  <c:v>495.64179129108447</c:v>
                </c:pt>
                <c:pt idx="27">
                  <c:v>491.68720253078322</c:v>
                </c:pt>
                <c:pt idx="28">
                  <c:v>494.32359503765065</c:v>
                </c:pt>
                <c:pt idx="29">
                  <c:v>512.77834258572295</c:v>
                </c:pt>
                <c:pt idx="30">
                  <c:v>536.50587514753022</c:v>
                </c:pt>
                <c:pt idx="31">
                  <c:v>565.50619272307245</c:v>
                </c:pt>
                <c:pt idx="32">
                  <c:v>590.55192153831331</c:v>
                </c:pt>
                <c:pt idx="33">
                  <c:v>614.27945410012057</c:v>
                </c:pt>
                <c:pt idx="34">
                  <c:v>627.46141663445803</c:v>
                </c:pt>
                <c:pt idx="35">
                  <c:v>634.05239790162659</c:v>
                </c:pt>
                <c:pt idx="36">
                  <c:v>632.73420164819288</c:v>
                </c:pt>
                <c:pt idx="37">
                  <c:v>634.05239790162659</c:v>
                </c:pt>
                <c:pt idx="38">
                  <c:v>630.09780914132546</c:v>
                </c:pt>
                <c:pt idx="39">
                  <c:v>622.18863162072296</c:v>
                </c:pt>
                <c:pt idx="40">
                  <c:v>603.73388407265077</c:v>
                </c:pt>
                <c:pt idx="41">
                  <c:v>573.41537024367472</c:v>
                </c:pt>
                <c:pt idx="42">
                  <c:v>533.8694826406628</c:v>
                </c:pt>
                <c:pt idx="43">
                  <c:v>474.55065123614463</c:v>
                </c:pt>
                <c:pt idx="44">
                  <c:v>417.86821233849406</c:v>
                </c:pt>
                <c:pt idx="45">
                  <c:v>370.41314721487959</c:v>
                </c:pt>
                <c:pt idx="46">
                  <c:v>350.64020341337351</c:v>
                </c:pt>
                <c:pt idx="47">
                  <c:v>344.0492221462049</c:v>
                </c:pt>
              </c:numCache>
            </c:numRef>
          </c:val>
          <c:smooth val="0"/>
          <c:extLst>
            <c:ext xmlns:c16="http://schemas.microsoft.com/office/drawing/2014/chart" uri="{C3380CC4-5D6E-409C-BE32-E72D297353CC}">
              <c16:uniqueId val="{00000006-2F8B-44F6-AF91-9F0E2CFC6A5B}"/>
            </c:ext>
          </c:extLst>
        </c:ser>
        <c:ser>
          <c:idx val="0"/>
          <c:order val="2"/>
          <c:tx>
            <c:v>Default</c:v>
          </c:tx>
          <c:spPr>
            <a:ln w="28575" cap="rnd">
              <a:solidFill>
                <a:srgbClr val="7A3864"/>
              </a:solidFill>
              <a:round/>
            </a:ln>
            <a:effectLst/>
          </c:spPr>
          <c:marker>
            <c:symbol val="none"/>
          </c:marker>
          <c:cat>
            <c:numRef>
              <c:f>'HP End to End Example'!$P$153:$P$200</c:f>
              <c:numCache>
                <c:formatCode>[$-F400]h:mm:ss\ AM/PM</c:formatCode>
                <c:ptCount val="48"/>
                <c:pt idx="0">
                  <c:v>0</c:v>
                </c:pt>
                <c:pt idx="1">
                  <c:v>2.0833333333333332E-2</c:v>
                </c:pt>
                <c:pt idx="2">
                  <c:v>4.1666666666666664E-2</c:v>
                </c:pt>
                <c:pt idx="3">
                  <c:v>6.25E-2</c:v>
                </c:pt>
                <c:pt idx="4">
                  <c:v>8.3333333333333329E-2</c:v>
                </c:pt>
                <c:pt idx="5">
                  <c:v>0.10416666666666667</c:v>
                </c:pt>
                <c:pt idx="6">
                  <c:v>0.125</c:v>
                </c:pt>
                <c:pt idx="7">
                  <c:v>0.14583333333333334</c:v>
                </c:pt>
                <c:pt idx="8">
                  <c:v>0.16666666666666666</c:v>
                </c:pt>
                <c:pt idx="9">
                  <c:v>0.1875</c:v>
                </c:pt>
                <c:pt idx="10">
                  <c:v>0.20833333333333334</c:v>
                </c:pt>
                <c:pt idx="11">
                  <c:v>0.22916666666666666</c:v>
                </c:pt>
                <c:pt idx="12">
                  <c:v>0.25</c:v>
                </c:pt>
                <c:pt idx="13">
                  <c:v>0.27083333333333331</c:v>
                </c:pt>
                <c:pt idx="14">
                  <c:v>0.29166666666666669</c:v>
                </c:pt>
                <c:pt idx="15">
                  <c:v>0.3125</c:v>
                </c:pt>
                <c:pt idx="16">
                  <c:v>0.33333333333333331</c:v>
                </c:pt>
                <c:pt idx="17">
                  <c:v>0.35416666666666669</c:v>
                </c:pt>
                <c:pt idx="18">
                  <c:v>0.375</c:v>
                </c:pt>
                <c:pt idx="19">
                  <c:v>0.39583333333333331</c:v>
                </c:pt>
                <c:pt idx="20">
                  <c:v>0.41666666666666669</c:v>
                </c:pt>
                <c:pt idx="21">
                  <c:v>0.4375</c:v>
                </c:pt>
                <c:pt idx="22">
                  <c:v>0.45833333333333331</c:v>
                </c:pt>
                <c:pt idx="23">
                  <c:v>0.47916666666666669</c:v>
                </c:pt>
                <c:pt idx="24">
                  <c:v>0.5</c:v>
                </c:pt>
                <c:pt idx="25">
                  <c:v>0.52083333333333337</c:v>
                </c:pt>
                <c:pt idx="26">
                  <c:v>0.54166666666666663</c:v>
                </c:pt>
                <c:pt idx="27">
                  <c:v>0.5625</c:v>
                </c:pt>
                <c:pt idx="28">
                  <c:v>0.58333333333333337</c:v>
                </c:pt>
                <c:pt idx="29">
                  <c:v>0.60416666666666663</c:v>
                </c:pt>
                <c:pt idx="30">
                  <c:v>0.625</c:v>
                </c:pt>
                <c:pt idx="31">
                  <c:v>0.64583333333333337</c:v>
                </c:pt>
                <c:pt idx="32">
                  <c:v>0.66666666666666663</c:v>
                </c:pt>
                <c:pt idx="33">
                  <c:v>0.6875</c:v>
                </c:pt>
                <c:pt idx="34">
                  <c:v>0.70833333333333337</c:v>
                </c:pt>
                <c:pt idx="35">
                  <c:v>0.72916666666666663</c:v>
                </c:pt>
                <c:pt idx="36">
                  <c:v>0.75</c:v>
                </c:pt>
                <c:pt idx="37">
                  <c:v>0.77083333333333337</c:v>
                </c:pt>
                <c:pt idx="38">
                  <c:v>0.79166666666666663</c:v>
                </c:pt>
                <c:pt idx="39">
                  <c:v>0.8125</c:v>
                </c:pt>
                <c:pt idx="40">
                  <c:v>0.83333333333333337</c:v>
                </c:pt>
                <c:pt idx="41">
                  <c:v>0.85416666666666663</c:v>
                </c:pt>
                <c:pt idx="42">
                  <c:v>0.875</c:v>
                </c:pt>
                <c:pt idx="43">
                  <c:v>0.89583333333333337</c:v>
                </c:pt>
                <c:pt idx="44">
                  <c:v>0.91666666666666663</c:v>
                </c:pt>
                <c:pt idx="45">
                  <c:v>0.9375</c:v>
                </c:pt>
                <c:pt idx="46">
                  <c:v>0.95833333333333337</c:v>
                </c:pt>
                <c:pt idx="47">
                  <c:v>0.97916666666666663</c:v>
                </c:pt>
              </c:numCache>
            </c:numRef>
          </c:cat>
          <c:val>
            <c:numRef>
              <c:f>'HP End to End Example'!$E$153:$E$200</c:f>
              <c:numCache>
                <c:formatCode>0.0</c:formatCode>
                <c:ptCount val="48"/>
                <c:pt idx="0">
                  <c:v>325.94813700759039</c:v>
                </c:pt>
                <c:pt idx="1">
                  <c:v>336.65446267572287</c:v>
                </c:pt>
                <c:pt idx="2">
                  <c:v>354.49833878927711</c:v>
                </c:pt>
                <c:pt idx="3">
                  <c:v>373.53180664373491</c:v>
                </c:pt>
                <c:pt idx="4">
                  <c:v>390.1860910163856</c:v>
                </c:pt>
                <c:pt idx="5">
                  <c:v>409.2195588708434</c:v>
                </c:pt>
                <c:pt idx="6">
                  <c:v>421.11547627987954</c:v>
                </c:pt>
                <c:pt idx="7">
                  <c:v>435.39057717072291</c:v>
                </c:pt>
                <c:pt idx="8">
                  <c:v>452.04486154337349</c:v>
                </c:pt>
                <c:pt idx="9">
                  <c:v>479.40547158415666</c:v>
                </c:pt>
                <c:pt idx="10">
                  <c:v>515.09322381126503</c:v>
                </c:pt>
                <c:pt idx="11">
                  <c:v>572.19362737463848</c:v>
                </c:pt>
                <c:pt idx="12">
                  <c:v>629.29403093801204</c:v>
                </c:pt>
                <c:pt idx="13">
                  <c:v>682.82565927867472</c:v>
                </c:pt>
                <c:pt idx="14">
                  <c:v>703.04871887403613</c:v>
                </c:pt>
                <c:pt idx="15">
                  <c:v>698.29035191042169</c:v>
                </c:pt>
                <c:pt idx="16">
                  <c:v>674.4985170923494</c:v>
                </c:pt>
                <c:pt idx="17">
                  <c:v>642.3795400879518</c:v>
                </c:pt>
                <c:pt idx="18">
                  <c:v>603.12301263813254</c:v>
                </c:pt>
                <c:pt idx="19">
                  <c:v>567.43526041102405</c:v>
                </c:pt>
                <c:pt idx="20">
                  <c:v>534.12669166572289</c:v>
                </c:pt>
                <c:pt idx="21">
                  <c:v>511.52444858855421</c:v>
                </c:pt>
                <c:pt idx="22">
                  <c:v>487.73261377048198</c:v>
                </c:pt>
                <c:pt idx="23">
                  <c:v>473.45751287963861</c:v>
                </c:pt>
                <c:pt idx="24">
                  <c:v>461.56159547060241</c:v>
                </c:pt>
                <c:pt idx="25">
                  <c:v>455.61363676608437</c:v>
                </c:pt>
                <c:pt idx="26">
                  <c:v>447.28649457975905</c:v>
                </c:pt>
                <c:pt idx="27">
                  <c:v>443.71771935704822</c:v>
                </c:pt>
                <c:pt idx="28">
                  <c:v>446.09690283885544</c:v>
                </c:pt>
                <c:pt idx="29">
                  <c:v>462.75118721150602</c:v>
                </c:pt>
                <c:pt idx="30">
                  <c:v>484.16383854777109</c:v>
                </c:pt>
                <c:pt idx="31">
                  <c:v>510.3348568476506</c:v>
                </c:pt>
                <c:pt idx="32">
                  <c:v>532.93709992481934</c:v>
                </c:pt>
                <c:pt idx="33">
                  <c:v>554.34975126108441</c:v>
                </c:pt>
                <c:pt idx="34">
                  <c:v>566.24566867012049</c:v>
                </c:pt>
                <c:pt idx="35">
                  <c:v>572.19362737463848</c:v>
                </c:pt>
                <c:pt idx="36">
                  <c:v>571.00403563373493</c:v>
                </c:pt>
                <c:pt idx="37">
                  <c:v>572.19362737463848</c:v>
                </c:pt>
                <c:pt idx="38">
                  <c:v>568.62485215192771</c:v>
                </c:pt>
                <c:pt idx="39">
                  <c:v>561.48730170650606</c:v>
                </c:pt>
                <c:pt idx="40">
                  <c:v>544.83301733385542</c:v>
                </c:pt>
                <c:pt idx="41">
                  <c:v>517.47240729307225</c:v>
                </c:pt>
                <c:pt idx="42">
                  <c:v>481.78465506596388</c:v>
                </c:pt>
                <c:pt idx="43">
                  <c:v>428.2530267253012</c:v>
                </c:pt>
                <c:pt idx="44">
                  <c:v>377.10058186644579</c:v>
                </c:pt>
                <c:pt idx="45">
                  <c:v>334.27527919391565</c:v>
                </c:pt>
                <c:pt idx="46">
                  <c:v>316.43140308036146</c:v>
                </c:pt>
                <c:pt idx="47">
                  <c:v>310.48344437584342</c:v>
                </c:pt>
              </c:numCache>
            </c:numRef>
          </c:val>
          <c:smooth val="0"/>
          <c:extLst>
            <c:ext xmlns:c16="http://schemas.microsoft.com/office/drawing/2014/chart" uri="{C3380CC4-5D6E-409C-BE32-E72D297353CC}">
              <c16:uniqueId val="{00000008-2F8B-44F6-AF91-9F0E2CFC6A5B}"/>
            </c:ext>
          </c:extLst>
        </c:ser>
        <c:dLbls>
          <c:showLegendKey val="0"/>
          <c:showVal val="0"/>
          <c:showCatName val="0"/>
          <c:showSerName val="0"/>
          <c:showPercent val="0"/>
          <c:showBubbleSize val="0"/>
        </c:dLbls>
        <c:smooth val="0"/>
        <c:axId val="1840053472"/>
        <c:axId val="1840050952"/>
      </c:lineChart>
      <c:catAx>
        <c:axId val="1840053472"/>
        <c:scaling>
          <c:orientation val="minMax"/>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Time of day</a:t>
                </a:r>
              </a:p>
            </c:rich>
          </c:tx>
          <c:overlay val="0"/>
          <c:spPr>
            <a:noFill/>
            <a:ln>
              <a:noFill/>
            </a:ln>
            <a:effectLst/>
          </c:spPr>
        </c:title>
        <c:numFmt formatCode="[$-F400]h:mm:ss\ AM/P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840050952"/>
        <c:crosses val="autoZero"/>
        <c:auto val="1"/>
        <c:lblAlgn val="ctr"/>
        <c:lblOffset val="100"/>
        <c:noMultiLvlLbl val="0"/>
      </c:catAx>
      <c:valAx>
        <c:axId val="1840050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Poppins" panose="00000500000000000000" pitchFamily="2" charset="0"/>
                    <a:ea typeface="+mn-ea"/>
                    <a:cs typeface="Poppins" panose="00000500000000000000" pitchFamily="2" charset="0"/>
                  </a:defRPr>
                </a:pPr>
                <a:r>
                  <a:rPr lang="en-GB" sz="1600"/>
                  <a:t>Demand (kW)</a:t>
                </a:r>
              </a:p>
            </c:rich>
          </c:tx>
          <c:overlay val="0"/>
          <c:spPr>
            <a:noFill/>
            <a:ln>
              <a:noFill/>
            </a:ln>
            <a:effectLst/>
          </c:sp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840053472"/>
        <c:crosses val="autoZero"/>
        <c:crossBetween val="between"/>
      </c:valAx>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100">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hyperlink" Target="#'EV End to End Example'!C77"/><Relationship Id="rId3" Type="http://schemas.openxmlformats.org/officeDocument/2006/relationships/chart" Target="../charts/chart3.xml"/><Relationship Id="rId7" Type="http://schemas.openxmlformats.org/officeDocument/2006/relationships/hyperlink" Target="#'EV End to End Example'!C29"/><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EV end to end example'!C11"/><Relationship Id="rId5" Type="http://schemas.openxmlformats.org/officeDocument/2006/relationships/chart" Target="../charts/chart5.xml"/><Relationship Id="rId10" Type="http://schemas.openxmlformats.org/officeDocument/2006/relationships/hyperlink" Target="#'EV CPA Process'!A1"/><Relationship Id="rId4" Type="http://schemas.openxmlformats.org/officeDocument/2006/relationships/chart" Target="../charts/chart4.xml"/><Relationship Id="rId9" Type="http://schemas.openxmlformats.org/officeDocument/2006/relationships/hyperlink" Target="#'EV End to End Example'!C188"/></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hyperlink" Target="#'HP end to end example'!C11"/><Relationship Id="rId7" Type="http://schemas.openxmlformats.org/officeDocument/2006/relationships/hyperlink" Target="#'HP CPA Process'!A1"/><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hyperlink" Target="#'HP end to end example'!C135"/><Relationship Id="rId5" Type="http://schemas.openxmlformats.org/officeDocument/2006/relationships/hyperlink" Target="#'HP end to end example'!C58"/><Relationship Id="rId4" Type="http://schemas.openxmlformats.org/officeDocument/2006/relationships/hyperlink" Target="#'HP end to end example'!C33"/></Relationships>
</file>

<file path=xl/drawings/drawing1.xml><?xml version="1.0" encoding="utf-8"?>
<xdr:wsDr xmlns:xdr="http://schemas.openxmlformats.org/drawingml/2006/spreadsheetDrawing" xmlns:a="http://schemas.openxmlformats.org/drawingml/2006/main">
  <xdr:twoCellAnchor editAs="oneCell">
    <xdr:from>
      <xdr:col>7</xdr:col>
      <xdr:colOff>801688</xdr:colOff>
      <xdr:row>11</xdr:row>
      <xdr:rowOff>27781</xdr:rowOff>
    </xdr:from>
    <xdr:to>
      <xdr:col>10</xdr:col>
      <xdr:colOff>281782</xdr:colOff>
      <xdr:row>17</xdr:row>
      <xdr:rowOff>106364</xdr:rowOff>
    </xdr:to>
    <xdr:pic>
      <xdr:nvPicPr>
        <xdr:cNvPr id="3" name="Picture 5">
          <a:extLst>
            <a:ext uri="{FF2B5EF4-FFF2-40B4-BE49-F238E27FC236}">
              <a16:creationId xmlns:a16="http://schemas.microsoft.com/office/drawing/2014/main" id="{C41378F1-B456-409E-944B-8A84DC2FFE1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571" b="11786"/>
        <a:stretch/>
      </xdr:blipFill>
      <xdr:spPr bwMode="auto">
        <a:xfrm>
          <a:off x="6278563" y="3559969"/>
          <a:ext cx="3559969" cy="170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393700</xdr:colOff>
      <xdr:row>28</xdr:row>
      <xdr:rowOff>159771</xdr:rowOff>
    </xdr:to>
    <xdr:pic>
      <xdr:nvPicPr>
        <xdr:cNvPr id="2" name="Picture 2">
          <a:extLst>
            <a:ext uri="{FF2B5EF4-FFF2-40B4-BE49-F238E27FC236}">
              <a16:creationId xmlns:a16="http://schemas.microsoft.com/office/drawing/2014/main" id="{46B93652-8E20-C668-F2E6-F8F67F8E3AB2}"/>
            </a:ext>
          </a:extLst>
        </xdr:cNvPr>
        <xdr:cNvPicPr>
          <a:picLocks noChangeAspect="1"/>
        </xdr:cNvPicPr>
      </xdr:nvPicPr>
      <xdr:blipFill>
        <a:blip xmlns:r="http://schemas.openxmlformats.org/officeDocument/2006/relationships" r:embed="rId1"/>
        <a:stretch>
          <a:fillRect/>
        </a:stretch>
      </xdr:blipFill>
      <xdr:spPr>
        <a:xfrm>
          <a:off x="0" y="940594"/>
          <a:ext cx="13096875" cy="69828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133350</xdr:colOff>
      <xdr:row>33</xdr:row>
      <xdr:rowOff>158752</xdr:rowOff>
    </xdr:from>
    <xdr:to>
      <xdr:col>13</xdr:col>
      <xdr:colOff>777875</xdr:colOff>
      <xdr:row>50</xdr:row>
      <xdr:rowOff>169335</xdr:rowOff>
    </xdr:to>
    <xdr:graphicFrame macro="">
      <xdr:nvGraphicFramePr>
        <xdr:cNvPr id="4" name="Chart 3">
          <a:extLst>
            <a:ext uri="{FF2B5EF4-FFF2-40B4-BE49-F238E27FC236}">
              <a16:creationId xmlns:a16="http://schemas.microsoft.com/office/drawing/2014/main" id="{DC0DA32E-0AC8-5C48-CC51-687D21B2B9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283724</xdr:colOff>
      <xdr:row>33</xdr:row>
      <xdr:rowOff>1503</xdr:rowOff>
    </xdr:from>
    <xdr:to>
      <xdr:col>21</xdr:col>
      <xdr:colOff>270213</xdr:colOff>
      <xdr:row>43</xdr:row>
      <xdr:rowOff>4397</xdr:rowOff>
    </xdr:to>
    <xdr:graphicFrame macro="">
      <xdr:nvGraphicFramePr>
        <xdr:cNvPr id="6" name="Chart 5">
          <a:extLst>
            <a:ext uri="{FF2B5EF4-FFF2-40B4-BE49-F238E27FC236}">
              <a16:creationId xmlns:a16="http://schemas.microsoft.com/office/drawing/2014/main" id="{C8C8BA0D-1309-8E45-26CD-FE8A35CD96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291264</xdr:colOff>
      <xdr:row>48</xdr:row>
      <xdr:rowOff>30478</xdr:rowOff>
    </xdr:from>
    <xdr:to>
      <xdr:col>21</xdr:col>
      <xdr:colOff>277617</xdr:colOff>
      <xdr:row>61</xdr:row>
      <xdr:rowOff>120897</xdr:rowOff>
    </xdr:to>
    <xdr:graphicFrame macro="">
      <xdr:nvGraphicFramePr>
        <xdr:cNvPr id="9" name="Chart 8">
          <a:extLst>
            <a:ext uri="{FF2B5EF4-FFF2-40B4-BE49-F238E27FC236}">
              <a16:creationId xmlns:a16="http://schemas.microsoft.com/office/drawing/2014/main" id="{92CC2A20-9F60-4FA1-BD96-2D248C11C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135339</xdr:colOff>
      <xdr:row>56</xdr:row>
      <xdr:rowOff>181427</xdr:rowOff>
    </xdr:from>
    <xdr:to>
      <xdr:col>10</xdr:col>
      <xdr:colOff>645582</xdr:colOff>
      <xdr:row>72</xdr:row>
      <xdr:rowOff>147141</xdr:rowOff>
    </xdr:to>
    <xdr:graphicFrame macro="">
      <xdr:nvGraphicFramePr>
        <xdr:cNvPr id="11" name="Chart 10">
          <a:extLst>
            <a:ext uri="{FF2B5EF4-FFF2-40B4-BE49-F238E27FC236}">
              <a16:creationId xmlns:a16="http://schemas.microsoft.com/office/drawing/2014/main" id="{55326D05-F8AD-42A3-AF28-75D034789F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476249</xdr:colOff>
      <xdr:row>56</xdr:row>
      <xdr:rowOff>181427</xdr:rowOff>
    </xdr:from>
    <xdr:to>
      <xdr:col>13</xdr:col>
      <xdr:colOff>1148506</xdr:colOff>
      <xdr:row>72</xdr:row>
      <xdr:rowOff>147141</xdr:rowOff>
    </xdr:to>
    <xdr:graphicFrame macro="">
      <xdr:nvGraphicFramePr>
        <xdr:cNvPr id="13" name="Chart 12">
          <a:extLst>
            <a:ext uri="{FF2B5EF4-FFF2-40B4-BE49-F238E27FC236}">
              <a16:creationId xmlns:a16="http://schemas.microsoft.com/office/drawing/2014/main" id="{32FC9B30-676C-4A5E-B06E-BBA8B1A7A2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36944</xdr:colOff>
      <xdr:row>3</xdr:row>
      <xdr:rowOff>351845</xdr:rowOff>
    </xdr:from>
    <xdr:to>
      <xdr:col>2</xdr:col>
      <xdr:colOff>1117889</xdr:colOff>
      <xdr:row>4</xdr:row>
      <xdr:rowOff>288923</xdr:rowOff>
    </xdr:to>
    <xdr:sp macro="" textlink="">
      <xdr:nvSpPr>
        <xdr:cNvPr id="2" name="Rectangle 1">
          <a:hlinkClick xmlns:r="http://schemas.openxmlformats.org/officeDocument/2006/relationships" r:id="rId6"/>
          <a:extLst>
            <a:ext uri="{FF2B5EF4-FFF2-40B4-BE49-F238E27FC236}">
              <a16:creationId xmlns:a16="http://schemas.microsoft.com/office/drawing/2014/main" id="{9E07EE9D-F4B3-1D8A-3BDD-CFCD612609AB}"/>
            </a:ext>
          </a:extLst>
        </xdr:cNvPr>
        <xdr:cNvSpPr/>
      </xdr:nvSpPr>
      <xdr:spPr>
        <a:xfrm>
          <a:off x="712353" y="1650709"/>
          <a:ext cx="1080945" cy="29210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User inputs:</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2</xdr:col>
      <xdr:colOff>36944</xdr:colOff>
      <xdr:row>5</xdr:row>
      <xdr:rowOff>2116</xdr:rowOff>
    </xdr:from>
    <xdr:to>
      <xdr:col>2</xdr:col>
      <xdr:colOff>1120197</xdr:colOff>
      <xdr:row>5</xdr:row>
      <xdr:rowOff>297391</xdr:rowOff>
    </xdr:to>
    <xdr:sp macro="" textlink="">
      <xdr:nvSpPr>
        <xdr:cNvPr id="5" name="Rectangle 4">
          <a:hlinkClick xmlns:r="http://schemas.openxmlformats.org/officeDocument/2006/relationships" r:id="rId7"/>
          <a:extLst>
            <a:ext uri="{FF2B5EF4-FFF2-40B4-BE49-F238E27FC236}">
              <a16:creationId xmlns:a16="http://schemas.microsoft.com/office/drawing/2014/main" id="{215A19B7-632D-4456-B25A-EAA69F399783}"/>
            </a:ext>
          </a:extLst>
        </xdr:cNvPr>
        <xdr:cNvSpPr/>
      </xdr:nvSpPr>
      <xdr:spPr>
        <a:xfrm>
          <a:off x="712353" y="2011025"/>
          <a:ext cx="1083253" cy="295275"/>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Dashboard:</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2</xdr:col>
      <xdr:colOff>36944</xdr:colOff>
      <xdr:row>6</xdr:row>
      <xdr:rowOff>19242</xdr:rowOff>
    </xdr:from>
    <xdr:to>
      <xdr:col>2</xdr:col>
      <xdr:colOff>1923184</xdr:colOff>
      <xdr:row>6</xdr:row>
      <xdr:rowOff>292292</xdr:rowOff>
    </xdr:to>
    <xdr:sp macro="" textlink="">
      <xdr:nvSpPr>
        <xdr:cNvPr id="7" name="Rectangle 6">
          <a:hlinkClick xmlns:r="http://schemas.openxmlformats.org/officeDocument/2006/relationships" r:id="rId8"/>
          <a:extLst>
            <a:ext uri="{FF2B5EF4-FFF2-40B4-BE49-F238E27FC236}">
              <a16:creationId xmlns:a16="http://schemas.microsoft.com/office/drawing/2014/main" id="{A87A0261-06AD-4B29-B825-A25113E79439}"/>
            </a:ext>
          </a:extLst>
        </xdr:cNvPr>
        <xdr:cNvSpPr/>
      </xdr:nvSpPr>
      <xdr:spPr>
        <a:xfrm>
          <a:off x="712353" y="2383174"/>
          <a:ext cx="1886240" cy="2730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CPA values selected:</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2</xdr:col>
      <xdr:colOff>26512</xdr:colOff>
      <xdr:row>7</xdr:row>
      <xdr:rowOff>3876</xdr:rowOff>
    </xdr:from>
    <xdr:to>
      <xdr:col>2</xdr:col>
      <xdr:colOff>2163536</xdr:colOff>
      <xdr:row>7</xdr:row>
      <xdr:rowOff>292099</xdr:rowOff>
    </xdr:to>
    <xdr:sp macro="" textlink="">
      <xdr:nvSpPr>
        <xdr:cNvPr id="8" name="Rectangle 7">
          <a:hlinkClick xmlns:r="http://schemas.openxmlformats.org/officeDocument/2006/relationships" r:id="rId9"/>
          <a:extLst>
            <a:ext uri="{FF2B5EF4-FFF2-40B4-BE49-F238E27FC236}">
              <a16:creationId xmlns:a16="http://schemas.microsoft.com/office/drawing/2014/main" id="{8BE87267-9264-4EDD-B9ED-6EAF12C39AB4}"/>
            </a:ext>
          </a:extLst>
        </xdr:cNvPr>
        <xdr:cNvSpPr/>
      </xdr:nvSpPr>
      <xdr:spPr>
        <a:xfrm>
          <a:off x="693262" y="2711697"/>
          <a:ext cx="2137024" cy="288223"/>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End-to-end calculation:</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3</xdr:col>
      <xdr:colOff>1854201</xdr:colOff>
      <xdr:row>7</xdr:row>
      <xdr:rowOff>264053</xdr:rowOff>
    </xdr:from>
    <xdr:to>
      <xdr:col>4</xdr:col>
      <xdr:colOff>1370845</xdr:colOff>
      <xdr:row>8</xdr:row>
      <xdr:rowOff>188647</xdr:rowOff>
    </xdr:to>
    <xdr:sp macro="" textlink="">
      <xdr:nvSpPr>
        <xdr:cNvPr id="10" name="Rectangle 9">
          <a:hlinkClick xmlns:r="http://schemas.openxmlformats.org/officeDocument/2006/relationships" r:id="rId10"/>
          <a:extLst>
            <a:ext uri="{FF2B5EF4-FFF2-40B4-BE49-F238E27FC236}">
              <a16:creationId xmlns:a16="http://schemas.microsoft.com/office/drawing/2014/main" id="{50FD1172-55C3-4A1B-8D85-F40AE513DFD9}"/>
            </a:ext>
          </a:extLst>
        </xdr:cNvPr>
        <xdr:cNvSpPr/>
      </xdr:nvSpPr>
      <xdr:spPr>
        <a:xfrm>
          <a:off x="6457951" y="2946928"/>
          <a:ext cx="1453394" cy="273844"/>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EV CPA process</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16</xdr:col>
      <xdr:colOff>300693</xdr:colOff>
      <xdr:row>30</xdr:row>
      <xdr:rowOff>12564</xdr:rowOff>
    </xdr:to>
    <xdr:pic>
      <xdr:nvPicPr>
        <xdr:cNvPr id="4" name="Picture 1">
          <a:extLst>
            <a:ext uri="{FF2B5EF4-FFF2-40B4-BE49-F238E27FC236}">
              <a16:creationId xmlns:a16="http://schemas.microsoft.com/office/drawing/2014/main" id="{A9744875-968E-47C9-AAF6-735A9A6E7C4E}"/>
            </a:ext>
          </a:extLst>
        </xdr:cNvPr>
        <xdr:cNvPicPr>
          <a:picLocks noChangeAspect="1"/>
        </xdr:cNvPicPr>
      </xdr:nvPicPr>
      <xdr:blipFill>
        <a:blip xmlns:r="http://schemas.openxmlformats.org/officeDocument/2006/relationships" r:embed="rId1"/>
        <a:stretch>
          <a:fillRect/>
        </a:stretch>
      </xdr:blipFill>
      <xdr:spPr>
        <a:xfrm>
          <a:off x="0" y="0"/>
          <a:ext cx="12543041" cy="71228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75908</xdr:colOff>
      <xdr:row>37</xdr:row>
      <xdr:rowOff>430885</xdr:rowOff>
    </xdr:from>
    <xdr:to>
      <xdr:col>18</xdr:col>
      <xdr:colOff>1873250</xdr:colOff>
      <xdr:row>52</xdr:row>
      <xdr:rowOff>115454</xdr:rowOff>
    </xdr:to>
    <xdr:graphicFrame macro="">
      <xdr:nvGraphicFramePr>
        <xdr:cNvPr id="7" name="Chart 6">
          <a:extLst>
            <a:ext uri="{FF2B5EF4-FFF2-40B4-BE49-F238E27FC236}">
              <a16:creationId xmlns:a16="http://schemas.microsoft.com/office/drawing/2014/main" id="{49BFB707-61EA-424E-AE62-7320759AE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31749</xdr:colOff>
      <xdr:row>36</xdr:row>
      <xdr:rowOff>427037</xdr:rowOff>
    </xdr:from>
    <xdr:to>
      <xdr:col>24</xdr:col>
      <xdr:colOff>1905000</xdr:colOff>
      <xdr:row>52</xdr:row>
      <xdr:rowOff>25400</xdr:rowOff>
    </xdr:to>
    <xdr:graphicFrame macro="">
      <xdr:nvGraphicFramePr>
        <xdr:cNvPr id="16" name="Chart 1">
          <a:extLst>
            <a:ext uri="{FF2B5EF4-FFF2-40B4-BE49-F238E27FC236}">
              <a16:creationId xmlns:a16="http://schemas.microsoft.com/office/drawing/2014/main" id="{068A532B-0B16-28CE-C799-90F6307326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36944</xdr:colOff>
      <xdr:row>3</xdr:row>
      <xdr:rowOff>351845</xdr:rowOff>
    </xdr:from>
    <xdr:to>
      <xdr:col>2</xdr:col>
      <xdr:colOff>1117889</xdr:colOff>
      <xdr:row>4</xdr:row>
      <xdr:rowOff>288923</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EB4F8D10-3BEA-4536-AC5D-70C2C74366A6}"/>
            </a:ext>
          </a:extLst>
        </xdr:cNvPr>
        <xdr:cNvSpPr/>
      </xdr:nvSpPr>
      <xdr:spPr>
        <a:xfrm>
          <a:off x="713219" y="1650420"/>
          <a:ext cx="1077770" cy="286328"/>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User inputs:</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2</xdr:col>
      <xdr:colOff>36944</xdr:colOff>
      <xdr:row>5</xdr:row>
      <xdr:rowOff>2116</xdr:rowOff>
    </xdr:from>
    <xdr:to>
      <xdr:col>2</xdr:col>
      <xdr:colOff>1120197</xdr:colOff>
      <xdr:row>5</xdr:row>
      <xdr:rowOff>297391</xdr:rowOff>
    </xdr:to>
    <xdr:sp macro="" textlink="">
      <xdr:nvSpPr>
        <xdr:cNvPr id="4" name="Rectangle 3">
          <a:hlinkClick xmlns:r="http://schemas.openxmlformats.org/officeDocument/2006/relationships" r:id="rId4"/>
          <a:extLst>
            <a:ext uri="{FF2B5EF4-FFF2-40B4-BE49-F238E27FC236}">
              <a16:creationId xmlns:a16="http://schemas.microsoft.com/office/drawing/2014/main" id="{5257FD75-388D-474B-B88A-EE476798076E}"/>
            </a:ext>
          </a:extLst>
        </xdr:cNvPr>
        <xdr:cNvSpPr/>
      </xdr:nvSpPr>
      <xdr:spPr>
        <a:xfrm>
          <a:off x="713219" y="2002366"/>
          <a:ext cx="1080078" cy="29210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Dashboard:</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2</xdr:col>
      <xdr:colOff>36944</xdr:colOff>
      <xdr:row>6</xdr:row>
      <xdr:rowOff>19242</xdr:rowOff>
    </xdr:from>
    <xdr:to>
      <xdr:col>2</xdr:col>
      <xdr:colOff>1923184</xdr:colOff>
      <xdr:row>6</xdr:row>
      <xdr:rowOff>292292</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8FE100E6-99BC-4B8F-BF80-9820CB992C64}"/>
            </a:ext>
          </a:extLst>
        </xdr:cNvPr>
        <xdr:cNvSpPr/>
      </xdr:nvSpPr>
      <xdr:spPr>
        <a:xfrm>
          <a:off x="713219" y="2371917"/>
          <a:ext cx="1886240" cy="276225"/>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CPA values selected:</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2</xdr:col>
      <xdr:colOff>26512</xdr:colOff>
      <xdr:row>7</xdr:row>
      <xdr:rowOff>3876</xdr:rowOff>
    </xdr:from>
    <xdr:to>
      <xdr:col>2</xdr:col>
      <xdr:colOff>2163536</xdr:colOff>
      <xdr:row>7</xdr:row>
      <xdr:rowOff>292099</xdr:rowOff>
    </xdr:to>
    <xdr:sp macro="" textlink="">
      <xdr:nvSpPr>
        <xdr:cNvPr id="6" name="Rectangle 5">
          <a:hlinkClick xmlns:r="http://schemas.openxmlformats.org/officeDocument/2006/relationships" r:id="rId6"/>
          <a:extLst>
            <a:ext uri="{FF2B5EF4-FFF2-40B4-BE49-F238E27FC236}">
              <a16:creationId xmlns:a16="http://schemas.microsoft.com/office/drawing/2014/main" id="{13E11096-6D08-413C-98AD-C034D466B46B}"/>
            </a:ext>
          </a:extLst>
        </xdr:cNvPr>
        <xdr:cNvSpPr/>
      </xdr:nvSpPr>
      <xdr:spPr>
        <a:xfrm>
          <a:off x="705962" y="2712151"/>
          <a:ext cx="2130674" cy="288223"/>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End-to-end calculation:</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4</xdr:col>
      <xdr:colOff>296635</xdr:colOff>
      <xdr:row>7</xdr:row>
      <xdr:rowOff>316668</xdr:rowOff>
    </xdr:from>
    <xdr:to>
      <xdr:col>4</xdr:col>
      <xdr:colOff>1694542</xdr:colOff>
      <xdr:row>8</xdr:row>
      <xdr:rowOff>204108</xdr:rowOff>
    </xdr:to>
    <xdr:sp macro="" textlink="">
      <xdr:nvSpPr>
        <xdr:cNvPr id="8" name="Rectangle 7">
          <a:hlinkClick xmlns:r="http://schemas.openxmlformats.org/officeDocument/2006/relationships" r:id="rId7"/>
          <a:extLst>
            <a:ext uri="{FF2B5EF4-FFF2-40B4-BE49-F238E27FC236}">
              <a16:creationId xmlns:a16="http://schemas.microsoft.com/office/drawing/2014/main" id="{EE72B157-D931-4A12-B84B-7376D0F1C3B9}"/>
            </a:ext>
          </a:extLst>
        </xdr:cNvPr>
        <xdr:cNvSpPr/>
      </xdr:nvSpPr>
      <xdr:spPr>
        <a:xfrm>
          <a:off x="6379028" y="3024489"/>
          <a:ext cx="1397907" cy="241226"/>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lang="en-GB" sz="1400" b="0" u="sng">
              <a:solidFill>
                <a:srgbClr val="0079C1"/>
              </a:solidFill>
              <a:latin typeface="Poppins" panose="00000500000000000000" pitchFamily="2" charset="0"/>
              <a:cs typeface="Poppins" panose="00000500000000000000" pitchFamily="2" charset="0"/>
            </a:rPr>
            <a:t>HP CPA process</a:t>
          </a:r>
          <a:endParaRPr lang="en-GB" sz="1200" b="0" u="sng">
            <a:solidFill>
              <a:srgbClr val="0079C1"/>
            </a:solidFill>
            <a:latin typeface="Poppins" panose="00000500000000000000" pitchFamily="2" charset="0"/>
            <a:cs typeface="Poppins" panose="00000500000000000000" pitchFamily="2" charset="0"/>
          </a:endParaRPr>
        </a:p>
      </xdr:txBody>
    </xdr:sp>
    <xdr:clientData/>
  </xdr:twoCellAnchor>
  <xdr:twoCellAnchor>
    <xdr:from>
      <xdr:col>6</xdr:col>
      <xdr:colOff>762000</xdr:colOff>
      <xdr:row>37</xdr:row>
      <xdr:rowOff>349250</xdr:rowOff>
    </xdr:from>
    <xdr:to>
      <xdr:col>11</xdr:col>
      <xdr:colOff>209842</xdr:colOff>
      <xdr:row>52</xdr:row>
      <xdr:rowOff>40169</xdr:rowOff>
    </xdr:to>
    <xdr:graphicFrame macro="">
      <xdr:nvGraphicFramePr>
        <xdr:cNvPr id="2" name="Chart 1">
          <a:extLst>
            <a:ext uri="{FF2B5EF4-FFF2-40B4-BE49-F238E27FC236}">
              <a16:creationId xmlns:a16="http://schemas.microsoft.com/office/drawing/2014/main" id="{4A93CC93-EAFB-4CF9-9959-6B429F2C3C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connecteddata.nationalgrid.co.uk/dataset/electric-nation" TargetMode="External"/><Relationship Id="rId13" Type="http://schemas.openxmlformats.org/officeDocument/2006/relationships/hyperlink" Target="https://es.catapult.org.uk/report/electric-heavy-goods-vehicles-industry-perspectives-on-the-prospects-for-their-adoption-in-the-uk/" TargetMode="External"/><Relationship Id="rId3" Type="http://schemas.openxmlformats.org/officeDocument/2006/relationships/hyperlink" Target="https://www.erm.com/contentassets/553cd40a6def42b196e32e4d70e149a1/ev-charging-behaviour-study.pdf" TargetMode="External"/><Relationship Id="rId7" Type="http://schemas.openxmlformats.org/officeDocument/2006/relationships/hyperlink" Target="https://connecteddata.nationalgrid.co.uk/dataset/electric-nation" TargetMode="External"/><Relationship Id="rId12" Type="http://schemas.openxmlformats.org/officeDocument/2006/relationships/hyperlink" Target="https://innovation.ukpowernetworks.co.uk/projects/shift" TargetMode="External"/><Relationship Id="rId17" Type="http://schemas.openxmlformats.org/officeDocument/2006/relationships/hyperlink" Target="https://co2cars.apps.eea.europa.eu/" TargetMode="External"/><Relationship Id="rId2" Type="http://schemas.openxmlformats.org/officeDocument/2006/relationships/hyperlink" Target="https://www.gov.uk/government/publications/tag-data-book" TargetMode="External"/><Relationship Id="rId16" Type="http://schemas.openxmlformats.org/officeDocument/2006/relationships/hyperlink" Target="https://theicct.org/wp-content/uploads/2022/06/real-world-phev-use-jun22-1.pdf" TargetMode="External"/><Relationship Id="rId1" Type="http://schemas.openxmlformats.org/officeDocument/2006/relationships/hyperlink" Target="https://www.gov.uk/government/statistical-data-sets/road-traffic-statistics-tra" TargetMode="External"/><Relationship Id="rId6" Type="http://schemas.openxmlformats.org/officeDocument/2006/relationships/hyperlink" Target="https://www.erm.com/contentassets/553cd40a6def42b196e32e4d70e149a1/ev-charging-behaviour-study.pdf" TargetMode="External"/><Relationship Id="rId11" Type="http://schemas.openxmlformats.org/officeDocument/2006/relationships/hyperlink" Target="https://www.gov.uk/government/statistical-data-sets/vehicle-licensing-statistics-data-tables" TargetMode="External"/><Relationship Id="rId5" Type="http://schemas.openxmlformats.org/officeDocument/2006/relationships/hyperlink" Target="https://www.gov.uk/government/collections/electric-vehicle-charging-infrastructure-statistics" TargetMode="External"/><Relationship Id="rId15" Type="http://schemas.openxmlformats.org/officeDocument/2006/relationships/hyperlink" Target="https://www.legislation.gov.uk/uksi/2025/1101/pdfs/uksiod_20251101_en_001.pdf" TargetMode="External"/><Relationship Id="rId10" Type="http://schemas.openxmlformats.org/officeDocument/2006/relationships/hyperlink" Target="https://www.gov.uk/government/statistical-data-sets/road-traffic-statistics-tra" TargetMode="External"/><Relationship Id="rId4" Type="http://schemas.openxmlformats.org/officeDocument/2006/relationships/hyperlink" Target="https://www.greenfinanceinstitute.com/wp-content/uploads/2024/09/Demystifying-Utilisation-2024-Update.pdf" TargetMode="External"/><Relationship Id="rId9" Type="http://schemas.openxmlformats.org/officeDocument/2006/relationships/hyperlink" Target="https://www.neso.energy/publications/future-energy-scenarios-fes/fes-documents" TargetMode="External"/><Relationship Id="rId14" Type="http://schemas.openxmlformats.org/officeDocument/2006/relationships/hyperlink" Target="https://assets.publishing.service.gov.uk/media/6899f224e7be62b4f0643229/speed-emission-energy-consumption-curves-operating-cost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24.xml.rels><?xml version="1.0" encoding="UTF-8" standalone="yes"?>
<Relationships xmlns="http://schemas.openxmlformats.org/package/2006/relationships"><Relationship Id="rId8" Type="http://schemas.openxmlformats.org/officeDocument/2006/relationships/hyperlink" Target="https://usmart.io/org/esc/discovery/discovery-view-detail/6a5e5753-aaff-455e-8b3b-8ee282010261" TargetMode="External"/><Relationship Id="rId13" Type="http://schemas.openxmlformats.org/officeDocument/2006/relationships/hyperlink" Target="https://mcscertified.com/wp-content/uploads/2025/02/MIS-3005-D-2025-V1.0.pdf" TargetMode="External"/><Relationship Id="rId3" Type="http://schemas.openxmlformats.org/officeDocument/2006/relationships/hyperlink" Target="https://catalogue.ceda.ac.uk/uuid/3302df4f8d174999bfbc5d0b86d93dce/?jump=related-docs-anchor" TargetMode="External"/><Relationship Id="rId7" Type="http://schemas.openxmlformats.org/officeDocument/2006/relationships/hyperlink" Target="https://www.gov.uk/government/statistics/council-tax-stock-of-properties-2024" TargetMode="External"/><Relationship Id="rId12" Type="http://schemas.openxmlformats.org/officeDocument/2006/relationships/hyperlink" Target="https://beta.ukdataservice.ac.uk/datacatalogue/studies/study?id=9209" TargetMode="External"/><Relationship Id="rId2" Type="http://schemas.openxmlformats.org/officeDocument/2006/relationships/hyperlink" Target="https://github.com/ES-Catapult/electrification_of_heat/blob/main/notebooks/Analysis%202%20-%20COP%20%26%20Energy%20vs%20Temperature.ipynb" TargetMode="External"/><Relationship Id="rId1" Type="http://schemas.openxmlformats.org/officeDocument/2006/relationships/hyperlink" Target="https://tools.bregroup.com/heatpumpefficiency/dwelling-heat-loss" TargetMode="External"/><Relationship Id="rId6" Type="http://schemas.openxmlformats.org/officeDocument/2006/relationships/hyperlink" Target="https://beta.ukdataservice.ac.uk/datacatalogue/studies/study?id=9209" TargetMode="External"/><Relationship Id="rId11" Type="http://schemas.openxmlformats.org/officeDocument/2006/relationships/hyperlink" Target="https://www.sciencedirect.com/science/article/pii/S037877882100061X" TargetMode="External"/><Relationship Id="rId5" Type="http://schemas.openxmlformats.org/officeDocument/2006/relationships/hyperlink" Target="https://beta.ukdataservice.ac.uk/datacatalogue/studies/study?id=9209" TargetMode="External"/><Relationship Id="rId10" Type="http://schemas.openxmlformats.org/officeDocument/2006/relationships/hyperlink" Target="https://www.sciencedirect.com/science/article/pii/S037877882100061X" TargetMode="External"/><Relationship Id="rId4" Type="http://schemas.openxmlformats.org/officeDocument/2006/relationships/hyperlink" Target="https://beta.ukdataservice.ac.uk/datacatalogue/studies/study?id=9209" TargetMode="External"/><Relationship Id="rId9" Type="http://schemas.openxmlformats.org/officeDocument/2006/relationships/hyperlink" Target="https://beta.ukdataservice.ac.uk/datacatalogue/studies/study?id=9209" TargetMode="Externa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hyperlink" Target="https://www.ons.gov.uk/peoplepopulationandcommunity/housing/bulletins/housingenglandandwales/census2021"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ons.gov.uk/peoplepopulationandcommunity/housing/bulletins/housingenglandandwales/census2021"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8.xml.rels><?xml version="1.0" encoding="UTF-8" standalone="yes"?>
<Relationships xmlns="http://schemas.openxmlformats.org/package/2006/relationships"><Relationship Id="rId1" Type="http://schemas.openxmlformats.org/officeDocument/2006/relationships/hyperlink" Target="https://www.neso.energy/publications/future-energy-scenarios-fe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0CD4-D4FC-422D-8970-B73914D023F9}">
  <sheetPr>
    <tabColor rgb="FF7A3864"/>
  </sheetPr>
  <dimension ref="A1:W22"/>
  <sheetViews>
    <sheetView showGridLines="0" showRowColHeaders="0" tabSelected="1" zoomScale="80" zoomScaleNormal="80" workbookViewId="0"/>
  </sheetViews>
  <sheetFormatPr defaultColWidth="0" defaultRowHeight="20.45" zeroHeight="1"/>
  <cols>
    <col min="1" max="1" width="7" customWidth="1"/>
    <col min="2" max="9" width="9.09765625" customWidth="1"/>
    <col min="10" max="10" width="27.69921875" customWidth="1"/>
    <col min="11" max="23" width="9.09765625" customWidth="1"/>
    <col min="24" max="16384" width="6.8984375" hidden="1"/>
  </cols>
  <sheetData>
    <row r="1" spans="1:10" s="90" customFormat="1" ht="37.5" customHeight="1">
      <c r="A1" s="87"/>
      <c r="B1" s="87" t="s">
        <v>0</v>
      </c>
      <c r="C1" s="91"/>
      <c r="D1" s="91"/>
      <c r="E1" s="91"/>
      <c r="F1" s="91"/>
    </row>
    <row r="2" spans="1:10" ht="11.65" customHeight="1"/>
    <row r="3" spans="1:10">
      <c r="B3" s="157" t="s">
        <v>1</v>
      </c>
      <c r="C3" s="25"/>
      <c r="D3" s="25"/>
      <c r="E3" s="25"/>
      <c r="F3" s="25"/>
      <c r="G3" s="25"/>
      <c r="H3" s="25"/>
      <c r="I3" s="25"/>
      <c r="J3" s="25"/>
    </row>
    <row r="4" spans="1:10" ht="82.15" customHeight="1">
      <c r="B4" s="317" t="s">
        <v>2</v>
      </c>
      <c r="C4" s="317"/>
      <c r="D4" s="317"/>
      <c r="E4" s="317"/>
      <c r="F4" s="317"/>
      <c r="G4" s="317"/>
      <c r="H4" s="317"/>
      <c r="I4" s="317"/>
      <c r="J4" s="317"/>
    </row>
    <row r="5" spans="1:10" ht="11.1" customHeight="1">
      <c r="B5" s="158"/>
      <c r="C5" s="158"/>
      <c r="D5" s="158"/>
      <c r="E5" s="158"/>
      <c r="F5" s="158"/>
      <c r="G5" s="158"/>
      <c r="H5" s="158"/>
      <c r="I5" s="158"/>
      <c r="J5" s="158"/>
    </row>
    <row r="6" spans="1:10" ht="9" customHeight="1"/>
    <row r="7" spans="1:10"/>
    <row r="8" spans="1:10"/>
    <row r="9" spans="1:10"/>
    <row r="10" spans="1:10">
      <c r="B10" s="157" t="s">
        <v>3</v>
      </c>
    </row>
    <row r="11" spans="1:10">
      <c r="B11" s="99" t="s">
        <v>4</v>
      </c>
    </row>
    <row r="12" spans="1:10"/>
    <row r="13" spans="1:10"/>
    <row r="14" spans="1:10"/>
    <row r="15" spans="1:10">
      <c r="B15" s="92"/>
    </row>
    <row r="16" spans="1:10" ht="22.15" customHeight="1">
      <c r="B16" s="93"/>
      <c r="C16" s="93"/>
      <c r="D16" s="93"/>
      <c r="E16" s="93"/>
      <c r="F16" s="93"/>
      <c r="G16" s="93"/>
      <c r="H16" s="93"/>
      <c r="I16" s="93"/>
      <c r="J16" s="93"/>
    </row>
    <row r="17" spans="2:10">
      <c r="B17" s="93"/>
      <c r="C17" s="93"/>
      <c r="D17" s="93"/>
      <c r="E17" s="93"/>
      <c r="F17" s="93"/>
      <c r="G17" s="93"/>
      <c r="H17" s="93"/>
      <c r="I17" s="93"/>
      <c r="J17" s="93"/>
    </row>
    <row r="18" spans="2:10">
      <c r="B18" s="93"/>
      <c r="C18" s="93"/>
      <c r="D18" s="93"/>
      <c r="E18" s="93"/>
      <c r="F18" s="93"/>
      <c r="G18" s="93"/>
      <c r="H18" s="93"/>
      <c r="I18" s="93"/>
      <c r="J18" s="93"/>
    </row>
    <row r="19" spans="2:10" ht="120" hidden="1" customHeight="1">
      <c r="B19" s="93"/>
      <c r="C19" s="93"/>
      <c r="D19" s="93"/>
      <c r="E19" s="93"/>
      <c r="F19" s="93"/>
      <c r="G19" s="93"/>
      <c r="H19" s="93"/>
      <c r="I19" s="93"/>
      <c r="J19" s="93"/>
    </row>
    <row r="20" spans="2:10"/>
    <row r="21" spans="2:10"/>
    <row r="22" spans="2:10"/>
  </sheetData>
  <mergeCells count="1">
    <mergeCell ref="B4:J4"/>
  </mergeCells>
  <hyperlinks>
    <hyperlink ref="B11" location="'Version Control'!A1" display="Version Control" xr:uid="{E8C6EFDF-311E-45FB-B5F7-CCF38BFED147}"/>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B9E6-86E4-4554-A6B2-D2EFBAB84E70}">
  <sheetPr>
    <tabColor theme="8"/>
  </sheetPr>
  <dimension ref="A1:Z29"/>
  <sheetViews>
    <sheetView showGridLines="0" zoomScale="70" zoomScaleNormal="70" workbookViewId="0">
      <pane xSplit="2" ySplit="3" topLeftCell="C4" activePane="bottomRight" state="frozen"/>
      <selection pane="bottomRight"/>
      <selection pane="bottomLeft" activeCell="C8" sqref="C8"/>
      <selection pane="topRight" activeCell="C8" sqref="C8"/>
    </sheetView>
  </sheetViews>
  <sheetFormatPr defaultRowHeight="20.45" outlineLevelCol="1"/>
  <cols>
    <col min="1" max="1" width="17.5" style="282" customWidth="1"/>
    <col min="2" max="5" width="38.19921875" style="282" customWidth="1"/>
    <col min="6" max="6" width="34.19921875" style="282" customWidth="1"/>
    <col min="7" max="7" width="33" style="282" customWidth="1"/>
    <col min="8" max="8" width="53.5" style="282" customWidth="1"/>
    <col min="9" max="9" width="37.8984375" customWidth="1"/>
    <col min="10" max="10" width="19.5" customWidth="1"/>
    <col min="11" max="11" width="33" style="282" customWidth="1" outlineLevel="1"/>
    <col min="12" max="12" width="8.8984375" customWidth="1" outlineLevel="1"/>
    <col min="13" max="13" width="32.5" style="282" customWidth="1" outlineLevel="1"/>
    <col min="14" max="14" width="8.8984375" customWidth="1" outlineLevel="1"/>
    <col min="15" max="15" width="21.5" style="282" customWidth="1" outlineLevel="1"/>
    <col min="16" max="16" width="8.8984375" customWidth="1" outlineLevel="1"/>
    <col min="17" max="17" width="20" style="282" customWidth="1" outlineLevel="1"/>
    <col min="18" max="18" width="8.8984375" customWidth="1" outlineLevel="1"/>
    <col min="19" max="19" width="26.19921875" style="282" customWidth="1" outlineLevel="1"/>
    <col min="20" max="20" width="8.8984375" customWidth="1" outlineLevel="1"/>
    <col min="21" max="21" width="16.5" style="282" customWidth="1" outlineLevel="1"/>
    <col min="22" max="22" width="8.8984375" customWidth="1" outlineLevel="1"/>
    <col min="23" max="23" width="9.19921875" customWidth="1"/>
  </cols>
  <sheetData>
    <row r="1" spans="1:22" s="90" customFormat="1" ht="31.9">
      <c r="A1" s="293" t="s">
        <v>339</v>
      </c>
      <c r="B1" s="281"/>
      <c r="C1" s="281"/>
      <c r="D1" s="281"/>
      <c r="E1" s="281"/>
      <c r="F1" s="281"/>
      <c r="G1" s="281"/>
      <c r="H1" s="281"/>
      <c r="K1" s="281"/>
      <c r="M1" s="281"/>
      <c r="O1" s="281"/>
      <c r="Q1" s="281"/>
      <c r="S1" s="281"/>
      <c r="U1" s="281"/>
    </row>
    <row r="2" spans="1:22" ht="25.15" customHeight="1" thickBot="1">
      <c r="A2" s="294" t="s">
        <v>57</v>
      </c>
    </row>
    <row r="3" spans="1:22" ht="41.45" thickBot="1">
      <c r="A3" s="288" t="s">
        <v>150</v>
      </c>
      <c r="B3" s="288" t="s">
        <v>18</v>
      </c>
      <c r="C3" s="295" t="s">
        <v>163</v>
      </c>
      <c r="D3" s="295" t="s">
        <v>7</v>
      </c>
      <c r="E3" s="283" t="s">
        <v>340</v>
      </c>
      <c r="F3" s="283" t="s">
        <v>341</v>
      </c>
      <c r="G3" s="283" t="s">
        <v>342</v>
      </c>
      <c r="H3" s="296" t="s">
        <v>343</v>
      </c>
      <c r="I3" s="50" t="s">
        <v>344</v>
      </c>
      <c r="J3" s="50" t="s">
        <v>345</v>
      </c>
      <c r="K3" s="283" t="s">
        <v>346</v>
      </c>
      <c r="L3" s="49" t="s">
        <v>347</v>
      </c>
      <c r="M3" s="283" t="s">
        <v>348</v>
      </c>
      <c r="N3" s="49" t="s">
        <v>347</v>
      </c>
      <c r="O3" s="283" t="s">
        <v>349</v>
      </c>
      <c r="P3" s="49" t="s">
        <v>347</v>
      </c>
      <c r="Q3" s="283" t="s">
        <v>350</v>
      </c>
      <c r="R3" s="49" t="s">
        <v>347</v>
      </c>
      <c r="S3" s="283" t="s">
        <v>351</v>
      </c>
      <c r="T3" s="49" t="s">
        <v>347</v>
      </c>
      <c r="U3" s="283" t="s">
        <v>352</v>
      </c>
      <c r="V3" s="49" t="s">
        <v>347</v>
      </c>
    </row>
    <row r="4" spans="1:22" ht="93.6" customHeight="1" thickBot="1">
      <c r="A4" s="379" t="s">
        <v>20</v>
      </c>
      <c r="B4" s="379" t="s">
        <v>224</v>
      </c>
      <c r="C4" s="384" t="s">
        <v>353</v>
      </c>
      <c r="D4" s="384" t="s">
        <v>354</v>
      </c>
      <c r="E4" s="384" t="s">
        <v>355</v>
      </c>
      <c r="F4" s="285" t="s">
        <v>356</v>
      </c>
      <c r="G4" s="297" t="s">
        <v>357</v>
      </c>
      <c r="H4" s="385" t="s">
        <v>358</v>
      </c>
      <c r="I4" s="378" t="s">
        <v>359</v>
      </c>
      <c r="J4" s="378">
        <f>IFERROR(ROUND(AVERAGEIF(L4:V4,"&lt;&gt;0"),0),"NA")</f>
        <v>3</v>
      </c>
      <c r="K4" s="384" t="s">
        <v>360</v>
      </c>
      <c r="L4" s="382">
        <v>3</v>
      </c>
      <c r="M4" s="384" t="s">
        <v>361</v>
      </c>
      <c r="N4" s="382">
        <v>3</v>
      </c>
      <c r="O4" s="384" t="s">
        <v>362</v>
      </c>
      <c r="P4" s="382">
        <v>3</v>
      </c>
      <c r="Q4" s="384" t="s">
        <v>363</v>
      </c>
      <c r="R4" s="382">
        <v>3</v>
      </c>
      <c r="S4" s="383" t="s">
        <v>364</v>
      </c>
      <c r="T4" s="382">
        <v>2</v>
      </c>
      <c r="U4" s="383" t="s">
        <v>365</v>
      </c>
      <c r="V4" s="382">
        <v>2</v>
      </c>
    </row>
    <row r="5" spans="1:22" ht="93.6" customHeight="1" thickBot="1">
      <c r="A5" s="380"/>
      <c r="B5" s="380"/>
      <c r="C5" s="347"/>
      <c r="D5" s="347"/>
      <c r="E5" s="347"/>
      <c r="F5" s="285" t="s">
        <v>366</v>
      </c>
      <c r="G5" s="297" t="s">
        <v>367</v>
      </c>
      <c r="H5" s="385"/>
      <c r="I5" s="378"/>
      <c r="J5" s="378"/>
      <c r="K5" s="347"/>
      <c r="L5" s="344"/>
      <c r="M5" s="347"/>
      <c r="N5" s="344"/>
      <c r="O5" s="347"/>
      <c r="P5" s="344"/>
      <c r="Q5" s="347"/>
      <c r="R5" s="344"/>
      <c r="S5" s="353"/>
      <c r="T5" s="344"/>
      <c r="U5" s="353"/>
      <c r="V5" s="344"/>
    </row>
    <row r="6" spans="1:22" ht="93.6" customHeight="1" thickBot="1">
      <c r="A6" s="373"/>
      <c r="B6" s="373"/>
      <c r="C6" s="348"/>
      <c r="D6" s="348"/>
      <c r="E6" s="348"/>
      <c r="F6" s="285" t="s">
        <v>368</v>
      </c>
      <c r="G6" s="297" t="s">
        <v>369</v>
      </c>
      <c r="H6" s="386"/>
      <c r="I6" s="369"/>
      <c r="J6" s="369"/>
      <c r="K6" s="348"/>
      <c r="L6" s="345"/>
      <c r="M6" s="348"/>
      <c r="N6" s="345"/>
      <c r="O6" s="348"/>
      <c r="P6" s="345"/>
      <c r="Q6" s="348"/>
      <c r="R6" s="345"/>
      <c r="S6" s="354"/>
      <c r="T6" s="345"/>
      <c r="U6" s="354"/>
      <c r="V6" s="345"/>
    </row>
    <row r="7" spans="1:22" ht="99.6" thickBot="1">
      <c r="A7" s="362" t="s">
        <v>21</v>
      </c>
      <c r="B7" s="362" t="s">
        <v>243</v>
      </c>
      <c r="C7" s="340" t="s">
        <v>370</v>
      </c>
      <c r="D7" s="340" t="s">
        <v>371</v>
      </c>
      <c r="E7" s="340" t="s">
        <v>372</v>
      </c>
      <c r="F7" s="284" t="s">
        <v>373</v>
      </c>
      <c r="G7" s="298" t="s">
        <v>374</v>
      </c>
      <c r="H7" s="337" t="s">
        <v>375</v>
      </c>
      <c r="I7" s="337" t="s">
        <v>376</v>
      </c>
      <c r="J7" s="352">
        <f t="shared" ref="J7:J23" si="0">IFERROR(ROUND(AVERAGEIF(L7:V7,"&lt;&gt;0"),0),"NA")</f>
        <v>2</v>
      </c>
      <c r="K7" s="349" t="s">
        <v>377</v>
      </c>
      <c r="L7" s="343">
        <v>3</v>
      </c>
      <c r="M7" s="337" t="s">
        <v>378</v>
      </c>
      <c r="N7" s="346">
        <v>2</v>
      </c>
      <c r="O7" s="349" t="s">
        <v>379</v>
      </c>
      <c r="P7" s="346">
        <v>3</v>
      </c>
      <c r="Q7" s="337" t="s">
        <v>380</v>
      </c>
      <c r="R7" s="346">
        <v>2</v>
      </c>
      <c r="S7" s="340" t="s">
        <v>381</v>
      </c>
      <c r="T7" s="343">
        <v>2</v>
      </c>
      <c r="U7" s="340" t="s">
        <v>365</v>
      </c>
      <c r="V7" s="343">
        <v>2</v>
      </c>
    </row>
    <row r="8" spans="1:22" ht="79.900000000000006" thickBot="1">
      <c r="A8" s="363"/>
      <c r="B8" s="363"/>
      <c r="C8" s="341"/>
      <c r="D8" s="341"/>
      <c r="E8" s="341"/>
      <c r="F8" s="284" t="s">
        <v>382</v>
      </c>
      <c r="G8" s="298" t="s">
        <v>383</v>
      </c>
      <c r="H8" s="338"/>
      <c r="I8" s="338"/>
      <c r="J8" s="353"/>
      <c r="K8" s="350"/>
      <c r="L8" s="344"/>
      <c r="M8" s="338"/>
      <c r="N8" s="347"/>
      <c r="O8" s="350"/>
      <c r="P8" s="347"/>
      <c r="Q8" s="338"/>
      <c r="R8" s="347"/>
      <c r="S8" s="341"/>
      <c r="T8" s="344"/>
      <c r="U8" s="341"/>
      <c r="V8" s="344"/>
    </row>
    <row r="9" spans="1:22" ht="60" thickBot="1">
      <c r="A9" s="363"/>
      <c r="B9" s="363"/>
      <c r="C9" s="341"/>
      <c r="D9" s="341"/>
      <c r="E9" s="341"/>
      <c r="F9" s="284" t="s">
        <v>384</v>
      </c>
      <c r="G9" s="298" t="s">
        <v>385</v>
      </c>
      <c r="H9" s="339"/>
      <c r="I9" s="338"/>
      <c r="J9" s="353"/>
      <c r="K9" s="350"/>
      <c r="L9" s="344"/>
      <c r="M9" s="338"/>
      <c r="N9" s="347"/>
      <c r="O9" s="350"/>
      <c r="P9" s="347"/>
      <c r="Q9" s="338"/>
      <c r="R9" s="347"/>
      <c r="S9" s="341"/>
      <c r="T9" s="344"/>
      <c r="U9" s="341"/>
      <c r="V9" s="344"/>
    </row>
    <row r="10" spans="1:22" ht="99.6" thickBot="1">
      <c r="A10" s="364"/>
      <c r="B10" s="364"/>
      <c r="C10" s="342"/>
      <c r="D10" s="342"/>
      <c r="E10" s="342"/>
      <c r="F10" s="284" t="s">
        <v>386</v>
      </c>
      <c r="G10" s="298" t="s">
        <v>387</v>
      </c>
      <c r="H10" s="302" t="s">
        <v>388</v>
      </c>
      <c r="I10" s="339"/>
      <c r="J10" s="354"/>
      <c r="K10" s="351"/>
      <c r="L10" s="345"/>
      <c r="M10" s="339"/>
      <c r="N10" s="348"/>
      <c r="O10" s="351"/>
      <c r="P10" s="348"/>
      <c r="Q10" s="339"/>
      <c r="R10" s="348"/>
      <c r="S10" s="342"/>
      <c r="T10" s="345"/>
      <c r="U10" s="342"/>
      <c r="V10" s="345"/>
    </row>
    <row r="11" spans="1:22" ht="80.650000000000006" customHeight="1" thickBot="1">
      <c r="A11" s="372" t="s">
        <v>22</v>
      </c>
      <c r="B11" s="372" t="s">
        <v>262</v>
      </c>
      <c r="C11" s="346" t="s">
        <v>389</v>
      </c>
      <c r="D11" s="346" t="s">
        <v>390</v>
      </c>
      <c r="E11" s="346" t="s">
        <v>391</v>
      </c>
      <c r="F11" s="285" t="s">
        <v>392</v>
      </c>
      <c r="G11" s="297" t="s">
        <v>393</v>
      </c>
      <c r="H11" s="352" t="s">
        <v>394</v>
      </c>
      <c r="I11" s="346" t="s">
        <v>395</v>
      </c>
      <c r="J11" s="352">
        <f t="shared" si="0"/>
        <v>3</v>
      </c>
      <c r="K11" s="346" t="s">
        <v>360</v>
      </c>
      <c r="L11" s="346">
        <v>3</v>
      </c>
      <c r="M11" s="346" t="s">
        <v>396</v>
      </c>
      <c r="N11" s="346">
        <v>3</v>
      </c>
      <c r="O11" s="346" t="s">
        <v>397</v>
      </c>
      <c r="P11" s="346">
        <v>3</v>
      </c>
      <c r="Q11" s="346" t="s">
        <v>398</v>
      </c>
      <c r="R11" s="346">
        <v>3</v>
      </c>
      <c r="S11" s="346" t="s">
        <v>399</v>
      </c>
      <c r="T11" s="346">
        <v>3</v>
      </c>
      <c r="U11" s="346" t="s">
        <v>365</v>
      </c>
      <c r="V11" s="346">
        <v>1</v>
      </c>
    </row>
    <row r="12" spans="1:22" ht="60" thickBot="1">
      <c r="A12" s="373"/>
      <c r="B12" s="373"/>
      <c r="C12" s="348"/>
      <c r="D12" s="348"/>
      <c r="E12" s="348"/>
      <c r="F12" s="286" t="s">
        <v>400</v>
      </c>
      <c r="G12" s="286" t="s">
        <v>269</v>
      </c>
      <c r="H12" s="354"/>
      <c r="I12" s="348"/>
      <c r="J12" s="354"/>
      <c r="K12" s="348"/>
      <c r="L12" s="348"/>
      <c r="M12" s="348"/>
      <c r="N12" s="348"/>
      <c r="O12" s="348"/>
      <c r="P12" s="348"/>
      <c r="Q12" s="348"/>
      <c r="R12" s="348"/>
      <c r="S12" s="348"/>
      <c r="T12" s="348"/>
      <c r="U12" s="348"/>
      <c r="V12" s="348"/>
    </row>
    <row r="13" spans="1:22" ht="60" thickBot="1">
      <c r="A13" s="362" t="s">
        <v>23</v>
      </c>
      <c r="B13" s="362" t="s">
        <v>276</v>
      </c>
      <c r="C13" s="340" t="s">
        <v>401</v>
      </c>
      <c r="D13" s="340" t="s">
        <v>402</v>
      </c>
      <c r="E13" s="340" t="s">
        <v>403</v>
      </c>
      <c r="F13" s="284" t="s">
        <v>404</v>
      </c>
      <c r="G13" s="298" t="s">
        <v>405</v>
      </c>
      <c r="H13" s="340" t="s">
        <v>406</v>
      </c>
      <c r="I13" s="370" t="s">
        <v>407</v>
      </c>
      <c r="J13" s="368">
        <f t="shared" si="0"/>
        <v>2</v>
      </c>
      <c r="K13" s="340" t="s">
        <v>408</v>
      </c>
      <c r="L13" s="343">
        <v>2</v>
      </c>
      <c r="M13" s="340" t="s">
        <v>409</v>
      </c>
      <c r="N13" s="343">
        <v>2</v>
      </c>
      <c r="O13" s="340" t="s">
        <v>410</v>
      </c>
      <c r="P13" s="343">
        <v>1</v>
      </c>
      <c r="Q13" s="340" t="s">
        <v>411</v>
      </c>
      <c r="R13" s="343">
        <v>3</v>
      </c>
      <c r="S13" s="340" t="s">
        <v>364</v>
      </c>
      <c r="T13" s="343">
        <v>2</v>
      </c>
      <c r="U13" s="340" t="s">
        <v>365</v>
      </c>
      <c r="V13" s="343">
        <v>2</v>
      </c>
    </row>
    <row r="14" spans="1:22" ht="99.6" thickBot="1">
      <c r="A14" s="363"/>
      <c r="B14" s="363"/>
      <c r="C14" s="341"/>
      <c r="D14" s="341"/>
      <c r="E14" s="341"/>
      <c r="F14" s="284" t="s">
        <v>412</v>
      </c>
      <c r="G14" s="298" t="s">
        <v>413</v>
      </c>
      <c r="H14" s="341"/>
      <c r="I14" s="381"/>
      <c r="J14" s="378"/>
      <c r="K14" s="341"/>
      <c r="L14" s="344"/>
      <c r="M14" s="341"/>
      <c r="N14" s="344"/>
      <c r="O14" s="341"/>
      <c r="P14" s="344"/>
      <c r="Q14" s="341"/>
      <c r="R14" s="344"/>
      <c r="S14" s="341"/>
      <c r="T14" s="344"/>
      <c r="U14" s="341"/>
      <c r="V14" s="344"/>
    </row>
    <row r="15" spans="1:22" ht="60" thickBot="1">
      <c r="A15" s="363"/>
      <c r="B15" s="363"/>
      <c r="C15" s="341"/>
      <c r="D15" s="341"/>
      <c r="E15" s="341"/>
      <c r="F15" s="284" t="s">
        <v>414</v>
      </c>
      <c r="G15" s="298" t="s">
        <v>415</v>
      </c>
      <c r="H15" s="341"/>
      <c r="I15" s="381"/>
      <c r="J15" s="378"/>
      <c r="K15" s="341"/>
      <c r="L15" s="344"/>
      <c r="M15" s="341"/>
      <c r="N15" s="344"/>
      <c r="O15" s="341"/>
      <c r="P15" s="344"/>
      <c r="Q15" s="341"/>
      <c r="R15" s="344"/>
      <c r="S15" s="341"/>
      <c r="T15" s="344"/>
      <c r="U15" s="341"/>
      <c r="V15" s="344"/>
    </row>
    <row r="16" spans="1:22" ht="40.15" thickBot="1">
      <c r="A16" s="364"/>
      <c r="B16" s="364"/>
      <c r="C16" s="342"/>
      <c r="D16" s="342"/>
      <c r="E16" s="342"/>
      <c r="F16" s="284" t="s">
        <v>416</v>
      </c>
      <c r="G16" s="298" t="s">
        <v>417</v>
      </c>
      <c r="H16" s="342"/>
      <c r="I16" s="371"/>
      <c r="J16" s="369"/>
      <c r="K16" s="342"/>
      <c r="L16" s="345"/>
      <c r="M16" s="342"/>
      <c r="N16" s="345"/>
      <c r="O16" s="342"/>
      <c r="P16" s="345"/>
      <c r="Q16" s="342"/>
      <c r="R16" s="345"/>
      <c r="S16" s="342"/>
      <c r="T16" s="345"/>
      <c r="U16" s="342"/>
      <c r="V16" s="345"/>
    </row>
    <row r="17" spans="1:26" ht="60" thickBot="1">
      <c r="A17" s="289" t="s">
        <v>24</v>
      </c>
      <c r="B17" s="289" t="s">
        <v>418</v>
      </c>
      <c r="C17" s="285" t="s">
        <v>419</v>
      </c>
      <c r="D17" s="285" t="s">
        <v>420</v>
      </c>
      <c r="E17" s="285" t="s">
        <v>403</v>
      </c>
      <c r="F17" s="286" t="s">
        <v>421</v>
      </c>
      <c r="G17" s="297" t="s">
        <v>422</v>
      </c>
      <c r="H17" s="286" t="s">
        <v>423</v>
      </c>
      <c r="I17" s="11" t="s">
        <v>424</v>
      </c>
      <c r="J17" s="11">
        <f>IFERROR(ROUND(AVERAGEIF(L17:V17,"&lt;&gt;0"),0),"NA")</f>
        <v>3</v>
      </c>
      <c r="K17" s="286" t="s">
        <v>425</v>
      </c>
      <c r="L17" s="9">
        <v>2</v>
      </c>
      <c r="M17" s="286" t="s">
        <v>426</v>
      </c>
      <c r="N17" s="9">
        <v>3</v>
      </c>
      <c r="O17" s="286" t="s">
        <v>427</v>
      </c>
      <c r="P17" s="9">
        <v>3</v>
      </c>
      <c r="Q17" s="286" t="s">
        <v>428</v>
      </c>
      <c r="R17" s="9">
        <v>2</v>
      </c>
      <c r="S17" s="286" t="s">
        <v>429</v>
      </c>
      <c r="T17" s="9">
        <v>3</v>
      </c>
      <c r="U17" s="286" t="s">
        <v>365</v>
      </c>
      <c r="V17" s="9">
        <v>2</v>
      </c>
    </row>
    <row r="18" spans="1:26" ht="120.6" customHeight="1" thickBot="1">
      <c r="A18" s="362" t="s">
        <v>25</v>
      </c>
      <c r="B18" s="365" t="s">
        <v>296</v>
      </c>
      <c r="C18" s="355" t="s">
        <v>430</v>
      </c>
      <c r="D18" s="355" t="s">
        <v>431</v>
      </c>
      <c r="E18" s="355" t="s">
        <v>432</v>
      </c>
      <c r="F18" s="284" t="s">
        <v>433</v>
      </c>
      <c r="G18" s="298" t="s">
        <v>405</v>
      </c>
      <c r="H18" s="357" t="s">
        <v>434</v>
      </c>
      <c r="I18" s="357" t="s">
        <v>435</v>
      </c>
      <c r="J18" s="368">
        <f t="shared" si="0"/>
        <v>2</v>
      </c>
      <c r="K18" s="370" t="s">
        <v>408</v>
      </c>
      <c r="L18" s="343">
        <v>2</v>
      </c>
      <c r="M18" s="357" t="s">
        <v>436</v>
      </c>
      <c r="N18" s="346">
        <v>3</v>
      </c>
      <c r="O18" s="340" t="s">
        <v>410</v>
      </c>
      <c r="P18" s="343">
        <v>2</v>
      </c>
      <c r="Q18" s="340" t="s">
        <v>437</v>
      </c>
      <c r="R18" s="343">
        <v>3</v>
      </c>
      <c r="S18" s="340" t="s">
        <v>438</v>
      </c>
      <c r="T18" s="343">
        <v>2</v>
      </c>
      <c r="U18" s="340" t="s">
        <v>365</v>
      </c>
      <c r="V18" s="343">
        <v>1</v>
      </c>
    </row>
    <row r="19" spans="1:26" ht="40.15" thickBot="1">
      <c r="A19" s="364"/>
      <c r="B19" s="367"/>
      <c r="C19" s="356"/>
      <c r="D19" s="356"/>
      <c r="E19" s="356"/>
      <c r="F19" s="284" t="s">
        <v>439</v>
      </c>
      <c r="G19" s="298" t="s">
        <v>440</v>
      </c>
      <c r="H19" s="358"/>
      <c r="I19" s="358"/>
      <c r="J19" s="369"/>
      <c r="K19" s="371"/>
      <c r="L19" s="345"/>
      <c r="M19" s="358"/>
      <c r="N19" s="348"/>
      <c r="O19" s="342"/>
      <c r="P19" s="345"/>
      <c r="Q19" s="342"/>
      <c r="R19" s="345"/>
      <c r="S19" s="342"/>
      <c r="T19" s="345"/>
      <c r="U19" s="342"/>
      <c r="V19" s="345"/>
    </row>
    <row r="20" spans="1:26" ht="79.900000000000006" thickBot="1">
      <c r="A20" s="372" t="s">
        <v>26</v>
      </c>
      <c r="B20" s="372" t="s">
        <v>301</v>
      </c>
      <c r="C20" s="346" t="s">
        <v>441</v>
      </c>
      <c r="D20" s="346" t="s">
        <v>442</v>
      </c>
      <c r="E20" s="346" t="s">
        <v>443</v>
      </c>
      <c r="F20" s="286" t="s">
        <v>444</v>
      </c>
      <c r="G20" s="297" t="s">
        <v>445</v>
      </c>
      <c r="H20" s="352" t="s">
        <v>446</v>
      </c>
      <c r="I20" s="368" t="s">
        <v>447</v>
      </c>
      <c r="J20" s="368">
        <f t="shared" si="0"/>
        <v>2</v>
      </c>
      <c r="K20" s="352" t="s">
        <v>448</v>
      </c>
      <c r="L20" s="343">
        <v>3</v>
      </c>
      <c r="M20" s="352" t="s">
        <v>449</v>
      </c>
      <c r="N20" s="343">
        <v>2</v>
      </c>
      <c r="O20" s="352" t="s">
        <v>450</v>
      </c>
      <c r="P20" s="343">
        <v>1</v>
      </c>
      <c r="Q20" s="352" t="s">
        <v>437</v>
      </c>
      <c r="R20" s="343">
        <v>3</v>
      </c>
      <c r="S20" s="352" t="s">
        <v>451</v>
      </c>
      <c r="T20" s="343">
        <v>2</v>
      </c>
      <c r="U20" s="352" t="s">
        <v>365</v>
      </c>
      <c r="V20" s="343">
        <v>2</v>
      </c>
    </row>
    <row r="21" spans="1:26" ht="99.6" thickBot="1">
      <c r="A21" s="373"/>
      <c r="B21" s="373"/>
      <c r="C21" s="348"/>
      <c r="D21" s="348"/>
      <c r="E21" s="348"/>
      <c r="F21" s="286" t="s">
        <v>452</v>
      </c>
      <c r="G21" s="297" t="s">
        <v>405</v>
      </c>
      <c r="H21" s="354"/>
      <c r="I21" s="369"/>
      <c r="J21" s="369"/>
      <c r="K21" s="354"/>
      <c r="L21" s="345"/>
      <c r="M21" s="354"/>
      <c r="N21" s="345"/>
      <c r="O21" s="354"/>
      <c r="P21" s="345"/>
      <c r="Q21" s="354"/>
      <c r="R21" s="345"/>
      <c r="S21" s="354"/>
      <c r="T21" s="345"/>
      <c r="U21" s="354"/>
      <c r="V21" s="345"/>
    </row>
    <row r="22" spans="1:26" ht="119.45" thickBot="1">
      <c r="A22" s="290" t="s">
        <v>27</v>
      </c>
      <c r="B22" s="291" t="s">
        <v>306</v>
      </c>
      <c r="C22" s="299" t="s">
        <v>453</v>
      </c>
      <c r="D22" s="299" t="s">
        <v>442</v>
      </c>
      <c r="E22" s="299" t="s">
        <v>454</v>
      </c>
      <c r="F22" s="287" t="s">
        <v>455</v>
      </c>
      <c r="G22" s="300" t="s">
        <v>445</v>
      </c>
      <c r="H22" s="287" t="s">
        <v>456</v>
      </c>
      <c r="I22" s="27" t="str">
        <f>I20</f>
        <v>Default values provided for each charger type.</v>
      </c>
      <c r="J22" s="11">
        <f t="shared" si="0"/>
        <v>2</v>
      </c>
      <c r="K22" s="287" t="str">
        <f>K20</f>
        <v>Based on real-word trial data</v>
      </c>
      <c r="L22" s="11">
        <v>3</v>
      </c>
      <c r="M22" s="287" t="str">
        <f>M20</f>
        <v xml:space="preserve">Relates to all different charging types modelled, domestic, workplace, slow/fast public, rapid public, and HGV depot. </v>
      </c>
      <c r="N22" s="9">
        <v>1</v>
      </c>
      <c r="O22" s="287" t="str">
        <f>O20</f>
        <v>Charging data from 2017 and 2018.</v>
      </c>
      <c r="P22" s="11">
        <v>1</v>
      </c>
      <c r="Q22" s="287" t="str">
        <f>Q20</f>
        <v>Based on GB-specific study.</v>
      </c>
      <c r="R22" s="11">
        <v>3</v>
      </c>
      <c r="S22" s="287" t="str">
        <f>S20</f>
        <v>Change through time captured by relating the diversity correction to the number of electric vehicles at the asset - higher EV adoption leads to higher diversity of demand.</v>
      </c>
      <c r="T22" s="11">
        <v>2</v>
      </c>
      <c r="U22" s="287" t="str">
        <f>U20</f>
        <v>Not considered.</v>
      </c>
      <c r="V22" s="11">
        <v>2</v>
      </c>
    </row>
    <row r="23" spans="1:26" ht="79.900000000000006" thickBot="1">
      <c r="A23" s="372" t="s">
        <v>28</v>
      </c>
      <c r="B23" s="374" t="s">
        <v>310</v>
      </c>
      <c r="C23" s="359" t="s">
        <v>457</v>
      </c>
      <c r="D23" s="359" t="s">
        <v>442</v>
      </c>
      <c r="E23" s="359" t="s">
        <v>458</v>
      </c>
      <c r="F23" s="301" t="s">
        <v>459</v>
      </c>
      <c r="G23" s="297" t="s">
        <v>460</v>
      </c>
      <c r="H23" s="359" t="s">
        <v>461</v>
      </c>
      <c r="I23" s="376" t="s">
        <v>462</v>
      </c>
      <c r="J23" s="368">
        <f t="shared" si="0"/>
        <v>2</v>
      </c>
      <c r="K23" s="359" t="s">
        <v>463</v>
      </c>
      <c r="L23" s="343">
        <v>2</v>
      </c>
      <c r="M23" s="359" t="s">
        <v>464</v>
      </c>
      <c r="N23" s="343">
        <v>2</v>
      </c>
      <c r="O23" s="359" t="s">
        <v>465</v>
      </c>
      <c r="P23" s="343">
        <v>3</v>
      </c>
      <c r="Q23" s="359" t="s">
        <v>466</v>
      </c>
      <c r="R23" s="343">
        <v>1</v>
      </c>
      <c r="S23" s="359" t="s">
        <v>381</v>
      </c>
      <c r="T23" s="343">
        <v>1</v>
      </c>
      <c r="U23" s="359" t="s">
        <v>365</v>
      </c>
      <c r="V23" s="343">
        <v>2</v>
      </c>
      <c r="Y23" s="17"/>
      <c r="Z23" s="17"/>
    </row>
    <row r="24" spans="1:26" ht="35.1" customHeight="1" thickBot="1">
      <c r="A24" s="373"/>
      <c r="B24" s="375"/>
      <c r="C24" s="360"/>
      <c r="D24" s="360"/>
      <c r="E24" s="360"/>
      <c r="F24" s="301" t="s">
        <v>467</v>
      </c>
      <c r="G24" s="297"/>
      <c r="H24" s="360"/>
      <c r="I24" s="377"/>
      <c r="J24" s="369"/>
      <c r="K24" s="360"/>
      <c r="L24" s="345"/>
      <c r="M24" s="360"/>
      <c r="N24" s="345"/>
      <c r="O24" s="360"/>
      <c r="P24" s="345"/>
      <c r="Q24" s="360"/>
      <c r="R24" s="345"/>
      <c r="S24" s="360"/>
      <c r="T24" s="345"/>
      <c r="U24" s="360"/>
      <c r="V24" s="345"/>
      <c r="Y24" s="17"/>
      <c r="Z24" s="17"/>
    </row>
    <row r="25" spans="1:26" ht="60" thickBot="1">
      <c r="A25" s="362" t="s">
        <v>29</v>
      </c>
      <c r="B25" s="365" t="s">
        <v>315</v>
      </c>
      <c r="C25" s="355" t="s">
        <v>468</v>
      </c>
      <c r="D25" s="355" t="s">
        <v>469</v>
      </c>
      <c r="E25" s="355" t="s">
        <v>136</v>
      </c>
      <c r="F25" s="299" t="s">
        <v>470</v>
      </c>
      <c r="G25" s="300" t="s">
        <v>471</v>
      </c>
      <c r="H25" s="355" t="s">
        <v>472</v>
      </c>
      <c r="I25" s="355" t="s">
        <v>473</v>
      </c>
      <c r="J25" s="355">
        <f>IFERROR(ROUND(AVERAGEIF(L25:V25,"&lt;&gt;0"),0),"NA")</f>
        <v>2</v>
      </c>
      <c r="K25" s="355" t="s">
        <v>474</v>
      </c>
      <c r="L25" s="355">
        <v>1</v>
      </c>
      <c r="M25" s="355" t="s">
        <v>475</v>
      </c>
      <c r="N25" s="355">
        <v>1</v>
      </c>
      <c r="O25" s="355" t="s">
        <v>476</v>
      </c>
      <c r="P25" s="355">
        <v>3</v>
      </c>
      <c r="Q25" s="355" t="s">
        <v>466</v>
      </c>
      <c r="R25" s="355">
        <v>2</v>
      </c>
      <c r="S25" s="355" t="s">
        <v>381</v>
      </c>
      <c r="T25" s="355">
        <v>2</v>
      </c>
      <c r="U25" s="355" t="s">
        <v>365</v>
      </c>
      <c r="V25" s="355">
        <v>2</v>
      </c>
    </row>
    <row r="26" spans="1:26" ht="40.15" thickBot="1">
      <c r="A26" s="363"/>
      <c r="B26" s="366"/>
      <c r="C26" s="361"/>
      <c r="D26" s="361"/>
      <c r="E26" s="361"/>
      <c r="F26" s="299" t="s">
        <v>477</v>
      </c>
      <c r="G26" s="300" t="s">
        <v>478</v>
      </c>
      <c r="H26" s="361"/>
      <c r="I26" s="361"/>
      <c r="J26" s="361"/>
      <c r="K26" s="361"/>
      <c r="L26" s="361"/>
      <c r="M26" s="361"/>
      <c r="N26" s="361"/>
      <c r="O26" s="361"/>
      <c r="P26" s="361"/>
      <c r="Q26" s="361"/>
      <c r="R26" s="361"/>
      <c r="S26" s="361"/>
      <c r="T26" s="361"/>
      <c r="U26" s="361"/>
      <c r="V26" s="361"/>
    </row>
    <row r="27" spans="1:26" ht="79.900000000000006" thickBot="1">
      <c r="A27" s="364"/>
      <c r="B27" s="367"/>
      <c r="C27" s="356"/>
      <c r="D27" s="356"/>
      <c r="E27" s="356"/>
      <c r="F27" s="299" t="s">
        <v>479</v>
      </c>
      <c r="G27" s="300" t="s">
        <v>480</v>
      </c>
      <c r="H27" s="356"/>
      <c r="I27" s="356"/>
      <c r="J27" s="356"/>
      <c r="K27" s="356"/>
      <c r="L27" s="356"/>
      <c r="M27" s="356"/>
      <c r="N27" s="356"/>
      <c r="O27" s="356"/>
      <c r="P27" s="356"/>
      <c r="Q27" s="356"/>
      <c r="R27" s="356"/>
      <c r="S27" s="356"/>
      <c r="T27" s="356"/>
      <c r="U27" s="356"/>
      <c r="V27" s="356"/>
    </row>
    <row r="28" spans="1:26">
      <c r="B28" s="292"/>
    </row>
    <row r="29" spans="1:26">
      <c r="B29" s="292"/>
    </row>
  </sheetData>
  <mergeCells count="160">
    <mergeCell ref="T4:T6"/>
    <mergeCell ref="U4:U6"/>
    <mergeCell ref="V4:V6"/>
    <mergeCell ref="E4:E6"/>
    <mergeCell ref="D4:D6"/>
    <mergeCell ref="C4:C6"/>
    <mergeCell ref="O4:O6"/>
    <mergeCell ref="N4:N6"/>
    <mergeCell ref="P4:P6"/>
    <mergeCell ref="Q4:Q6"/>
    <mergeCell ref="R4:R6"/>
    <mergeCell ref="S4:S6"/>
    <mergeCell ref="H4:H6"/>
    <mergeCell ref="I4:I6"/>
    <mergeCell ref="J4:J6"/>
    <mergeCell ref="K4:K6"/>
    <mergeCell ref="L4:L6"/>
    <mergeCell ref="M4:M6"/>
    <mergeCell ref="C18:C19"/>
    <mergeCell ref="D18:D19"/>
    <mergeCell ref="B4:B6"/>
    <mergeCell ref="J11:J12"/>
    <mergeCell ref="A4:A6"/>
    <mergeCell ref="H13:H16"/>
    <mergeCell ref="I13:I16"/>
    <mergeCell ref="E13:E16"/>
    <mergeCell ref="B13:B16"/>
    <mergeCell ref="D13:D16"/>
    <mergeCell ref="C13:C16"/>
    <mergeCell ref="A13:A16"/>
    <mergeCell ref="A11:A12"/>
    <mergeCell ref="B11:B12"/>
    <mergeCell ref="C11:C12"/>
    <mergeCell ref="D11:D12"/>
    <mergeCell ref="E11:E12"/>
    <mergeCell ref="I11:I12"/>
    <mergeCell ref="H11:H12"/>
    <mergeCell ref="A7:A10"/>
    <mergeCell ref="B7:B10"/>
    <mergeCell ref="C7:C10"/>
    <mergeCell ref="D7:D10"/>
    <mergeCell ref="E7:E10"/>
    <mergeCell ref="A20:A21"/>
    <mergeCell ref="B20:B21"/>
    <mergeCell ref="C20:C21"/>
    <mergeCell ref="D20:D21"/>
    <mergeCell ref="E20:E21"/>
    <mergeCell ref="H20:H21"/>
    <mergeCell ref="I20:I21"/>
    <mergeCell ref="J20:J21"/>
    <mergeCell ref="K20:K21"/>
    <mergeCell ref="U25:U27"/>
    <mergeCell ref="K25:K27"/>
    <mergeCell ref="L25:L27"/>
    <mergeCell ref="M25:M27"/>
    <mergeCell ref="N25:N27"/>
    <mergeCell ref="T23:T24"/>
    <mergeCell ref="U23:U24"/>
    <mergeCell ref="N23:N24"/>
    <mergeCell ref="O23:O24"/>
    <mergeCell ref="P23:P24"/>
    <mergeCell ref="Q23:Q24"/>
    <mergeCell ref="R23:R24"/>
    <mergeCell ref="S23:S24"/>
    <mergeCell ref="J23:J24"/>
    <mergeCell ref="Q11:Q12"/>
    <mergeCell ref="R11:R12"/>
    <mergeCell ref="S11:S12"/>
    <mergeCell ref="T11:T12"/>
    <mergeCell ref="U11:U12"/>
    <mergeCell ref="L20:L21"/>
    <mergeCell ref="M20:M21"/>
    <mergeCell ref="N20:N21"/>
    <mergeCell ref="O20:O21"/>
    <mergeCell ref="S20:S21"/>
    <mergeCell ref="T20:T21"/>
    <mergeCell ref="U20:U21"/>
    <mergeCell ref="J13:J16"/>
    <mergeCell ref="K13:K16"/>
    <mergeCell ref="L13:L16"/>
    <mergeCell ref="M13:M16"/>
    <mergeCell ref="N13:N16"/>
    <mergeCell ref="O13:O16"/>
    <mergeCell ref="A25:A27"/>
    <mergeCell ref="B25:B27"/>
    <mergeCell ref="C25:C27"/>
    <mergeCell ref="D25:D27"/>
    <mergeCell ref="E25:E27"/>
    <mergeCell ref="H25:H27"/>
    <mergeCell ref="I25:I27"/>
    <mergeCell ref="J25:J27"/>
    <mergeCell ref="O18:O19"/>
    <mergeCell ref="I18:I19"/>
    <mergeCell ref="J18:J19"/>
    <mergeCell ref="K18:K19"/>
    <mergeCell ref="L18:L19"/>
    <mergeCell ref="M18:M19"/>
    <mergeCell ref="N18:N19"/>
    <mergeCell ref="A18:A19"/>
    <mergeCell ref="B18:B19"/>
    <mergeCell ref="A23:A24"/>
    <mergeCell ref="B23:B24"/>
    <mergeCell ref="C23:C24"/>
    <mergeCell ref="D23:D24"/>
    <mergeCell ref="E23:E24"/>
    <mergeCell ref="H23:H24"/>
    <mergeCell ref="I23:I24"/>
    <mergeCell ref="V11:V12"/>
    <mergeCell ref="K11:K12"/>
    <mergeCell ref="M11:M12"/>
    <mergeCell ref="L11:L12"/>
    <mergeCell ref="N11:N12"/>
    <mergeCell ref="O11:O12"/>
    <mergeCell ref="P11:P12"/>
    <mergeCell ref="V13:V16"/>
    <mergeCell ref="P13:P16"/>
    <mergeCell ref="Q13:Q16"/>
    <mergeCell ref="R13:R16"/>
    <mergeCell ref="S13:S16"/>
    <mergeCell ref="T13:T16"/>
    <mergeCell ref="U13:U16"/>
    <mergeCell ref="V20:V21"/>
    <mergeCell ref="P20:P21"/>
    <mergeCell ref="Q20:Q21"/>
    <mergeCell ref="E18:E19"/>
    <mergeCell ref="H18:H19"/>
    <mergeCell ref="K23:K24"/>
    <mergeCell ref="L23:L24"/>
    <mergeCell ref="M23:M24"/>
    <mergeCell ref="V25:V27"/>
    <mergeCell ref="O25:O27"/>
    <mergeCell ref="P25:P27"/>
    <mergeCell ref="Q25:Q27"/>
    <mergeCell ref="R25:R27"/>
    <mergeCell ref="S25:S27"/>
    <mergeCell ref="T25:T27"/>
    <mergeCell ref="U18:U19"/>
    <mergeCell ref="V18:V19"/>
    <mergeCell ref="P18:P19"/>
    <mergeCell ref="Q18:Q19"/>
    <mergeCell ref="R18:R19"/>
    <mergeCell ref="S18:S19"/>
    <mergeCell ref="T18:T19"/>
    <mergeCell ref="V23:V24"/>
    <mergeCell ref="R20:R21"/>
    <mergeCell ref="H7:H9"/>
    <mergeCell ref="U7:U10"/>
    <mergeCell ref="V7:V10"/>
    <mergeCell ref="S7:S10"/>
    <mergeCell ref="R7:R10"/>
    <mergeCell ref="P7:P10"/>
    <mergeCell ref="Q7:Q10"/>
    <mergeCell ref="O7:O10"/>
    <mergeCell ref="N7:N10"/>
    <mergeCell ref="L7:L10"/>
    <mergeCell ref="I7:I10"/>
    <mergeCell ref="J7:J10"/>
    <mergeCell ref="K7:K10"/>
    <mergeCell ref="M7:M10"/>
    <mergeCell ref="T7:T10"/>
  </mergeCells>
  <phoneticPr fontId="3" type="noConversion"/>
  <conditionalFormatting sqref="J4 L4 N4 P4 R4 T4 V4 J7 L7 N7 P7 R7 T7 V7 J11:J13 L11:L13 N11:N13 P11:P13 R11:R13 T11:T13 V11:V13 J17:J20 L17:L20 N17:N20 P17:P20 R17:R20 T17:T20 V17:V20 J22:J24 L22:L25 N22:N25 P22:P25 R22:R25 T22:T25 V22:V25">
    <cfRule type="cellIs" dxfId="16" priority="1" operator="equal">
      <formula>"NA"</formula>
    </cfRule>
    <cfRule type="cellIs" dxfId="15" priority="2" operator="equal">
      <formula>3</formula>
    </cfRule>
    <cfRule type="cellIs" dxfId="14" priority="3" operator="equal">
      <formula>2</formula>
    </cfRule>
    <cfRule type="cellIs" dxfId="13" priority="4" operator="equal">
      <formula>1</formula>
    </cfRule>
  </conditionalFormatting>
  <dataValidations count="1">
    <dataValidation type="list" allowBlank="1" showInputMessage="1" showErrorMessage="1" sqref="N25 P25 R25 L25 T25 L4 N4 P4 R4 T4 V4 V25 L13 N13 P13 R13 T13 V13 L20 N20 P20 R20 T20 L22:L23 N22:N23 P22:P23 R22:R23 T22:T23 V22:V23 N11 P11 R11 V11 L11 V20 L17:L18 N17:N18 P17:P18 R17:R18 T17:T18 V17:V18 V7 R7 P7 N7 L7 T7 T11" xr:uid="{8DA3C292-9F50-471B-8B8F-B8716CE6E789}">
      <formula1>RAG_list</formula1>
    </dataValidation>
  </dataValidations>
  <hyperlinks>
    <hyperlink ref="G4" r:id="rId1" location="traffic-volume-in-kilometres-tra02" xr:uid="{41F576E9-B32A-4315-848F-DB86A440FF63}"/>
    <hyperlink ref="G11" r:id="rId2" xr:uid="{CE3457D1-901F-4D9F-B24C-A98C35A67C6F}"/>
    <hyperlink ref="G13" r:id="rId3" xr:uid="{B04B0CAE-3C98-45EA-ACAA-436675F4E73C}"/>
    <hyperlink ref="G23" r:id="rId4" xr:uid="{140BE211-91A0-4DEF-B166-B927D198F0E3}"/>
    <hyperlink ref="G25" r:id="rId5" xr:uid="{15865BEF-623C-4176-9BF7-6BA13F419EB5}"/>
    <hyperlink ref="G18" r:id="rId6" xr:uid="{F9A2D890-9FA3-41E8-A4DA-809C7B353A0B}"/>
    <hyperlink ref="G20" r:id="rId7" xr:uid="{49CC3F88-1762-4CCA-A164-824921909838}"/>
    <hyperlink ref="G22" r:id="rId8" xr:uid="{5D7DEA19-D8DE-45A1-9D46-CE9C8CCB8FA3}"/>
    <hyperlink ref="G17" r:id="rId9" xr:uid="{BC79943D-2CCD-4D09-877E-9A0F546D2508}"/>
    <hyperlink ref="A2" location="Contents!A1" display="Back to contents" xr:uid="{51BFDF3A-005E-4871-9B79-F7580EF5460B}"/>
    <hyperlink ref="G5" r:id="rId10" location="traffic-volume-in-kilometres-tra89" xr:uid="{DE86CABE-DC3E-4ACC-8932-2B2E4A688572}"/>
    <hyperlink ref="G6" r:id="rId11" xr:uid="{A2D04BC4-A2F7-48A4-868E-0E324B49B2A7}"/>
    <hyperlink ref="G19" r:id="rId12" xr:uid="{7C3A329B-DBAB-4ADD-9F94-58DB91900B40}"/>
    <hyperlink ref="G27" r:id="rId13" xr:uid="{17776F15-CBCD-48B1-83F4-81346BCA2BA5}"/>
    <hyperlink ref="G10" r:id="rId14" xr:uid="{1D2E1112-FF0C-4514-A6BC-0DCF8867EF28}"/>
    <hyperlink ref="G7" r:id="rId15" xr:uid="{8BDAEE40-B9B9-4BD2-A083-336C00F13416}"/>
    <hyperlink ref="G8" r:id="rId16" xr:uid="{229E631F-04FF-4164-8C71-D0E9D6C513FE}"/>
    <hyperlink ref="G9" r:id="rId17" xr:uid="{5637D89A-8F45-4279-A901-33D7A497B5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4E504-2640-4718-B2AE-EB81D714A158}">
  <sheetPr>
    <tabColor theme="8"/>
  </sheetPr>
  <dimension ref="A1:K58"/>
  <sheetViews>
    <sheetView showGridLines="0" zoomScaleNormal="100" workbookViewId="0">
      <pane xSplit="1" ySplit="3" topLeftCell="B4" activePane="bottomRight" state="frozen"/>
      <selection pane="bottomRight"/>
      <selection pane="bottomLeft" activeCell="C8" sqref="C8"/>
      <selection pane="topRight" activeCell="C8" sqref="C8"/>
    </sheetView>
  </sheetViews>
  <sheetFormatPr defaultColWidth="9.19921875" defaultRowHeight="20.45"/>
  <cols>
    <col min="1" max="1" width="38.8984375" style="118" customWidth="1"/>
    <col min="2" max="2" width="14.296875" style="118" customWidth="1"/>
    <col min="3" max="3" width="44" style="118" customWidth="1"/>
    <col min="4" max="4" width="18.5" style="118" customWidth="1"/>
    <col min="5" max="5" width="22.296875" style="118" customWidth="1"/>
    <col min="6" max="7" width="20.5" style="118" customWidth="1"/>
    <col min="8" max="8" width="32.5" style="118" customWidth="1"/>
    <col min="9" max="9" width="21" style="118" customWidth="1"/>
    <col min="10" max="10" width="25" style="118" customWidth="1"/>
    <col min="11" max="11" width="18.8984375" style="118" customWidth="1"/>
    <col min="12" max="16384" width="9.19921875" style="118"/>
  </cols>
  <sheetData>
    <row r="1" spans="1:11">
      <c r="A1" s="117" t="s">
        <v>57</v>
      </c>
    </row>
    <row r="2" spans="1:11">
      <c r="A2" s="117" t="s">
        <v>338</v>
      </c>
    </row>
    <row r="3" spans="1:11" ht="29.1" customHeight="1">
      <c r="A3" s="170" t="s">
        <v>162</v>
      </c>
      <c r="B3" s="170" t="s">
        <v>211</v>
      </c>
      <c r="C3" s="170" t="s">
        <v>18</v>
      </c>
      <c r="D3" s="170" t="s">
        <v>340</v>
      </c>
      <c r="E3" s="170" t="s">
        <v>166</v>
      </c>
      <c r="F3" s="170" t="s">
        <v>481</v>
      </c>
      <c r="G3" s="170" t="s">
        <v>482</v>
      </c>
      <c r="H3" s="170" t="s">
        <v>483</v>
      </c>
      <c r="I3" s="170" t="s">
        <v>484</v>
      </c>
      <c r="J3" s="170" t="s">
        <v>485</v>
      </c>
      <c r="K3" s="170" t="s">
        <v>214</v>
      </c>
    </row>
    <row r="4" spans="1:11">
      <c r="A4" s="40" t="str">
        <f t="shared" ref="A4:A10" si="0">_xlfn.CONCAT(B4,"_",INDEX(EV_BBs_short,MATCH(E4,EV_BBs,0)),IF(F4="N/A","",_xlfn.CONCAT("-",INDEX(EV_BBs_short,MATCH(F4,EV_BBs,0)))),"_",INDEX(rep_days_short,MATCH(H4,rep_days,0)),"_",INDEX(EV_Flex_short,MATCH(I4,EV_Flex,0)),"_",J4)</f>
        <v>EV01_BB1-BB2_NA_NA_Region</v>
      </c>
      <c r="B4" s="40" t="s">
        <v>20</v>
      </c>
      <c r="C4" s="40" t="s">
        <v>224</v>
      </c>
      <c r="D4" s="40" t="s">
        <v>355</v>
      </c>
      <c r="E4" s="40" t="s">
        <v>225</v>
      </c>
      <c r="F4" s="40" t="s">
        <v>244</v>
      </c>
      <c r="G4" s="40" t="s">
        <v>269</v>
      </c>
      <c r="H4" s="40" t="s">
        <v>269</v>
      </c>
      <c r="I4" s="40" t="s">
        <v>269</v>
      </c>
      <c r="J4" s="40" t="s">
        <v>255</v>
      </c>
      <c r="K4" s="40" t="s">
        <v>236</v>
      </c>
    </row>
    <row r="5" spans="1:11">
      <c r="A5" s="40" t="str">
        <f t="shared" si="0"/>
        <v>EV01_BB3-BB4_NA_NA_Region</v>
      </c>
      <c r="B5" s="40" t="s">
        <v>20</v>
      </c>
      <c r="C5" s="40" t="s">
        <v>224</v>
      </c>
      <c r="D5" s="40" t="s">
        <v>355</v>
      </c>
      <c r="E5" s="40" t="s">
        <v>263</v>
      </c>
      <c r="F5" s="40" t="s">
        <v>277</v>
      </c>
      <c r="G5" s="40" t="s">
        <v>269</v>
      </c>
      <c r="H5" s="40" t="s">
        <v>269</v>
      </c>
      <c r="I5" s="40" t="s">
        <v>269</v>
      </c>
      <c r="J5" s="40" t="s">
        <v>255</v>
      </c>
      <c r="K5" s="40" t="s">
        <v>236</v>
      </c>
    </row>
    <row r="6" spans="1:11">
      <c r="A6" s="40" t="str">
        <f t="shared" si="0"/>
        <v>EV02_BB2_NA_NA_GB</v>
      </c>
      <c r="B6" s="40" t="s">
        <v>21</v>
      </c>
      <c r="C6" s="40" t="s">
        <v>243</v>
      </c>
      <c r="D6" s="40" t="s">
        <v>403</v>
      </c>
      <c r="E6" s="40" t="s">
        <v>244</v>
      </c>
      <c r="F6" s="40" t="s">
        <v>269</v>
      </c>
      <c r="G6" s="40" t="s">
        <v>269</v>
      </c>
      <c r="H6" s="40" t="s">
        <v>269</v>
      </c>
      <c r="I6" s="40" t="s">
        <v>269</v>
      </c>
      <c r="J6" s="40" t="s">
        <v>130</v>
      </c>
      <c r="K6" s="40" t="s">
        <v>236</v>
      </c>
    </row>
    <row r="7" spans="1:11">
      <c r="A7" s="40" t="str">
        <f t="shared" si="0"/>
        <v>EV02_BB4_NA_NA_GB</v>
      </c>
      <c r="B7" s="40" t="s">
        <v>21</v>
      </c>
      <c r="C7" s="40" t="s">
        <v>243</v>
      </c>
      <c r="D7" s="40" t="s">
        <v>403</v>
      </c>
      <c r="E7" s="40" t="s">
        <v>277</v>
      </c>
      <c r="F7" s="40" t="s">
        <v>269</v>
      </c>
      <c r="G7" s="40" t="s">
        <v>269</v>
      </c>
      <c r="H7" s="40" t="s">
        <v>269</v>
      </c>
      <c r="I7" s="40" t="s">
        <v>269</v>
      </c>
      <c r="J7" s="40" t="s">
        <v>130</v>
      </c>
      <c r="K7" s="40" t="s">
        <v>236</v>
      </c>
    </row>
    <row r="8" spans="1:11">
      <c r="A8" s="40" t="str">
        <f t="shared" si="0"/>
        <v>EV03_BB1_NA_NA_GB</v>
      </c>
      <c r="B8" s="40" t="s">
        <v>22</v>
      </c>
      <c r="C8" s="40" t="s">
        <v>262</v>
      </c>
      <c r="D8" s="40" t="s">
        <v>391</v>
      </c>
      <c r="E8" s="40" t="s">
        <v>225</v>
      </c>
      <c r="F8" s="40" t="s">
        <v>269</v>
      </c>
      <c r="G8" s="40" t="s">
        <v>269</v>
      </c>
      <c r="H8" s="40" t="s">
        <v>269</v>
      </c>
      <c r="I8" s="40" t="s">
        <v>269</v>
      </c>
      <c r="J8" s="40" t="s">
        <v>130</v>
      </c>
      <c r="K8" s="40" t="s">
        <v>256</v>
      </c>
    </row>
    <row r="9" spans="1:11">
      <c r="A9" s="40" t="str">
        <f t="shared" si="0"/>
        <v>EV03_BB2_NA_NA_GB</v>
      </c>
      <c r="B9" s="40" t="s">
        <v>22</v>
      </c>
      <c r="C9" s="40" t="s">
        <v>262</v>
      </c>
      <c r="D9" s="40" t="s">
        <v>391</v>
      </c>
      <c r="E9" s="40" t="s">
        <v>244</v>
      </c>
      <c r="F9" s="40" t="s">
        <v>269</v>
      </c>
      <c r="G9" s="40" t="s">
        <v>269</v>
      </c>
      <c r="H9" s="40" t="s">
        <v>269</v>
      </c>
      <c r="I9" s="40" t="s">
        <v>269</v>
      </c>
      <c r="J9" s="40" t="s">
        <v>130</v>
      </c>
      <c r="K9" s="40" t="s">
        <v>256</v>
      </c>
    </row>
    <row r="10" spans="1:11">
      <c r="A10" s="40" t="str">
        <f t="shared" si="0"/>
        <v>EV03_BB3-BB4_NA_NA_GB</v>
      </c>
      <c r="B10" s="40" t="s">
        <v>22</v>
      </c>
      <c r="C10" s="40" t="s">
        <v>262</v>
      </c>
      <c r="D10" s="40" t="s">
        <v>391</v>
      </c>
      <c r="E10" s="40" t="s">
        <v>263</v>
      </c>
      <c r="F10" s="40" t="s">
        <v>277</v>
      </c>
      <c r="G10" s="40" t="s">
        <v>269</v>
      </c>
      <c r="H10" s="40" t="s">
        <v>269</v>
      </c>
      <c r="I10" s="40" t="s">
        <v>269</v>
      </c>
      <c r="J10" s="40" t="s">
        <v>130</v>
      </c>
      <c r="K10" s="40" t="s">
        <v>256</v>
      </c>
    </row>
    <row r="11" spans="1:11">
      <c r="A11" s="40" t="str">
        <f t="shared" ref="A11:A30" si="1">_xlfn.CONCAT(B11,"_",INDEX(EV_BBs_short,MATCH(E11,EV_BBs,0)),IF(G11="N/A","",_xlfn.CONCAT("-",INDEX(EV_charger_type_short,MATCH(G11,EV_charger_type,0)))),"_",INDEX(rep_days_short,MATCH(H11,rep_days,0)),"_",INDEX(EV_Flex_short,MATCH(I11,EV_Flex,0)),"_",J11)</f>
        <v>EV04_BB1-domestic_NA_NA_GB</v>
      </c>
      <c r="B11" s="40" t="s">
        <v>23</v>
      </c>
      <c r="C11" s="40" t="s">
        <v>276</v>
      </c>
      <c r="D11" s="40" t="s">
        <v>403</v>
      </c>
      <c r="E11" s="40" t="s">
        <v>225</v>
      </c>
      <c r="F11" s="40" t="s">
        <v>269</v>
      </c>
      <c r="G11" s="40" t="s">
        <v>226</v>
      </c>
      <c r="H11" s="40" t="s">
        <v>269</v>
      </c>
      <c r="I11" s="40" t="s">
        <v>269</v>
      </c>
      <c r="J11" s="40" t="s">
        <v>130</v>
      </c>
      <c r="K11" s="40" t="s">
        <v>236</v>
      </c>
    </row>
    <row r="12" spans="1:11">
      <c r="A12" s="40" t="str">
        <f t="shared" si="1"/>
        <v>EV04_BB1-workplace_NA_NA_GB</v>
      </c>
      <c r="B12" s="40" t="s">
        <v>23</v>
      </c>
      <c r="C12" s="40" t="s">
        <v>276</v>
      </c>
      <c r="D12" s="40" t="s">
        <v>403</v>
      </c>
      <c r="E12" s="40" t="s">
        <v>225</v>
      </c>
      <c r="F12" s="40" t="s">
        <v>269</v>
      </c>
      <c r="G12" s="40" t="s">
        <v>245</v>
      </c>
      <c r="H12" s="40" t="s">
        <v>269</v>
      </c>
      <c r="I12" s="40" t="s">
        <v>269</v>
      </c>
      <c r="J12" s="40" t="s">
        <v>130</v>
      </c>
      <c r="K12" s="40" t="s">
        <v>236</v>
      </c>
    </row>
    <row r="13" spans="1:11">
      <c r="A13" s="40" t="str">
        <f t="shared" si="1"/>
        <v>EV04_BB1-slowfast_NA_NA_GB</v>
      </c>
      <c r="B13" s="40" t="s">
        <v>23</v>
      </c>
      <c r="C13" s="40" t="s">
        <v>276</v>
      </c>
      <c r="D13" s="40" t="s">
        <v>403</v>
      </c>
      <c r="E13" s="40" t="s">
        <v>225</v>
      </c>
      <c r="F13" s="40" t="s">
        <v>269</v>
      </c>
      <c r="G13" s="40" t="s">
        <v>265</v>
      </c>
      <c r="H13" s="40" t="s">
        <v>269</v>
      </c>
      <c r="I13" s="40" t="s">
        <v>269</v>
      </c>
      <c r="J13" s="40" t="s">
        <v>130</v>
      </c>
      <c r="K13" s="40" t="s">
        <v>236</v>
      </c>
    </row>
    <row r="14" spans="1:11">
      <c r="A14" s="40" t="str">
        <f t="shared" si="1"/>
        <v>EV04_BB1-rapid_NA_NA_GB</v>
      </c>
      <c r="B14" s="40" t="s">
        <v>23</v>
      </c>
      <c r="C14" s="40" t="s">
        <v>276</v>
      </c>
      <c r="D14" s="40" t="s">
        <v>403</v>
      </c>
      <c r="E14" s="40" t="s">
        <v>225</v>
      </c>
      <c r="F14" s="40" t="s">
        <v>269</v>
      </c>
      <c r="G14" s="40" t="s">
        <v>279</v>
      </c>
      <c r="H14" s="40" t="s">
        <v>269</v>
      </c>
      <c r="I14" s="40" t="s">
        <v>269</v>
      </c>
      <c r="J14" s="40" t="s">
        <v>130</v>
      </c>
      <c r="K14" s="40" t="s">
        <v>236</v>
      </c>
    </row>
    <row r="15" spans="1:11">
      <c r="A15" s="40" t="str">
        <f t="shared" si="1"/>
        <v>EV04_BB1-depot_NA_NA_GB</v>
      </c>
      <c r="B15" s="40" t="s">
        <v>23</v>
      </c>
      <c r="C15" s="40" t="s">
        <v>276</v>
      </c>
      <c r="D15" s="40" t="s">
        <v>403</v>
      </c>
      <c r="E15" s="40" t="s">
        <v>225</v>
      </c>
      <c r="F15" s="40" t="s">
        <v>269</v>
      </c>
      <c r="G15" s="40" t="s">
        <v>289</v>
      </c>
      <c r="H15" s="40" t="s">
        <v>269</v>
      </c>
      <c r="I15" s="40" t="s">
        <v>269</v>
      </c>
      <c r="J15" s="40" t="s">
        <v>130</v>
      </c>
      <c r="K15" s="40" t="s">
        <v>236</v>
      </c>
    </row>
    <row r="16" spans="1:11">
      <c r="A16" s="40" t="str">
        <f t="shared" si="1"/>
        <v>EV04_BB2-domestic_NA_NA_GB</v>
      </c>
      <c r="B16" s="40" t="s">
        <v>23</v>
      </c>
      <c r="C16" s="40" t="s">
        <v>276</v>
      </c>
      <c r="D16" s="40" t="s">
        <v>403</v>
      </c>
      <c r="E16" s="40" t="s">
        <v>244</v>
      </c>
      <c r="F16" s="40" t="s">
        <v>269</v>
      </c>
      <c r="G16" s="40" t="s">
        <v>226</v>
      </c>
      <c r="H16" s="40" t="s">
        <v>269</v>
      </c>
      <c r="I16" s="40" t="s">
        <v>269</v>
      </c>
      <c r="J16" s="40" t="s">
        <v>130</v>
      </c>
      <c r="K16" s="40" t="s">
        <v>236</v>
      </c>
    </row>
    <row r="17" spans="1:11">
      <c r="A17" s="40" t="str">
        <f t="shared" si="1"/>
        <v>EV04_BB2-workplace_NA_NA_GB</v>
      </c>
      <c r="B17" s="40" t="s">
        <v>23</v>
      </c>
      <c r="C17" s="40" t="s">
        <v>276</v>
      </c>
      <c r="D17" s="40" t="s">
        <v>403</v>
      </c>
      <c r="E17" s="40" t="s">
        <v>244</v>
      </c>
      <c r="F17" s="40" t="s">
        <v>269</v>
      </c>
      <c r="G17" s="40" t="s">
        <v>245</v>
      </c>
      <c r="H17" s="40" t="s">
        <v>269</v>
      </c>
      <c r="I17" s="40" t="s">
        <v>269</v>
      </c>
      <c r="J17" s="40" t="s">
        <v>130</v>
      </c>
      <c r="K17" s="40" t="s">
        <v>236</v>
      </c>
    </row>
    <row r="18" spans="1:11">
      <c r="A18" s="40" t="str">
        <f t="shared" si="1"/>
        <v>EV04_BB2-slowfast_NA_NA_GB</v>
      </c>
      <c r="B18" s="40" t="s">
        <v>23</v>
      </c>
      <c r="C18" s="40" t="s">
        <v>276</v>
      </c>
      <c r="D18" s="40" t="s">
        <v>403</v>
      </c>
      <c r="E18" s="40" t="s">
        <v>244</v>
      </c>
      <c r="F18" s="40" t="s">
        <v>269</v>
      </c>
      <c r="G18" s="40" t="s">
        <v>265</v>
      </c>
      <c r="H18" s="40" t="s">
        <v>269</v>
      </c>
      <c r="I18" s="40" t="s">
        <v>269</v>
      </c>
      <c r="J18" s="40" t="s">
        <v>130</v>
      </c>
      <c r="K18" s="40" t="s">
        <v>236</v>
      </c>
    </row>
    <row r="19" spans="1:11">
      <c r="A19" s="40" t="str">
        <f t="shared" si="1"/>
        <v>EV04_BB2-rapid_NA_NA_GB</v>
      </c>
      <c r="B19" s="40" t="s">
        <v>23</v>
      </c>
      <c r="C19" s="40" t="s">
        <v>276</v>
      </c>
      <c r="D19" s="40" t="s">
        <v>403</v>
      </c>
      <c r="E19" s="40" t="s">
        <v>244</v>
      </c>
      <c r="F19" s="40" t="s">
        <v>269</v>
      </c>
      <c r="G19" s="40" t="s">
        <v>279</v>
      </c>
      <c r="H19" s="40" t="s">
        <v>269</v>
      </c>
      <c r="I19" s="40" t="s">
        <v>269</v>
      </c>
      <c r="J19" s="40" t="s">
        <v>130</v>
      </c>
      <c r="K19" s="40" t="s">
        <v>236</v>
      </c>
    </row>
    <row r="20" spans="1:11">
      <c r="A20" s="40" t="str">
        <f t="shared" si="1"/>
        <v>EV04_BB2-depot_NA_NA_GB</v>
      </c>
      <c r="B20" s="40" t="s">
        <v>23</v>
      </c>
      <c r="C20" s="40" t="s">
        <v>276</v>
      </c>
      <c r="D20" s="40" t="s">
        <v>403</v>
      </c>
      <c r="E20" s="40" t="s">
        <v>244</v>
      </c>
      <c r="F20" s="40" t="s">
        <v>269</v>
      </c>
      <c r="G20" s="40" t="s">
        <v>289</v>
      </c>
      <c r="H20" s="40" t="s">
        <v>269</v>
      </c>
      <c r="I20" s="40" t="s">
        <v>269</v>
      </c>
      <c r="J20" s="40" t="s">
        <v>130</v>
      </c>
      <c r="K20" s="40" t="s">
        <v>236</v>
      </c>
    </row>
    <row r="21" spans="1:11">
      <c r="A21" s="40" t="str">
        <f t="shared" si="1"/>
        <v>EV04_BB3-domestic_NA_NA_GB</v>
      </c>
      <c r="B21" s="40" t="s">
        <v>23</v>
      </c>
      <c r="C21" s="40" t="s">
        <v>276</v>
      </c>
      <c r="D21" s="40" t="s">
        <v>403</v>
      </c>
      <c r="E21" s="40" t="s">
        <v>263</v>
      </c>
      <c r="F21" s="40" t="s">
        <v>269</v>
      </c>
      <c r="G21" s="40" t="s">
        <v>226</v>
      </c>
      <c r="H21" s="40" t="s">
        <v>269</v>
      </c>
      <c r="I21" s="40" t="s">
        <v>269</v>
      </c>
      <c r="J21" s="40" t="s">
        <v>130</v>
      </c>
      <c r="K21" s="40" t="s">
        <v>236</v>
      </c>
    </row>
    <row r="22" spans="1:11">
      <c r="A22" s="40" t="str">
        <f t="shared" si="1"/>
        <v>EV04_BB3-workplace_NA_NA_GB</v>
      </c>
      <c r="B22" s="40" t="s">
        <v>23</v>
      </c>
      <c r="C22" s="40" t="s">
        <v>276</v>
      </c>
      <c r="D22" s="40" t="s">
        <v>403</v>
      </c>
      <c r="E22" s="40" t="s">
        <v>263</v>
      </c>
      <c r="F22" s="40" t="s">
        <v>269</v>
      </c>
      <c r="G22" s="40" t="s">
        <v>245</v>
      </c>
      <c r="H22" s="40" t="s">
        <v>269</v>
      </c>
      <c r="I22" s="40" t="s">
        <v>269</v>
      </c>
      <c r="J22" s="40" t="s">
        <v>130</v>
      </c>
      <c r="K22" s="40" t="s">
        <v>236</v>
      </c>
    </row>
    <row r="23" spans="1:11">
      <c r="A23" s="40" t="str">
        <f t="shared" si="1"/>
        <v>EV04_BB3-slowfast_NA_NA_GB</v>
      </c>
      <c r="B23" s="40" t="s">
        <v>23</v>
      </c>
      <c r="C23" s="40" t="s">
        <v>276</v>
      </c>
      <c r="D23" s="40" t="s">
        <v>403</v>
      </c>
      <c r="E23" s="40" t="s">
        <v>263</v>
      </c>
      <c r="F23" s="40" t="s">
        <v>269</v>
      </c>
      <c r="G23" s="40" t="s">
        <v>265</v>
      </c>
      <c r="H23" s="40" t="s">
        <v>269</v>
      </c>
      <c r="I23" s="40" t="s">
        <v>269</v>
      </c>
      <c r="J23" s="40" t="s">
        <v>130</v>
      </c>
      <c r="K23" s="40" t="s">
        <v>236</v>
      </c>
    </row>
    <row r="24" spans="1:11">
      <c r="A24" s="40" t="str">
        <f t="shared" si="1"/>
        <v>EV04_BB3-rapid_NA_NA_GB</v>
      </c>
      <c r="B24" s="40" t="s">
        <v>23</v>
      </c>
      <c r="C24" s="40" t="s">
        <v>276</v>
      </c>
      <c r="D24" s="40" t="s">
        <v>403</v>
      </c>
      <c r="E24" s="40" t="s">
        <v>263</v>
      </c>
      <c r="F24" s="40" t="s">
        <v>269</v>
      </c>
      <c r="G24" s="40" t="s">
        <v>279</v>
      </c>
      <c r="H24" s="40" t="s">
        <v>269</v>
      </c>
      <c r="I24" s="40" t="s">
        <v>269</v>
      </c>
      <c r="J24" s="40" t="s">
        <v>130</v>
      </c>
      <c r="K24" s="40" t="s">
        <v>236</v>
      </c>
    </row>
    <row r="25" spans="1:11">
      <c r="A25" s="40" t="str">
        <f t="shared" si="1"/>
        <v>EV04_BB3-depot_NA_NA_GB</v>
      </c>
      <c r="B25" s="40" t="s">
        <v>23</v>
      </c>
      <c r="C25" s="40" t="s">
        <v>276</v>
      </c>
      <c r="D25" s="40" t="s">
        <v>403</v>
      </c>
      <c r="E25" s="40" t="s">
        <v>263</v>
      </c>
      <c r="F25" s="40" t="s">
        <v>269</v>
      </c>
      <c r="G25" s="40" t="s">
        <v>289</v>
      </c>
      <c r="H25" s="40" t="s">
        <v>269</v>
      </c>
      <c r="I25" s="40" t="s">
        <v>269</v>
      </c>
      <c r="J25" s="40" t="s">
        <v>130</v>
      </c>
      <c r="K25" s="40" t="s">
        <v>236</v>
      </c>
    </row>
    <row r="26" spans="1:11">
      <c r="A26" s="40" t="str">
        <f t="shared" si="1"/>
        <v>EV04_BB4-domestic_NA_NA_GB</v>
      </c>
      <c r="B26" s="40" t="s">
        <v>23</v>
      </c>
      <c r="C26" s="40" t="s">
        <v>276</v>
      </c>
      <c r="D26" s="40" t="s">
        <v>403</v>
      </c>
      <c r="E26" s="40" t="s">
        <v>277</v>
      </c>
      <c r="F26" s="40" t="s">
        <v>269</v>
      </c>
      <c r="G26" s="40" t="s">
        <v>226</v>
      </c>
      <c r="H26" s="40" t="s">
        <v>269</v>
      </c>
      <c r="I26" s="40" t="s">
        <v>269</v>
      </c>
      <c r="J26" s="40" t="s">
        <v>130</v>
      </c>
      <c r="K26" s="40" t="s">
        <v>236</v>
      </c>
    </row>
    <row r="27" spans="1:11">
      <c r="A27" s="40" t="str">
        <f t="shared" si="1"/>
        <v>EV04_BB4-workplace_NA_NA_GB</v>
      </c>
      <c r="B27" s="40" t="s">
        <v>23</v>
      </c>
      <c r="C27" s="40" t="s">
        <v>276</v>
      </c>
      <c r="D27" s="40" t="s">
        <v>403</v>
      </c>
      <c r="E27" s="40" t="s">
        <v>277</v>
      </c>
      <c r="F27" s="40" t="s">
        <v>269</v>
      </c>
      <c r="G27" s="40" t="s">
        <v>245</v>
      </c>
      <c r="H27" s="40" t="s">
        <v>269</v>
      </c>
      <c r="I27" s="40" t="s">
        <v>269</v>
      </c>
      <c r="J27" s="40" t="s">
        <v>130</v>
      </c>
      <c r="K27" s="40" t="s">
        <v>236</v>
      </c>
    </row>
    <row r="28" spans="1:11">
      <c r="A28" s="40" t="str">
        <f t="shared" si="1"/>
        <v>EV04_BB4-slowfast_NA_NA_GB</v>
      </c>
      <c r="B28" s="40" t="s">
        <v>23</v>
      </c>
      <c r="C28" s="40" t="s">
        <v>276</v>
      </c>
      <c r="D28" s="40" t="s">
        <v>403</v>
      </c>
      <c r="E28" s="40" t="s">
        <v>277</v>
      </c>
      <c r="F28" s="40" t="s">
        <v>269</v>
      </c>
      <c r="G28" s="40" t="s">
        <v>265</v>
      </c>
      <c r="H28" s="40" t="s">
        <v>269</v>
      </c>
      <c r="I28" s="40" t="s">
        <v>269</v>
      </c>
      <c r="J28" s="40" t="s">
        <v>130</v>
      </c>
      <c r="K28" s="40" t="s">
        <v>236</v>
      </c>
    </row>
    <row r="29" spans="1:11">
      <c r="A29" s="40" t="str">
        <f t="shared" si="1"/>
        <v>EV04_BB4-rapid_NA_NA_GB</v>
      </c>
      <c r="B29" s="40" t="s">
        <v>23</v>
      </c>
      <c r="C29" s="40" t="s">
        <v>276</v>
      </c>
      <c r="D29" s="40" t="s">
        <v>403</v>
      </c>
      <c r="E29" s="40" t="s">
        <v>277</v>
      </c>
      <c r="F29" s="40" t="s">
        <v>269</v>
      </c>
      <c r="G29" s="40" t="s">
        <v>279</v>
      </c>
      <c r="H29" s="40" t="s">
        <v>269</v>
      </c>
      <c r="I29" s="40" t="s">
        <v>269</v>
      </c>
      <c r="J29" s="40" t="s">
        <v>130</v>
      </c>
      <c r="K29" s="40" t="s">
        <v>236</v>
      </c>
    </row>
    <row r="30" spans="1:11">
      <c r="A30" s="40" t="str">
        <f t="shared" si="1"/>
        <v>EV04_BB4-depot_NA_NA_GB</v>
      </c>
      <c r="B30" s="40" t="s">
        <v>23</v>
      </c>
      <c r="C30" s="40" t="s">
        <v>276</v>
      </c>
      <c r="D30" s="40" t="s">
        <v>403</v>
      </c>
      <c r="E30" s="40" t="s">
        <v>277</v>
      </c>
      <c r="F30" s="40" t="s">
        <v>269</v>
      </c>
      <c r="G30" s="40" t="s">
        <v>289</v>
      </c>
      <c r="H30" s="40" t="s">
        <v>269</v>
      </c>
      <c r="I30" s="40" t="s">
        <v>269</v>
      </c>
      <c r="J30" s="40" t="s">
        <v>130</v>
      </c>
      <c r="K30" s="40" t="s">
        <v>236</v>
      </c>
    </row>
    <row r="31" spans="1:11">
      <c r="A31" s="40" t="str">
        <f t="shared" ref="A31:A58" si="2">_xlfn.CONCAT(B31,"_",INDEX(EV_charger_type_short,MATCH(G31,EV_charger_type,0)),"_",INDEX(rep_days_short,MATCH(H31,rep_days,0)),"_",INDEX(EV_Flex_short,MATCH(I31,EV_Flex,0)),"_",J31)</f>
        <v>EV05_domestic_ALL_NoFlex_GB</v>
      </c>
      <c r="B31" s="40" t="s">
        <v>24</v>
      </c>
      <c r="C31" s="40" t="s">
        <v>418</v>
      </c>
      <c r="D31" s="40" t="s">
        <v>403</v>
      </c>
      <c r="E31" s="40" t="s">
        <v>267</v>
      </c>
      <c r="F31" s="40" t="s">
        <v>269</v>
      </c>
      <c r="G31" s="40" t="s">
        <v>226</v>
      </c>
      <c r="H31" s="40" t="s">
        <v>267</v>
      </c>
      <c r="I31" s="40" t="s">
        <v>228</v>
      </c>
      <c r="J31" s="40" t="s">
        <v>130</v>
      </c>
      <c r="K31" s="40" t="s">
        <v>256</v>
      </c>
    </row>
    <row r="32" spans="1:11">
      <c r="A32" s="40" t="str">
        <f t="shared" si="2"/>
        <v>EV05_domestic_ALL_Smart_GB</v>
      </c>
      <c r="B32" s="40" t="s">
        <v>24</v>
      </c>
      <c r="C32" s="40" t="s">
        <v>418</v>
      </c>
      <c r="D32" s="40" t="s">
        <v>403</v>
      </c>
      <c r="E32" s="40" t="s">
        <v>267</v>
      </c>
      <c r="F32" s="40" t="s">
        <v>269</v>
      </c>
      <c r="G32" s="40" t="s">
        <v>226</v>
      </c>
      <c r="H32" s="40" t="s">
        <v>267</v>
      </c>
      <c r="I32" s="40" t="s">
        <v>247</v>
      </c>
      <c r="J32" s="40" t="s">
        <v>130</v>
      </c>
      <c r="K32" s="40" t="s">
        <v>256</v>
      </c>
    </row>
    <row r="33" spans="1:11">
      <c r="A33" s="40" t="str">
        <f t="shared" si="2"/>
        <v>EV06_domestic_ALL_NoFlex_GB</v>
      </c>
      <c r="B33" s="40" t="s">
        <v>25</v>
      </c>
      <c r="C33" s="40" t="s">
        <v>296</v>
      </c>
      <c r="D33" s="40" t="s">
        <v>432</v>
      </c>
      <c r="E33" s="40" t="s">
        <v>267</v>
      </c>
      <c r="F33" s="40" t="s">
        <v>269</v>
      </c>
      <c r="G33" s="40" t="s">
        <v>226</v>
      </c>
      <c r="H33" s="40" t="s">
        <v>267</v>
      </c>
      <c r="I33" s="40" t="s">
        <v>228</v>
      </c>
      <c r="J33" s="40" t="s">
        <v>130</v>
      </c>
      <c r="K33" s="40" t="s">
        <v>274</v>
      </c>
    </row>
    <row r="34" spans="1:11">
      <c r="A34" s="40" t="str">
        <f t="shared" si="2"/>
        <v>EV06_domestic_ALL_Smart_GB</v>
      </c>
      <c r="B34" s="40" t="s">
        <v>25</v>
      </c>
      <c r="C34" s="40" t="s">
        <v>296</v>
      </c>
      <c r="D34" s="40" t="s">
        <v>432</v>
      </c>
      <c r="E34" s="40" t="s">
        <v>267</v>
      </c>
      <c r="F34" s="40" t="s">
        <v>269</v>
      </c>
      <c r="G34" s="40" t="s">
        <v>226</v>
      </c>
      <c r="H34" s="40" t="s">
        <v>267</v>
      </c>
      <c r="I34" s="40" t="s">
        <v>247</v>
      </c>
      <c r="J34" s="40" t="s">
        <v>130</v>
      </c>
      <c r="K34" s="40" t="s">
        <v>274</v>
      </c>
    </row>
    <row r="35" spans="1:11">
      <c r="A35" s="40" t="str">
        <f t="shared" si="2"/>
        <v>EV06_workplace_ALL_NoFlex_GB</v>
      </c>
      <c r="B35" s="40" t="s">
        <v>25</v>
      </c>
      <c r="C35" s="40" t="s">
        <v>296</v>
      </c>
      <c r="D35" s="40" t="s">
        <v>432</v>
      </c>
      <c r="E35" s="40" t="s">
        <v>267</v>
      </c>
      <c r="F35" s="40" t="s">
        <v>269</v>
      </c>
      <c r="G35" s="40" t="s">
        <v>245</v>
      </c>
      <c r="H35" s="40" t="s">
        <v>267</v>
      </c>
      <c r="I35" s="40" t="s">
        <v>228</v>
      </c>
      <c r="J35" s="40" t="s">
        <v>130</v>
      </c>
      <c r="K35" s="40" t="s">
        <v>274</v>
      </c>
    </row>
    <row r="36" spans="1:11">
      <c r="A36" s="40" t="str">
        <f t="shared" si="2"/>
        <v>EV06_slowfast_ALL_NoFlex_GB</v>
      </c>
      <c r="B36" s="40" t="s">
        <v>25</v>
      </c>
      <c r="C36" s="40" t="s">
        <v>296</v>
      </c>
      <c r="D36" s="40" t="s">
        <v>432</v>
      </c>
      <c r="E36" s="40" t="s">
        <v>267</v>
      </c>
      <c r="F36" s="40" t="s">
        <v>269</v>
      </c>
      <c r="G36" s="40" t="s">
        <v>265</v>
      </c>
      <c r="H36" s="40" t="s">
        <v>267</v>
      </c>
      <c r="I36" s="40" t="s">
        <v>228</v>
      </c>
      <c r="J36" s="40" t="s">
        <v>130</v>
      </c>
      <c r="K36" s="40" t="s">
        <v>274</v>
      </c>
    </row>
    <row r="37" spans="1:11">
      <c r="A37" s="40" t="str">
        <f t="shared" si="2"/>
        <v>EV06_rapid_ALL_NoFlex_GB</v>
      </c>
      <c r="B37" s="40" t="s">
        <v>25</v>
      </c>
      <c r="C37" s="40" t="s">
        <v>296</v>
      </c>
      <c r="D37" s="40" t="s">
        <v>432</v>
      </c>
      <c r="E37" s="40" t="s">
        <v>267</v>
      </c>
      <c r="F37" s="40" t="s">
        <v>269</v>
      </c>
      <c r="G37" s="40" t="s">
        <v>279</v>
      </c>
      <c r="H37" s="40" t="s">
        <v>267</v>
      </c>
      <c r="I37" s="40" t="s">
        <v>228</v>
      </c>
      <c r="J37" s="40" t="s">
        <v>130</v>
      </c>
      <c r="K37" s="40" t="s">
        <v>274</v>
      </c>
    </row>
    <row r="38" spans="1:11">
      <c r="A38" s="40" t="str">
        <f t="shared" si="2"/>
        <v>EV06_depot_ALL_NoFlex_GB</v>
      </c>
      <c r="B38" s="40" t="s">
        <v>25</v>
      </c>
      <c r="C38" s="40" t="s">
        <v>296</v>
      </c>
      <c r="D38" s="40" t="s">
        <v>432</v>
      </c>
      <c r="E38" s="40" t="s">
        <v>267</v>
      </c>
      <c r="F38" s="40" t="s">
        <v>269</v>
      </c>
      <c r="G38" s="40" t="s">
        <v>289</v>
      </c>
      <c r="H38" s="40" t="s">
        <v>267</v>
      </c>
      <c r="I38" s="40" t="s">
        <v>228</v>
      </c>
      <c r="J38" s="40" t="s">
        <v>130</v>
      </c>
      <c r="K38" s="40" t="s">
        <v>274</v>
      </c>
    </row>
    <row r="39" spans="1:11">
      <c r="A39" s="40" t="str">
        <f t="shared" si="2"/>
        <v>EV07_domestic_ALL_ALL_GB</v>
      </c>
      <c r="B39" s="40" t="s">
        <v>26</v>
      </c>
      <c r="C39" s="40" t="s">
        <v>301</v>
      </c>
      <c r="D39" s="40" t="s">
        <v>443</v>
      </c>
      <c r="E39" s="40" t="s">
        <v>267</v>
      </c>
      <c r="F39" s="40" t="s">
        <v>269</v>
      </c>
      <c r="G39" s="40" t="s">
        <v>226</v>
      </c>
      <c r="H39" s="40" t="s">
        <v>267</v>
      </c>
      <c r="I39" s="40" t="s">
        <v>267</v>
      </c>
      <c r="J39" s="40" t="s">
        <v>130</v>
      </c>
      <c r="K39" s="40" t="s">
        <v>236</v>
      </c>
    </row>
    <row r="40" spans="1:11">
      <c r="A40" s="40" t="str">
        <f t="shared" si="2"/>
        <v>EV07_workplace_ALL_ALL_GB</v>
      </c>
      <c r="B40" s="40" t="s">
        <v>26</v>
      </c>
      <c r="C40" s="40" t="s">
        <v>301</v>
      </c>
      <c r="D40" s="40" t="s">
        <v>443</v>
      </c>
      <c r="E40" s="40" t="s">
        <v>267</v>
      </c>
      <c r="F40" s="40" t="s">
        <v>269</v>
      </c>
      <c r="G40" s="40" t="s">
        <v>245</v>
      </c>
      <c r="H40" s="40" t="s">
        <v>267</v>
      </c>
      <c r="I40" s="40" t="s">
        <v>267</v>
      </c>
      <c r="J40" s="40" t="s">
        <v>130</v>
      </c>
      <c r="K40" s="40" t="s">
        <v>236</v>
      </c>
    </row>
    <row r="41" spans="1:11">
      <c r="A41" s="40" t="str">
        <f t="shared" si="2"/>
        <v>EV07_slowfast_ALL_ALL_GB</v>
      </c>
      <c r="B41" s="40" t="s">
        <v>26</v>
      </c>
      <c r="C41" s="40" t="s">
        <v>301</v>
      </c>
      <c r="D41" s="40" t="s">
        <v>443</v>
      </c>
      <c r="E41" s="40" t="s">
        <v>267</v>
      </c>
      <c r="F41" s="40" t="s">
        <v>269</v>
      </c>
      <c r="G41" s="40" t="s">
        <v>265</v>
      </c>
      <c r="H41" s="40" t="s">
        <v>267</v>
      </c>
      <c r="I41" s="40" t="s">
        <v>267</v>
      </c>
      <c r="J41" s="40" t="s">
        <v>130</v>
      </c>
      <c r="K41" s="40" t="s">
        <v>236</v>
      </c>
    </row>
    <row r="42" spans="1:11">
      <c r="A42" s="40" t="str">
        <f t="shared" si="2"/>
        <v>EV07_rapid_ALL_ALL_GB</v>
      </c>
      <c r="B42" s="40" t="s">
        <v>26</v>
      </c>
      <c r="C42" s="40" t="s">
        <v>301</v>
      </c>
      <c r="D42" s="40" t="s">
        <v>443</v>
      </c>
      <c r="E42" s="40" t="s">
        <v>267</v>
      </c>
      <c r="F42" s="40" t="s">
        <v>269</v>
      </c>
      <c r="G42" s="40" t="s">
        <v>279</v>
      </c>
      <c r="H42" s="40" t="s">
        <v>267</v>
      </c>
      <c r="I42" s="40" t="s">
        <v>267</v>
      </c>
      <c r="J42" s="40" t="s">
        <v>130</v>
      </c>
      <c r="K42" s="40" t="s">
        <v>236</v>
      </c>
    </row>
    <row r="43" spans="1:11">
      <c r="A43" s="40" t="str">
        <f t="shared" si="2"/>
        <v>EV07_depot_ALL_ALL_GB</v>
      </c>
      <c r="B43" s="40" t="s">
        <v>26</v>
      </c>
      <c r="C43" s="40" t="s">
        <v>301</v>
      </c>
      <c r="D43" s="40" t="s">
        <v>443</v>
      </c>
      <c r="E43" s="40" t="s">
        <v>267</v>
      </c>
      <c r="F43" s="40" t="s">
        <v>269</v>
      </c>
      <c r="G43" s="40" t="s">
        <v>289</v>
      </c>
      <c r="H43" s="40" t="s">
        <v>267</v>
      </c>
      <c r="I43" s="40" t="s">
        <v>267</v>
      </c>
      <c r="J43" s="40" t="s">
        <v>130</v>
      </c>
      <c r="K43" s="40" t="s">
        <v>236</v>
      </c>
    </row>
    <row r="44" spans="1:11">
      <c r="A44" s="40" t="str">
        <f t="shared" si="2"/>
        <v>EV08_domestic_ALL_ALL_GB</v>
      </c>
      <c r="B44" s="40" t="s">
        <v>27</v>
      </c>
      <c r="C44" s="40" t="s">
        <v>306</v>
      </c>
      <c r="D44" s="40" t="s">
        <v>454</v>
      </c>
      <c r="E44" s="40" t="s">
        <v>267</v>
      </c>
      <c r="F44" s="40" t="s">
        <v>269</v>
      </c>
      <c r="G44" s="40" t="s">
        <v>226</v>
      </c>
      <c r="H44" s="40" t="s">
        <v>267</v>
      </c>
      <c r="I44" s="40" t="s">
        <v>267</v>
      </c>
      <c r="J44" s="40" t="s">
        <v>130</v>
      </c>
      <c r="K44" s="40" t="s">
        <v>236</v>
      </c>
    </row>
    <row r="45" spans="1:11">
      <c r="A45" s="40" t="str">
        <f t="shared" si="2"/>
        <v>EV08_workplace_ALL_ALL_GB</v>
      </c>
      <c r="B45" s="40" t="s">
        <v>27</v>
      </c>
      <c r="C45" s="40" t="s">
        <v>306</v>
      </c>
      <c r="D45" s="40" t="s">
        <v>454</v>
      </c>
      <c r="E45" s="40" t="s">
        <v>267</v>
      </c>
      <c r="F45" s="40" t="s">
        <v>269</v>
      </c>
      <c r="G45" s="40" t="s">
        <v>245</v>
      </c>
      <c r="H45" s="40" t="s">
        <v>267</v>
      </c>
      <c r="I45" s="40" t="s">
        <v>267</v>
      </c>
      <c r="J45" s="40" t="s">
        <v>130</v>
      </c>
      <c r="K45" s="40" t="s">
        <v>236</v>
      </c>
    </row>
    <row r="46" spans="1:11">
      <c r="A46" s="40" t="str">
        <f t="shared" si="2"/>
        <v>EV08_slowfast_ALL_ALL_GB</v>
      </c>
      <c r="B46" s="40" t="s">
        <v>27</v>
      </c>
      <c r="C46" s="40" t="s">
        <v>306</v>
      </c>
      <c r="D46" s="40" t="s">
        <v>454</v>
      </c>
      <c r="E46" s="40" t="s">
        <v>267</v>
      </c>
      <c r="F46" s="40" t="s">
        <v>269</v>
      </c>
      <c r="G46" s="40" t="s">
        <v>265</v>
      </c>
      <c r="H46" s="40" t="s">
        <v>267</v>
      </c>
      <c r="I46" s="40" t="s">
        <v>267</v>
      </c>
      <c r="J46" s="40" t="s">
        <v>130</v>
      </c>
      <c r="K46" s="40" t="s">
        <v>236</v>
      </c>
    </row>
    <row r="47" spans="1:11">
      <c r="A47" s="40" t="str">
        <f t="shared" si="2"/>
        <v>EV08_rapid_ALL_ALL_GB</v>
      </c>
      <c r="B47" s="40" t="s">
        <v>27</v>
      </c>
      <c r="C47" s="40" t="s">
        <v>306</v>
      </c>
      <c r="D47" s="40" t="s">
        <v>454</v>
      </c>
      <c r="E47" s="40" t="s">
        <v>267</v>
      </c>
      <c r="F47" s="40" t="s">
        <v>269</v>
      </c>
      <c r="G47" s="40" t="s">
        <v>279</v>
      </c>
      <c r="H47" s="40" t="s">
        <v>267</v>
      </c>
      <c r="I47" s="40" t="s">
        <v>267</v>
      </c>
      <c r="J47" s="40" t="s">
        <v>130</v>
      </c>
      <c r="K47" s="40" t="s">
        <v>236</v>
      </c>
    </row>
    <row r="48" spans="1:11">
      <c r="A48" s="40" t="str">
        <f t="shared" si="2"/>
        <v>EV08_depot_ALL_ALL_GB</v>
      </c>
      <c r="B48" s="40" t="s">
        <v>27</v>
      </c>
      <c r="C48" s="40" t="s">
        <v>306</v>
      </c>
      <c r="D48" s="40" t="s">
        <v>454</v>
      </c>
      <c r="E48" s="40" t="s">
        <v>267</v>
      </c>
      <c r="F48" s="40" t="s">
        <v>269</v>
      </c>
      <c r="G48" s="40" t="s">
        <v>289</v>
      </c>
      <c r="H48" s="40" t="s">
        <v>267</v>
      </c>
      <c r="I48" s="40" t="s">
        <v>267</v>
      </c>
      <c r="J48" s="40" t="s">
        <v>130</v>
      </c>
      <c r="K48" s="40" t="s">
        <v>236</v>
      </c>
    </row>
    <row r="49" spans="1:11">
      <c r="A49" s="40" t="str">
        <f t="shared" si="2"/>
        <v>EV09_domestic_NA_ALL_GB</v>
      </c>
      <c r="B49" s="40" t="s">
        <v>28</v>
      </c>
      <c r="C49" s="40" t="s">
        <v>310</v>
      </c>
      <c r="D49" s="40" t="s">
        <v>486</v>
      </c>
      <c r="E49" s="40" t="s">
        <v>269</v>
      </c>
      <c r="F49" s="40" t="s">
        <v>269</v>
      </c>
      <c r="G49" s="40" t="s">
        <v>226</v>
      </c>
      <c r="H49" s="40" t="s">
        <v>269</v>
      </c>
      <c r="I49" s="40" t="s">
        <v>267</v>
      </c>
      <c r="J49" s="40" t="s">
        <v>130</v>
      </c>
      <c r="K49" s="40" t="s">
        <v>236</v>
      </c>
    </row>
    <row r="50" spans="1:11">
      <c r="A50" s="40" t="str">
        <f t="shared" si="2"/>
        <v>EV09_workplace_NA_ALL_GB</v>
      </c>
      <c r="B50" s="40" t="s">
        <v>28</v>
      </c>
      <c r="C50" s="40" t="s">
        <v>310</v>
      </c>
      <c r="D50" s="40" t="s">
        <v>486</v>
      </c>
      <c r="E50" s="40" t="s">
        <v>269</v>
      </c>
      <c r="F50" s="40" t="s">
        <v>269</v>
      </c>
      <c r="G50" s="40" t="s">
        <v>245</v>
      </c>
      <c r="H50" s="40" t="s">
        <v>269</v>
      </c>
      <c r="I50" s="40" t="s">
        <v>267</v>
      </c>
      <c r="J50" s="40" t="s">
        <v>130</v>
      </c>
      <c r="K50" s="40" t="s">
        <v>236</v>
      </c>
    </row>
    <row r="51" spans="1:11">
      <c r="A51" s="40" t="str">
        <f t="shared" si="2"/>
        <v>EV09_slowfast_NA_ALL_GB</v>
      </c>
      <c r="B51" s="40" t="s">
        <v>28</v>
      </c>
      <c r="C51" s="40" t="s">
        <v>310</v>
      </c>
      <c r="D51" s="40" t="s">
        <v>486</v>
      </c>
      <c r="E51" s="40" t="s">
        <v>269</v>
      </c>
      <c r="F51" s="40" t="s">
        <v>269</v>
      </c>
      <c r="G51" s="40" t="s">
        <v>265</v>
      </c>
      <c r="H51" s="40" t="s">
        <v>269</v>
      </c>
      <c r="I51" s="40" t="s">
        <v>267</v>
      </c>
      <c r="J51" s="40" t="s">
        <v>130</v>
      </c>
      <c r="K51" s="40" t="s">
        <v>236</v>
      </c>
    </row>
    <row r="52" spans="1:11">
      <c r="A52" s="40" t="str">
        <f t="shared" si="2"/>
        <v>EV09_rapid_NA_ALL_GB</v>
      </c>
      <c r="B52" s="40" t="s">
        <v>28</v>
      </c>
      <c r="C52" s="40" t="s">
        <v>310</v>
      </c>
      <c r="D52" s="40" t="s">
        <v>486</v>
      </c>
      <c r="E52" s="40" t="s">
        <v>269</v>
      </c>
      <c r="F52" s="40" t="s">
        <v>269</v>
      </c>
      <c r="G52" s="40" t="s">
        <v>279</v>
      </c>
      <c r="H52" s="40" t="s">
        <v>269</v>
      </c>
      <c r="I52" s="40" t="s">
        <v>267</v>
      </c>
      <c r="J52" s="40" t="s">
        <v>130</v>
      </c>
      <c r="K52" s="40" t="s">
        <v>236</v>
      </c>
    </row>
    <row r="53" spans="1:11">
      <c r="A53" s="40" t="str">
        <f t="shared" si="2"/>
        <v>EV09_depot_NA_ALL_GB</v>
      </c>
      <c r="B53" s="40" t="s">
        <v>28</v>
      </c>
      <c r="C53" s="40" t="s">
        <v>310</v>
      </c>
      <c r="D53" s="40" t="s">
        <v>486</v>
      </c>
      <c r="E53" s="40" t="s">
        <v>269</v>
      </c>
      <c r="F53" s="40" t="s">
        <v>269</v>
      </c>
      <c r="G53" s="40" t="s">
        <v>289</v>
      </c>
      <c r="H53" s="40" t="s">
        <v>269</v>
      </c>
      <c r="I53" s="40" t="s">
        <v>267</v>
      </c>
      <c r="J53" s="40" t="s">
        <v>130</v>
      </c>
      <c r="K53" s="40" t="s">
        <v>236</v>
      </c>
    </row>
    <row r="54" spans="1:11">
      <c r="A54" s="40" t="str">
        <f t="shared" si="2"/>
        <v>EV10_domestic_NA_ALL_GB</v>
      </c>
      <c r="B54" s="40" t="s">
        <v>29</v>
      </c>
      <c r="C54" s="40" t="s">
        <v>315</v>
      </c>
      <c r="D54" s="40" t="s">
        <v>136</v>
      </c>
      <c r="E54" s="40" t="s">
        <v>269</v>
      </c>
      <c r="F54" s="40" t="s">
        <v>269</v>
      </c>
      <c r="G54" s="40" t="s">
        <v>226</v>
      </c>
      <c r="H54" s="40" t="s">
        <v>269</v>
      </c>
      <c r="I54" s="40" t="s">
        <v>267</v>
      </c>
      <c r="J54" s="40" t="s">
        <v>130</v>
      </c>
      <c r="K54" s="40" t="s">
        <v>236</v>
      </c>
    </row>
    <row r="55" spans="1:11">
      <c r="A55" s="40" t="str">
        <f t="shared" si="2"/>
        <v>EV10_workplace_NA_ALL_GB</v>
      </c>
      <c r="B55" s="40" t="s">
        <v>29</v>
      </c>
      <c r="C55" s="40" t="s">
        <v>315</v>
      </c>
      <c r="D55" s="40" t="s">
        <v>136</v>
      </c>
      <c r="E55" s="40" t="s">
        <v>269</v>
      </c>
      <c r="F55" s="40" t="s">
        <v>269</v>
      </c>
      <c r="G55" s="40" t="s">
        <v>245</v>
      </c>
      <c r="H55" s="40" t="s">
        <v>269</v>
      </c>
      <c r="I55" s="40" t="s">
        <v>267</v>
      </c>
      <c r="J55" s="40" t="s">
        <v>130</v>
      </c>
      <c r="K55" s="40" t="s">
        <v>236</v>
      </c>
    </row>
    <row r="56" spans="1:11">
      <c r="A56" s="40" t="str">
        <f t="shared" si="2"/>
        <v>EV10_slowfast_NA_ALL_GB</v>
      </c>
      <c r="B56" s="40" t="s">
        <v>29</v>
      </c>
      <c r="C56" s="40" t="s">
        <v>315</v>
      </c>
      <c r="D56" s="40" t="s">
        <v>136</v>
      </c>
      <c r="E56" s="40" t="s">
        <v>269</v>
      </c>
      <c r="F56" s="40" t="s">
        <v>269</v>
      </c>
      <c r="G56" s="40" t="s">
        <v>265</v>
      </c>
      <c r="H56" s="40" t="s">
        <v>269</v>
      </c>
      <c r="I56" s="40" t="s">
        <v>267</v>
      </c>
      <c r="J56" s="40" t="s">
        <v>130</v>
      </c>
      <c r="K56" s="40" t="s">
        <v>236</v>
      </c>
    </row>
    <row r="57" spans="1:11">
      <c r="A57" s="40" t="str">
        <f t="shared" si="2"/>
        <v>EV10_rapid_NA_ALL_GB</v>
      </c>
      <c r="B57" s="40" t="s">
        <v>29</v>
      </c>
      <c r="C57" s="40" t="s">
        <v>315</v>
      </c>
      <c r="D57" s="40" t="s">
        <v>136</v>
      </c>
      <c r="E57" s="40" t="s">
        <v>269</v>
      </c>
      <c r="F57" s="40" t="s">
        <v>269</v>
      </c>
      <c r="G57" s="40" t="s">
        <v>279</v>
      </c>
      <c r="H57" s="40" t="s">
        <v>269</v>
      </c>
      <c r="I57" s="40" t="s">
        <v>267</v>
      </c>
      <c r="J57" s="40" t="s">
        <v>130</v>
      </c>
      <c r="K57" s="40" t="s">
        <v>236</v>
      </c>
    </row>
    <row r="58" spans="1:11">
      <c r="A58" s="40" t="str">
        <f t="shared" si="2"/>
        <v>EV10_depot_NA_ALL_GB</v>
      </c>
      <c r="B58" s="40" t="s">
        <v>29</v>
      </c>
      <c r="C58" s="40" t="s">
        <v>315</v>
      </c>
      <c r="D58" s="40" t="s">
        <v>136</v>
      </c>
      <c r="E58" s="40" t="s">
        <v>269</v>
      </c>
      <c r="F58" s="40" t="s">
        <v>269</v>
      </c>
      <c r="G58" s="40" t="s">
        <v>289</v>
      </c>
      <c r="H58" s="40" t="s">
        <v>269</v>
      </c>
      <c r="I58" s="40" t="s">
        <v>267</v>
      </c>
      <c r="J58" s="40" t="s">
        <v>130</v>
      </c>
      <c r="K58" s="40" t="s">
        <v>236</v>
      </c>
    </row>
  </sheetData>
  <sheetProtection formatCells="0" formatColumns="0" formatRows="0" sort="0" autoFilter="0" pivotTables="0"/>
  <protectedRanges>
    <protectedRange sqref="A3:K58" name="Range1"/>
  </protectedRanges>
  <dataValidations count="6">
    <dataValidation type="list" allowBlank="1" showInputMessage="1" showErrorMessage="1" sqref="E4:F58" xr:uid="{62FDF3BF-73E6-4493-A5D8-FA6EB513D810}">
      <formula1>EV_BBs</formula1>
    </dataValidation>
    <dataValidation type="list" allowBlank="1" showInputMessage="1" showErrorMessage="1" sqref="I4:I58" xr:uid="{AEDCBADF-4623-4151-83B0-3BDCEFE5544F}">
      <formula1>EV_Flex</formula1>
    </dataValidation>
    <dataValidation type="list" allowBlank="1" showInputMessage="1" showErrorMessage="1" sqref="H4:H58" xr:uid="{4EC2678B-6E8F-47C7-8C1C-A8B937B1A60F}">
      <formula1>rep_days</formula1>
    </dataValidation>
    <dataValidation type="list" allowBlank="1" showInputMessage="1" showErrorMessage="1" sqref="J4:J58" xr:uid="{02B705A6-51DB-4153-9A96-3EC53D14B098}">
      <formula1>spatial_res</formula1>
    </dataValidation>
    <dataValidation type="list" allowBlank="1" showInputMessage="1" showErrorMessage="1" sqref="K4:K58" xr:uid="{EFDC56AB-5A7C-405E-82A8-5361097526BF}">
      <formula1>temporal_res</formula1>
    </dataValidation>
    <dataValidation type="list" allowBlank="1" showInputMessage="1" showErrorMessage="1" sqref="G4:G58" xr:uid="{08735FA6-B0B9-49F0-8585-E42D89DE43F8}">
      <formula1>EV_charger_type</formula1>
    </dataValidation>
  </dataValidations>
  <hyperlinks>
    <hyperlink ref="A1" location="Contents!A1" display="Back to contents" xr:uid="{C262079F-78C7-4A79-BEA1-0B8FEC41D189}"/>
    <hyperlink ref="A2" location="'EV CPA Summary Table'!A1" display="Back to EV CPA Summary Table " xr:uid="{61BAA4A6-13A1-4A67-A6AA-DD3FD09877C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4D6E2-CEF3-409F-A0DD-C5C5FCB01317}">
  <sheetPr>
    <tabColor theme="8" tint="0.79998168889431442"/>
  </sheetPr>
  <dimension ref="A1:I31"/>
  <sheetViews>
    <sheetView showGridLines="0" workbookViewId="0">
      <pane xSplit="1" ySplit="3" topLeftCell="B4" activePane="bottomRight" state="frozen"/>
      <selection pane="bottomRight"/>
      <selection pane="bottomLeft"/>
      <selection pane="topRight"/>
    </sheetView>
  </sheetViews>
  <sheetFormatPr defaultColWidth="8.8984375" defaultRowHeight="20.45"/>
  <cols>
    <col min="1" max="1" width="57" style="119" customWidth="1"/>
    <col min="2" max="2" width="10.19921875" style="119" customWidth="1"/>
    <col min="3" max="3" width="12.19921875" style="119" customWidth="1"/>
    <col min="4" max="5" width="21.19921875" style="119" customWidth="1"/>
    <col min="6" max="6" width="22.8984375" style="119" customWidth="1"/>
    <col min="7" max="7" width="23.5" style="119" customWidth="1"/>
    <col min="8" max="8" width="30.5" style="119" customWidth="1"/>
    <col min="9" max="9" width="19" style="119" customWidth="1"/>
    <col min="10" max="16384" width="8.8984375" style="119"/>
  </cols>
  <sheetData>
    <row r="1" spans="1:9" ht="21.6" customHeight="1">
      <c r="A1" s="117" t="s">
        <v>57</v>
      </c>
    </row>
    <row r="2" spans="1:9" ht="21.6" customHeight="1">
      <c r="A2" s="117" t="s">
        <v>338</v>
      </c>
    </row>
    <row r="3" spans="1:9">
      <c r="A3" s="170" t="s">
        <v>162</v>
      </c>
      <c r="B3" s="170" t="s">
        <v>340</v>
      </c>
      <c r="C3" s="170" t="s">
        <v>166</v>
      </c>
      <c r="D3" s="170" t="s">
        <v>172</v>
      </c>
      <c r="E3" s="170" t="s">
        <v>482</v>
      </c>
      <c r="F3" s="170" t="s">
        <v>483</v>
      </c>
      <c r="G3" s="170" t="s">
        <v>484</v>
      </c>
      <c r="H3" s="170" t="s">
        <v>487</v>
      </c>
      <c r="I3" s="170" t="s">
        <v>488</v>
      </c>
    </row>
    <row r="4" spans="1:9">
      <c r="A4" s="36" t="str">
        <f t="shared" ref="A4:A31" si="0">_xlfn.CONCAT("EV01_",INDEX(EV_BBs_short,MATCH(C4,EV_BBs,0)),IF(D4="N/A","",_xlfn.CONCAT("-",INDEX(EV_BBs_short,MATCH(D4,EV_BBs,0)))),"_",INDEX(rep_days_short,MATCH(F4,rep_days,0)),"_",INDEX(EV_Flex_short,MATCH(G4,EV_Flex,0)),"_",INDEX(Licence_areas_short,MATCH(H4,Licence_areas,0)))</f>
        <v>EV01_BB1-BB2_NA_NA_EastMids</v>
      </c>
      <c r="B4" s="36" t="s">
        <v>355</v>
      </c>
      <c r="C4" s="36" t="s">
        <v>225</v>
      </c>
      <c r="D4" s="36" t="s">
        <v>244</v>
      </c>
      <c r="E4" s="36" t="s">
        <v>269</v>
      </c>
      <c r="F4" s="36" t="s">
        <v>269</v>
      </c>
      <c r="G4" s="36" t="s">
        <v>269</v>
      </c>
      <c r="H4" s="36" t="s">
        <v>240</v>
      </c>
      <c r="I4" s="121">
        <v>13900</v>
      </c>
    </row>
    <row r="5" spans="1:9">
      <c r="A5" s="36" t="str">
        <f t="shared" si="0"/>
        <v>EV01_BB1-BB2_NA_NA_East</v>
      </c>
      <c r="B5" s="36" t="s">
        <v>355</v>
      </c>
      <c r="C5" s="36" t="s">
        <v>225</v>
      </c>
      <c r="D5" s="36" t="s">
        <v>244</v>
      </c>
      <c r="E5" s="36" t="s">
        <v>269</v>
      </c>
      <c r="F5" s="36" t="s">
        <v>269</v>
      </c>
      <c r="G5" s="36" t="s">
        <v>269</v>
      </c>
      <c r="H5" s="36" t="s">
        <v>260</v>
      </c>
      <c r="I5" s="121">
        <v>13700</v>
      </c>
    </row>
    <row r="6" spans="1:9">
      <c r="A6" s="36" t="str">
        <f t="shared" si="0"/>
        <v>EV01_BB1-BB2_NA_NA_London</v>
      </c>
      <c r="B6" s="36" t="s">
        <v>355</v>
      </c>
      <c r="C6" s="36" t="s">
        <v>225</v>
      </c>
      <c r="D6" s="36" t="s">
        <v>244</v>
      </c>
      <c r="E6" s="36" t="s">
        <v>269</v>
      </c>
      <c r="F6" s="36" t="s">
        <v>269</v>
      </c>
      <c r="G6" s="36" t="s">
        <v>269</v>
      </c>
      <c r="H6" s="36" t="s">
        <v>275</v>
      </c>
      <c r="I6" s="121">
        <v>9900</v>
      </c>
    </row>
    <row r="7" spans="1:9">
      <c r="A7" s="36" t="str">
        <f t="shared" si="0"/>
        <v>EV01_BB1-BB2_NA_NA_MersNWales</v>
      </c>
      <c r="B7" s="36" t="s">
        <v>355</v>
      </c>
      <c r="C7" s="36" t="s">
        <v>225</v>
      </c>
      <c r="D7" s="36" t="s">
        <v>244</v>
      </c>
      <c r="E7" s="36" t="s">
        <v>269</v>
      </c>
      <c r="F7" s="36" t="s">
        <v>269</v>
      </c>
      <c r="G7" s="36" t="s">
        <v>269</v>
      </c>
      <c r="H7" s="36" t="s">
        <v>286</v>
      </c>
      <c r="I7" s="121">
        <v>14100</v>
      </c>
    </row>
    <row r="8" spans="1:9">
      <c r="A8" s="36" t="str">
        <f t="shared" si="0"/>
        <v>EV01_BB1-BB2_NA_NA_Wmids</v>
      </c>
      <c r="B8" s="36" t="s">
        <v>355</v>
      </c>
      <c r="C8" s="36" t="s">
        <v>225</v>
      </c>
      <c r="D8" s="36" t="s">
        <v>244</v>
      </c>
      <c r="E8" s="36" t="s">
        <v>269</v>
      </c>
      <c r="F8" s="36" t="s">
        <v>269</v>
      </c>
      <c r="G8" s="36" t="s">
        <v>269</v>
      </c>
      <c r="H8" s="36" t="s">
        <v>294</v>
      </c>
      <c r="I8" s="121">
        <v>13600</v>
      </c>
    </row>
    <row r="9" spans="1:9">
      <c r="A9" s="36" t="str">
        <f t="shared" si="0"/>
        <v>EV01_BB1-BB2_NA_NA_NorthScot</v>
      </c>
      <c r="B9" s="36" t="s">
        <v>355</v>
      </c>
      <c r="C9" s="36" t="s">
        <v>225</v>
      </c>
      <c r="D9" s="36" t="s">
        <v>244</v>
      </c>
      <c r="E9" s="36" t="s">
        <v>269</v>
      </c>
      <c r="F9" s="36" t="s">
        <v>269</v>
      </c>
      <c r="G9" s="36" t="s">
        <v>269</v>
      </c>
      <c r="H9" s="36" t="s">
        <v>299</v>
      </c>
      <c r="I9" s="121">
        <v>16300</v>
      </c>
    </row>
    <row r="10" spans="1:9">
      <c r="A10" s="36" t="str">
        <f t="shared" si="0"/>
        <v>EV01_BB1-BB2_NA_NA_NorthWest</v>
      </c>
      <c r="B10" s="36" t="s">
        <v>355</v>
      </c>
      <c r="C10" s="36" t="s">
        <v>225</v>
      </c>
      <c r="D10" s="36" t="s">
        <v>244</v>
      </c>
      <c r="E10" s="36" t="s">
        <v>269</v>
      </c>
      <c r="F10" s="36" t="s">
        <v>269</v>
      </c>
      <c r="G10" s="36" t="s">
        <v>269</v>
      </c>
      <c r="H10" s="36" t="s">
        <v>305</v>
      </c>
      <c r="I10" s="121">
        <v>12800</v>
      </c>
    </row>
    <row r="11" spans="1:9">
      <c r="A11" s="36" t="str">
        <f t="shared" si="0"/>
        <v>EV01_BB1-BB2_NA_NA_North</v>
      </c>
      <c r="B11" s="36" t="s">
        <v>355</v>
      </c>
      <c r="C11" s="36" t="s">
        <v>225</v>
      </c>
      <c r="D11" s="36" t="s">
        <v>244</v>
      </c>
      <c r="E11" s="36" t="s">
        <v>269</v>
      </c>
      <c r="F11" s="36" t="s">
        <v>269</v>
      </c>
      <c r="G11" s="36" t="s">
        <v>269</v>
      </c>
      <c r="H11" s="36" t="s">
        <v>308</v>
      </c>
      <c r="I11" s="121">
        <v>14600</v>
      </c>
    </row>
    <row r="12" spans="1:9">
      <c r="A12" s="36" t="str">
        <f t="shared" si="0"/>
        <v>EV01_BB1-BB2_NA_NA_SouthEast</v>
      </c>
      <c r="B12" s="36" t="s">
        <v>355</v>
      </c>
      <c r="C12" s="36" t="s">
        <v>225</v>
      </c>
      <c r="D12" s="36" t="s">
        <v>244</v>
      </c>
      <c r="E12" s="36" t="s">
        <v>269</v>
      </c>
      <c r="F12" s="36" t="s">
        <v>269</v>
      </c>
      <c r="G12" s="36" t="s">
        <v>269</v>
      </c>
      <c r="H12" s="36" t="s">
        <v>313</v>
      </c>
      <c r="I12" s="121">
        <v>13000</v>
      </c>
    </row>
    <row r="13" spans="1:9">
      <c r="A13" s="36" t="str">
        <f t="shared" si="0"/>
        <v>EV01_BB1-BB2_NA_NA_SouthScot</v>
      </c>
      <c r="B13" s="36" t="s">
        <v>355</v>
      </c>
      <c r="C13" s="36" t="s">
        <v>225</v>
      </c>
      <c r="D13" s="36" t="s">
        <v>244</v>
      </c>
      <c r="E13" s="36" t="s">
        <v>269</v>
      </c>
      <c r="F13" s="36" t="s">
        <v>269</v>
      </c>
      <c r="G13" s="36" t="s">
        <v>269</v>
      </c>
      <c r="H13" s="36" t="s">
        <v>318</v>
      </c>
      <c r="I13" s="121">
        <v>14600</v>
      </c>
    </row>
    <row r="14" spans="1:9">
      <c r="A14" s="36" t="str">
        <f t="shared" si="0"/>
        <v>EV01_BB1-BB2_NA_NA_SouthWales</v>
      </c>
      <c r="B14" s="36" t="s">
        <v>355</v>
      </c>
      <c r="C14" s="36" t="s">
        <v>225</v>
      </c>
      <c r="D14" s="36" t="s">
        <v>244</v>
      </c>
      <c r="E14" s="36" t="s">
        <v>269</v>
      </c>
      <c r="F14" s="36" t="s">
        <v>269</v>
      </c>
      <c r="G14" s="36" t="s">
        <v>269</v>
      </c>
      <c r="H14" s="36" t="s">
        <v>321</v>
      </c>
      <c r="I14" s="121">
        <v>14600</v>
      </c>
    </row>
    <row r="15" spans="1:9">
      <c r="A15" s="36" t="str">
        <f t="shared" si="0"/>
        <v>EV01_BB1-BB2_NA_NA_SouthWest</v>
      </c>
      <c r="B15" s="36" t="s">
        <v>355</v>
      </c>
      <c r="C15" s="36" t="s">
        <v>225</v>
      </c>
      <c r="D15" s="36" t="s">
        <v>244</v>
      </c>
      <c r="E15" s="36" t="s">
        <v>269</v>
      </c>
      <c r="F15" s="36" t="s">
        <v>269</v>
      </c>
      <c r="G15" s="36" t="s">
        <v>269</v>
      </c>
      <c r="H15" s="36" t="s">
        <v>323</v>
      </c>
      <c r="I15" s="121">
        <v>14000</v>
      </c>
    </row>
    <row r="16" spans="1:9">
      <c r="A16" s="36" t="str">
        <f t="shared" si="0"/>
        <v>EV01_BB1-BB2_NA_NA_South</v>
      </c>
      <c r="B16" s="36" t="s">
        <v>355</v>
      </c>
      <c r="C16" s="36" t="s">
        <v>225</v>
      </c>
      <c r="D16" s="36" t="s">
        <v>244</v>
      </c>
      <c r="E16" s="36" t="s">
        <v>269</v>
      </c>
      <c r="F16" s="36" t="s">
        <v>269</v>
      </c>
      <c r="G16" s="36" t="s">
        <v>269</v>
      </c>
      <c r="H16" s="36" t="s">
        <v>324</v>
      </c>
      <c r="I16" s="121">
        <v>11800</v>
      </c>
    </row>
    <row r="17" spans="1:9">
      <c r="A17" s="36" t="str">
        <f t="shared" si="0"/>
        <v>EV01_BB1-BB2_NA_NA_Yorkshire</v>
      </c>
      <c r="B17" s="36" t="s">
        <v>355</v>
      </c>
      <c r="C17" s="36" t="s">
        <v>225</v>
      </c>
      <c r="D17" s="36" t="s">
        <v>244</v>
      </c>
      <c r="E17" s="36" t="s">
        <v>269</v>
      </c>
      <c r="F17" s="36" t="s">
        <v>269</v>
      </c>
      <c r="G17" s="36" t="s">
        <v>269</v>
      </c>
      <c r="H17" s="36" t="s">
        <v>326</v>
      </c>
      <c r="I17" s="121">
        <v>12800</v>
      </c>
    </row>
    <row r="18" spans="1:9">
      <c r="A18" s="36" t="str">
        <f t="shared" si="0"/>
        <v>EV01_BB3-BB4_NA_NA_EastMids</v>
      </c>
      <c r="B18" s="36" t="s">
        <v>355</v>
      </c>
      <c r="C18" s="36" t="s">
        <v>263</v>
      </c>
      <c r="D18" s="36" t="s">
        <v>277</v>
      </c>
      <c r="E18" s="36" t="s">
        <v>269</v>
      </c>
      <c r="F18" s="36" t="s">
        <v>269</v>
      </c>
      <c r="G18" s="36" t="s">
        <v>269</v>
      </c>
      <c r="H18" s="36" t="s">
        <v>240</v>
      </c>
      <c r="I18" s="121">
        <v>50800</v>
      </c>
    </row>
    <row r="19" spans="1:9">
      <c r="A19" s="36" t="str">
        <f t="shared" si="0"/>
        <v>EV01_BB3-BB4_NA_NA_East</v>
      </c>
      <c r="B19" s="36" t="s">
        <v>355</v>
      </c>
      <c r="C19" s="36" t="s">
        <v>263</v>
      </c>
      <c r="D19" s="36" t="s">
        <v>277</v>
      </c>
      <c r="E19" s="36" t="s">
        <v>269</v>
      </c>
      <c r="F19" s="36" t="s">
        <v>269</v>
      </c>
      <c r="G19" s="36" t="s">
        <v>269</v>
      </c>
      <c r="H19" s="36" t="s">
        <v>260</v>
      </c>
      <c r="I19" s="121">
        <v>56000</v>
      </c>
    </row>
    <row r="20" spans="1:9">
      <c r="A20" s="36" t="str">
        <f t="shared" si="0"/>
        <v>EV01_BB3-BB4_NA_NA_London</v>
      </c>
      <c r="B20" s="36" t="s">
        <v>355</v>
      </c>
      <c r="C20" s="36" t="s">
        <v>263</v>
      </c>
      <c r="D20" s="36" t="s">
        <v>277</v>
      </c>
      <c r="E20" s="36" t="s">
        <v>269</v>
      </c>
      <c r="F20" s="36" t="s">
        <v>269</v>
      </c>
      <c r="G20" s="36" t="s">
        <v>269</v>
      </c>
      <c r="H20" s="36" t="s">
        <v>275</v>
      </c>
      <c r="I20" s="121">
        <v>33200</v>
      </c>
    </row>
    <row r="21" spans="1:9">
      <c r="A21" s="36" t="str">
        <f t="shared" si="0"/>
        <v>EV01_BB3-BB4_NA_NA_MersNWales</v>
      </c>
      <c r="B21" s="36" t="s">
        <v>355</v>
      </c>
      <c r="C21" s="36" t="s">
        <v>263</v>
      </c>
      <c r="D21" s="36" t="s">
        <v>277</v>
      </c>
      <c r="E21" s="36" t="s">
        <v>269</v>
      </c>
      <c r="F21" s="36" t="s">
        <v>269</v>
      </c>
      <c r="G21" s="36" t="s">
        <v>269</v>
      </c>
      <c r="H21" s="36" t="s">
        <v>286</v>
      </c>
      <c r="I21" s="121">
        <v>43000</v>
      </c>
    </row>
    <row r="22" spans="1:9">
      <c r="A22" s="36" t="str">
        <f t="shared" si="0"/>
        <v>EV01_BB3-BB4_NA_NA_Wmids</v>
      </c>
      <c r="B22" s="36" t="s">
        <v>355</v>
      </c>
      <c r="C22" s="36" t="s">
        <v>263</v>
      </c>
      <c r="D22" s="36" t="s">
        <v>277</v>
      </c>
      <c r="E22" s="36" t="s">
        <v>269</v>
      </c>
      <c r="F22" s="36" t="s">
        <v>269</v>
      </c>
      <c r="G22" s="36" t="s">
        <v>269</v>
      </c>
      <c r="H22" s="36" t="s">
        <v>294</v>
      </c>
      <c r="I22" s="121">
        <v>46000</v>
      </c>
    </row>
    <row r="23" spans="1:9">
      <c r="A23" s="36" t="str">
        <f t="shared" si="0"/>
        <v>EV01_BB3-BB4_NA_NA_NorthScot</v>
      </c>
      <c r="B23" s="36" t="s">
        <v>355</v>
      </c>
      <c r="C23" s="36" t="s">
        <v>263</v>
      </c>
      <c r="D23" s="36" t="s">
        <v>277</v>
      </c>
      <c r="E23" s="36" t="s">
        <v>269</v>
      </c>
      <c r="F23" s="36" t="s">
        <v>269</v>
      </c>
      <c r="G23" s="36" t="s">
        <v>269</v>
      </c>
      <c r="H23" s="36" t="s">
        <v>299</v>
      </c>
      <c r="I23" s="121">
        <v>60100</v>
      </c>
    </row>
    <row r="24" spans="1:9">
      <c r="A24" s="36" t="str">
        <f t="shared" si="0"/>
        <v>EV01_BB3-BB4_NA_NA_NorthWest</v>
      </c>
      <c r="B24" s="36" t="s">
        <v>355</v>
      </c>
      <c r="C24" s="36" t="s">
        <v>263</v>
      </c>
      <c r="D24" s="36" t="s">
        <v>277</v>
      </c>
      <c r="E24" s="36" t="s">
        <v>269</v>
      </c>
      <c r="F24" s="36" t="s">
        <v>269</v>
      </c>
      <c r="G24" s="36" t="s">
        <v>269</v>
      </c>
      <c r="H24" s="36" t="s">
        <v>305</v>
      </c>
      <c r="I24" s="121">
        <v>41300</v>
      </c>
    </row>
    <row r="25" spans="1:9">
      <c r="A25" s="36" t="str">
        <f t="shared" si="0"/>
        <v>EV01_BB3-BB4_NA_NA_North</v>
      </c>
      <c r="B25" s="36" t="s">
        <v>355</v>
      </c>
      <c r="C25" s="36" t="s">
        <v>263</v>
      </c>
      <c r="D25" s="36" t="s">
        <v>277</v>
      </c>
      <c r="E25" s="36" t="s">
        <v>269</v>
      </c>
      <c r="F25" s="36" t="s">
        <v>269</v>
      </c>
      <c r="G25" s="36" t="s">
        <v>269</v>
      </c>
      <c r="H25" s="36" t="s">
        <v>308</v>
      </c>
      <c r="I25" s="121">
        <v>52900</v>
      </c>
    </row>
    <row r="26" spans="1:9">
      <c r="A26" s="36" t="str">
        <f t="shared" si="0"/>
        <v>EV01_BB3-BB4_NA_NA_SouthEast</v>
      </c>
      <c r="B26" s="36" t="s">
        <v>355</v>
      </c>
      <c r="C26" s="36" t="s">
        <v>263</v>
      </c>
      <c r="D26" s="36" t="s">
        <v>277</v>
      </c>
      <c r="E26" s="36" t="s">
        <v>269</v>
      </c>
      <c r="F26" s="36" t="s">
        <v>269</v>
      </c>
      <c r="G26" s="36" t="s">
        <v>269</v>
      </c>
      <c r="H26" s="36" t="s">
        <v>313</v>
      </c>
      <c r="I26" s="121">
        <v>52300</v>
      </c>
    </row>
    <row r="27" spans="1:9">
      <c r="A27" s="36" t="str">
        <f t="shared" si="0"/>
        <v>EV01_BB3-BB4_NA_NA_SouthScot</v>
      </c>
      <c r="B27" s="36" t="s">
        <v>355</v>
      </c>
      <c r="C27" s="36" t="s">
        <v>263</v>
      </c>
      <c r="D27" s="36" t="s">
        <v>277</v>
      </c>
      <c r="E27" s="36" t="s">
        <v>269</v>
      </c>
      <c r="F27" s="36" t="s">
        <v>269</v>
      </c>
      <c r="G27" s="36" t="s">
        <v>269</v>
      </c>
      <c r="H27" s="36" t="s">
        <v>318</v>
      </c>
      <c r="I27" s="121">
        <v>59800</v>
      </c>
    </row>
    <row r="28" spans="1:9">
      <c r="A28" s="36" t="str">
        <f t="shared" si="0"/>
        <v>EV01_BB3-BB4_NA_NA_SouthWales</v>
      </c>
      <c r="B28" s="36" t="s">
        <v>355</v>
      </c>
      <c r="C28" s="36" t="s">
        <v>263</v>
      </c>
      <c r="D28" s="36" t="s">
        <v>277</v>
      </c>
      <c r="E28" s="36" t="s">
        <v>269</v>
      </c>
      <c r="F28" s="36" t="s">
        <v>269</v>
      </c>
      <c r="G28" s="36" t="s">
        <v>269</v>
      </c>
      <c r="H28" s="36" t="s">
        <v>321</v>
      </c>
      <c r="I28" s="121">
        <v>40500</v>
      </c>
    </row>
    <row r="29" spans="1:9">
      <c r="A29" s="36" t="str">
        <f t="shared" si="0"/>
        <v>EV01_BB3-BB4_NA_NA_SouthWest</v>
      </c>
      <c r="B29" s="36" t="s">
        <v>355</v>
      </c>
      <c r="C29" s="36" t="s">
        <v>263</v>
      </c>
      <c r="D29" s="36" t="s">
        <v>277</v>
      </c>
      <c r="E29" s="36" t="s">
        <v>269</v>
      </c>
      <c r="F29" s="36" t="s">
        <v>269</v>
      </c>
      <c r="G29" s="36" t="s">
        <v>269</v>
      </c>
      <c r="H29" s="36" t="s">
        <v>323</v>
      </c>
      <c r="I29" s="121">
        <v>37900</v>
      </c>
    </row>
    <row r="30" spans="1:9">
      <c r="A30" s="36" t="str">
        <f t="shared" si="0"/>
        <v>EV01_BB3-BB4_NA_NA_South</v>
      </c>
      <c r="B30" s="36" t="s">
        <v>355</v>
      </c>
      <c r="C30" s="36" t="s">
        <v>263</v>
      </c>
      <c r="D30" s="36" t="s">
        <v>277</v>
      </c>
      <c r="E30" s="36" t="s">
        <v>269</v>
      </c>
      <c r="F30" s="36" t="s">
        <v>269</v>
      </c>
      <c r="G30" s="36" t="s">
        <v>269</v>
      </c>
      <c r="H30" s="36" t="s">
        <v>324</v>
      </c>
      <c r="I30" s="121">
        <v>39800</v>
      </c>
    </row>
    <row r="31" spans="1:9">
      <c r="A31" s="36" t="str">
        <f t="shared" si="0"/>
        <v>EV01_BB3-BB4_NA_NA_Yorkshire</v>
      </c>
      <c r="B31" s="36" t="s">
        <v>355</v>
      </c>
      <c r="C31" s="36" t="s">
        <v>263</v>
      </c>
      <c r="D31" s="36" t="s">
        <v>277</v>
      </c>
      <c r="E31" s="36" t="s">
        <v>269</v>
      </c>
      <c r="F31" s="36" t="s">
        <v>269</v>
      </c>
      <c r="G31" s="36" t="s">
        <v>269</v>
      </c>
      <c r="H31" s="36" t="s">
        <v>326</v>
      </c>
      <c r="I31" s="121">
        <v>47000</v>
      </c>
    </row>
  </sheetData>
  <sheetProtection formatCells="0" formatColumns="0" formatRows="0"/>
  <dataValidations count="4">
    <dataValidation type="list" allowBlank="1" showInputMessage="1" showErrorMessage="1" sqref="C4:D31" xr:uid="{0AB8A241-1EFF-406D-AC45-287559ED3D2E}">
      <formula1>EV_BBs</formula1>
    </dataValidation>
    <dataValidation type="list" allowBlank="1" showInputMessage="1" showErrorMessage="1" sqref="F4:F31" xr:uid="{4C164F30-9718-4552-A681-2AED7F698CB4}">
      <formula1>rep_days</formula1>
    </dataValidation>
    <dataValidation type="list" allowBlank="1" showInputMessage="1" showErrorMessage="1" sqref="G4:G31" xr:uid="{7578E3E0-1BF2-4A75-A1FA-E46125B5DBA9}">
      <formula1>EV_Flex</formula1>
    </dataValidation>
    <dataValidation type="list" allowBlank="1" showInputMessage="1" showErrorMessage="1" sqref="E4:E31" xr:uid="{B617D239-B31E-4360-9864-584FE16B9F59}">
      <formula1>EV_charger_type</formula1>
    </dataValidation>
  </dataValidations>
  <hyperlinks>
    <hyperlink ref="A1" location="Contents!A1" display="Back to contents" xr:uid="{791A2B43-6C27-4F39-9812-5F237AC80D66}"/>
    <hyperlink ref="A2" location="'EV CPA Summary Table'!A1" display="Back to EV CPA Summary Table " xr:uid="{AA24B655-9F3A-4F9B-B5CA-5F038DDAEA0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3A3D6-BEC1-46C9-BF82-3DFCD508F450}">
  <sheetPr>
    <tabColor theme="8" tint="0.79998168889431442"/>
  </sheetPr>
  <dimension ref="A1:J5"/>
  <sheetViews>
    <sheetView showGridLines="0" workbookViewId="0">
      <pane xSplit="1" ySplit="3" topLeftCell="B4" activePane="bottomRight" state="frozen"/>
      <selection pane="bottomRight"/>
      <selection pane="bottomLeft"/>
      <selection pane="topRight"/>
    </sheetView>
  </sheetViews>
  <sheetFormatPr defaultColWidth="9.19921875" defaultRowHeight="20.45"/>
  <cols>
    <col min="1" max="1" width="30.296875" style="118" customWidth="1"/>
    <col min="2" max="2" width="6.19921875" style="118" customWidth="1"/>
    <col min="3" max="3" width="12.19921875" style="118" customWidth="1"/>
    <col min="4" max="4" width="21.19921875" style="118" customWidth="1"/>
    <col min="5" max="5" width="22.8984375" style="118" customWidth="1"/>
    <col min="6" max="6" width="23.5" style="118" customWidth="1"/>
    <col min="7" max="7" width="30.5" style="118" customWidth="1"/>
    <col min="8" max="8" width="15.8984375" style="118" customWidth="1"/>
    <col min="9" max="9" width="24.8984375" style="118" customWidth="1"/>
    <col min="10" max="10" width="25.19921875" style="118" customWidth="1"/>
    <col min="11" max="16384" width="9.19921875" style="118"/>
  </cols>
  <sheetData>
    <row r="1" spans="1:10">
      <c r="A1" s="117" t="s">
        <v>57</v>
      </c>
    </row>
    <row r="2" spans="1:10">
      <c r="A2" s="117" t="s">
        <v>338</v>
      </c>
    </row>
    <row r="3" spans="1:10">
      <c r="A3" s="170" t="s">
        <v>162</v>
      </c>
      <c r="B3" s="170" t="s">
        <v>340</v>
      </c>
      <c r="C3" s="170" t="s">
        <v>166</v>
      </c>
      <c r="D3" s="170" t="s">
        <v>482</v>
      </c>
      <c r="E3" s="170" t="s">
        <v>483</v>
      </c>
      <c r="F3" s="170" t="s">
        <v>484</v>
      </c>
      <c r="G3" s="170" t="s">
        <v>485</v>
      </c>
      <c r="H3" s="170" t="s">
        <v>488</v>
      </c>
      <c r="I3" s="170" t="s">
        <v>489</v>
      </c>
      <c r="J3" s="170" t="s">
        <v>490</v>
      </c>
    </row>
    <row r="4" spans="1:10">
      <c r="A4" s="36" t="str">
        <f>_xlfn.CONCAT("EV02_",INDEX(EV_BBs_short,MATCH(C4,EV_BBs,0)),IF(D4="N/A","",_xlfn.CONCAT("-",INDEX(EV_BBs_short,MATCH(D4,EV_BBs,0)))),"_",INDEX(rep_days_short,MATCH(E4,rep_days,0)),"_",INDEX(EV_Flex_short,MATCH(F4,EV_Flex,0)),"_",G4)</f>
        <v>EV02_BB2_NA_NA_GB</v>
      </c>
      <c r="B4" s="36" t="s">
        <v>403</v>
      </c>
      <c r="C4" s="36" t="s">
        <v>244</v>
      </c>
      <c r="D4" s="36" t="s">
        <v>269</v>
      </c>
      <c r="E4" s="36" t="s">
        <v>269</v>
      </c>
      <c r="F4" s="36" t="s">
        <v>269</v>
      </c>
      <c r="G4" s="36" t="s">
        <v>130</v>
      </c>
      <c r="H4" s="53">
        <v>0.312</v>
      </c>
      <c r="I4" s="122">
        <v>0.2</v>
      </c>
      <c r="J4" s="122">
        <v>0.5</v>
      </c>
    </row>
    <row r="5" spans="1:10">
      <c r="A5" s="36" t="str">
        <f>_xlfn.CONCAT("EV02_",INDEX(EV_BBs_short,MATCH(C5,EV_BBs,0)),IF(D5="N/A","",_xlfn.CONCAT("-",INDEX(EV_BBs_short,MATCH(D5,EV_BBs,0)))),"_",INDEX(rep_days_short,MATCH(E5,rep_days,0)),"_",INDEX(EV_Flex_short,MATCH(F5,EV_Flex,0)),"_",G5)</f>
        <v>EV02_BB4_NA_NA_GB</v>
      </c>
      <c r="B5" s="36" t="s">
        <v>403</v>
      </c>
      <c r="C5" s="36" t="s">
        <v>277</v>
      </c>
      <c r="D5" s="36" t="s">
        <v>269</v>
      </c>
      <c r="E5" s="36" t="s">
        <v>269</v>
      </c>
      <c r="F5" s="36" t="s">
        <v>269</v>
      </c>
      <c r="G5" s="36" t="s">
        <v>130</v>
      </c>
      <c r="H5" s="53">
        <v>0.4</v>
      </c>
      <c r="I5" s="122">
        <v>0.3</v>
      </c>
      <c r="J5" s="122">
        <v>0.5</v>
      </c>
    </row>
  </sheetData>
  <sheetProtection formatCells="0" formatColumns="0" formatRows="0"/>
  <dataValidations count="5">
    <dataValidation type="list" allowBlank="1" showInputMessage="1" showErrorMessage="1" sqref="G4:G5" xr:uid="{F1C16473-E6E8-4F5C-8DF3-82C7D00BE100}">
      <formula1>spatial_res</formula1>
    </dataValidation>
    <dataValidation type="list" allowBlank="1" showInputMessage="1" showErrorMessage="1" sqref="E4:E5" xr:uid="{8BEDA59D-00B5-4BD7-832C-91CC8893D88B}">
      <formula1>rep_days</formula1>
    </dataValidation>
    <dataValidation type="list" allowBlank="1" showInputMessage="1" showErrorMessage="1" sqref="F4:F5" xr:uid="{8929BCA2-A70A-4661-9080-DA168426ECA5}">
      <formula1>EV_Flex</formula1>
    </dataValidation>
    <dataValidation type="list" allowBlank="1" showInputMessage="1" showErrorMessage="1" sqref="C4:C5" xr:uid="{C73A7787-FAF7-47C1-AAA1-8779DB31C9FA}">
      <formula1>EV_BBs</formula1>
    </dataValidation>
    <dataValidation type="list" allowBlank="1" showInputMessage="1" showErrorMessage="1" sqref="D4:D5" xr:uid="{689D6A42-AAF9-4A58-B39E-EB9C29FF6066}">
      <formula1>EV_charger_type</formula1>
    </dataValidation>
  </dataValidations>
  <hyperlinks>
    <hyperlink ref="A1" location="Contents!A1" display="Back to contents" xr:uid="{E7A8872E-39DE-4D20-9CC1-D7ABF1157432}"/>
    <hyperlink ref="A2" location="'EV CPA Summary Table'!A1" display="Back to EV CPA Summary Table " xr:uid="{7A5F6677-E53F-4800-9AD4-9CFA5F6521D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BA1B-03BF-45A0-8B82-EC78B36C3D17}">
  <sheetPr>
    <tabColor theme="8" tint="0.79998168889431442"/>
  </sheetPr>
  <dimension ref="A1:J84"/>
  <sheetViews>
    <sheetView showGridLines="0" workbookViewId="0">
      <pane xSplit="1" ySplit="3" topLeftCell="B4" activePane="bottomRight" state="frozen"/>
      <selection pane="bottomRight"/>
      <selection pane="bottomLeft"/>
      <selection pane="topRight"/>
    </sheetView>
  </sheetViews>
  <sheetFormatPr defaultColWidth="8.8984375" defaultRowHeight="20.45"/>
  <cols>
    <col min="1" max="1" width="30.5" style="119" customWidth="1"/>
    <col min="2" max="2" width="13.8984375" style="119" customWidth="1"/>
    <col min="3" max="3" width="15.8984375" style="119" customWidth="1"/>
    <col min="4" max="5" width="21.19921875" style="119" customWidth="1"/>
    <col min="6" max="7" width="22.8984375" style="119" customWidth="1"/>
    <col min="8" max="8" width="30.5" style="119" customWidth="1"/>
    <col min="9" max="9" width="11.5" style="119" customWidth="1"/>
    <col min="10" max="10" width="18.19921875" style="119" customWidth="1"/>
    <col min="11" max="16384" width="8.8984375" style="119"/>
  </cols>
  <sheetData>
    <row r="1" spans="1:10">
      <c r="A1" s="117" t="s">
        <v>57</v>
      </c>
    </row>
    <row r="2" spans="1:10">
      <c r="A2" s="117" t="s">
        <v>338</v>
      </c>
    </row>
    <row r="3" spans="1:10">
      <c r="A3" s="170" t="s">
        <v>162</v>
      </c>
      <c r="B3" s="170" t="s">
        <v>340</v>
      </c>
      <c r="C3" s="170" t="s">
        <v>166</v>
      </c>
      <c r="D3" s="170" t="s">
        <v>172</v>
      </c>
      <c r="E3" s="170" t="s">
        <v>482</v>
      </c>
      <c r="F3" s="170" t="s">
        <v>483</v>
      </c>
      <c r="G3" s="170" t="s">
        <v>484</v>
      </c>
      <c r="H3" s="170" t="s">
        <v>485</v>
      </c>
      <c r="I3" s="170" t="s">
        <v>491</v>
      </c>
      <c r="J3" s="170" t="s">
        <v>488</v>
      </c>
    </row>
    <row r="4" spans="1:10">
      <c r="A4" s="2" t="str">
        <f>_xlfn.CONCAT("EV03_",INDEX(EV_BBs_short,MATCH(C4,EV_BBs,0)),IF(D4="N/A","",_xlfn.CONCAT("-",INDEX(EV_BBs_short,MATCH(F4,EV_BBs,0)))),"_",INDEX(rep_days_short,MATCH(F4,rep_days,0)),"_",INDEX(EV_Flex_short,MATCH(G4,EV_Flex,0)),"_",H4)</f>
        <v>EV03_BB1_NA_NA_GB</v>
      </c>
      <c r="B4" s="2" t="s">
        <v>391</v>
      </c>
      <c r="C4" s="2" t="s">
        <v>225</v>
      </c>
      <c r="D4" s="2" t="s">
        <v>269</v>
      </c>
      <c r="E4" s="2" t="s">
        <v>269</v>
      </c>
      <c r="F4" s="2" t="s">
        <v>269</v>
      </c>
      <c r="G4" s="2" t="s">
        <v>269</v>
      </c>
      <c r="H4" s="2" t="s">
        <v>130</v>
      </c>
      <c r="I4" s="2">
        <v>2024</v>
      </c>
      <c r="J4" s="2">
        <v>0.20619999999999999</v>
      </c>
    </row>
    <row r="5" spans="1:10">
      <c r="A5" s="36" t="str">
        <f t="shared" ref="A5:A35" si="0">_xlfn.CONCAT("EV03_",INDEX(EV_BBs_short,MATCH(C5,EV_BBs,0)),IF(D5="N/A","",_xlfn.CONCAT("-",INDEX(EV_BBs_short,MATCH(F5,EV_BBs,0)))),"_",INDEX(rep_days_short,MATCH(F5,rep_days,0)),"_",INDEX(EV_Flex_short,MATCH(G5,EV_Flex,0)),"_",H5)</f>
        <v>EV03_BB1_NA_NA_GB</v>
      </c>
      <c r="B5" s="36" t="s">
        <v>391</v>
      </c>
      <c r="C5" s="36" t="s">
        <v>225</v>
      </c>
      <c r="D5" s="36" t="s">
        <v>269</v>
      </c>
      <c r="E5" s="36" t="s">
        <v>269</v>
      </c>
      <c r="F5" s="36" t="s">
        <v>269</v>
      </c>
      <c r="G5" s="36" t="s">
        <v>269</v>
      </c>
      <c r="H5" s="36" t="s">
        <v>130</v>
      </c>
      <c r="I5" s="36">
        <v>2025</v>
      </c>
      <c r="J5" s="36">
        <v>0.2046</v>
      </c>
    </row>
    <row r="6" spans="1:10">
      <c r="A6" s="36" t="str">
        <f t="shared" si="0"/>
        <v>EV03_BB1_NA_NA_GB</v>
      </c>
      <c r="B6" s="36" t="s">
        <v>391</v>
      </c>
      <c r="C6" s="36" t="s">
        <v>225</v>
      </c>
      <c r="D6" s="36" t="s">
        <v>269</v>
      </c>
      <c r="E6" s="36" t="s">
        <v>269</v>
      </c>
      <c r="F6" s="36" t="s">
        <v>269</v>
      </c>
      <c r="G6" s="36" t="s">
        <v>269</v>
      </c>
      <c r="H6" s="36" t="s">
        <v>130</v>
      </c>
      <c r="I6" s="36">
        <v>2026</v>
      </c>
      <c r="J6" s="36">
        <v>0.20250000000000001</v>
      </c>
    </row>
    <row r="7" spans="1:10">
      <c r="A7" s="36" t="str">
        <f t="shared" si="0"/>
        <v>EV03_BB1_NA_NA_GB</v>
      </c>
      <c r="B7" s="36" t="s">
        <v>391</v>
      </c>
      <c r="C7" s="36" t="s">
        <v>225</v>
      </c>
      <c r="D7" s="36" t="s">
        <v>269</v>
      </c>
      <c r="E7" s="36" t="s">
        <v>269</v>
      </c>
      <c r="F7" s="36" t="s">
        <v>269</v>
      </c>
      <c r="G7" s="36" t="s">
        <v>269</v>
      </c>
      <c r="H7" s="36" t="s">
        <v>130</v>
      </c>
      <c r="I7" s="36">
        <v>2027</v>
      </c>
      <c r="J7" s="36">
        <v>0.20039999999999999</v>
      </c>
    </row>
    <row r="8" spans="1:10">
      <c r="A8" s="36" t="str">
        <f t="shared" si="0"/>
        <v>EV03_BB1_NA_NA_GB</v>
      </c>
      <c r="B8" s="36" t="s">
        <v>391</v>
      </c>
      <c r="C8" s="36" t="s">
        <v>225</v>
      </c>
      <c r="D8" s="36" t="s">
        <v>269</v>
      </c>
      <c r="E8" s="36" t="s">
        <v>269</v>
      </c>
      <c r="F8" s="36" t="s">
        <v>269</v>
      </c>
      <c r="G8" s="36" t="s">
        <v>269</v>
      </c>
      <c r="H8" s="36" t="s">
        <v>130</v>
      </c>
      <c r="I8" s="36">
        <v>2028</v>
      </c>
      <c r="J8" s="36">
        <v>0.19819999999999999</v>
      </c>
    </row>
    <row r="9" spans="1:10">
      <c r="A9" s="36" t="str">
        <f t="shared" si="0"/>
        <v>EV03_BB1_NA_NA_GB</v>
      </c>
      <c r="B9" s="36" t="s">
        <v>391</v>
      </c>
      <c r="C9" s="36" t="s">
        <v>225</v>
      </c>
      <c r="D9" s="36" t="s">
        <v>269</v>
      </c>
      <c r="E9" s="36" t="s">
        <v>269</v>
      </c>
      <c r="F9" s="36" t="s">
        <v>269</v>
      </c>
      <c r="G9" s="36" t="s">
        <v>269</v>
      </c>
      <c r="H9" s="36" t="s">
        <v>130</v>
      </c>
      <c r="I9" s="36">
        <v>2029</v>
      </c>
      <c r="J9" s="36">
        <v>0.19600000000000001</v>
      </c>
    </row>
    <row r="10" spans="1:10">
      <c r="A10" s="36" t="str">
        <f t="shared" si="0"/>
        <v>EV03_BB1_NA_NA_GB</v>
      </c>
      <c r="B10" s="36" t="s">
        <v>391</v>
      </c>
      <c r="C10" s="36" t="s">
        <v>225</v>
      </c>
      <c r="D10" s="36" t="s">
        <v>269</v>
      </c>
      <c r="E10" s="36" t="s">
        <v>269</v>
      </c>
      <c r="F10" s="36" t="s">
        <v>269</v>
      </c>
      <c r="G10" s="36" t="s">
        <v>269</v>
      </c>
      <c r="H10" s="36" t="s">
        <v>130</v>
      </c>
      <c r="I10" s="36">
        <v>2030</v>
      </c>
      <c r="J10" s="36">
        <v>0.1943</v>
      </c>
    </row>
    <row r="11" spans="1:10">
      <c r="A11" s="36" t="str">
        <f t="shared" si="0"/>
        <v>EV03_BB1_NA_NA_GB</v>
      </c>
      <c r="B11" s="36" t="s">
        <v>391</v>
      </c>
      <c r="C11" s="36" t="s">
        <v>225</v>
      </c>
      <c r="D11" s="36" t="s">
        <v>269</v>
      </c>
      <c r="E11" s="36" t="s">
        <v>269</v>
      </c>
      <c r="F11" s="36" t="s">
        <v>269</v>
      </c>
      <c r="G11" s="36" t="s">
        <v>269</v>
      </c>
      <c r="H11" s="36" t="s">
        <v>130</v>
      </c>
      <c r="I11" s="36">
        <v>2031</v>
      </c>
      <c r="J11" s="36">
        <v>0.19359999999999999</v>
      </c>
    </row>
    <row r="12" spans="1:10">
      <c r="A12" s="36" t="str">
        <f t="shared" si="0"/>
        <v>EV03_BB1_NA_NA_GB</v>
      </c>
      <c r="B12" s="36" t="s">
        <v>391</v>
      </c>
      <c r="C12" s="36" t="s">
        <v>225</v>
      </c>
      <c r="D12" s="36" t="s">
        <v>269</v>
      </c>
      <c r="E12" s="36" t="s">
        <v>269</v>
      </c>
      <c r="F12" s="36" t="s">
        <v>269</v>
      </c>
      <c r="G12" s="36" t="s">
        <v>269</v>
      </c>
      <c r="H12" s="36" t="s">
        <v>130</v>
      </c>
      <c r="I12" s="36">
        <v>2032</v>
      </c>
      <c r="J12" s="36">
        <v>0.19350000000000001</v>
      </c>
    </row>
    <row r="13" spans="1:10">
      <c r="A13" s="36" t="str">
        <f t="shared" si="0"/>
        <v>EV03_BB1_NA_NA_GB</v>
      </c>
      <c r="B13" s="36" t="s">
        <v>391</v>
      </c>
      <c r="C13" s="36" t="s">
        <v>225</v>
      </c>
      <c r="D13" s="36" t="s">
        <v>269</v>
      </c>
      <c r="E13" s="36" t="s">
        <v>269</v>
      </c>
      <c r="F13" s="36" t="s">
        <v>269</v>
      </c>
      <c r="G13" s="36" t="s">
        <v>269</v>
      </c>
      <c r="H13" s="36" t="s">
        <v>130</v>
      </c>
      <c r="I13" s="36">
        <v>2033</v>
      </c>
      <c r="J13" s="36">
        <v>0.1938</v>
      </c>
    </row>
    <row r="14" spans="1:10">
      <c r="A14" s="36" t="str">
        <f t="shared" si="0"/>
        <v>EV03_BB1_NA_NA_GB</v>
      </c>
      <c r="B14" s="36" t="s">
        <v>391</v>
      </c>
      <c r="C14" s="36" t="s">
        <v>225</v>
      </c>
      <c r="D14" s="36" t="s">
        <v>269</v>
      </c>
      <c r="E14" s="36" t="s">
        <v>269</v>
      </c>
      <c r="F14" s="36" t="s">
        <v>269</v>
      </c>
      <c r="G14" s="36" t="s">
        <v>269</v>
      </c>
      <c r="H14" s="36" t="s">
        <v>130</v>
      </c>
      <c r="I14" s="36">
        <v>2034</v>
      </c>
      <c r="J14" s="36">
        <v>0.19420000000000001</v>
      </c>
    </row>
    <row r="15" spans="1:10">
      <c r="A15" s="36" t="str">
        <f t="shared" si="0"/>
        <v>EV03_BB1_NA_NA_GB</v>
      </c>
      <c r="B15" s="36" t="s">
        <v>391</v>
      </c>
      <c r="C15" s="36" t="s">
        <v>225</v>
      </c>
      <c r="D15" s="36" t="s">
        <v>269</v>
      </c>
      <c r="E15" s="36" t="s">
        <v>269</v>
      </c>
      <c r="F15" s="36" t="s">
        <v>269</v>
      </c>
      <c r="G15" s="36" t="s">
        <v>269</v>
      </c>
      <c r="H15" s="36" t="s">
        <v>130</v>
      </c>
      <c r="I15" s="36">
        <v>2035</v>
      </c>
      <c r="J15" s="36">
        <v>0.1946</v>
      </c>
    </row>
    <row r="16" spans="1:10">
      <c r="A16" s="36" t="str">
        <f t="shared" si="0"/>
        <v>EV03_BB1_NA_NA_GB</v>
      </c>
      <c r="B16" s="36" t="s">
        <v>391</v>
      </c>
      <c r="C16" s="36" t="s">
        <v>225</v>
      </c>
      <c r="D16" s="36" t="s">
        <v>269</v>
      </c>
      <c r="E16" s="36" t="s">
        <v>269</v>
      </c>
      <c r="F16" s="36" t="s">
        <v>269</v>
      </c>
      <c r="G16" s="36" t="s">
        <v>269</v>
      </c>
      <c r="H16" s="36" t="s">
        <v>130</v>
      </c>
      <c r="I16" s="36">
        <v>2036</v>
      </c>
      <c r="J16" s="36">
        <v>0.19470000000000001</v>
      </c>
    </row>
    <row r="17" spans="1:10">
      <c r="A17" s="36" t="str">
        <f t="shared" si="0"/>
        <v>EV03_BB1_NA_NA_GB</v>
      </c>
      <c r="B17" s="36" t="s">
        <v>391</v>
      </c>
      <c r="C17" s="36" t="s">
        <v>225</v>
      </c>
      <c r="D17" s="36" t="s">
        <v>269</v>
      </c>
      <c r="E17" s="36" t="s">
        <v>269</v>
      </c>
      <c r="F17" s="36" t="s">
        <v>269</v>
      </c>
      <c r="G17" s="36" t="s">
        <v>269</v>
      </c>
      <c r="H17" s="36" t="s">
        <v>130</v>
      </c>
      <c r="I17" s="36">
        <v>2037</v>
      </c>
      <c r="J17" s="36">
        <v>0.1946</v>
      </c>
    </row>
    <row r="18" spans="1:10">
      <c r="A18" s="36" t="str">
        <f t="shared" si="0"/>
        <v>EV03_BB1_NA_NA_GB</v>
      </c>
      <c r="B18" s="36" t="s">
        <v>391</v>
      </c>
      <c r="C18" s="36" t="s">
        <v>225</v>
      </c>
      <c r="D18" s="36" t="s">
        <v>269</v>
      </c>
      <c r="E18" s="36" t="s">
        <v>269</v>
      </c>
      <c r="F18" s="36" t="s">
        <v>269</v>
      </c>
      <c r="G18" s="36" t="s">
        <v>269</v>
      </c>
      <c r="H18" s="36" t="s">
        <v>130</v>
      </c>
      <c r="I18" s="36">
        <v>2038</v>
      </c>
      <c r="J18" s="36">
        <v>0.19420000000000001</v>
      </c>
    </row>
    <row r="19" spans="1:10">
      <c r="A19" s="36" t="str">
        <f t="shared" si="0"/>
        <v>EV03_BB1_NA_NA_GB</v>
      </c>
      <c r="B19" s="36" t="s">
        <v>391</v>
      </c>
      <c r="C19" s="36" t="s">
        <v>225</v>
      </c>
      <c r="D19" s="36" t="s">
        <v>269</v>
      </c>
      <c r="E19" s="36" t="s">
        <v>269</v>
      </c>
      <c r="F19" s="36" t="s">
        <v>269</v>
      </c>
      <c r="G19" s="36" t="s">
        <v>269</v>
      </c>
      <c r="H19" s="36" t="s">
        <v>130</v>
      </c>
      <c r="I19" s="36">
        <v>2039</v>
      </c>
      <c r="J19" s="36">
        <v>0.19370000000000001</v>
      </c>
    </row>
    <row r="20" spans="1:10">
      <c r="A20" s="36" t="str">
        <f t="shared" si="0"/>
        <v>EV03_BB1_NA_NA_GB</v>
      </c>
      <c r="B20" s="36" t="s">
        <v>391</v>
      </c>
      <c r="C20" s="36" t="s">
        <v>225</v>
      </c>
      <c r="D20" s="36" t="s">
        <v>269</v>
      </c>
      <c r="E20" s="36" t="s">
        <v>269</v>
      </c>
      <c r="F20" s="36" t="s">
        <v>269</v>
      </c>
      <c r="G20" s="36" t="s">
        <v>269</v>
      </c>
      <c r="H20" s="36" t="s">
        <v>130</v>
      </c>
      <c r="I20" s="36">
        <v>2040</v>
      </c>
      <c r="J20" s="36">
        <v>0.19339999999999999</v>
      </c>
    </row>
    <row r="21" spans="1:10">
      <c r="A21" s="36" t="str">
        <f t="shared" si="0"/>
        <v>EV03_BB1_NA_NA_GB</v>
      </c>
      <c r="B21" s="36" t="s">
        <v>391</v>
      </c>
      <c r="C21" s="36" t="s">
        <v>225</v>
      </c>
      <c r="D21" s="36" t="s">
        <v>269</v>
      </c>
      <c r="E21" s="36" t="s">
        <v>269</v>
      </c>
      <c r="F21" s="36" t="s">
        <v>269</v>
      </c>
      <c r="G21" s="36" t="s">
        <v>269</v>
      </c>
      <c r="H21" s="36" t="s">
        <v>130</v>
      </c>
      <c r="I21" s="36">
        <v>2041</v>
      </c>
      <c r="J21" s="36">
        <v>0.19309999999999999</v>
      </c>
    </row>
    <row r="22" spans="1:10">
      <c r="A22" s="36" t="str">
        <f t="shared" si="0"/>
        <v>EV03_BB1_NA_NA_GB</v>
      </c>
      <c r="B22" s="36" t="s">
        <v>391</v>
      </c>
      <c r="C22" s="36" t="s">
        <v>225</v>
      </c>
      <c r="D22" s="36" t="s">
        <v>269</v>
      </c>
      <c r="E22" s="36" t="s">
        <v>269</v>
      </c>
      <c r="F22" s="36" t="s">
        <v>269</v>
      </c>
      <c r="G22" s="36" t="s">
        <v>269</v>
      </c>
      <c r="H22" s="36" t="s">
        <v>130</v>
      </c>
      <c r="I22" s="36">
        <v>2042</v>
      </c>
      <c r="J22" s="36">
        <v>0.19259999999999999</v>
      </c>
    </row>
    <row r="23" spans="1:10">
      <c r="A23" s="36" t="str">
        <f t="shared" si="0"/>
        <v>EV03_BB1_NA_NA_GB</v>
      </c>
      <c r="B23" s="36" t="s">
        <v>391</v>
      </c>
      <c r="C23" s="36" t="s">
        <v>225</v>
      </c>
      <c r="D23" s="36" t="s">
        <v>269</v>
      </c>
      <c r="E23" s="36" t="s">
        <v>269</v>
      </c>
      <c r="F23" s="36" t="s">
        <v>269</v>
      </c>
      <c r="G23" s="36" t="s">
        <v>269</v>
      </c>
      <c r="H23" s="36" t="s">
        <v>130</v>
      </c>
      <c r="I23" s="36">
        <v>2043</v>
      </c>
      <c r="J23" s="36">
        <v>0.19209999999999999</v>
      </c>
    </row>
    <row r="24" spans="1:10">
      <c r="A24" s="36" t="str">
        <f t="shared" si="0"/>
        <v>EV03_BB1_NA_NA_GB</v>
      </c>
      <c r="B24" s="36" t="s">
        <v>391</v>
      </c>
      <c r="C24" s="36" t="s">
        <v>225</v>
      </c>
      <c r="D24" s="36" t="s">
        <v>269</v>
      </c>
      <c r="E24" s="36" t="s">
        <v>269</v>
      </c>
      <c r="F24" s="36" t="s">
        <v>269</v>
      </c>
      <c r="G24" s="36" t="s">
        <v>269</v>
      </c>
      <c r="H24" s="36" t="s">
        <v>130</v>
      </c>
      <c r="I24" s="36">
        <v>2044</v>
      </c>
      <c r="J24" s="36">
        <v>0.19159999999999999</v>
      </c>
    </row>
    <row r="25" spans="1:10">
      <c r="A25" s="36" t="str">
        <f t="shared" si="0"/>
        <v>EV03_BB1_NA_NA_GB</v>
      </c>
      <c r="B25" s="36" t="s">
        <v>391</v>
      </c>
      <c r="C25" s="36" t="s">
        <v>225</v>
      </c>
      <c r="D25" s="36" t="s">
        <v>269</v>
      </c>
      <c r="E25" s="36" t="s">
        <v>269</v>
      </c>
      <c r="F25" s="36" t="s">
        <v>269</v>
      </c>
      <c r="G25" s="36" t="s">
        <v>269</v>
      </c>
      <c r="H25" s="36" t="s">
        <v>130</v>
      </c>
      <c r="I25" s="36">
        <v>2045</v>
      </c>
      <c r="J25" s="36">
        <v>0.19120000000000001</v>
      </c>
    </row>
    <row r="26" spans="1:10">
      <c r="A26" s="36" t="str">
        <f t="shared" si="0"/>
        <v>EV03_BB1_NA_NA_GB</v>
      </c>
      <c r="B26" s="36" t="s">
        <v>391</v>
      </c>
      <c r="C26" s="36" t="s">
        <v>225</v>
      </c>
      <c r="D26" s="36" t="s">
        <v>269</v>
      </c>
      <c r="E26" s="36" t="s">
        <v>269</v>
      </c>
      <c r="F26" s="36" t="s">
        <v>269</v>
      </c>
      <c r="G26" s="36" t="s">
        <v>269</v>
      </c>
      <c r="H26" s="36" t="s">
        <v>130</v>
      </c>
      <c r="I26" s="36">
        <v>2046</v>
      </c>
      <c r="J26" s="36">
        <v>0.19070000000000001</v>
      </c>
    </row>
    <row r="27" spans="1:10">
      <c r="A27" s="36" t="str">
        <f t="shared" si="0"/>
        <v>EV03_BB1_NA_NA_GB</v>
      </c>
      <c r="B27" s="36" t="s">
        <v>391</v>
      </c>
      <c r="C27" s="36" t="s">
        <v>225</v>
      </c>
      <c r="D27" s="36" t="s">
        <v>269</v>
      </c>
      <c r="E27" s="36" t="s">
        <v>269</v>
      </c>
      <c r="F27" s="36" t="s">
        <v>269</v>
      </c>
      <c r="G27" s="36" t="s">
        <v>269</v>
      </c>
      <c r="H27" s="36" t="s">
        <v>130</v>
      </c>
      <c r="I27" s="36">
        <v>2047</v>
      </c>
      <c r="J27" s="36">
        <v>0.19020000000000001</v>
      </c>
    </row>
    <row r="28" spans="1:10">
      <c r="A28" s="36" t="str">
        <f t="shared" si="0"/>
        <v>EV03_BB1_NA_NA_GB</v>
      </c>
      <c r="B28" s="36" t="s">
        <v>391</v>
      </c>
      <c r="C28" s="36" t="s">
        <v>225</v>
      </c>
      <c r="D28" s="36" t="s">
        <v>269</v>
      </c>
      <c r="E28" s="36" t="s">
        <v>269</v>
      </c>
      <c r="F28" s="36" t="s">
        <v>269</v>
      </c>
      <c r="G28" s="36" t="s">
        <v>269</v>
      </c>
      <c r="H28" s="36" t="s">
        <v>130</v>
      </c>
      <c r="I28" s="36">
        <v>2048</v>
      </c>
      <c r="J28" s="36">
        <v>0.1885</v>
      </c>
    </row>
    <row r="29" spans="1:10">
      <c r="A29" s="36" t="str">
        <f t="shared" si="0"/>
        <v>EV03_BB1_NA_NA_GB</v>
      </c>
      <c r="B29" s="36" t="s">
        <v>391</v>
      </c>
      <c r="C29" s="36" t="s">
        <v>225</v>
      </c>
      <c r="D29" s="36" t="s">
        <v>269</v>
      </c>
      <c r="E29" s="36" t="s">
        <v>269</v>
      </c>
      <c r="F29" s="36" t="s">
        <v>269</v>
      </c>
      <c r="G29" s="36" t="s">
        <v>269</v>
      </c>
      <c r="H29" s="36" t="s">
        <v>130</v>
      </c>
      <c r="I29" s="36">
        <v>2049</v>
      </c>
      <c r="J29" s="36">
        <v>0.188</v>
      </c>
    </row>
    <row r="30" spans="1:10">
      <c r="A30" s="36" t="str">
        <f t="shared" si="0"/>
        <v>EV03_BB1_NA_NA_GB</v>
      </c>
      <c r="B30" s="36" t="s">
        <v>391</v>
      </c>
      <c r="C30" s="36" t="s">
        <v>225</v>
      </c>
      <c r="D30" s="36" t="s">
        <v>269</v>
      </c>
      <c r="E30" s="36" t="s">
        <v>269</v>
      </c>
      <c r="F30" s="36" t="s">
        <v>269</v>
      </c>
      <c r="G30" s="36" t="s">
        <v>269</v>
      </c>
      <c r="H30" s="36" t="s">
        <v>130</v>
      </c>
      <c r="I30" s="36">
        <v>2050</v>
      </c>
      <c r="J30" s="36">
        <v>0.18740000000000001</v>
      </c>
    </row>
    <row r="31" spans="1:10">
      <c r="A31" s="36" t="str">
        <f>_xlfn.CONCAT("EV03_",INDEX(EV_BBs_short,MATCH(C31,EV_BBs,0)),IF(D31="N/A","",_xlfn.CONCAT("-",INDEX(EV_BBs_short,MATCH(F31,EV_BBs,0)))),"_",INDEX(rep_days_short,MATCH(F31,rep_days,0)),"_",INDEX(EV_Flex_short,MATCH(G31,EV_Flex,0)),"_",H31)</f>
        <v>EV03_BB2_NA_NA_GB</v>
      </c>
      <c r="B31" s="36" t="s">
        <v>391</v>
      </c>
      <c r="C31" s="36" t="s">
        <v>244</v>
      </c>
      <c r="D31" s="36" t="s">
        <v>269</v>
      </c>
      <c r="E31" s="36" t="s">
        <v>269</v>
      </c>
      <c r="F31" s="36" t="s">
        <v>269</v>
      </c>
      <c r="G31" s="36" t="s">
        <v>269</v>
      </c>
      <c r="H31" s="36" t="s">
        <v>130</v>
      </c>
      <c r="I31" s="36">
        <v>2024</v>
      </c>
      <c r="J31" s="36">
        <v>0.1908</v>
      </c>
    </row>
    <row r="32" spans="1:10">
      <c r="A32" s="36" t="str">
        <f t="shared" si="0"/>
        <v>EV03_BB2_NA_NA_GB</v>
      </c>
      <c r="B32" s="36" t="s">
        <v>391</v>
      </c>
      <c r="C32" s="36" t="s">
        <v>244</v>
      </c>
      <c r="D32" s="36" t="s">
        <v>269</v>
      </c>
      <c r="E32" s="36" t="s">
        <v>269</v>
      </c>
      <c r="F32" s="36" t="s">
        <v>269</v>
      </c>
      <c r="G32" s="36" t="s">
        <v>269</v>
      </c>
      <c r="H32" s="36" t="s">
        <v>130</v>
      </c>
      <c r="I32" s="36">
        <v>2025</v>
      </c>
      <c r="J32" s="36">
        <v>0.18729999999999999</v>
      </c>
    </row>
    <row r="33" spans="1:10">
      <c r="A33" s="36" t="str">
        <f t="shared" si="0"/>
        <v>EV03_BB2_NA_NA_GB</v>
      </c>
      <c r="B33" s="36" t="s">
        <v>391</v>
      </c>
      <c r="C33" s="36" t="s">
        <v>244</v>
      </c>
      <c r="D33" s="36" t="s">
        <v>269</v>
      </c>
      <c r="E33" s="36" t="s">
        <v>269</v>
      </c>
      <c r="F33" s="36" t="s">
        <v>269</v>
      </c>
      <c r="G33" s="36" t="s">
        <v>269</v>
      </c>
      <c r="H33" s="36" t="s">
        <v>130</v>
      </c>
      <c r="I33" s="36">
        <v>2026</v>
      </c>
      <c r="J33" s="36">
        <v>0.1852</v>
      </c>
    </row>
    <row r="34" spans="1:10">
      <c r="A34" s="36" t="str">
        <f t="shared" si="0"/>
        <v>EV03_BB2_NA_NA_GB</v>
      </c>
      <c r="B34" s="36" t="s">
        <v>391</v>
      </c>
      <c r="C34" s="36" t="s">
        <v>244</v>
      </c>
      <c r="D34" s="36" t="s">
        <v>269</v>
      </c>
      <c r="E34" s="36" t="s">
        <v>269</v>
      </c>
      <c r="F34" s="36" t="s">
        <v>269</v>
      </c>
      <c r="G34" s="36" t="s">
        <v>269</v>
      </c>
      <c r="H34" s="36" t="s">
        <v>130</v>
      </c>
      <c r="I34" s="36">
        <v>2027</v>
      </c>
      <c r="J34" s="36">
        <v>0.1837</v>
      </c>
    </row>
    <row r="35" spans="1:10">
      <c r="A35" s="36" t="str">
        <f t="shared" si="0"/>
        <v>EV03_BB2_NA_NA_GB</v>
      </c>
      <c r="B35" s="36" t="s">
        <v>391</v>
      </c>
      <c r="C35" s="36" t="s">
        <v>244</v>
      </c>
      <c r="D35" s="36" t="s">
        <v>269</v>
      </c>
      <c r="E35" s="36" t="s">
        <v>269</v>
      </c>
      <c r="F35" s="36" t="s">
        <v>269</v>
      </c>
      <c r="G35" s="36" t="s">
        <v>269</v>
      </c>
      <c r="H35" s="36" t="s">
        <v>130</v>
      </c>
      <c r="I35" s="36">
        <v>2028</v>
      </c>
      <c r="J35" s="36">
        <v>0.1827</v>
      </c>
    </row>
    <row r="36" spans="1:10">
      <c r="A36" s="36" t="str">
        <f t="shared" ref="A36:A67" si="1">_xlfn.CONCAT("EV03_",INDEX(EV_BBs_short,MATCH(C36,EV_BBs,0)),IF(D36="N/A","",_xlfn.CONCAT("-",INDEX(EV_BBs_short,MATCH(F36,EV_BBs,0)))),"_",INDEX(rep_days_short,MATCH(F36,rep_days,0)),"_",INDEX(EV_Flex_short,MATCH(G36,EV_Flex,0)),"_",H36)</f>
        <v>EV03_BB2_NA_NA_GB</v>
      </c>
      <c r="B36" s="36" t="s">
        <v>391</v>
      </c>
      <c r="C36" s="36" t="s">
        <v>244</v>
      </c>
      <c r="D36" s="36" t="s">
        <v>269</v>
      </c>
      <c r="E36" s="36" t="s">
        <v>269</v>
      </c>
      <c r="F36" s="36" t="s">
        <v>269</v>
      </c>
      <c r="G36" s="36" t="s">
        <v>269</v>
      </c>
      <c r="H36" s="36" t="s">
        <v>130</v>
      </c>
      <c r="I36" s="36">
        <v>2029</v>
      </c>
      <c r="J36" s="36">
        <v>0.18190000000000001</v>
      </c>
    </row>
    <row r="37" spans="1:10">
      <c r="A37" s="36" t="str">
        <f t="shared" si="1"/>
        <v>EV03_BB2_NA_NA_GB</v>
      </c>
      <c r="B37" s="36" t="s">
        <v>391</v>
      </c>
      <c r="C37" s="36" t="s">
        <v>244</v>
      </c>
      <c r="D37" s="36" t="s">
        <v>269</v>
      </c>
      <c r="E37" s="36" t="s">
        <v>269</v>
      </c>
      <c r="F37" s="36" t="s">
        <v>269</v>
      </c>
      <c r="G37" s="36" t="s">
        <v>269</v>
      </c>
      <c r="H37" s="36" t="s">
        <v>130</v>
      </c>
      <c r="I37" s="36">
        <v>2030</v>
      </c>
      <c r="J37" s="36">
        <v>0.1812</v>
      </c>
    </row>
    <row r="38" spans="1:10">
      <c r="A38" s="36" t="str">
        <f t="shared" si="1"/>
        <v>EV03_BB2_NA_NA_GB</v>
      </c>
      <c r="B38" s="36" t="s">
        <v>391</v>
      </c>
      <c r="C38" s="36" t="s">
        <v>244</v>
      </c>
      <c r="D38" s="36" t="s">
        <v>269</v>
      </c>
      <c r="E38" s="36" t="s">
        <v>269</v>
      </c>
      <c r="F38" s="36" t="s">
        <v>269</v>
      </c>
      <c r="G38" s="36" t="s">
        <v>269</v>
      </c>
      <c r="H38" s="36" t="s">
        <v>130</v>
      </c>
      <c r="I38" s="36">
        <v>2031</v>
      </c>
      <c r="J38" s="36">
        <v>0.18060000000000001</v>
      </c>
    </row>
    <row r="39" spans="1:10">
      <c r="A39" s="36" t="str">
        <f t="shared" si="1"/>
        <v>EV03_BB2_NA_NA_GB</v>
      </c>
      <c r="B39" s="36" t="s">
        <v>391</v>
      </c>
      <c r="C39" s="36" t="s">
        <v>244</v>
      </c>
      <c r="D39" s="36" t="s">
        <v>269</v>
      </c>
      <c r="E39" s="36" t="s">
        <v>269</v>
      </c>
      <c r="F39" s="36" t="s">
        <v>269</v>
      </c>
      <c r="G39" s="36" t="s">
        <v>269</v>
      </c>
      <c r="H39" s="36" t="s">
        <v>130</v>
      </c>
      <c r="I39" s="36">
        <v>2032</v>
      </c>
      <c r="J39" s="36">
        <v>0.1797</v>
      </c>
    </row>
    <row r="40" spans="1:10">
      <c r="A40" s="36" t="str">
        <f t="shared" si="1"/>
        <v>EV03_BB2_NA_NA_GB</v>
      </c>
      <c r="B40" s="36" t="s">
        <v>391</v>
      </c>
      <c r="C40" s="36" t="s">
        <v>244</v>
      </c>
      <c r="D40" s="36" t="s">
        <v>269</v>
      </c>
      <c r="E40" s="36" t="s">
        <v>269</v>
      </c>
      <c r="F40" s="36" t="s">
        <v>269</v>
      </c>
      <c r="G40" s="36" t="s">
        <v>269</v>
      </c>
      <c r="H40" s="36" t="s">
        <v>130</v>
      </c>
      <c r="I40" s="36">
        <v>2033</v>
      </c>
      <c r="J40" s="36">
        <v>0.17899999999999999</v>
      </c>
    </row>
    <row r="41" spans="1:10">
      <c r="A41" s="36" t="str">
        <f t="shared" si="1"/>
        <v>EV03_BB2_NA_NA_GB</v>
      </c>
      <c r="B41" s="36" t="s">
        <v>391</v>
      </c>
      <c r="C41" s="36" t="s">
        <v>244</v>
      </c>
      <c r="D41" s="36" t="s">
        <v>269</v>
      </c>
      <c r="E41" s="36" t="s">
        <v>269</v>
      </c>
      <c r="F41" s="36" t="s">
        <v>269</v>
      </c>
      <c r="G41" s="36" t="s">
        <v>269</v>
      </c>
      <c r="H41" s="36" t="s">
        <v>130</v>
      </c>
      <c r="I41" s="36">
        <v>2034</v>
      </c>
      <c r="J41" s="36">
        <v>0.17829999999999999</v>
      </c>
    </row>
    <row r="42" spans="1:10">
      <c r="A42" s="36" t="str">
        <f t="shared" si="1"/>
        <v>EV03_BB2_NA_NA_GB</v>
      </c>
      <c r="B42" s="36" t="s">
        <v>391</v>
      </c>
      <c r="C42" s="36" t="s">
        <v>244</v>
      </c>
      <c r="D42" s="36" t="s">
        <v>269</v>
      </c>
      <c r="E42" s="36" t="s">
        <v>269</v>
      </c>
      <c r="F42" s="36" t="s">
        <v>269</v>
      </c>
      <c r="G42" s="36" t="s">
        <v>269</v>
      </c>
      <c r="H42" s="36" t="s">
        <v>130</v>
      </c>
      <c r="I42" s="36">
        <v>2035</v>
      </c>
      <c r="J42" s="36">
        <v>0.17749999999999999</v>
      </c>
    </row>
    <row r="43" spans="1:10">
      <c r="A43" s="36" t="str">
        <f t="shared" si="1"/>
        <v>EV03_BB2_NA_NA_GB</v>
      </c>
      <c r="B43" s="36" t="s">
        <v>391</v>
      </c>
      <c r="C43" s="36" t="s">
        <v>244</v>
      </c>
      <c r="D43" s="36" t="s">
        <v>269</v>
      </c>
      <c r="E43" s="36" t="s">
        <v>269</v>
      </c>
      <c r="F43" s="36" t="s">
        <v>269</v>
      </c>
      <c r="G43" s="36" t="s">
        <v>269</v>
      </c>
      <c r="H43" s="36" t="s">
        <v>130</v>
      </c>
      <c r="I43" s="36">
        <v>2036</v>
      </c>
      <c r="J43" s="36">
        <v>0.1767</v>
      </c>
    </row>
    <row r="44" spans="1:10">
      <c r="A44" s="36" t="str">
        <f t="shared" si="1"/>
        <v>EV03_BB2_NA_NA_GB</v>
      </c>
      <c r="B44" s="36" t="s">
        <v>391</v>
      </c>
      <c r="C44" s="36" t="s">
        <v>244</v>
      </c>
      <c r="D44" s="36" t="s">
        <v>269</v>
      </c>
      <c r="E44" s="36" t="s">
        <v>269</v>
      </c>
      <c r="F44" s="36" t="s">
        <v>269</v>
      </c>
      <c r="G44" s="36" t="s">
        <v>269</v>
      </c>
      <c r="H44" s="36" t="s">
        <v>130</v>
      </c>
      <c r="I44" s="36">
        <v>2037</v>
      </c>
      <c r="J44" s="36">
        <v>0.1759</v>
      </c>
    </row>
    <row r="45" spans="1:10">
      <c r="A45" s="36" t="str">
        <f t="shared" si="1"/>
        <v>EV03_BB2_NA_NA_GB</v>
      </c>
      <c r="B45" s="36" t="s">
        <v>391</v>
      </c>
      <c r="C45" s="36" t="s">
        <v>244</v>
      </c>
      <c r="D45" s="36" t="s">
        <v>269</v>
      </c>
      <c r="E45" s="36" t="s">
        <v>269</v>
      </c>
      <c r="F45" s="36" t="s">
        <v>269</v>
      </c>
      <c r="G45" s="36" t="s">
        <v>269</v>
      </c>
      <c r="H45" s="36" t="s">
        <v>130</v>
      </c>
      <c r="I45" s="36">
        <v>2038</v>
      </c>
      <c r="J45" s="36">
        <v>0.17510000000000001</v>
      </c>
    </row>
    <row r="46" spans="1:10">
      <c r="A46" s="36" t="str">
        <f t="shared" si="1"/>
        <v>EV03_BB2_NA_NA_GB</v>
      </c>
      <c r="B46" s="36" t="s">
        <v>391</v>
      </c>
      <c r="C46" s="36" t="s">
        <v>244</v>
      </c>
      <c r="D46" s="36" t="s">
        <v>269</v>
      </c>
      <c r="E46" s="36" t="s">
        <v>269</v>
      </c>
      <c r="F46" s="36" t="s">
        <v>269</v>
      </c>
      <c r="G46" s="36" t="s">
        <v>269</v>
      </c>
      <c r="H46" s="36" t="s">
        <v>130</v>
      </c>
      <c r="I46" s="36">
        <v>2039</v>
      </c>
      <c r="J46" s="36">
        <v>0.17430000000000001</v>
      </c>
    </row>
    <row r="47" spans="1:10">
      <c r="A47" s="36" t="str">
        <f t="shared" si="1"/>
        <v>EV03_BB2_NA_NA_GB</v>
      </c>
      <c r="B47" s="36" t="s">
        <v>391</v>
      </c>
      <c r="C47" s="36" t="s">
        <v>244</v>
      </c>
      <c r="D47" s="36" t="s">
        <v>269</v>
      </c>
      <c r="E47" s="36" t="s">
        <v>269</v>
      </c>
      <c r="F47" s="36" t="s">
        <v>269</v>
      </c>
      <c r="G47" s="36" t="s">
        <v>269</v>
      </c>
      <c r="H47" s="36" t="s">
        <v>130</v>
      </c>
      <c r="I47" s="36">
        <v>2040</v>
      </c>
      <c r="J47" s="36">
        <v>0.17330000000000001</v>
      </c>
    </row>
    <row r="48" spans="1:10">
      <c r="A48" s="36" t="str">
        <f t="shared" si="1"/>
        <v>EV03_BB2_NA_NA_GB</v>
      </c>
      <c r="B48" s="36" t="s">
        <v>391</v>
      </c>
      <c r="C48" s="36" t="s">
        <v>244</v>
      </c>
      <c r="D48" s="36" t="s">
        <v>269</v>
      </c>
      <c r="E48" s="36" t="s">
        <v>269</v>
      </c>
      <c r="F48" s="36" t="s">
        <v>269</v>
      </c>
      <c r="G48" s="36" t="s">
        <v>269</v>
      </c>
      <c r="H48" s="36" t="s">
        <v>130</v>
      </c>
      <c r="I48" s="36">
        <v>2041</v>
      </c>
      <c r="J48" s="36">
        <v>0.17219999999999999</v>
      </c>
    </row>
    <row r="49" spans="1:10">
      <c r="A49" s="36" t="str">
        <f t="shared" si="1"/>
        <v>EV03_BB2_NA_NA_GB</v>
      </c>
      <c r="B49" s="36" t="s">
        <v>391</v>
      </c>
      <c r="C49" s="36" t="s">
        <v>244</v>
      </c>
      <c r="D49" s="36" t="s">
        <v>269</v>
      </c>
      <c r="E49" s="36" t="s">
        <v>269</v>
      </c>
      <c r="F49" s="36" t="s">
        <v>269</v>
      </c>
      <c r="G49" s="36" t="s">
        <v>269</v>
      </c>
      <c r="H49" s="36" t="s">
        <v>130</v>
      </c>
      <c r="I49" s="36">
        <v>2042</v>
      </c>
      <c r="J49" s="36">
        <v>0.17130000000000001</v>
      </c>
    </row>
    <row r="50" spans="1:10">
      <c r="A50" s="36" t="str">
        <f t="shared" si="1"/>
        <v>EV03_BB2_NA_NA_GB</v>
      </c>
      <c r="B50" s="36" t="s">
        <v>391</v>
      </c>
      <c r="C50" s="36" t="s">
        <v>244</v>
      </c>
      <c r="D50" s="36" t="s">
        <v>269</v>
      </c>
      <c r="E50" s="36" t="s">
        <v>269</v>
      </c>
      <c r="F50" s="36" t="s">
        <v>269</v>
      </c>
      <c r="G50" s="36" t="s">
        <v>269</v>
      </c>
      <c r="H50" s="36" t="s">
        <v>130</v>
      </c>
      <c r="I50" s="36">
        <v>2043</v>
      </c>
      <c r="J50" s="36">
        <v>0.1706</v>
      </c>
    </row>
    <row r="51" spans="1:10">
      <c r="A51" s="36" t="str">
        <f t="shared" si="1"/>
        <v>EV03_BB2_NA_NA_GB</v>
      </c>
      <c r="B51" s="36" t="s">
        <v>391</v>
      </c>
      <c r="C51" s="36" t="s">
        <v>244</v>
      </c>
      <c r="D51" s="36" t="s">
        <v>269</v>
      </c>
      <c r="E51" s="36" t="s">
        <v>269</v>
      </c>
      <c r="F51" s="36" t="s">
        <v>269</v>
      </c>
      <c r="G51" s="36" t="s">
        <v>269</v>
      </c>
      <c r="H51" s="36" t="s">
        <v>130</v>
      </c>
      <c r="I51" s="36">
        <v>2044</v>
      </c>
      <c r="J51" s="36">
        <v>0.1699</v>
      </c>
    </row>
    <row r="52" spans="1:10">
      <c r="A52" s="36" t="str">
        <f t="shared" si="1"/>
        <v>EV03_BB2_NA_NA_GB</v>
      </c>
      <c r="B52" s="36" t="s">
        <v>391</v>
      </c>
      <c r="C52" s="36" t="s">
        <v>244</v>
      </c>
      <c r="D52" s="36" t="s">
        <v>269</v>
      </c>
      <c r="E52" s="36" t="s">
        <v>269</v>
      </c>
      <c r="F52" s="36" t="s">
        <v>269</v>
      </c>
      <c r="G52" s="36" t="s">
        <v>269</v>
      </c>
      <c r="H52" s="36" t="s">
        <v>130</v>
      </c>
      <c r="I52" s="36">
        <v>2045</v>
      </c>
      <c r="J52" s="36">
        <v>0.16889999999999999</v>
      </c>
    </row>
    <row r="53" spans="1:10">
      <c r="A53" s="36" t="str">
        <f t="shared" si="1"/>
        <v>EV03_BB2_NA_NA_GB</v>
      </c>
      <c r="B53" s="36" t="s">
        <v>391</v>
      </c>
      <c r="C53" s="36" t="s">
        <v>244</v>
      </c>
      <c r="D53" s="36" t="s">
        <v>269</v>
      </c>
      <c r="E53" s="36" t="s">
        <v>269</v>
      </c>
      <c r="F53" s="36" t="s">
        <v>269</v>
      </c>
      <c r="G53" s="36" t="s">
        <v>269</v>
      </c>
      <c r="H53" s="36" t="s">
        <v>130</v>
      </c>
      <c r="I53" s="36">
        <v>2046</v>
      </c>
      <c r="J53" s="36">
        <v>0.16789999999999999</v>
      </c>
    </row>
    <row r="54" spans="1:10">
      <c r="A54" s="36" t="str">
        <f t="shared" si="1"/>
        <v>EV03_BB2_NA_NA_GB</v>
      </c>
      <c r="B54" s="36" t="s">
        <v>391</v>
      </c>
      <c r="C54" s="36" t="s">
        <v>244</v>
      </c>
      <c r="D54" s="36" t="s">
        <v>269</v>
      </c>
      <c r="E54" s="36" t="s">
        <v>269</v>
      </c>
      <c r="F54" s="36" t="s">
        <v>269</v>
      </c>
      <c r="G54" s="36" t="s">
        <v>269</v>
      </c>
      <c r="H54" s="36" t="s">
        <v>130</v>
      </c>
      <c r="I54" s="36">
        <v>2047</v>
      </c>
      <c r="J54" s="36">
        <v>0.16719999999999999</v>
      </c>
    </row>
    <row r="55" spans="1:10">
      <c r="A55" s="36" t="str">
        <f t="shared" si="1"/>
        <v>EV03_BB2_NA_NA_GB</v>
      </c>
      <c r="B55" s="36" t="s">
        <v>391</v>
      </c>
      <c r="C55" s="36" t="s">
        <v>244</v>
      </c>
      <c r="D55" s="36" t="s">
        <v>269</v>
      </c>
      <c r="E55" s="36" t="s">
        <v>269</v>
      </c>
      <c r="F55" s="36" t="s">
        <v>269</v>
      </c>
      <c r="G55" s="36" t="s">
        <v>269</v>
      </c>
      <c r="H55" s="36" t="s">
        <v>130</v>
      </c>
      <c r="I55" s="36">
        <v>2048</v>
      </c>
      <c r="J55" s="36">
        <v>0.16650000000000001</v>
      </c>
    </row>
    <row r="56" spans="1:10">
      <c r="A56" s="36" t="str">
        <f t="shared" si="1"/>
        <v>EV03_BB2_NA_NA_GB</v>
      </c>
      <c r="B56" s="36" t="s">
        <v>391</v>
      </c>
      <c r="C56" s="36" t="s">
        <v>244</v>
      </c>
      <c r="D56" s="36" t="s">
        <v>269</v>
      </c>
      <c r="E56" s="36" t="s">
        <v>269</v>
      </c>
      <c r="F56" s="36" t="s">
        <v>269</v>
      </c>
      <c r="G56" s="36" t="s">
        <v>269</v>
      </c>
      <c r="H56" s="36" t="s">
        <v>130</v>
      </c>
      <c r="I56" s="36">
        <v>2049</v>
      </c>
      <c r="J56" s="36">
        <v>0.1658</v>
      </c>
    </row>
    <row r="57" spans="1:10">
      <c r="A57" s="36" t="str">
        <f t="shared" si="1"/>
        <v>EV03_BB2_NA_NA_GB</v>
      </c>
      <c r="B57" s="36" t="s">
        <v>391</v>
      </c>
      <c r="C57" s="36" t="s">
        <v>244</v>
      </c>
      <c r="D57" s="36" t="s">
        <v>269</v>
      </c>
      <c r="E57" s="36" t="s">
        <v>269</v>
      </c>
      <c r="F57" s="36" t="s">
        <v>269</v>
      </c>
      <c r="G57" s="36" t="s">
        <v>269</v>
      </c>
      <c r="H57" s="36" t="s">
        <v>130</v>
      </c>
      <c r="I57" s="36">
        <v>2050</v>
      </c>
      <c r="J57" s="36">
        <v>0.1651</v>
      </c>
    </row>
    <row r="58" spans="1:10">
      <c r="A58" s="36" t="str">
        <f>_xlfn.CONCAT("EV03_",INDEX(EV_BBs_short,MATCH(C58,EV_BBs,0)),IF(D58="N/A","",_xlfn.CONCAT("-",INDEX(EV_BBs_short,MATCH(F58,EV_BBs,0)))),"_",INDEX(rep_days_short,MATCH(F58,rep_days,0)),"_",INDEX(EV_Flex_short,MATCH(G58,EV_Flex,0)),"_",H58)</f>
        <v>EV03_BB3-NA_NA_NA_GB</v>
      </c>
      <c r="B58" s="36" t="s">
        <v>391</v>
      </c>
      <c r="C58" s="36" t="s">
        <v>263</v>
      </c>
      <c r="D58" s="36" t="s">
        <v>277</v>
      </c>
      <c r="E58" s="36" t="s">
        <v>269</v>
      </c>
      <c r="F58" s="36" t="s">
        <v>269</v>
      </c>
      <c r="G58" s="36" t="s">
        <v>269</v>
      </c>
      <c r="H58" s="36" t="s">
        <v>130</v>
      </c>
      <c r="I58" s="36">
        <v>2024</v>
      </c>
      <c r="J58" s="36">
        <v>1.1908000000000001</v>
      </c>
    </row>
    <row r="59" spans="1:10">
      <c r="A59" s="36" t="str">
        <f t="shared" si="1"/>
        <v>EV03_BB3-NA_NA_NA_GB</v>
      </c>
      <c r="B59" s="36" t="s">
        <v>391</v>
      </c>
      <c r="C59" s="36" t="s">
        <v>263</v>
      </c>
      <c r="D59" s="36" t="s">
        <v>277</v>
      </c>
      <c r="E59" s="36" t="s">
        <v>269</v>
      </c>
      <c r="F59" s="36" t="s">
        <v>269</v>
      </c>
      <c r="G59" s="36" t="s">
        <v>269</v>
      </c>
      <c r="H59" s="36" t="s">
        <v>130</v>
      </c>
      <c r="I59" s="36">
        <v>2025</v>
      </c>
      <c r="J59" s="36">
        <v>1.1910000000000001</v>
      </c>
    </row>
    <row r="60" spans="1:10">
      <c r="A60" s="36" t="str">
        <f t="shared" si="1"/>
        <v>EV03_BB3-NA_NA_NA_GB</v>
      </c>
      <c r="B60" s="36" t="s">
        <v>391</v>
      </c>
      <c r="C60" s="36" t="s">
        <v>263</v>
      </c>
      <c r="D60" s="36" t="s">
        <v>277</v>
      </c>
      <c r="E60" s="36" t="s">
        <v>269</v>
      </c>
      <c r="F60" s="36" t="s">
        <v>269</v>
      </c>
      <c r="G60" s="36" t="s">
        <v>269</v>
      </c>
      <c r="H60" s="36" t="s">
        <v>130</v>
      </c>
      <c r="I60" s="36">
        <v>2026</v>
      </c>
      <c r="J60" s="36">
        <v>1.1910000000000001</v>
      </c>
    </row>
    <row r="61" spans="1:10">
      <c r="A61" s="36" t="str">
        <f t="shared" si="1"/>
        <v>EV03_BB3-NA_NA_NA_GB</v>
      </c>
      <c r="B61" s="36" t="s">
        <v>391</v>
      </c>
      <c r="C61" s="36" t="s">
        <v>263</v>
      </c>
      <c r="D61" s="36" t="s">
        <v>277</v>
      </c>
      <c r="E61" s="36" t="s">
        <v>269</v>
      </c>
      <c r="F61" s="36" t="s">
        <v>269</v>
      </c>
      <c r="G61" s="36" t="s">
        <v>269</v>
      </c>
      <c r="H61" s="36" t="s">
        <v>130</v>
      </c>
      <c r="I61" s="36">
        <v>2027</v>
      </c>
      <c r="J61" s="36">
        <v>1.19</v>
      </c>
    </row>
    <row r="62" spans="1:10">
      <c r="A62" s="36" t="str">
        <f t="shared" si="1"/>
        <v>EV03_BB3-NA_NA_NA_GB</v>
      </c>
      <c r="B62" s="36" t="s">
        <v>391</v>
      </c>
      <c r="C62" s="36" t="s">
        <v>263</v>
      </c>
      <c r="D62" s="36" t="s">
        <v>277</v>
      </c>
      <c r="E62" s="36" t="s">
        <v>269</v>
      </c>
      <c r="F62" s="36" t="s">
        <v>269</v>
      </c>
      <c r="G62" s="36" t="s">
        <v>269</v>
      </c>
      <c r="H62" s="36" t="s">
        <v>130</v>
      </c>
      <c r="I62" s="36">
        <v>2028</v>
      </c>
      <c r="J62" s="36">
        <v>1.1887000000000001</v>
      </c>
    </row>
    <row r="63" spans="1:10">
      <c r="A63" s="36" t="str">
        <f t="shared" si="1"/>
        <v>EV03_BB3-NA_NA_NA_GB</v>
      </c>
      <c r="B63" s="36" t="s">
        <v>391</v>
      </c>
      <c r="C63" s="36" t="s">
        <v>263</v>
      </c>
      <c r="D63" s="36" t="s">
        <v>277</v>
      </c>
      <c r="E63" s="36" t="s">
        <v>269</v>
      </c>
      <c r="F63" s="36" t="s">
        <v>269</v>
      </c>
      <c r="G63" s="36" t="s">
        <v>269</v>
      </c>
      <c r="H63" s="36" t="s">
        <v>130</v>
      </c>
      <c r="I63" s="36">
        <v>2029</v>
      </c>
      <c r="J63" s="36">
        <v>1.1872</v>
      </c>
    </row>
    <row r="64" spans="1:10">
      <c r="A64" s="36" t="str">
        <f t="shared" si="1"/>
        <v>EV03_BB3-NA_NA_NA_GB</v>
      </c>
      <c r="B64" s="36" t="s">
        <v>391</v>
      </c>
      <c r="C64" s="36" t="s">
        <v>263</v>
      </c>
      <c r="D64" s="36" t="s">
        <v>277</v>
      </c>
      <c r="E64" s="36" t="s">
        <v>269</v>
      </c>
      <c r="F64" s="36" t="s">
        <v>269</v>
      </c>
      <c r="G64" s="36" t="s">
        <v>269</v>
      </c>
      <c r="H64" s="36" t="s">
        <v>130</v>
      </c>
      <c r="I64" s="36">
        <v>2030</v>
      </c>
      <c r="J64" s="36">
        <v>1.1855</v>
      </c>
    </row>
    <row r="65" spans="1:10">
      <c r="A65" s="36" t="str">
        <f t="shared" si="1"/>
        <v>EV03_BB3-NA_NA_NA_GB</v>
      </c>
      <c r="B65" s="36" t="s">
        <v>391</v>
      </c>
      <c r="C65" s="36" t="s">
        <v>263</v>
      </c>
      <c r="D65" s="36" t="s">
        <v>277</v>
      </c>
      <c r="E65" s="36" t="s">
        <v>269</v>
      </c>
      <c r="F65" s="36" t="s">
        <v>269</v>
      </c>
      <c r="G65" s="36" t="s">
        <v>269</v>
      </c>
      <c r="H65" s="36" t="s">
        <v>130</v>
      </c>
      <c r="I65" s="36">
        <v>2031</v>
      </c>
      <c r="J65" s="36">
        <v>1.1839999999999999</v>
      </c>
    </row>
    <row r="66" spans="1:10">
      <c r="A66" s="36" t="str">
        <f t="shared" si="1"/>
        <v>EV03_BB3-NA_NA_NA_GB</v>
      </c>
      <c r="B66" s="36" t="s">
        <v>391</v>
      </c>
      <c r="C66" s="36" t="s">
        <v>263</v>
      </c>
      <c r="D66" s="36" t="s">
        <v>277</v>
      </c>
      <c r="E66" s="36" t="s">
        <v>269</v>
      </c>
      <c r="F66" s="36" t="s">
        <v>269</v>
      </c>
      <c r="G66" s="36" t="s">
        <v>269</v>
      </c>
      <c r="H66" s="36" t="s">
        <v>130</v>
      </c>
      <c r="I66" s="36">
        <v>2032</v>
      </c>
      <c r="J66" s="36">
        <v>1.1849000000000001</v>
      </c>
    </row>
    <row r="67" spans="1:10">
      <c r="A67" s="36" t="str">
        <f t="shared" si="1"/>
        <v>EV03_BB3-NA_NA_NA_GB</v>
      </c>
      <c r="B67" s="36" t="s">
        <v>391</v>
      </c>
      <c r="C67" s="36" t="s">
        <v>263</v>
      </c>
      <c r="D67" s="36" t="s">
        <v>277</v>
      </c>
      <c r="E67" s="36" t="s">
        <v>269</v>
      </c>
      <c r="F67" s="36" t="s">
        <v>269</v>
      </c>
      <c r="G67" s="36" t="s">
        <v>269</v>
      </c>
      <c r="H67" s="36" t="s">
        <v>130</v>
      </c>
      <c r="I67" s="36">
        <v>2033</v>
      </c>
      <c r="J67" s="36">
        <v>1.1843999999999999</v>
      </c>
    </row>
    <row r="68" spans="1:10">
      <c r="A68" s="36" t="str">
        <f t="shared" ref="A68:A84" si="2">_xlfn.CONCAT("EV03_",INDEX(EV_BBs_short,MATCH(C68,EV_BBs,0)),IF(D68="N/A","",_xlfn.CONCAT("-",INDEX(EV_BBs_short,MATCH(F68,EV_BBs,0)))),"_",INDEX(rep_days_short,MATCH(F68,rep_days,0)),"_",INDEX(EV_Flex_short,MATCH(G68,EV_Flex,0)),"_",H68)</f>
        <v>EV03_BB3-NA_NA_NA_GB</v>
      </c>
      <c r="B68" s="36" t="s">
        <v>391</v>
      </c>
      <c r="C68" s="36" t="s">
        <v>263</v>
      </c>
      <c r="D68" s="36" t="s">
        <v>277</v>
      </c>
      <c r="E68" s="36" t="s">
        <v>269</v>
      </c>
      <c r="F68" s="36" t="s">
        <v>269</v>
      </c>
      <c r="G68" s="36" t="s">
        <v>269</v>
      </c>
      <c r="H68" s="36" t="s">
        <v>130</v>
      </c>
      <c r="I68" s="36">
        <v>2034</v>
      </c>
      <c r="J68" s="36">
        <v>1.1779999999999999</v>
      </c>
    </row>
    <row r="69" spans="1:10">
      <c r="A69" s="36" t="str">
        <f t="shared" si="2"/>
        <v>EV03_BB3-NA_NA_NA_GB</v>
      </c>
      <c r="B69" s="36" t="s">
        <v>391</v>
      </c>
      <c r="C69" s="36" t="s">
        <v>263</v>
      </c>
      <c r="D69" s="36" t="s">
        <v>277</v>
      </c>
      <c r="E69" s="36" t="s">
        <v>269</v>
      </c>
      <c r="F69" s="36" t="s">
        <v>269</v>
      </c>
      <c r="G69" s="36" t="s">
        <v>269</v>
      </c>
      <c r="H69" s="36" t="s">
        <v>130</v>
      </c>
      <c r="I69" s="36">
        <v>2035</v>
      </c>
      <c r="J69" s="36">
        <v>1.1755</v>
      </c>
    </row>
    <row r="70" spans="1:10">
      <c r="A70" s="36" t="str">
        <f t="shared" si="2"/>
        <v>EV03_BB3-NA_NA_NA_GB</v>
      </c>
      <c r="B70" s="36" t="s">
        <v>391</v>
      </c>
      <c r="C70" s="36" t="s">
        <v>263</v>
      </c>
      <c r="D70" s="36" t="s">
        <v>277</v>
      </c>
      <c r="E70" s="36" t="s">
        <v>269</v>
      </c>
      <c r="F70" s="36" t="s">
        <v>269</v>
      </c>
      <c r="G70" s="36" t="s">
        <v>269</v>
      </c>
      <c r="H70" s="36" t="s">
        <v>130</v>
      </c>
      <c r="I70" s="36">
        <v>2036</v>
      </c>
      <c r="J70" s="36">
        <v>1.1752</v>
      </c>
    </row>
    <row r="71" spans="1:10">
      <c r="A71" s="36" t="str">
        <f t="shared" si="2"/>
        <v>EV03_BB3-NA_NA_NA_GB</v>
      </c>
      <c r="B71" s="36" t="s">
        <v>391</v>
      </c>
      <c r="C71" s="36" t="s">
        <v>263</v>
      </c>
      <c r="D71" s="36" t="s">
        <v>277</v>
      </c>
      <c r="E71" s="36" t="s">
        <v>269</v>
      </c>
      <c r="F71" s="36" t="s">
        <v>269</v>
      </c>
      <c r="G71" s="36" t="s">
        <v>269</v>
      </c>
      <c r="H71" s="36" t="s">
        <v>130</v>
      </c>
      <c r="I71" s="36">
        <v>2037</v>
      </c>
      <c r="J71" s="36">
        <v>1.1697</v>
      </c>
    </row>
    <row r="72" spans="1:10">
      <c r="A72" s="36" t="str">
        <f t="shared" si="2"/>
        <v>EV03_BB3-NA_NA_NA_GB</v>
      </c>
      <c r="B72" s="36" t="s">
        <v>391</v>
      </c>
      <c r="C72" s="36" t="s">
        <v>263</v>
      </c>
      <c r="D72" s="36" t="s">
        <v>277</v>
      </c>
      <c r="E72" s="36" t="s">
        <v>269</v>
      </c>
      <c r="F72" s="36" t="s">
        <v>269</v>
      </c>
      <c r="G72" s="36" t="s">
        <v>269</v>
      </c>
      <c r="H72" s="36" t="s">
        <v>130</v>
      </c>
      <c r="I72" s="36">
        <v>2038</v>
      </c>
      <c r="J72" s="36">
        <v>1.1667000000000001</v>
      </c>
    </row>
    <row r="73" spans="1:10">
      <c r="A73" s="36" t="str">
        <f t="shared" si="2"/>
        <v>EV03_BB3-NA_NA_NA_GB</v>
      </c>
      <c r="B73" s="36" t="s">
        <v>391</v>
      </c>
      <c r="C73" s="36" t="s">
        <v>263</v>
      </c>
      <c r="D73" s="36" t="s">
        <v>277</v>
      </c>
      <c r="E73" s="36" t="s">
        <v>269</v>
      </c>
      <c r="F73" s="36" t="s">
        <v>269</v>
      </c>
      <c r="G73" s="36" t="s">
        <v>269</v>
      </c>
      <c r="H73" s="36" t="s">
        <v>130</v>
      </c>
      <c r="I73" s="36">
        <v>2039</v>
      </c>
      <c r="J73" s="36">
        <v>1.1665000000000001</v>
      </c>
    </row>
    <row r="74" spans="1:10">
      <c r="A74" s="36" t="str">
        <f t="shared" si="2"/>
        <v>EV03_BB3-NA_NA_NA_GB</v>
      </c>
      <c r="B74" s="36" t="s">
        <v>391</v>
      </c>
      <c r="C74" s="36" t="s">
        <v>263</v>
      </c>
      <c r="D74" s="36" t="s">
        <v>277</v>
      </c>
      <c r="E74" s="36" t="s">
        <v>269</v>
      </c>
      <c r="F74" s="36" t="s">
        <v>269</v>
      </c>
      <c r="G74" s="36" t="s">
        <v>269</v>
      </c>
      <c r="H74" s="36" t="s">
        <v>130</v>
      </c>
      <c r="I74" s="36">
        <v>2040</v>
      </c>
      <c r="J74" s="36">
        <v>1.1636</v>
      </c>
    </row>
    <row r="75" spans="1:10">
      <c r="A75" s="36" t="str">
        <f t="shared" si="2"/>
        <v>EV03_BB3-NA_NA_NA_GB</v>
      </c>
      <c r="B75" s="36" t="s">
        <v>391</v>
      </c>
      <c r="C75" s="36" t="s">
        <v>263</v>
      </c>
      <c r="D75" s="36" t="s">
        <v>277</v>
      </c>
      <c r="E75" s="36" t="s">
        <v>269</v>
      </c>
      <c r="F75" s="36" t="s">
        <v>269</v>
      </c>
      <c r="G75" s="36" t="s">
        <v>269</v>
      </c>
      <c r="H75" s="36" t="s">
        <v>130</v>
      </c>
      <c r="I75" s="36">
        <v>2041</v>
      </c>
      <c r="J75" s="36">
        <v>1.1591</v>
      </c>
    </row>
    <row r="76" spans="1:10">
      <c r="A76" s="36" t="str">
        <f t="shared" si="2"/>
        <v>EV03_BB3-NA_NA_NA_GB</v>
      </c>
      <c r="B76" s="36" t="s">
        <v>391</v>
      </c>
      <c r="C76" s="36" t="s">
        <v>263</v>
      </c>
      <c r="D76" s="36" t="s">
        <v>277</v>
      </c>
      <c r="E76" s="36" t="s">
        <v>269</v>
      </c>
      <c r="F76" s="36" t="s">
        <v>269</v>
      </c>
      <c r="G76" s="36" t="s">
        <v>269</v>
      </c>
      <c r="H76" s="36" t="s">
        <v>130</v>
      </c>
      <c r="I76" s="36">
        <v>2042</v>
      </c>
      <c r="J76" s="36">
        <v>1.1549</v>
      </c>
    </row>
    <row r="77" spans="1:10">
      <c r="A77" s="36" t="str">
        <f t="shared" si="2"/>
        <v>EV03_BB3-NA_NA_NA_GB</v>
      </c>
      <c r="B77" s="36" t="s">
        <v>391</v>
      </c>
      <c r="C77" s="36" t="s">
        <v>263</v>
      </c>
      <c r="D77" s="36" t="s">
        <v>277</v>
      </c>
      <c r="E77" s="36" t="s">
        <v>269</v>
      </c>
      <c r="F77" s="36" t="s">
        <v>269</v>
      </c>
      <c r="G77" s="36" t="s">
        <v>269</v>
      </c>
      <c r="H77" s="36" t="s">
        <v>130</v>
      </c>
      <c r="I77" s="36">
        <v>2043</v>
      </c>
      <c r="J77" s="36">
        <v>1.1518999999999999</v>
      </c>
    </row>
    <row r="78" spans="1:10">
      <c r="A78" s="36" t="str">
        <f t="shared" si="2"/>
        <v>EV03_BB3-NA_NA_NA_GB</v>
      </c>
      <c r="B78" s="36" t="s">
        <v>391</v>
      </c>
      <c r="C78" s="36" t="s">
        <v>263</v>
      </c>
      <c r="D78" s="36" t="s">
        <v>277</v>
      </c>
      <c r="E78" s="36" t="s">
        <v>269</v>
      </c>
      <c r="F78" s="36" t="s">
        <v>269</v>
      </c>
      <c r="G78" s="36" t="s">
        <v>269</v>
      </c>
      <c r="H78" s="36" t="s">
        <v>130</v>
      </c>
      <c r="I78" s="36">
        <v>2044</v>
      </c>
      <c r="J78" s="36">
        <v>1.1489</v>
      </c>
    </row>
    <row r="79" spans="1:10">
      <c r="A79" s="36" t="str">
        <f t="shared" si="2"/>
        <v>EV03_BB3-NA_NA_NA_GB</v>
      </c>
      <c r="B79" s="36" t="s">
        <v>391</v>
      </c>
      <c r="C79" s="36" t="s">
        <v>263</v>
      </c>
      <c r="D79" s="36" t="s">
        <v>277</v>
      </c>
      <c r="E79" s="36" t="s">
        <v>269</v>
      </c>
      <c r="F79" s="36" t="s">
        <v>269</v>
      </c>
      <c r="G79" s="36" t="s">
        <v>269</v>
      </c>
      <c r="H79" s="36" t="s">
        <v>130</v>
      </c>
      <c r="I79" s="36">
        <v>2045</v>
      </c>
      <c r="J79" s="36">
        <v>1.1455</v>
      </c>
    </row>
    <row r="80" spans="1:10">
      <c r="A80" s="36" t="str">
        <f t="shared" si="2"/>
        <v>EV03_BB3-NA_NA_NA_GB</v>
      </c>
      <c r="B80" s="36" t="s">
        <v>391</v>
      </c>
      <c r="C80" s="36" t="s">
        <v>263</v>
      </c>
      <c r="D80" s="36" t="s">
        <v>277</v>
      </c>
      <c r="E80" s="36" t="s">
        <v>269</v>
      </c>
      <c r="F80" s="36" t="s">
        <v>269</v>
      </c>
      <c r="G80" s="36" t="s">
        <v>269</v>
      </c>
      <c r="H80" s="36" t="s">
        <v>130</v>
      </c>
      <c r="I80" s="36">
        <v>2046</v>
      </c>
      <c r="J80" s="36">
        <v>1.1425000000000001</v>
      </c>
    </row>
    <row r="81" spans="1:10">
      <c r="A81" s="36" t="str">
        <f t="shared" si="2"/>
        <v>EV03_BB3-NA_NA_NA_GB</v>
      </c>
      <c r="B81" s="36" t="s">
        <v>391</v>
      </c>
      <c r="C81" s="36" t="s">
        <v>263</v>
      </c>
      <c r="D81" s="36" t="s">
        <v>277</v>
      </c>
      <c r="E81" s="36" t="s">
        <v>269</v>
      </c>
      <c r="F81" s="36" t="s">
        <v>269</v>
      </c>
      <c r="G81" s="36" t="s">
        <v>269</v>
      </c>
      <c r="H81" s="36" t="s">
        <v>130</v>
      </c>
      <c r="I81" s="36">
        <v>2047</v>
      </c>
      <c r="J81" s="36">
        <v>1.1396999999999999</v>
      </c>
    </row>
    <row r="82" spans="1:10">
      <c r="A82" s="36" t="str">
        <f t="shared" si="2"/>
        <v>EV03_BB3-NA_NA_NA_GB</v>
      </c>
      <c r="B82" s="36" t="s">
        <v>391</v>
      </c>
      <c r="C82" s="36" t="s">
        <v>263</v>
      </c>
      <c r="D82" s="36" t="s">
        <v>277</v>
      </c>
      <c r="E82" s="36" t="s">
        <v>269</v>
      </c>
      <c r="F82" s="36" t="s">
        <v>269</v>
      </c>
      <c r="G82" s="36" t="s">
        <v>269</v>
      </c>
      <c r="H82" s="36" t="s">
        <v>130</v>
      </c>
      <c r="I82" s="36">
        <v>2048</v>
      </c>
      <c r="J82" s="36">
        <v>1.1365000000000001</v>
      </c>
    </row>
    <row r="83" spans="1:10">
      <c r="A83" s="36" t="str">
        <f t="shared" si="2"/>
        <v>EV03_BB3-NA_NA_NA_GB</v>
      </c>
      <c r="B83" s="36" t="s">
        <v>391</v>
      </c>
      <c r="C83" s="36" t="s">
        <v>263</v>
      </c>
      <c r="D83" s="36" t="s">
        <v>277</v>
      </c>
      <c r="E83" s="36" t="s">
        <v>269</v>
      </c>
      <c r="F83" s="36" t="s">
        <v>269</v>
      </c>
      <c r="G83" s="36" t="s">
        <v>269</v>
      </c>
      <c r="H83" s="36" t="s">
        <v>130</v>
      </c>
      <c r="I83" s="36">
        <v>2049</v>
      </c>
      <c r="J83" s="36">
        <v>1.1336999999999999</v>
      </c>
    </row>
    <row r="84" spans="1:10">
      <c r="A84" s="36" t="str">
        <f t="shared" si="2"/>
        <v>EV03_BB3-NA_NA_NA_GB</v>
      </c>
      <c r="B84" s="36" t="s">
        <v>391</v>
      </c>
      <c r="C84" s="36" t="s">
        <v>263</v>
      </c>
      <c r="D84" s="36" t="s">
        <v>277</v>
      </c>
      <c r="E84" s="36" t="s">
        <v>269</v>
      </c>
      <c r="F84" s="36" t="s">
        <v>269</v>
      </c>
      <c r="G84" s="36" t="s">
        <v>269</v>
      </c>
      <c r="H84" s="36" t="s">
        <v>130</v>
      </c>
      <c r="I84" s="36">
        <v>2050</v>
      </c>
      <c r="J84" s="36">
        <v>1.1308</v>
      </c>
    </row>
  </sheetData>
  <sheetProtection formatCells="0" formatColumns="0" formatRows="0"/>
  <dataValidations count="5">
    <dataValidation type="list" allowBlank="1" showInputMessage="1" showErrorMessage="1" sqref="H4:H84" xr:uid="{4AFF30CA-BD03-4B85-A78A-7AC313F8DADE}">
      <formula1>spatial_res</formula1>
    </dataValidation>
    <dataValidation type="list" allowBlank="1" showInputMessage="1" showErrorMessage="1" sqref="F4:F84" xr:uid="{C3918A5F-7037-4794-B051-993B27E68D35}">
      <formula1>rep_days</formula1>
    </dataValidation>
    <dataValidation type="list" allowBlank="1" showInputMessage="1" showErrorMessage="1" sqref="G4:G84" xr:uid="{63B6D0B2-877E-4447-A662-B62974327C64}">
      <formula1>EV_Flex</formula1>
    </dataValidation>
    <dataValidation type="list" allowBlank="1" showInputMessage="1" showErrorMessage="1" sqref="C4:D84" xr:uid="{249D39F6-67F3-4E94-AB4F-1F70B90AA806}">
      <formula1>EV_BBs</formula1>
    </dataValidation>
    <dataValidation type="list" allowBlank="1" showInputMessage="1" showErrorMessage="1" sqref="E4:E84" xr:uid="{33F82A24-44EB-4DEB-A63F-7B1A59E4869B}">
      <formula1>EV_charger_type</formula1>
    </dataValidation>
  </dataValidations>
  <hyperlinks>
    <hyperlink ref="A1" location="Contents!A1" display="Back to contents" xr:uid="{AFC7D893-6D77-4EA7-80A2-9BFB12FE2A3C}"/>
    <hyperlink ref="A2" location="'EV CPA Summary Table'!A1" display="Back to EV CPA Summary Table " xr:uid="{C378C681-E2A7-49C3-A412-01153E2F033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96E6C-FD2A-426B-A17A-BDAAB9DD5192}">
  <sheetPr>
    <tabColor theme="8" tint="0.79998168889431442"/>
  </sheetPr>
  <dimension ref="A1:L23"/>
  <sheetViews>
    <sheetView showGridLines="0" workbookViewId="0">
      <pane xSplit="1" ySplit="3" topLeftCell="B4" activePane="bottomRight" state="frozen"/>
      <selection pane="bottomRight"/>
      <selection pane="bottomLeft"/>
      <selection pane="topRight"/>
    </sheetView>
  </sheetViews>
  <sheetFormatPr defaultColWidth="8.8984375" defaultRowHeight="20.45"/>
  <cols>
    <col min="1" max="1" width="38.8984375" style="119" customWidth="1"/>
    <col min="2" max="2" width="7.8984375" style="119" customWidth="1"/>
    <col min="3" max="3" width="12.19921875" style="119" customWidth="1"/>
    <col min="4" max="4" width="21.19921875" style="119" customWidth="1"/>
    <col min="5" max="5" width="22.8984375" style="119" customWidth="1"/>
    <col min="6" max="6" width="23.5" style="119" customWidth="1"/>
    <col min="7" max="7" width="30.5" style="119" customWidth="1"/>
    <col min="8" max="8" width="15.8984375" style="119" customWidth="1"/>
    <col min="9" max="10" width="18.5" style="119" customWidth="1"/>
    <col min="11" max="16384" width="8.8984375" style="119"/>
  </cols>
  <sheetData>
    <row r="1" spans="1:12">
      <c r="A1" s="117" t="s">
        <v>57</v>
      </c>
    </row>
    <row r="2" spans="1:12">
      <c r="A2" s="117" t="s">
        <v>338</v>
      </c>
    </row>
    <row r="3" spans="1:12" ht="40.9">
      <c r="A3" s="170" t="s">
        <v>162</v>
      </c>
      <c r="B3" s="170" t="s">
        <v>340</v>
      </c>
      <c r="C3" s="170" t="s">
        <v>166</v>
      </c>
      <c r="D3" s="170" t="s">
        <v>482</v>
      </c>
      <c r="E3" s="170" t="s">
        <v>483</v>
      </c>
      <c r="F3" s="170" t="s">
        <v>484</v>
      </c>
      <c r="G3" s="170" t="s">
        <v>485</v>
      </c>
      <c r="H3" s="170" t="s">
        <v>488</v>
      </c>
      <c r="I3" s="170" t="s">
        <v>489</v>
      </c>
      <c r="J3" s="170" t="s">
        <v>490</v>
      </c>
    </row>
    <row r="4" spans="1:12">
      <c r="A4" s="40" t="str">
        <f t="shared" ref="A4:A23" si="0">_xlfn.CONCAT("EV04_",INDEX(EV_BBs_short,MATCH(C4,EV_BBs,0)),IF(D4="N/A","",_xlfn.CONCAT("-",INDEX(EV_charger_type_short,MATCH(D4,EV_charger_type,0)))),"_",INDEX(rep_days_short,MATCH(E4,rep_days,0)),"_",INDEX(EV_Flex_short,MATCH(F4,EV_Flex,0)),"_",G4)</f>
        <v>EV04_BB1-domestic_NA_NA_GB</v>
      </c>
      <c r="B4" s="36" t="s">
        <v>403</v>
      </c>
      <c r="C4" s="36" t="s">
        <v>225</v>
      </c>
      <c r="D4" s="40" t="s">
        <v>226</v>
      </c>
      <c r="E4" s="36" t="s">
        <v>269</v>
      </c>
      <c r="F4" s="36" t="s">
        <v>269</v>
      </c>
      <c r="G4" s="36" t="s">
        <v>130</v>
      </c>
      <c r="H4" s="53">
        <v>0.71</v>
      </c>
      <c r="I4" s="53">
        <v>0.63</v>
      </c>
      <c r="J4" s="53">
        <v>0.79</v>
      </c>
      <c r="L4" s="123"/>
    </row>
    <row r="5" spans="1:12">
      <c r="A5" s="40" t="str">
        <f t="shared" si="0"/>
        <v>EV04_BB1-workplace_NA_NA_GB</v>
      </c>
      <c r="B5" s="36" t="s">
        <v>403</v>
      </c>
      <c r="C5" s="36" t="s">
        <v>225</v>
      </c>
      <c r="D5" s="40" t="s">
        <v>245</v>
      </c>
      <c r="E5" s="36" t="s">
        <v>269</v>
      </c>
      <c r="F5" s="36" t="s">
        <v>269</v>
      </c>
      <c r="G5" s="36" t="s">
        <v>130</v>
      </c>
      <c r="H5" s="125">
        <v>0.13700000000000001</v>
      </c>
      <c r="I5" s="125">
        <v>0.11</v>
      </c>
      <c r="J5" s="125">
        <v>0.16</v>
      </c>
      <c r="L5" s="124"/>
    </row>
    <row r="6" spans="1:12">
      <c r="A6" s="40" t="str">
        <f t="shared" si="0"/>
        <v>EV04_BB1-slowfast_NA_NA_GB</v>
      </c>
      <c r="B6" s="36" t="s">
        <v>403</v>
      </c>
      <c r="C6" s="36" t="s">
        <v>225</v>
      </c>
      <c r="D6" s="40" t="s">
        <v>265</v>
      </c>
      <c r="E6" s="36" t="s">
        <v>269</v>
      </c>
      <c r="F6" s="36" t="s">
        <v>269</v>
      </c>
      <c r="G6" s="36" t="s">
        <v>130</v>
      </c>
      <c r="H6" s="125">
        <v>5.2999999999999999E-2</v>
      </c>
      <c r="I6" s="125">
        <v>0.01</v>
      </c>
      <c r="J6" s="125">
        <v>0.1</v>
      </c>
      <c r="L6" s="124"/>
    </row>
    <row r="7" spans="1:12">
      <c r="A7" s="40" t="str">
        <f t="shared" si="0"/>
        <v>EV04_BB1-rapid_NA_NA_GB</v>
      </c>
      <c r="B7" s="36" t="s">
        <v>403</v>
      </c>
      <c r="C7" s="36" t="s">
        <v>225</v>
      </c>
      <c r="D7" s="40" t="s">
        <v>279</v>
      </c>
      <c r="E7" s="36" t="s">
        <v>269</v>
      </c>
      <c r="F7" s="36" t="s">
        <v>269</v>
      </c>
      <c r="G7" s="36" t="s">
        <v>130</v>
      </c>
      <c r="H7" s="125">
        <v>0.1</v>
      </c>
      <c r="I7" s="125">
        <v>0.03</v>
      </c>
      <c r="J7" s="125">
        <v>0.17</v>
      </c>
      <c r="L7" s="124"/>
    </row>
    <row r="8" spans="1:12">
      <c r="A8" s="40" t="str">
        <f t="shared" si="0"/>
        <v>EV04_BB1-depot_NA_NA_GB</v>
      </c>
      <c r="B8" s="36" t="s">
        <v>403</v>
      </c>
      <c r="C8" s="36" t="s">
        <v>225</v>
      </c>
      <c r="D8" s="40" t="s">
        <v>289</v>
      </c>
      <c r="E8" s="36" t="s">
        <v>269</v>
      </c>
      <c r="F8" s="36" t="s">
        <v>269</v>
      </c>
      <c r="G8" s="36" t="s">
        <v>130</v>
      </c>
      <c r="H8" s="125">
        <v>0</v>
      </c>
      <c r="I8" s="125">
        <v>0</v>
      </c>
      <c r="J8" s="125">
        <v>0</v>
      </c>
      <c r="L8" s="124"/>
    </row>
    <row r="9" spans="1:12">
      <c r="A9" s="40" t="str">
        <f t="shared" si="0"/>
        <v>EV04_BB2-domestic_NA_NA_GB</v>
      </c>
      <c r="B9" s="36" t="s">
        <v>403</v>
      </c>
      <c r="C9" s="36" t="s">
        <v>244</v>
      </c>
      <c r="D9" s="40" t="s">
        <v>226</v>
      </c>
      <c r="E9" s="36" t="s">
        <v>269</v>
      </c>
      <c r="F9" s="36" t="s">
        <v>269</v>
      </c>
      <c r="G9" s="36" t="s">
        <v>130</v>
      </c>
      <c r="H9" s="125">
        <v>0.78300000000000003</v>
      </c>
      <c r="I9" s="125">
        <v>0.71</v>
      </c>
      <c r="J9" s="125">
        <v>0.86</v>
      </c>
      <c r="L9" s="124"/>
    </row>
    <row r="10" spans="1:12">
      <c r="A10" s="40" t="str">
        <f t="shared" si="0"/>
        <v>EV04_BB2-workplace_NA_NA_GB</v>
      </c>
      <c r="B10" s="36" t="s">
        <v>403</v>
      </c>
      <c r="C10" s="36" t="s">
        <v>244</v>
      </c>
      <c r="D10" s="40" t="s">
        <v>245</v>
      </c>
      <c r="E10" s="36" t="s">
        <v>269</v>
      </c>
      <c r="F10" s="36" t="s">
        <v>269</v>
      </c>
      <c r="G10" s="36" t="s">
        <v>130</v>
      </c>
      <c r="H10" s="125">
        <v>0.157</v>
      </c>
      <c r="I10" s="125">
        <v>0.12</v>
      </c>
      <c r="J10" s="125">
        <v>0.2</v>
      </c>
      <c r="L10" s="124"/>
    </row>
    <row r="11" spans="1:12">
      <c r="A11" s="40" t="str">
        <f t="shared" si="0"/>
        <v>EV04_BB2-slowfast_NA_NA_GB</v>
      </c>
      <c r="B11" s="36" t="s">
        <v>403</v>
      </c>
      <c r="C11" s="36" t="s">
        <v>244</v>
      </c>
      <c r="D11" s="40" t="s">
        <v>265</v>
      </c>
      <c r="E11" s="36" t="s">
        <v>269</v>
      </c>
      <c r="F11" s="36" t="s">
        <v>269</v>
      </c>
      <c r="G11" s="36" t="s">
        <v>130</v>
      </c>
      <c r="H11" s="125">
        <v>0.06</v>
      </c>
      <c r="I11" s="125">
        <v>0</v>
      </c>
      <c r="J11" s="125">
        <v>0.17</v>
      </c>
      <c r="L11" s="124"/>
    </row>
    <row r="12" spans="1:12">
      <c r="A12" s="40" t="str">
        <f t="shared" si="0"/>
        <v>EV04_BB2-rapid_NA_NA_GB</v>
      </c>
      <c r="B12" s="36" t="s">
        <v>403</v>
      </c>
      <c r="C12" s="36" t="s">
        <v>244</v>
      </c>
      <c r="D12" s="40" t="s">
        <v>279</v>
      </c>
      <c r="E12" s="36" t="s">
        <v>269</v>
      </c>
      <c r="F12" s="36" t="s">
        <v>269</v>
      </c>
      <c r="G12" s="36" t="s">
        <v>130</v>
      </c>
      <c r="H12" s="125">
        <v>0</v>
      </c>
      <c r="I12" s="125">
        <v>0</v>
      </c>
      <c r="J12" s="125">
        <v>0</v>
      </c>
      <c r="L12" s="124"/>
    </row>
    <row r="13" spans="1:12">
      <c r="A13" s="40" t="str">
        <f t="shared" si="0"/>
        <v>EV04_BB2-depot_NA_NA_GB</v>
      </c>
      <c r="B13" s="36" t="s">
        <v>403</v>
      </c>
      <c r="C13" s="36" t="s">
        <v>244</v>
      </c>
      <c r="D13" s="40" t="s">
        <v>289</v>
      </c>
      <c r="E13" s="36" t="s">
        <v>269</v>
      </c>
      <c r="F13" s="36" t="s">
        <v>269</v>
      </c>
      <c r="G13" s="36" t="s">
        <v>130</v>
      </c>
      <c r="H13" s="125">
        <v>0</v>
      </c>
      <c r="I13" s="125">
        <v>0</v>
      </c>
      <c r="J13" s="125">
        <v>0</v>
      </c>
      <c r="L13" s="124"/>
    </row>
    <row r="14" spans="1:12">
      <c r="A14" s="40" t="str">
        <f t="shared" si="0"/>
        <v>EV04_BB3-domestic_NA_NA_GB</v>
      </c>
      <c r="B14" s="36" t="s">
        <v>403</v>
      </c>
      <c r="C14" s="36" t="s">
        <v>263</v>
      </c>
      <c r="D14" s="40" t="s">
        <v>226</v>
      </c>
      <c r="E14" s="36" t="s">
        <v>269</v>
      </c>
      <c r="F14" s="36" t="s">
        <v>269</v>
      </c>
      <c r="G14" s="36" t="s">
        <v>130</v>
      </c>
      <c r="H14" s="125">
        <v>0</v>
      </c>
      <c r="I14" s="125">
        <v>0</v>
      </c>
      <c r="J14" s="125">
        <v>0</v>
      </c>
      <c r="L14" s="124"/>
    </row>
    <row r="15" spans="1:12">
      <c r="A15" s="40" t="str">
        <f t="shared" si="0"/>
        <v>EV04_BB3-workplace_NA_NA_GB</v>
      </c>
      <c r="B15" s="36" t="s">
        <v>403</v>
      </c>
      <c r="C15" s="36" t="s">
        <v>263</v>
      </c>
      <c r="D15" s="40" t="s">
        <v>245</v>
      </c>
      <c r="E15" s="36" t="s">
        <v>269</v>
      </c>
      <c r="F15" s="36" t="s">
        <v>269</v>
      </c>
      <c r="G15" s="36" t="s">
        <v>130</v>
      </c>
      <c r="H15" s="125">
        <v>0</v>
      </c>
      <c r="I15" s="125">
        <v>0</v>
      </c>
      <c r="J15" s="125">
        <v>0</v>
      </c>
      <c r="L15" s="124"/>
    </row>
    <row r="16" spans="1:12">
      <c r="A16" s="40" t="str">
        <f t="shared" si="0"/>
        <v>EV04_BB3-slowfast_NA_NA_GB</v>
      </c>
      <c r="B16" s="36" t="s">
        <v>403</v>
      </c>
      <c r="C16" s="36" t="s">
        <v>263</v>
      </c>
      <c r="D16" s="40" t="s">
        <v>265</v>
      </c>
      <c r="E16" s="36" t="s">
        <v>269</v>
      </c>
      <c r="F16" s="36" t="s">
        <v>269</v>
      </c>
      <c r="G16" s="36" t="s">
        <v>130</v>
      </c>
      <c r="H16" s="125">
        <v>0</v>
      </c>
      <c r="I16" s="125">
        <v>0</v>
      </c>
      <c r="J16" s="125">
        <v>0</v>
      </c>
      <c r="L16" s="124"/>
    </row>
    <row r="17" spans="1:12">
      <c r="A17" s="40" t="str">
        <f t="shared" si="0"/>
        <v>EV04_BB3-rapid_NA_NA_GB</v>
      </c>
      <c r="B17" s="36" t="s">
        <v>403</v>
      </c>
      <c r="C17" s="36" t="s">
        <v>263</v>
      </c>
      <c r="D17" s="40" t="s">
        <v>279</v>
      </c>
      <c r="E17" s="36" t="s">
        <v>269</v>
      </c>
      <c r="F17" s="36" t="s">
        <v>269</v>
      </c>
      <c r="G17" s="36" t="s">
        <v>130</v>
      </c>
      <c r="H17" s="125">
        <v>0.1</v>
      </c>
      <c r="I17" s="125">
        <v>0.1</v>
      </c>
      <c r="J17" s="125">
        <v>0.1</v>
      </c>
      <c r="L17" s="124"/>
    </row>
    <row r="18" spans="1:12">
      <c r="A18" s="40" t="str">
        <f t="shared" si="0"/>
        <v>EV04_BB3-depot_NA_NA_GB</v>
      </c>
      <c r="B18" s="36" t="s">
        <v>403</v>
      </c>
      <c r="C18" s="36" t="s">
        <v>263</v>
      </c>
      <c r="D18" s="40" t="s">
        <v>289</v>
      </c>
      <c r="E18" s="36" t="s">
        <v>269</v>
      </c>
      <c r="F18" s="36" t="s">
        <v>269</v>
      </c>
      <c r="G18" s="36" t="s">
        <v>130</v>
      </c>
      <c r="H18" s="125">
        <v>0.9</v>
      </c>
      <c r="I18" s="125">
        <v>0.9</v>
      </c>
      <c r="J18" s="125">
        <v>0.9</v>
      </c>
      <c r="L18" s="124"/>
    </row>
    <row r="19" spans="1:12">
      <c r="A19" s="40" t="str">
        <f t="shared" si="0"/>
        <v>EV04_BB4-domestic_NA_NA_GB</v>
      </c>
      <c r="B19" s="36" t="s">
        <v>403</v>
      </c>
      <c r="C19" s="36" t="s">
        <v>277</v>
      </c>
      <c r="D19" s="40" t="s">
        <v>226</v>
      </c>
      <c r="E19" s="36" t="s">
        <v>269</v>
      </c>
      <c r="F19" s="36" t="s">
        <v>269</v>
      </c>
      <c r="G19" s="36" t="s">
        <v>130</v>
      </c>
      <c r="H19" s="125">
        <v>0</v>
      </c>
      <c r="I19" s="125">
        <v>0</v>
      </c>
      <c r="J19" s="125">
        <v>0</v>
      </c>
      <c r="L19" s="124"/>
    </row>
    <row r="20" spans="1:12">
      <c r="A20" s="40" t="str">
        <f t="shared" si="0"/>
        <v>EV04_BB4-workplace_NA_NA_GB</v>
      </c>
      <c r="B20" s="36" t="s">
        <v>403</v>
      </c>
      <c r="C20" s="36" t="s">
        <v>277</v>
      </c>
      <c r="D20" s="40" t="s">
        <v>245</v>
      </c>
      <c r="E20" s="36" t="s">
        <v>269</v>
      </c>
      <c r="F20" s="36" t="s">
        <v>269</v>
      </c>
      <c r="G20" s="36" t="s">
        <v>130</v>
      </c>
      <c r="H20" s="125">
        <v>0</v>
      </c>
      <c r="I20" s="125">
        <v>0</v>
      </c>
      <c r="J20" s="125">
        <v>0</v>
      </c>
      <c r="L20" s="124"/>
    </row>
    <row r="21" spans="1:12">
      <c r="A21" s="40" t="str">
        <f t="shared" si="0"/>
        <v>EV04_BB4-slowfast_NA_NA_GB</v>
      </c>
      <c r="B21" s="36" t="s">
        <v>403</v>
      </c>
      <c r="C21" s="36" t="s">
        <v>277</v>
      </c>
      <c r="D21" s="40" t="s">
        <v>265</v>
      </c>
      <c r="E21" s="36" t="s">
        <v>269</v>
      </c>
      <c r="F21" s="36" t="s">
        <v>269</v>
      </c>
      <c r="G21" s="36" t="s">
        <v>130</v>
      </c>
      <c r="H21" s="125">
        <v>0</v>
      </c>
      <c r="I21" s="125">
        <v>0</v>
      </c>
      <c r="J21" s="125">
        <v>0</v>
      </c>
      <c r="L21" s="124"/>
    </row>
    <row r="22" spans="1:12">
      <c r="A22" s="40" t="str">
        <f t="shared" si="0"/>
        <v>EV04_BB4-rapid_NA_NA_GB</v>
      </c>
      <c r="B22" s="36" t="s">
        <v>403</v>
      </c>
      <c r="C22" s="36" t="s">
        <v>277</v>
      </c>
      <c r="D22" s="40" t="s">
        <v>279</v>
      </c>
      <c r="E22" s="36" t="s">
        <v>269</v>
      </c>
      <c r="F22" s="36" t="s">
        <v>269</v>
      </c>
      <c r="G22" s="36" t="s">
        <v>130</v>
      </c>
      <c r="H22" s="125">
        <v>0</v>
      </c>
      <c r="I22" s="125">
        <v>0</v>
      </c>
      <c r="J22" s="125">
        <v>0</v>
      </c>
      <c r="L22" s="124"/>
    </row>
    <row r="23" spans="1:12">
      <c r="A23" s="40" t="str">
        <f t="shared" si="0"/>
        <v>EV04_BB4-depot_NA_NA_GB</v>
      </c>
      <c r="B23" s="36" t="s">
        <v>403</v>
      </c>
      <c r="C23" s="36" t="s">
        <v>277</v>
      </c>
      <c r="D23" s="40" t="s">
        <v>289</v>
      </c>
      <c r="E23" s="36" t="s">
        <v>269</v>
      </c>
      <c r="F23" s="36" t="s">
        <v>269</v>
      </c>
      <c r="G23" s="36" t="s">
        <v>130</v>
      </c>
      <c r="H23" s="125">
        <v>1</v>
      </c>
      <c r="I23" s="125">
        <v>1</v>
      </c>
      <c r="J23" s="125">
        <v>1</v>
      </c>
      <c r="L23" s="124"/>
    </row>
  </sheetData>
  <sheetProtection formatCells="0" formatColumns="0" formatRows="0"/>
  <protectedRanges>
    <protectedRange sqref="D4:D23" name="Range1"/>
    <protectedRange sqref="A4:A23" name="Range1_1"/>
  </protectedRanges>
  <dataValidations count="5">
    <dataValidation type="list" allowBlank="1" showInputMessage="1" showErrorMessage="1" sqref="G4:G23" xr:uid="{D9D4EBB7-D57C-42E7-9E0E-B4F5C7BCA994}">
      <formula1>spatial_res</formula1>
    </dataValidation>
    <dataValidation type="list" allowBlank="1" showInputMessage="1" showErrorMessage="1" sqref="E4:E23" xr:uid="{153034E5-3FD9-459E-9F6F-33AEFD5838C2}">
      <formula1>rep_days</formula1>
    </dataValidation>
    <dataValidation type="list" allowBlank="1" showInputMessage="1" showErrorMessage="1" sqref="F4:F23" xr:uid="{623BFE9C-3D7D-4295-B8B6-A2E168151B7A}">
      <formula1>EV_Flex</formula1>
    </dataValidation>
    <dataValidation type="list" allowBlank="1" showInputMessage="1" showErrorMessage="1" sqref="C4:C23" xr:uid="{2B4CD0FE-90E0-482A-9DBA-D81272B1716D}">
      <formula1>EV_BBs</formula1>
    </dataValidation>
    <dataValidation type="list" allowBlank="1" showInputMessage="1" showErrorMessage="1" sqref="D4:D23" xr:uid="{A6D4CFB4-6B73-4E13-BDF8-FC80E3997565}">
      <formula1>EV_charger_type</formula1>
    </dataValidation>
  </dataValidations>
  <hyperlinks>
    <hyperlink ref="A1" location="Contents!A1" display="Back to contents" xr:uid="{39768BBD-A580-4B96-9655-353336200377}"/>
    <hyperlink ref="A2" location="'EV CPA Summary Table'!A1" display="Back to EV CPA Summary Table " xr:uid="{5C68A4FE-5900-4638-84C4-FD2D8B07ADE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3D80B-7699-4AE6-BE88-A14D1F590F10}">
  <sheetPr>
    <tabColor theme="8" tint="0.79998168889431442"/>
  </sheetPr>
  <dimension ref="A1:I84"/>
  <sheetViews>
    <sheetView showGridLines="0" workbookViewId="0">
      <pane xSplit="1" ySplit="3" topLeftCell="E4" activePane="bottomRight" state="frozen"/>
      <selection pane="bottomRight"/>
      <selection pane="bottomLeft"/>
      <selection pane="topRight"/>
    </sheetView>
  </sheetViews>
  <sheetFormatPr defaultColWidth="8.8984375" defaultRowHeight="20.45"/>
  <cols>
    <col min="1" max="1" width="36.19921875" style="119" customWidth="1"/>
    <col min="2" max="2" width="8.5" style="119" customWidth="1"/>
    <col min="3" max="3" width="21.8984375" style="119" customWidth="1"/>
    <col min="4" max="4" width="21.19921875" style="119" customWidth="1"/>
    <col min="5" max="5" width="24.19921875" style="119" customWidth="1"/>
    <col min="6" max="6" width="25.5" style="119" customWidth="1"/>
    <col min="7" max="7" width="30.5" style="119" customWidth="1"/>
    <col min="8" max="8" width="10.5" style="119" customWidth="1"/>
    <col min="9" max="9" width="15.8984375" style="119" customWidth="1"/>
    <col min="10" max="16384" width="8.8984375" style="119"/>
  </cols>
  <sheetData>
    <row r="1" spans="1:9">
      <c r="A1" s="117" t="s">
        <v>57</v>
      </c>
    </row>
    <row r="2" spans="1:9">
      <c r="A2" s="117" t="s">
        <v>338</v>
      </c>
    </row>
    <row r="3" spans="1:9">
      <c r="A3" s="170" t="s">
        <v>162</v>
      </c>
      <c r="B3" s="170" t="s">
        <v>340</v>
      </c>
      <c r="C3" s="170" t="s">
        <v>166</v>
      </c>
      <c r="D3" s="170" t="s">
        <v>482</v>
      </c>
      <c r="E3" s="170" t="s">
        <v>483</v>
      </c>
      <c r="F3" s="170" t="s">
        <v>484</v>
      </c>
      <c r="G3" s="170" t="s">
        <v>485</v>
      </c>
      <c r="H3" s="170" t="s">
        <v>491</v>
      </c>
      <c r="I3" s="170" t="s">
        <v>488</v>
      </c>
    </row>
    <row r="4" spans="1:9">
      <c r="A4" s="40" t="str">
        <f t="shared" ref="A4" si="0">_xlfn.CONCAT("EV05_",INDEX(EV_charger_type_short,MATCH(D4,EV_charger_type,0)),"_",INDEX(rep_days_short,MATCH(E4,rep_days,0)),"_",INDEX(EV_Flex_short,MATCH(F4,EV_Flex,0)),"_",G4)</f>
        <v>EV05_domestic_ALL_NoFlex_GB</v>
      </c>
      <c r="B4" s="36" t="s">
        <v>403</v>
      </c>
      <c r="C4" s="36" t="s">
        <v>267</v>
      </c>
      <c r="D4" s="40" t="s">
        <v>226</v>
      </c>
      <c r="E4" s="36" t="s">
        <v>267</v>
      </c>
      <c r="F4" s="36" t="s">
        <v>228</v>
      </c>
      <c r="G4" s="36" t="s">
        <v>130</v>
      </c>
      <c r="H4" s="36">
        <v>2024</v>
      </c>
      <c r="I4" s="303">
        <v>0.75</v>
      </c>
    </row>
    <row r="5" spans="1:9">
      <c r="A5" s="40" t="str">
        <f t="shared" ref="A5:A35" si="1">_xlfn.CONCAT("EV05_",INDEX(EV_charger_type_short,MATCH(D5,EV_charger_type,0)),"_",INDEX(rep_days_short,MATCH(E5,rep_days,0)),"_",INDEX(EV_Flex_short,MATCH(F5,EV_Flex,0)),"_",G5)</f>
        <v>EV05_domestic_ALL_NoFlex_GB</v>
      </c>
      <c r="B5" s="36" t="s">
        <v>403</v>
      </c>
      <c r="C5" s="36" t="s">
        <v>267</v>
      </c>
      <c r="D5" s="40" t="s">
        <v>226</v>
      </c>
      <c r="E5" s="36" t="s">
        <v>267</v>
      </c>
      <c r="F5" s="36" t="s">
        <v>228</v>
      </c>
      <c r="G5" s="36" t="s">
        <v>130</v>
      </c>
      <c r="H5" s="36">
        <v>2025</v>
      </c>
      <c r="I5" s="303">
        <v>0.66999999999999993</v>
      </c>
    </row>
    <row r="6" spans="1:9">
      <c r="A6" s="40" t="str">
        <f t="shared" si="1"/>
        <v>EV05_domestic_ALL_NoFlex_GB</v>
      </c>
      <c r="B6" s="36" t="s">
        <v>403</v>
      </c>
      <c r="C6" s="36" t="s">
        <v>267</v>
      </c>
      <c r="D6" s="40" t="s">
        <v>226</v>
      </c>
      <c r="E6" s="36" t="s">
        <v>267</v>
      </c>
      <c r="F6" s="36" t="s">
        <v>228</v>
      </c>
      <c r="G6" s="36" t="s">
        <v>130</v>
      </c>
      <c r="H6" s="36">
        <v>2026</v>
      </c>
      <c r="I6" s="303">
        <v>0.58000000000000007</v>
      </c>
    </row>
    <row r="7" spans="1:9">
      <c r="A7" s="40" t="str">
        <f t="shared" si="1"/>
        <v>EV05_domestic_ALL_NoFlex_GB</v>
      </c>
      <c r="B7" s="36" t="s">
        <v>403</v>
      </c>
      <c r="C7" s="36" t="s">
        <v>267</v>
      </c>
      <c r="D7" s="40" t="s">
        <v>226</v>
      </c>
      <c r="E7" s="36" t="s">
        <v>267</v>
      </c>
      <c r="F7" s="36" t="s">
        <v>228</v>
      </c>
      <c r="G7" s="36" t="s">
        <v>130</v>
      </c>
      <c r="H7" s="36">
        <v>2027</v>
      </c>
      <c r="I7" s="303">
        <v>0.5</v>
      </c>
    </row>
    <row r="8" spans="1:9">
      <c r="A8" s="40" t="str">
        <f t="shared" si="1"/>
        <v>EV05_domestic_ALL_NoFlex_GB</v>
      </c>
      <c r="B8" s="36" t="s">
        <v>403</v>
      </c>
      <c r="C8" s="36" t="s">
        <v>267</v>
      </c>
      <c r="D8" s="40" t="s">
        <v>226</v>
      </c>
      <c r="E8" s="36" t="s">
        <v>267</v>
      </c>
      <c r="F8" s="36" t="s">
        <v>228</v>
      </c>
      <c r="G8" s="36" t="s">
        <v>130</v>
      </c>
      <c r="H8" s="36">
        <v>2028</v>
      </c>
      <c r="I8" s="303">
        <v>0.42000000000000004</v>
      </c>
    </row>
    <row r="9" spans="1:9">
      <c r="A9" s="40" t="str">
        <f t="shared" si="1"/>
        <v>EV05_domestic_ALL_NoFlex_GB</v>
      </c>
      <c r="B9" s="36" t="s">
        <v>403</v>
      </c>
      <c r="C9" s="36" t="s">
        <v>267</v>
      </c>
      <c r="D9" s="40" t="s">
        <v>226</v>
      </c>
      <c r="E9" s="36" t="s">
        <v>267</v>
      </c>
      <c r="F9" s="36" t="s">
        <v>228</v>
      </c>
      <c r="G9" s="36" t="s">
        <v>130</v>
      </c>
      <c r="H9" s="36">
        <v>2029</v>
      </c>
      <c r="I9" s="303">
        <v>0.33999999999999997</v>
      </c>
    </row>
    <row r="10" spans="1:9">
      <c r="A10" s="40" t="str">
        <f t="shared" si="1"/>
        <v>EV05_domestic_ALL_NoFlex_GB</v>
      </c>
      <c r="B10" s="36" t="s">
        <v>403</v>
      </c>
      <c r="C10" s="36" t="s">
        <v>267</v>
      </c>
      <c r="D10" s="40" t="s">
        <v>226</v>
      </c>
      <c r="E10" s="36" t="s">
        <v>267</v>
      </c>
      <c r="F10" s="36" t="s">
        <v>228</v>
      </c>
      <c r="G10" s="36" t="s">
        <v>130</v>
      </c>
      <c r="H10" s="36">
        <v>2030</v>
      </c>
      <c r="I10" s="303">
        <v>0.25</v>
      </c>
    </row>
    <row r="11" spans="1:9">
      <c r="A11" s="40" t="str">
        <f t="shared" si="1"/>
        <v>EV05_domestic_ALL_NoFlex_GB</v>
      </c>
      <c r="B11" s="36" t="s">
        <v>403</v>
      </c>
      <c r="C11" s="36" t="s">
        <v>267</v>
      </c>
      <c r="D11" s="40" t="s">
        <v>226</v>
      </c>
      <c r="E11" s="36" t="s">
        <v>267</v>
      </c>
      <c r="F11" s="36" t="s">
        <v>228</v>
      </c>
      <c r="G11" s="36" t="s">
        <v>130</v>
      </c>
      <c r="H11" s="36">
        <v>2031</v>
      </c>
      <c r="I11" s="303">
        <v>0.17000000000000004</v>
      </c>
    </row>
    <row r="12" spans="1:9">
      <c r="A12" s="40" t="str">
        <f t="shared" si="1"/>
        <v>EV05_domestic_ALL_NoFlex_GB</v>
      </c>
      <c r="B12" s="36" t="s">
        <v>403</v>
      </c>
      <c r="C12" s="36" t="s">
        <v>267</v>
      </c>
      <c r="D12" s="40" t="s">
        <v>226</v>
      </c>
      <c r="E12" s="36" t="s">
        <v>267</v>
      </c>
      <c r="F12" s="36" t="s">
        <v>228</v>
      </c>
      <c r="G12" s="36" t="s">
        <v>130</v>
      </c>
      <c r="H12" s="36">
        <v>2032</v>
      </c>
      <c r="I12" s="303">
        <v>0.17000000000000004</v>
      </c>
    </row>
    <row r="13" spans="1:9">
      <c r="A13" s="40" t="str">
        <f t="shared" si="1"/>
        <v>EV05_domestic_ALL_NoFlex_GB</v>
      </c>
      <c r="B13" s="36" t="s">
        <v>403</v>
      </c>
      <c r="C13" s="36" t="s">
        <v>267</v>
      </c>
      <c r="D13" s="40" t="s">
        <v>226</v>
      </c>
      <c r="E13" s="36" t="s">
        <v>267</v>
      </c>
      <c r="F13" s="36" t="s">
        <v>228</v>
      </c>
      <c r="G13" s="36" t="s">
        <v>130</v>
      </c>
      <c r="H13" s="36">
        <v>2033</v>
      </c>
      <c r="I13" s="303">
        <v>0.17000000000000004</v>
      </c>
    </row>
    <row r="14" spans="1:9">
      <c r="A14" s="40" t="str">
        <f t="shared" si="1"/>
        <v>EV05_domestic_ALL_NoFlex_GB</v>
      </c>
      <c r="B14" s="36" t="s">
        <v>403</v>
      </c>
      <c r="C14" s="36" t="s">
        <v>267</v>
      </c>
      <c r="D14" s="40" t="s">
        <v>226</v>
      </c>
      <c r="E14" s="36" t="s">
        <v>267</v>
      </c>
      <c r="F14" s="36" t="s">
        <v>228</v>
      </c>
      <c r="G14" s="36" t="s">
        <v>130</v>
      </c>
      <c r="H14" s="36">
        <v>2034</v>
      </c>
      <c r="I14" s="303">
        <v>0.17000000000000004</v>
      </c>
    </row>
    <row r="15" spans="1:9">
      <c r="A15" s="40" t="str">
        <f t="shared" si="1"/>
        <v>EV05_domestic_ALL_NoFlex_GB</v>
      </c>
      <c r="B15" s="36" t="s">
        <v>403</v>
      </c>
      <c r="C15" s="36" t="s">
        <v>267</v>
      </c>
      <c r="D15" s="40" t="s">
        <v>226</v>
      </c>
      <c r="E15" s="36" t="s">
        <v>267</v>
      </c>
      <c r="F15" s="36" t="s">
        <v>228</v>
      </c>
      <c r="G15" s="36" t="s">
        <v>130</v>
      </c>
      <c r="H15" s="36">
        <v>2035</v>
      </c>
      <c r="I15" s="303">
        <v>0.17000000000000004</v>
      </c>
    </row>
    <row r="16" spans="1:9">
      <c r="A16" s="40" t="str">
        <f t="shared" si="1"/>
        <v>EV05_domestic_ALL_NoFlex_GB</v>
      </c>
      <c r="B16" s="36" t="s">
        <v>403</v>
      </c>
      <c r="C16" s="36" t="s">
        <v>267</v>
      </c>
      <c r="D16" s="40" t="s">
        <v>226</v>
      </c>
      <c r="E16" s="36" t="s">
        <v>267</v>
      </c>
      <c r="F16" s="36" t="s">
        <v>228</v>
      </c>
      <c r="G16" s="36" t="s">
        <v>130</v>
      </c>
      <c r="H16" s="36">
        <v>2036</v>
      </c>
      <c r="I16" s="303">
        <v>0.17000000000000004</v>
      </c>
    </row>
    <row r="17" spans="1:9">
      <c r="A17" s="40" t="str">
        <f t="shared" si="1"/>
        <v>EV05_domestic_ALL_NoFlex_GB</v>
      </c>
      <c r="B17" s="36" t="s">
        <v>403</v>
      </c>
      <c r="C17" s="36" t="s">
        <v>267</v>
      </c>
      <c r="D17" s="40" t="s">
        <v>226</v>
      </c>
      <c r="E17" s="36" t="s">
        <v>267</v>
      </c>
      <c r="F17" s="36" t="s">
        <v>228</v>
      </c>
      <c r="G17" s="36" t="s">
        <v>130</v>
      </c>
      <c r="H17" s="36">
        <v>2037</v>
      </c>
      <c r="I17" s="303">
        <v>0.17000000000000004</v>
      </c>
    </row>
    <row r="18" spans="1:9">
      <c r="A18" s="40" t="str">
        <f t="shared" si="1"/>
        <v>EV05_domestic_ALL_NoFlex_GB</v>
      </c>
      <c r="B18" s="36" t="s">
        <v>403</v>
      </c>
      <c r="C18" s="36" t="s">
        <v>267</v>
      </c>
      <c r="D18" s="40" t="s">
        <v>226</v>
      </c>
      <c r="E18" s="36" t="s">
        <v>267</v>
      </c>
      <c r="F18" s="36" t="s">
        <v>228</v>
      </c>
      <c r="G18" s="36" t="s">
        <v>130</v>
      </c>
      <c r="H18" s="36">
        <v>2038</v>
      </c>
      <c r="I18" s="303">
        <v>0.17000000000000004</v>
      </c>
    </row>
    <row r="19" spans="1:9">
      <c r="A19" s="40" t="str">
        <f t="shared" si="1"/>
        <v>EV05_domestic_ALL_NoFlex_GB</v>
      </c>
      <c r="B19" s="36" t="s">
        <v>403</v>
      </c>
      <c r="C19" s="36" t="s">
        <v>267</v>
      </c>
      <c r="D19" s="40" t="s">
        <v>226</v>
      </c>
      <c r="E19" s="36" t="s">
        <v>267</v>
      </c>
      <c r="F19" s="36" t="s">
        <v>228</v>
      </c>
      <c r="G19" s="36" t="s">
        <v>130</v>
      </c>
      <c r="H19" s="36">
        <v>2039</v>
      </c>
      <c r="I19" s="303">
        <v>0.17000000000000004</v>
      </c>
    </row>
    <row r="20" spans="1:9">
      <c r="A20" s="40" t="str">
        <f t="shared" si="1"/>
        <v>EV05_domestic_ALL_NoFlex_GB</v>
      </c>
      <c r="B20" s="36" t="s">
        <v>403</v>
      </c>
      <c r="C20" s="36" t="s">
        <v>267</v>
      </c>
      <c r="D20" s="40" t="s">
        <v>226</v>
      </c>
      <c r="E20" s="36" t="s">
        <v>267</v>
      </c>
      <c r="F20" s="36" t="s">
        <v>228</v>
      </c>
      <c r="G20" s="36" t="s">
        <v>130</v>
      </c>
      <c r="H20" s="36">
        <v>2040</v>
      </c>
      <c r="I20" s="303">
        <v>0.17000000000000004</v>
      </c>
    </row>
    <row r="21" spans="1:9">
      <c r="A21" s="40" t="str">
        <f t="shared" si="1"/>
        <v>EV05_domestic_ALL_NoFlex_GB</v>
      </c>
      <c r="B21" s="36" t="s">
        <v>403</v>
      </c>
      <c r="C21" s="36" t="s">
        <v>267</v>
      </c>
      <c r="D21" s="40" t="s">
        <v>226</v>
      </c>
      <c r="E21" s="36" t="s">
        <v>267</v>
      </c>
      <c r="F21" s="36" t="s">
        <v>228</v>
      </c>
      <c r="G21" s="36" t="s">
        <v>130</v>
      </c>
      <c r="H21" s="36">
        <v>2041</v>
      </c>
      <c r="I21" s="303">
        <v>0.17000000000000004</v>
      </c>
    </row>
    <row r="22" spans="1:9">
      <c r="A22" s="40" t="str">
        <f t="shared" si="1"/>
        <v>EV05_domestic_ALL_NoFlex_GB</v>
      </c>
      <c r="B22" s="36" t="s">
        <v>403</v>
      </c>
      <c r="C22" s="36" t="s">
        <v>267</v>
      </c>
      <c r="D22" s="40" t="s">
        <v>226</v>
      </c>
      <c r="E22" s="36" t="s">
        <v>267</v>
      </c>
      <c r="F22" s="36" t="s">
        <v>228</v>
      </c>
      <c r="G22" s="36" t="s">
        <v>130</v>
      </c>
      <c r="H22" s="36">
        <v>2042</v>
      </c>
      <c r="I22" s="303">
        <v>0.17000000000000004</v>
      </c>
    </row>
    <row r="23" spans="1:9">
      <c r="A23" s="40" t="str">
        <f t="shared" si="1"/>
        <v>EV05_domestic_ALL_NoFlex_GB</v>
      </c>
      <c r="B23" s="36" t="s">
        <v>403</v>
      </c>
      <c r="C23" s="36" t="s">
        <v>267</v>
      </c>
      <c r="D23" s="40" t="s">
        <v>226</v>
      </c>
      <c r="E23" s="36" t="s">
        <v>267</v>
      </c>
      <c r="F23" s="36" t="s">
        <v>228</v>
      </c>
      <c r="G23" s="36" t="s">
        <v>130</v>
      </c>
      <c r="H23" s="36">
        <v>2043</v>
      </c>
      <c r="I23" s="303">
        <v>0.17000000000000004</v>
      </c>
    </row>
    <row r="24" spans="1:9">
      <c r="A24" s="40" t="str">
        <f t="shared" si="1"/>
        <v>EV05_domestic_ALL_NoFlex_GB</v>
      </c>
      <c r="B24" s="36" t="s">
        <v>403</v>
      </c>
      <c r="C24" s="36" t="s">
        <v>267</v>
      </c>
      <c r="D24" s="40" t="s">
        <v>226</v>
      </c>
      <c r="E24" s="36" t="s">
        <v>267</v>
      </c>
      <c r="F24" s="36" t="s">
        <v>228</v>
      </c>
      <c r="G24" s="36" t="s">
        <v>130</v>
      </c>
      <c r="H24" s="36">
        <v>2044</v>
      </c>
      <c r="I24" s="303">
        <v>0.17000000000000004</v>
      </c>
    </row>
    <row r="25" spans="1:9">
      <c r="A25" s="40" t="str">
        <f t="shared" si="1"/>
        <v>EV05_domestic_ALL_NoFlex_GB</v>
      </c>
      <c r="B25" s="36" t="s">
        <v>403</v>
      </c>
      <c r="C25" s="36" t="s">
        <v>267</v>
      </c>
      <c r="D25" s="40" t="s">
        <v>226</v>
      </c>
      <c r="E25" s="36" t="s">
        <v>267</v>
      </c>
      <c r="F25" s="36" t="s">
        <v>228</v>
      </c>
      <c r="G25" s="36" t="s">
        <v>130</v>
      </c>
      <c r="H25" s="36">
        <v>2045</v>
      </c>
      <c r="I25" s="303">
        <v>0.17000000000000004</v>
      </c>
    </row>
    <row r="26" spans="1:9">
      <c r="A26" s="40" t="str">
        <f t="shared" si="1"/>
        <v>EV05_domestic_ALL_NoFlex_GB</v>
      </c>
      <c r="B26" s="36" t="s">
        <v>403</v>
      </c>
      <c r="C26" s="36" t="s">
        <v>267</v>
      </c>
      <c r="D26" s="40" t="s">
        <v>226</v>
      </c>
      <c r="E26" s="36" t="s">
        <v>267</v>
      </c>
      <c r="F26" s="36" t="s">
        <v>228</v>
      </c>
      <c r="G26" s="36" t="s">
        <v>130</v>
      </c>
      <c r="H26" s="36">
        <v>2046</v>
      </c>
      <c r="I26" s="303">
        <v>0.17000000000000004</v>
      </c>
    </row>
    <row r="27" spans="1:9">
      <c r="A27" s="40" t="str">
        <f t="shared" si="1"/>
        <v>EV05_domestic_ALL_NoFlex_GB</v>
      </c>
      <c r="B27" s="36" t="s">
        <v>403</v>
      </c>
      <c r="C27" s="36" t="s">
        <v>267</v>
      </c>
      <c r="D27" s="40" t="s">
        <v>226</v>
      </c>
      <c r="E27" s="36" t="s">
        <v>267</v>
      </c>
      <c r="F27" s="36" t="s">
        <v>228</v>
      </c>
      <c r="G27" s="36" t="s">
        <v>130</v>
      </c>
      <c r="H27" s="36">
        <v>2047</v>
      </c>
      <c r="I27" s="303">
        <v>0.17000000000000004</v>
      </c>
    </row>
    <row r="28" spans="1:9">
      <c r="A28" s="40" t="str">
        <f t="shared" si="1"/>
        <v>EV05_domestic_ALL_NoFlex_GB</v>
      </c>
      <c r="B28" s="36" t="s">
        <v>403</v>
      </c>
      <c r="C28" s="36" t="s">
        <v>267</v>
      </c>
      <c r="D28" s="40" t="s">
        <v>226</v>
      </c>
      <c r="E28" s="36" t="s">
        <v>267</v>
      </c>
      <c r="F28" s="36" t="s">
        <v>228</v>
      </c>
      <c r="G28" s="36" t="s">
        <v>130</v>
      </c>
      <c r="H28" s="36">
        <v>2048</v>
      </c>
      <c r="I28" s="303">
        <v>0.17000000000000004</v>
      </c>
    </row>
    <row r="29" spans="1:9">
      <c r="A29" s="40" t="str">
        <f t="shared" si="1"/>
        <v>EV05_domestic_ALL_NoFlex_GB</v>
      </c>
      <c r="B29" s="36" t="s">
        <v>403</v>
      </c>
      <c r="C29" s="36" t="s">
        <v>267</v>
      </c>
      <c r="D29" s="40" t="s">
        <v>226</v>
      </c>
      <c r="E29" s="36" t="s">
        <v>267</v>
      </c>
      <c r="F29" s="36" t="s">
        <v>228</v>
      </c>
      <c r="G29" s="36" t="s">
        <v>130</v>
      </c>
      <c r="H29" s="36">
        <v>2049</v>
      </c>
      <c r="I29" s="303">
        <v>0.17000000000000004</v>
      </c>
    </row>
    <row r="30" spans="1:9">
      <c r="A30" s="40" t="str">
        <f t="shared" si="1"/>
        <v>EV05_domestic_ALL_NoFlex_GB</v>
      </c>
      <c r="B30" s="36" t="s">
        <v>403</v>
      </c>
      <c r="C30" s="36" t="s">
        <v>267</v>
      </c>
      <c r="D30" s="40" t="s">
        <v>226</v>
      </c>
      <c r="E30" s="36" t="s">
        <v>267</v>
      </c>
      <c r="F30" s="36" t="s">
        <v>228</v>
      </c>
      <c r="G30" s="36" t="s">
        <v>130</v>
      </c>
      <c r="H30" s="36">
        <v>2050</v>
      </c>
      <c r="I30" s="303">
        <v>0.17000000000000004</v>
      </c>
    </row>
    <row r="31" spans="1:9">
      <c r="A31" s="40" t="str">
        <f>_xlfn.CONCAT("EV05_",INDEX(EV_charger_type_short,MATCH(D31,EV_charger_type,0)),"_",INDEX(rep_days_short,MATCH(E31,rep_days,0)),"_",INDEX(EV_Flex_short,MATCH(F31,EV_Flex,0)),"_",G31)</f>
        <v>EV05_domestic_ALL_Smart_GB</v>
      </c>
      <c r="B31" s="36" t="s">
        <v>403</v>
      </c>
      <c r="C31" s="36" t="s">
        <v>267</v>
      </c>
      <c r="D31" s="40" t="s">
        <v>226</v>
      </c>
      <c r="E31" s="36" t="s">
        <v>267</v>
      </c>
      <c r="F31" s="36" t="s">
        <v>247</v>
      </c>
      <c r="G31" s="36" t="s">
        <v>130</v>
      </c>
      <c r="H31" s="36">
        <v>2024</v>
      </c>
      <c r="I31" s="304">
        <v>0.25</v>
      </c>
    </row>
    <row r="32" spans="1:9">
      <c r="A32" s="40" t="str">
        <f t="shared" si="1"/>
        <v>EV05_domestic_ALL_Smart_GB</v>
      </c>
      <c r="B32" s="36" t="s">
        <v>403</v>
      </c>
      <c r="C32" s="36" t="s">
        <v>267</v>
      </c>
      <c r="D32" s="40" t="s">
        <v>226</v>
      </c>
      <c r="E32" s="36" t="s">
        <v>267</v>
      </c>
      <c r="F32" s="36" t="s">
        <v>247</v>
      </c>
      <c r="G32" s="36" t="s">
        <v>130</v>
      </c>
      <c r="H32" s="36">
        <v>2025</v>
      </c>
      <c r="I32" s="53">
        <v>0.33</v>
      </c>
    </row>
    <row r="33" spans="1:9">
      <c r="A33" s="40" t="str">
        <f t="shared" si="1"/>
        <v>EV05_domestic_ALL_Smart_GB</v>
      </c>
      <c r="B33" s="36" t="s">
        <v>403</v>
      </c>
      <c r="C33" s="36" t="s">
        <v>267</v>
      </c>
      <c r="D33" s="40" t="s">
        <v>226</v>
      </c>
      <c r="E33" s="36" t="s">
        <v>267</v>
      </c>
      <c r="F33" s="36" t="s">
        <v>247</v>
      </c>
      <c r="G33" s="36" t="s">
        <v>130</v>
      </c>
      <c r="H33" s="36">
        <v>2026</v>
      </c>
      <c r="I33" s="53">
        <v>0.42</v>
      </c>
    </row>
    <row r="34" spans="1:9">
      <c r="A34" s="40" t="str">
        <f t="shared" si="1"/>
        <v>EV05_domestic_ALL_Smart_GB</v>
      </c>
      <c r="B34" s="36" t="s">
        <v>403</v>
      </c>
      <c r="C34" s="36" t="s">
        <v>267</v>
      </c>
      <c r="D34" s="40" t="s">
        <v>226</v>
      </c>
      <c r="E34" s="36" t="s">
        <v>267</v>
      </c>
      <c r="F34" s="36" t="s">
        <v>247</v>
      </c>
      <c r="G34" s="36" t="s">
        <v>130</v>
      </c>
      <c r="H34" s="36">
        <v>2027</v>
      </c>
      <c r="I34" s="53">
        <v>0.5</v>
      </c>
    </row>
    <row r="35" spans="1:9">
      <c r="A35" s="40" t="str">
        <f t="shared" si="1"/>
        <v>EV05_domestic_ALL_Smart_GB</v>
      </c>
      <c r="B35" s="36" t="s">
        <v>403</v>
      </c>
      <c r="C35" s="36" t="s">
        <v>267</v>
      </c>
      <c r="D35" s="40" t="s">
        <v>226</v>
      </c>
      <c r="E35" s="36" t="s">
        <v>267</v>
      </c>
      <c r="F35" s="36" t="s">
        <v>247</v>
      </c>
      <c r="G35" s="36" t="s">
        <v>130</v>
      </c>
      <c r="H35" s="36">
        <v>2028</v>
      </c>
      <c r="I35" s="53">
        <v>0.57999999999999996</v>
      </c>
    </row>
    <row r="36" spans="1:9">
      <c r="A36" s="40" t="str">
        <f t="shared" ref="A36:A57" si="2">_xlfn.CONCAT("EV05_",INDEX(EV_charger_type_short,MATCH(D36,EV_charger_type,0)),"_",INDEX(rep_days_short,MATCH(E36,rep_days,0)),"_",INDEX(EV_Flex_short,MATCH(F36,EV_Flex,0)),"_",G36)</f>
        <v>EV05_domestic_ALL_Smart_GB</v>
      </c>
      <c r="B36" s="36" t="s">
        <v>403</v>
      </c>
      <c r="C36" s="36" t="s">
        <v>267</v>
      </c>
      <c r="D36" s="40" t="s">
        <v>226</v>
      </c>
      <c r="E36" s="36" t="s">
        <v>267</v>
      </c>
      <c r="F36" s="36" t="s">
        <v>247</v>
      </c>
      <c r="G36" s="36" t="s">
        <v>130</v>
      </c>
      <c r="H36" s="36">
        <v>2029</v>
      </c>
      <c r="I36" s="53">
        <v>0.66</v>
      </c>
    </row>
    <row r="37" spans="1:9">
      <c r="A37" s="40" t="str">
        <f t="shared" si="2"/>
        <v>EV05_domestic_ALL_Smart_GB</v>
      </c>
      <c r="B37" s="36" t="s">
        <v>403</v>
      </c>
      <c r="C37" s="36" t="s">
        <v>267</v>
      </c>
      <c r="D37" s="40" t="s">
        <v>226</v>
      </c>
      <c r="E37" s="36" t="s">
        <v>267</v>
      </c>
      <c r="F37" s="36" t="s">
        <v>247</v>
      </c>
      <c r="G37" s="36" t="s">
        <v>130</v>
      </c>
      <c r="H37" s="36">
        <v>2030</v>
      </c>
      <c r="I37" s="53">
        <v>0.75</v>
      </c>
    </row>
    <row r="38" spans="1:9">
      <c r="A38" s="40" t="str">
        <f t="shared" si="2"/>
        <v>EV05_domestic_ALL_Smart_GB</v>
      </c>
      <c r="B38" s="36" t="s">
        <v>403</v>
      </c>
      <c r="C38" s="36" t="s">
        <v>267</v>
      </c>
      <c r="D38" s="40" t="s">
        <v>226</v>
      </c>
      <c r="E38" s="36" t="s">
        <v>267</v>
      </c>
      <c r="F38" s="36" t="s">
        <v>247</v>
      </c>
      <c r="G38" s="36" t="s">
        <v>130</v>
      </c>
      <c r="H38" s="36">
        <v>2031</v>
      </c>
      <c r="I38" s="53">
        <v>0.83</v>
      </c>
    </row>
    <row r="39" spans="1:9">
      <c r="A39" s="40" t="str">
        <f t="shared" si="2"/>
        <v>EV05_domestic_ALL_Smart_GB</v>
      </c>
      <c r="B39" s="36" t="s">
        <v>403</v>
      </c>
      <c r="C39" s="36" t="s">
        <v>267</v>
      </c>
      <c r="D39" s="40" t="s">
        <v>226</v>
      </c>
      <c r="E39" s="36" t="s">
        <v>267</v>
      </c>
      <c r="F39" s="36" t="s">
        <v>247</v>
      </c>
      <c r="G39" s="36" t="s">
        <v>130</v>
      </c>
      <c r="H39" s="36">
        <v>2032</v>
      </c>
      <c r="I39" s="53">
        <v>0.83</v>
      </c>
    </row>
    <row r="40" spans="1:9">
      <c r="A40" s="40" t="str">
        <f t="shared" si="2"/>
        <v>EV05_domestic_ALL_Smart_GB</v>
      </c>
      <c r="B40" s="36" t="s">
        <v>403</v>
      </c>
      <c r="C40" s="36" t="s">
        <v>267</v>
      </c>
      <c r="D40" s="40" t="s">
        <v>226</v>
      </c>
      <c r="E40" s="36" t="s">
        <v>267</v>
      </c>
      <c r="F40" s="36" t="s">
        <v>247</v>
      </c>
      <c r="G40" s="36" t="s">
        <v>130</v>
      </c>
      <c r="H40" s="36">
        <v>2033</v>
      </c>
      <c r="I40" s="53">
        <v>0.83</v>
      </c>
    </row>
    <row r="41" spans="1:9">
      <c r="A41" s="40" t="str">
        <f t="shared" si="2"/>
        <v>EV05_domestic_ALL_Smart_GB</v>
      </c>
      <c r="B41" s="36" t="s">
        <v>403</v>
      </c>
      <c r="C41" s="36" t="s">
        <v>267</v>
      </c>
      <c r="D41" s="40" t="s">
        <v>226</v>
      </c>
      <c r="E41" s="36" t="s">
        <v>267</v>
      </c>
      <c r="F41" s="36" t="s">
        <v>247</v>
      </c>
      <c r="G41" s="36" t="s">
        <v>130</v>
      </c>
      <c r="H41" s="36">
        <v>2034</v>
      </c>
      <c r="I41" s="53">
        <v>0.83</v>
      </c>
    </row>
    <row r="42" spans="1:9">
      <c r="A42" s="40" t="str">
        <f t="shared" si="2"/>
        <v>EV05_domestic_ALL_Smart_GB</v>
      </c>
      <c r="B42" s="36" t="s">
        <v>403</v>
      </c>
      <c r="C42" s="36" t="s">
        <v>267</v>
      </c>
      <c r="D42" s="40" t="s">
        <v>226</v>
      </c>
      <c r="E42" s="36" t="s">
        <v>267</v>
      </c>
      <c r="F42" s="36" t="s">
        <v>247</v>
      </c>
      <c r="G42" s="36" t="s">
        <v>130</v>
      </c>
      <c r="H42" s="36">
        <v>2035</v>
      </c>
      <c r="I42" s="53">
        <v>0.83</v>
      </c>
    </row>
    <row r="43" spans="1:9">
      <c r="A43" s="40" t="str">
        <f t="shared" si="2"/>
        <v>EV05_domestic_ALL_Smart_GB</v>
      </c>
      <c r="B43" s="36" t="s">
        <v>403</v>
      </c>
      <c r="C43" s="36" t="s">
        <v>267</v>
      </c>
      <c r="D43" s="40" t="s">
        <v>226</v>
      </c>
      <c r="E43" s="36" t="s">
        <v>267</v>
      </c>
      <c r="F43" s="36" t="s">
        <v>247</v>
      </c>
      <c r="G43" s="36" t="s">
        <v>130</v>
      </c>
      <c r="H43" s="36">
        <v>2036</v>
      </c>
      <c r="I43" s="53">
        <v>0.83</v>
      </c>
    </row>
    <row r="44" spans="1:9">
      <c r="A44" s="40" t="str">
        <f t="shared" si="2"/>
        <v>EV05_domestic_ALL_Smart_GB</v>
      </c>
      <c r="B44" s="36" t="s">
        <v>403</v>
      </c>
      <c r="C44" s="36" t="s">
        <v>267</v>
      </c>
      <c r="D44" s="40" t="s">
        <v>226</v>
      </c>
      <c r="E44" s="36" t="s">
        <v>267</v>
      </c>
      <c r="F44" s="36" t="s">
        <v>247</v>
      </c>
      <c r="G44" s="36" t="s">
        <v>130</v>
      </c>
      <c r="H44" s="36">
        <v>2037</v>
      </c>
      <c r="I44" s="53">
        <v>0.83</v>
      </c>
    </row>
    <row r="45" spans="1:9">
      <c r="A45" s="40" t="str">
        <f t="shared" si="2"/>
        <v>EV05_domestic_ALL_Smart_GB</v>
      </c>
      <c r="B45" s="36" t="s">
        <v>403</v>
      </c>
      <c r="C45" s="36" t="s">
        <v>267</v>
      </c>
      <c r="D45" s="40" t="s">
        <v>226</v>
      </c>
      <c r="E45" s="36" t="s">
        <v>267</v>
      </c>
      <c r="F45" s="36" t="s">
        <v>247</v>
      </c>
      <c r="G45" s="36" t="s">
        <v>130</v>
      </c>
      <c r="H45" s="36">
        <v>2038</v>
      </c>
      <c r="I45" s="53">
        <v>0.83</v>
      </c>
    </row>
    <row r="46" spans="1:9">
      <c r="A46" s="40" t="str">
        <f t="shared" si="2"/>
        <v>EV05_domestic_ALL_Smart_GB</v>
      </c>
      <c r="B46" s="36" t="s">
        <v>403</v>
      </c>
      <c r="C46" s="36" t="s">
        <v>267</v>
      </c>
      <c r="D46" s="40" t="s">
        <v>226</v>
      </c>
      <c r="E46" s="36" t="s">
        <v>267</v>
      </c>
      <c r="F46" s="36" t="s">
        <v>247</v>
      </c>
      <c r="G46" s="36" t="s">
        <v>130</v>
      </c>
      <c r="H46" s="36">
        <v>2039</v>
      </c>
      <c r="I46" s="53">
        <v>0.83</v>
      </c>
    </row>
    <row r="47" spans="1:9">
      <c r="A47" s="40" t="str">
        <f t="shared" si="2"/>
        <v>EV05_domestic_ALL_Smart_GB</v>
      </c>
      <c r="B47" s="36" t="s">
        <v>403</v>
      </c>
      <c r="C47" s="36" t="s">
        <v>267</v>
      </c>
      <c r="D47" s="40" t="s">
        <v>226</v>
      </c>
      <c r="E47" s="36" t="s">
        <v>267</v>
      </c>
      <c r="F47" s="36" t="s">
        <v>247</v>
      </c>
      <c r="G47" s="36" t="s">
        <v>130</v>
      </c>
      <c r="H47" s="36">
        <v>2040</v>
      </c>
      <c r="I47" s="53">
        <v>0.83</v>
      </c>
    </row>
    <row r="48" spans="1:9">
      <c r="A48" s="40" t="str">
        <f t="shared" si="2"/>
        <v>EV05_domestic_ALL_Smart_GB</v>
      </c>
      <c r="B48" s="36" t="s">
        <v>403</v>
      </c>
      <c r="C48" s="36" t="s">
        <v>267</v>
      </c>
      <c r="D48" s="40" t="s">
        <v>226</v>
      </c>
      <c r="E48" s="36" t="s">
        <v>267</v>
      </c>
      <c r="F48" s="36" t="s">
        <v>247</v>
      </c>
      <c r="G48" s="36" t="s">
        <v>130</v>
      </c>
      <c r="H48" s="36">
        <v>2041</v>
      </c>
      <c r="I48" s="53">
        <v>0.83</v>
      </c>
    </row>
    <row r="49" spans="1:9">
      <c r="A49" s="40" t="str">
        <f t="shared" si="2"/>
        <v>EV05_domestic_ALL_Smart_GB</v>
      </c>
      <c r="B49" s="36" t="s">
        <v>403</v>
      </c>
      <c r="C49" s="36" t="s">
        <v>267</v>
      </c>
      <c r="D49" s="40" t="s">
        <v>226</v>
      </c>
      <c r="E49" s="36" t="s">
        <v>267</v>
      </c>
      <c r="F49" s="36" t="s">
        <v>247</v>
      </c>
      <c r="G49" s="36" t="s">
        <v>130</v>
      </c>
      <c r="H49" s="36">
        <v>2042</v>
      </c>
      <c r="I49" s="53">
        <v>0.83</v>
      </c>
    </row>
    <row r="50" spans="1:9">
      <c r="A50" s="40" t="str">
        <f t="shared" si="2"/>
        <v>EV05_domestic_ALL_Smart_GB</v>
      </c>
      <c r="B50" s="36" t="s">
        <v>403</v>
      </c>
      <c r="C50" s="36" t="s">
        <v>267</v>
      </c>
      <c r="D50" s="40" t="s">
        <v>226</v>
      </c>
      <c r="E50" s="36" t="s">
        <v>267</v>
      </c>
      <c r="F50" s="36" t="s">
        <v>247</v>
      </c>
      <c r="G50" s="36" t="s">
        <v>130</v>
      </c>
      <c r="H50" s="36">
        <v>2043</v>
      </c>
      <c r="I50" s="53">
        <v>0.83</v>
      </c>
    </row>
    <row r="51" spans="1:9">
      <c r="A51" s="40" t="str">
        <f t="shared" si="2"/>
        <v>EV05_domestic_ALL_Smart_GB</v>
      </c>
      <c r="B51" s="36" t="s">
        <v>403</v>
      </c>
      <c r="C51" s="36" t="s">
        <v>267</v>
      </c>
      <c r="D51" s="40" t="s">
        <v>226</v>
      </c>
      <c r="E51" s="36" t="s">
        <v>267</v>
      </c>
      <c r="F51" s="36" t="s">
        <v>247</v>
      </c>
      <c r="G51" s="36" t="s">
        <v>130</v>
      </c>
      <c r="H51" s="36">
        <v>2044</v>
      </c>
      <c r="I51" s="53">
        <v>0.83</v>
      </c>
    </row>
    <row r="52" spans="1:9">
      <c r="A52" s="40" t="str">
        <f t="shared" si="2"/>
        <v>EV05_domestic_ALL_Smart_GB</v>
      </c>
      <c r="B52" s="36" t="s">
        <v>403</v>
      </c>
      <c r="C52" s="36" t="s">
        <v>267</v>
      </c>
      <c r="D52" s="40" t="s">
        <v>226</v>
      </c>
      <c r="E52" s="36" t="s">
        <v>267</v>
      </c>
      <c r="F52" s="36" t="s">
        <v>247</v>
      </c>
      <c r="G52" s="36" t="s">
        <v>130</v>
      </c>
      <c r="H52" s="36">
        <v>2045</v>
      </c>
      <c r="I52" s="53">
        <v>0.83</v>
      </c>
    </row>
    <row r="53" spans="1:9">
      <c r="A53" s="40" t="str">
        <f t="shared" si="2"/>
        <v>EV05_domestic_ALL_Smart_GB</v>
      </c>
      <c r="B53" s="36" t="s">
        <v>403</v>
      </c>
      <c r="C53" s="36" t="s">
        <v>267</v>
      </c>
      <c r="D53" s="40" t="s">
        <v>226</v>
      </c>
      <c r="E53" s="36" t="s">
        <v>267</v>
      </c>
      <c r="F53" s="36" t="s">
        <v>247</v>
      </c>
      <c r="G53" s="36" t="s">
        <v>130</v>
      </c>
      <c r="H53" s="36">
        <v>2046</v>
      </c>
      <c r="I53" s="53">
        <v>0.83</v>
      </c>
    </row>
    <row r="54" spans="1:9">
      <c r="A54" s="40" t="str">
        <f t="shared" si="2"/>
        <v>EV05_domestic_ALL_Smart_GB</v>
      </c>
      <c r="B54" s="36" t="s">
        <v>403</v>
      </c>
      <c r="C54" s="36" t="s">
        <v>267</v>
      </c>
      <c r="D54" s="40" t="s">
        <v>226</v>
      </c>
      <c r="E54" s="36" t="s">
        <v>267</v>
      </c>
      <c r="F54" s="36" t="s">
        <v>247</v>
      </c>
      <c r="G54" s="36" t="s">
        <v>130</v>
      </c>
      <c r="H54" s="36">
        <v>2047</v>
      </c>
      <c r="I54" s="53">
        <v>0.83</v>
      </c>
    </row>
    <row r="55" spans="1:9">
      <c r="A55" s="40" t="str">
        <f t="shared" si="2"/>
        <v>EV05_domestic_ALL_Smart_GB</v>
      </c>
      <c r="B55" s="36" t="s">
        <v>403</v>
      </c>
      <c r="C55" s="36" t="s">
        <v>267</v>
      </c>
      <c r="D55" s="40" t="s">
        <v>226</v>
      </c>
      <c r="E55" s="36" t="s">
        <v>267</v>
      </c>
      <c r="F55" s="36" t="s">
        <v>247</v>
      </c>
      <c r="G55" s="36" t="s">
        <v>130</v>
      </c>
      <c r="H55" s="36">
        <v>2048</v>
      </c>
      <c r="I55" s="53">
        <v>0.83</v>
      </c>
    </row>
    <row r="56" spans="1:9">
      <c r="A56" s="40" t="str">
        <f t="shared" si="2"/>
        <v>EV05_domestic_ALL_Smart_GB</v>
      </c>
      <c r="B56" s="36" t="s">
        <v>403</v>
      </c>
      <c r="C56" s="36" t="s">
        <v>267</v>
      </c>
      <c r="D56" s="40" t="s">
        <v>226</v>
      </c>
      <c r="E56" s="36" t="s">
        <v>267</v>
      </c>
      <c r="F56" s="36" t="s">
        <v>247</v>
      </c>
      <c r="G56" s="36" t="s">
        <v>130</v>
      </c>
      <c r="H56" s="36">
        <v>2049</v>
      </c>
      <c r="I56" s="53">
        <v>0.83</v>
      </c>
    </row>
    <row r="57" spans="1:9">
      <c r="A57" s="40" t="str">
        <f t="shared" si="2"/>
        <v>EV05_domestic_ALL_Smart_GB</v>
      </c>
      <c r="B57" s="36" t="s">
        <v>403</v>
      </c>
      <c r="C57" s="36" t="s">
        <v>267</v>
      </c>
      <c r="D57" s="40" t="s">
        <v>226</v>
      </c>
      <c r="E57" s="36" t="s">
        <v>267</v>
      </c>
      <c r="F57" s="36" t="s">
        <v>247</v>
      </c>
      <c r="G57" s="36" t="s">
        <v>130</v>
      </c>
      <c r="H57" s="36">
        <v>2050</v>
      </c>
      <c r="I57" s="53">
        <v>0.83</v>
      </c>
    </row>
    <row r="58" spans="1:9">
      <c r="I58" s="126"/>
    </row>
    <row r="59" spans="1:9">
      <c r="I59" s="126"/>
    </row>
    <row r="60" spans="1:9">
      <c r="I60" s="126"/>
    </row>
    <row r="61" spans="1:9">
      <c r="I61" s="126"/>
    </row>
    <row r="62" spans="1:9">
      <c r="I62" s="126"/>
    </row>
    <row r="63" spans="1:9">
      <c r="I63" s="126"/>
    </row>
    <row r="64" spans="1:9">
      <c r="I64" s="126"/>
    </row>
    <row r="65" spans="9:9">
      <c r="I65" s="126"/>
    </row>
    <row r="66" spans="9:9">
      <c r="I66" s="126"/>
    </row>
    <row r="67" spans="9:9">
      <c r="I67" s="126"/>
    </row>
    <row r="68" spans="9:9">
      <c r="I68" s="126"/>
    </row>
    <row r="69" spans="9:9">
      <c r="I69" s="126"/>
    </row>
    <row r="70" spans="9:9">
      <c r="I70" s="126"/>
    </row>
    <row r="71" spans="9:9">
      <c r="I71" s="126"/>
    </row>
    <row r="72" spans="9:9">
      <c r="I72" s="126"/>
    </row>
    <row r="73" spans="9:9">
      <c r="I73" s="126"/>
    </row>
    <row r="74" spans="9:9">
      <c r="I74" s="126"/>
    </row>
    <row r="75" spans="9:9">
      <c r="I75" s="126"/>
    </row>
    <row r="76" spans="9:9">
      <c r="I76" s="126"/>
    </row>
    <row r="77" spans="9:9">
      <c r="I77" s="126"/>
    </row>
    <row r="78" spans="9:9">
      <c r="I78" s="126"/>
    </row>
    <row r="79" spans="9:9">
      <c r="I79" s="126"/>
    </row>
    <row r="80" spans="9:9">
      <c r="I80" s="126"/>
    </row>
    <row r="81" spans="9:9">
      <c r="I81" s="126"/>
    </row>
    <row r="82" spans="9:9">
      <c r="I82" s="126"/>
    </row>
    <row r="83" spans="9:9">
      <c r="I83" s="126"/>
    </row>
    <row r="84" spans="9:9">
      <c r="I84" s="126"/>
    </row>
  </sheetData>
  <sheetProtection formatCells="0" formatColumns="0" formatRows="0"/>
  <protectedRanges>
    <protectedRange sqref="D4:D57" name="Range1"/>
    <protectedRange sqref="A4:A57" name="Range1_1"/>
  </protectedRanges>
  <dataValidations count="5">
    <dataValidation type="list" allowBlank="1" showInputMessage="1" showErrorMessage="1" sqref="G4:G57" xr:uid="{7FB5A60F-D9D7-48D1-BEAB-51F40AF7F6EF}">
      <formula1>spatial_res</formula1>
    </dataValidation>
    <dataValidation type="list" allowBlank="1" showInputMessage="1" showErrorMessage="1" sqref="E4:E57" xr:uid="{ECE214AB-6DF6-4B6F-8FAC-B66A2B5CDD34}">
      <formula1>rep_days</formula1>
    </dataValidation>
    <dataValidation type="list" allowBlank="1" showInputMessage="1" showErrorMessage="1" sqref="F4:F57" xr:uid="{65B07564-2638-4C68-939A-8D9790986581}">
      <formula1>EV_Flex</formula1>
    </dataValidation>
    <dataValidation type="list" allowBlank="1" showInputMessage="1" showErrorMessage="1" sqref="C4:C57" xr:uid="{2243A158-659C-4582-879B-F04547D1B5DA}">
      <formula1>EV_BBs</formula1>
    </dataValidation>
    <dataValidation type="list" allowBlank="1" showInputMessage="1" showErrorMessage="1" sqref="D4:D57" xr:uid="{5DA75FCE-B214-4E3C-866C-90E9380B0052}">
      <formula1>EV_charger_type</formula1>
    </dataValidation>
  </dataValidations>
  <hyperlinks>
    <hyperlink ref="A1" location="Contents!A1" display="Back to contents" xr:uid="{645C9443-388A-4427-9185-B8D795495CBE}"/>
    <hyperlink ref="A2" location="'EV CPA Summary Table'!A1" display="Back to EV CPA Summary Table " xr:uid="{F58910C3-0B1A-4FBE-B38D-0F7CA338AA8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FB19-99E2-48BD-9419-456444DA769B}">
  <sheetPr>
    <tabColor theme="8" tint="0.79998168889431442"/>
  </sheetPr>
  <dimension ref="A1:K291"/>
  <sheetViews>
    <sheetView showGridLines="0" workbookViewId="0">
      <pane xSplit="1" ySplit="3" topLeftCell="B4" activePane="bottomRight" state="frozen"/>
      <selection pane="bottomRight"/>
      <selection pane="bottomLeft"/>
      <selection pane="topRight"/>
    </sheetView>
  </sheetViews>
  <sheetFormatPr defaultColWidth="8.8984375" defaultRowHeight="20.45"/>
  <cols>
    <col min="1" max="1" width="38" style="119" customWidth="1"/>
    <col min="2" max="2" width="18.8984375" style="119" customWidth="1"/>
    <col min="3" max="3" width="21.8984375" style="119" customWidth="1"/>
    <col min="4" max="4" width="21.19921875" style="119" customWidth="1"/>
    <col min="5" max="5" width="24.19921875" style="119" customWidth="1"/>
    <col min="6" max="6" width="25.5" style="119" customWidth="1"/>
    <col min="7" max="7" width="30.5" style="119" customWidth="1"/>
    <col min="8" max="8" width="20.5" style="119" customWidth="1"/>
    <col min="9" max="9" width="15.8984375" style="119" customWidth="1"/>
    <col min="10" max="16384" width="8.8984375" style="119"/>
  </cols>
  <sheetData>
    <row r="1" spans="1:11">
      <c r="A1" s="117" t="s">
        <v>57</v>
      </c>
    </row>
    <row r="2" spans="1:11">
      <c r="A2" s="117" t="s">
        <v>338</v>
      </c>
    </row>
    <row r="3" spans="1:11" ht="40.9">
      <c r="A3" s="170" t="s">
        <v>162</v>
      </c>
      <c r="B3" s="170" t="s">
        <v>340</v>
      </c>
      <c r="C3" s="170" t="s">
        <v>166</v>
      </c>
      <c r="D3" s="170" t="s">
        <v>482</v>
      </c>
      <c r="E3" s="170" t="s">
        <v>483</v>
      </c>
      <c r="F3" s="170" t="s">
        <v>484</v>
      </c>
      <c r="G3" s="170" t="s">
        <v>485</v>
      </c>
      <c r="H3" s="170" t="s">
        <v>492</v>
      </c>
      <c r="I3" s="170" t="s">
        <v>488</v>
      </c>
    </row>
    <row r="4" spans="1:11">
      <c r="A4" s="40" t="str">
        <f t="shared" ref="A4:A67" si="0">_xlfn.CONCAT("EV06_",INDEX(EV_charger_type_short,MATCH(D4,EV_charger_type,0)),"_",INDEX(rep_days_short,MATCH(E4,rep_days,0)),"_",INDEX(EV_Flex_short,MATCH(F4,EV_Flex,0)),"_",G4)</f>
        <v>EV06_domestic_ALL_NoFlex_GB</v>
      </c>
      <c r="B4" s="120" t="s">
        <v>432</v>
      </c>
      <c r="C4" s="120" t="s">
        <v>267</v>
      </c>
      <c r="D4" s="120" t="s">
        <v>226</v>
      </c>
      <c r="E4" s="120" t="s">
        <v>267</v>
      </c>
      <c r="F4" s="120" t="s">
        <v>228</v>
      </c>
      <c r="G4" s="120" t="s">
        <v>130</v>
      </c>
      <c r="H4" s="127">
        <v>0</v>
      </c>
      <c r="I4" s="128">
        <v>1.16842E-4</v>
      </c>
      <c r="K4" s="129"/>
    </row>
    <row r="5" spans="1:11">
      <c r="A5" s="40" t="str">
        <f t="shared" si="0"/>
        <v>EV06_domestic_ALL_NoFlex_GB</v>
      </c>
      <c r="B5" s="120" t="s">
        <v>432</v>
      </c>
      <c r="C5" s="120" t="s">
        <v>267</v>
      </c>
      <c r="D5" s="120" t="s">
        <v>226</v>
      </c>
      <c r="E5" s="120" t="s">
        <v>267</v>
      </c>
      <c r="F5" s="120" t="s">
        <v>228</v>
      </c>
      <c r="G5" s="120" t="s">
        <v>130</v>
      </c>
      <c r="H5" s="127">
        <v>2.0833333333333332E-2</v>
      </c>
      <c r="I5" s="128">
        <v>9.7899000000000006E-5</v>
      </c>
      <c r="K5" s="129"/>
    </row>
    <row r="6" spans="1:11">
      <c r="A6" s="40" t="str">
        <f t="shared" si="0"/>
        <v>EV06_domestic_ALL_NoFlex_GB</v>
      </c>
      <c r="B6" s="120" t="s">
        <v>432</v>
      </c>
      <c r="C6" s="120" t="s">
        <v>267</v>
      </c>
      <c r="D6" s="120" t="s">
        <v>226</v>
      </c>
      <c r="E6" s="120" t="s">
        <v>267</v>
      </c>
      <c r="F6" s="120" t="s">
        <v>228</v>
      </c>
      <c r="G6" s="120" t="s">
        <v>130</v>
      </c>
      <c r="H6" s="127">
        <v>4.1666666666666664E-2</v>
      </c>
      <c r="I6" s="128">
        <v>7.8956999999999996E-5</v>
      </c>
      <c r="K6" s="129"/>
    </row>
    <row r="7" spans="1:11">
      <c r="A7" s="40" t="str">
        <f t="shared" si="0"/>
        <v>EV06_domestic_ALL_NoFlex_GB</v>
      </c>
      <c r="B7" s="120" t="s">
        <v>432</v>
      </c>
      <c r="C7" s="120" t="s">
        <v>267</v>
      </c>
      <c r="D7" s="120" t="s">
        <v>226</v>
      </c>
      <c r="E7" s="120" t="s">
        <v>267</v>
      </c>
      <c r="F7" s="120" t="s">
        <v>228</v>
      </c>
      <c r="G7" s="120" t="s">
        <v>130</v>
      </c>
      <c r="H7" s="127">
        <v>6.25E-2</v>
      </c>
      <c r="I7" s="128">
        <v>6.4321999999999998E-5</v>
      </c>
      <c r="K7" s="129"/>
    </row>
    <row r="8" spans="1:11">
      <c r="A8" s="40" t="str">
        <f t="shared" si="0"/>
        <v>EV06_domestic_ALL_NoFlex_GB</v>
      </c>
      <c r="B8" s="120" t="s">
        <v>432</v>
      </c>
      <c r="C8" s="120" t="s">
        <v>267</v>
      </c>
      <c r="D8" s="120" t="s">
        <v>226</v>
      </c>
      <c r="E8" s="120" t="s">
        <v>267</v>
      </c>
      <c r="F8" s="120" t="s">
        <v>228</v>
      </c>
      <c r="G8" s="120" t="s">
        <v>130</v>
      </c>
      <c r="H8" s="127">
        <v>8.3333333333333329E-2</v>
      </c>
      <c r="I8" s="128">
        <v>4.9687E-5</v>
      </c>
      <c r="K8" s="129"/>
    </row>
    <row r="9" spans="1:11">
      <c r="A9" s="40" t="str">
        <f t="shared" si="0"/>
        <v>EV06_domestic_ALL_NoFlex_GB</v>
      </c>
      <c r="B9" s="120" t="s">
        <v>432</v>
      </c>
      <c r="C9" s="120" t="s">
        <v>267</v>
      </c>
      <c r="D9" s="120" t="s">
        <v>226</v>
      </c>
      <c r="E9" s="120" t="s">
        <v>267</v>
      </c>
      <c r="F9" s="120" t="s">
        <v>228</v>
      </c>
      <c r="G9" s="120" t="s">
        <v>130</v>
      </c>
      <c r="H9" s="127">
        <v>0.10416666666666667</v>
      </c>
      <c r="I9" s="128">
        <v>4.0843999999999997E-5</v>
      </c>
      <c r="K9" s="129"/>
    </row>
    <row r="10" spans="1:11">
      <c r="A10" s="40" t="str">
        <f t="shared" si="0"/>
        <v>EV06_domestic_ALL_NoFlex_GB</v>
      </c>
      <c r="B10" s="120" t="s">
        <v>432</v>
      </c>
      <c r="C10" s="120" t="s">
        <v>267</v>
      </c>
      <c r="D10" s="120" t="s">
        <v>226</v>
      </c>
      <c r="E10" s="120" t="s">
        <v>267</v>
      </c>
      <c r="F10" s="120" t="s">
        <v>228</v>
      </c>
      <c r="G10" s="120" t="s">
        <v>130</v>
      </c>
      <c r="H10" s="127">
        <v>0.125</v>
      </c>
      <c r="I10" s="128">
        <v>3.2001000000000001E-5</v>
      </c>
      <c r="K10" s="129"/>
    </row>
    <row r="11" spans="1:11">
      <c r="A11" s="40" t="str">
        <f t="shared" si="0"/>
        <v>EV06_domestic_ALL_NoFlex_GB</v>
      </c>
      <c r="B11" s="120" t="s">
        <v>432</v>
      </c>
      <c r="C11" s="120" t="s">
        <v>267</v>
      </c>
      <c r="D11" s="120" t="s">
        <v>226</v>
      </c>
      <c r="E11" s="120" t="s">
        <v>267</v>
      </c>
      <c r="F11" s="120" t="s">
        <v>228</v>
      </c>
      <c r="G11" s="120" t="s">
        <v>130</v>
      </c>
      <c r="H11" s="127">
        <v>0.14583333333333334</v>
      </c>
      <c r="I11" s="128">
        <v>2.7056999999999999E-5</v>
      </c>
      <c r="K11" s="129"/>
    </row>
    <row r="12" spans="1:11">
      <c r="A12" s="40" t="str">
        <f t="shared" si="0"/>
        <v>EV06_domestic_ALL_NoFlex_GB</v>
      </c>
      <c r="B12" s="120" t="s">
        <v>432</v>
      </c>
      <c r="C12" s="120" t="s">
        <v>267</v>
      </c>
      <c r="D12" s="120" t="s">
        <v>226</v>
      </c>
      <c r="E12" s="120" t="s">
        <v>267</v>
      </c>
      <c r="F12" s="120" t="s">
        <v>228</v>
      </c>
      <c r="G12" s="120" t="s">
        <v>130</v>
      </c>
      <c r="H12" s="127">
        <v>0.16666666666666666</v>
      </c>
      <c r="I12" s="128">
        <v>2.2113E-5</v>
      </c>
      <c r="K12" s="129"/>
    </row>
    <row r="13" spans="1:11">
      <c r="A13" s="40" t="str">
        <f t="shared" si="0"/>
        <v>EV06_domestic_ALL_NoFlex_GB</v>
      </c>
      <c r="B13" s="120" t="s">
        <v>432</v>
      </c>
      <c r="C13" s="120" t="s">
        <v>267</v>
      </c>
      <c r="D13" s="120" t="s">
        <v>226</v>
      </c>
      <c r="E13" s="120" t="s">
        <v>267</v>
      </c>
      <c r="F13" s="120" t="s">
        <v>228</v>
      </c>
      <c r="G13" s="120" t="s">
        <v>130</v>
      </c>
      <c r="H13" s="127">
        <v>0.1875</v>
      </c>
      <c r="I13" s="128">
        <v>1.9746999999999999E-5</v>
      </c>
      <c r="K13" s="129"/>
    </row>
    <row r="14" spans="1:11">
      <c r="A14" s="40" t="str">
        <f t="shared" si="0"/>
        <v>EV06_domestic_ALL_NoFlex_GB</v>
      </c>
      <c r="B14" s="120" t="s">
        <v>432</v>
      </c>
      <c r="C14" s="120" t="s">
        <v>267</v>
      </c>
      <c r="D14" s="120" t="s">
        <v>226</v>
      </c>
      <c r="E14" s="120" t="s">
        <v>267</v>
      </c>
      <c r="F14" s="120" t="s">
        <v>228</v>
      </c>
      <c r="G14" s="120" t="s">
        <v>130</v>
      </c>
      <c r="H14" s="127">
        <v>0.20833333333333334</v>
      </c>
      <c r="I14" s="128">
        <v>1.7380999999999998E-5</v>
      </c>
      <c r="K14" s="129"/>
    </row>
    <row r="15" spans="1:11">
      <c r="A15" s="40" t="str">
        <f t="shared" si="0"/>
        <v>EV06_domestic_ALL_NoFlex_GB</v>
      </c>
      <c r="B15" s="120" t="s">
        <v>432</v>
      </c>
      <c r="C15" s="120" t="s">
        <v>267</v>
      </c>
      <c r="D15" s="120" t="s">
        <v>226</v>
      </c>
      <c r="E15" s="120" t="s">
        <v>267</v>
      </c>
      <c r="F15" s="120" t="s">
        <v>228</v>
      </c>
      <c r="G15" s="120" t="s">
        <v>130</v>
      </c>
      <c r="H15" s="127">
        <v>0.22916666666666666</v>
      </c>
      <c r="I15" s="128">
        <v>1.7620000000000001E-5</v>
      </c>
      <c r="K15" s="129"/>
    </row>
    <row r="16" spans="1:11">
      <c r="A16" s="40" t="str">
        <f t="shared" si="0"/>
        <v>EV06_domestic_ALL_NoFlex_GB</v>
      </c>
      <c r="B16" s="120" t="s">
        <v>432</v>
      </c>
      <c r="C16" s="120" t="s">
        <v>267</v>
      </c>
      <c r="D16" s="120" t="s">
        <v>226</v>
      </c>
      <c r="E16" s="120" t="s">
        <v>267</v>
      </c>
      <c r="F16" s="120" t="s">
        <v>228</v>
      </c>
      <c r="G16" s="120" t="s">
        <v>130</v>
      </c>
      <c r="H16" s="127">
        <v>0.25</v>
      </c>
      <c r="I16" s="128">
        <v>1.7859999999999998E-5</v>
      </c>
      <c r="K16" s="129"/>
    </row>
    <row r="17" spans="1:11">
      <c r="A17" s="40" t="str">
        <f t="shared" si="0"/>
        <v>EV06_domestic_ALL_NoFlex_GB</v>
      </c>
      <c r="B17" s="120" t="s">
        <v>432</v>
      </c>
      <c r="C17" s="120" t="s">
        <v>267</v>
      </c>
      <c r="D17" s="120" t="s">
        <v>226</v>
      </c>
      <c r="E17" s="120" t="s">
        <v>267</v>
      </c>
      <c r="F17" s="120" t="s">
        <v>228</v>
      </c>
      <c r="G17" s="120" t="s">
        <v>130</v>
      </c>
      <c r="H17" s="127">
        <v>0.27083333333333331</v>
      </c>
      <c r="I17" s="128">
        <v>2.1212E-5</v>
      </c>
      <c r="K17" s="129"/>
    </row>
    <row r="18" spans="1:11">
      <c r="A18" s="40" t="str">
        <f t="shared" si="0"/>
        <v>EV06_domestic_ALL_NoFlex_GB</v>
      </c>
      <c r="B18" s="120" t="s">
        <v>432</v>
      </c>
      <c r="C18" s="120" t="s">
        <v>267</v>
      </c>
      <c r="D18" s="120" t="s">
        <v>226</v>
      </c>
      <c r="E18" s="120" t="s">
        <v>267</v>
      </c>
      <c r="F18" s="120" t="s">
        <v>228</v>
      </c>
      <c r="G18" s="120" t="s">
        <v>130</v>
      </c>
      <c r="H18" s="127">
        <v>0.29166666666666669</v>
      </c>
      <c r="I18" s="128">
        <v>2.4564000000000001E-5</v>
      </c>
      <c r="K18" s="129"/>
    </row>
    <row r="19" spans="1:11">
      <c r="A19" s="40" t="str">
        <f t="shared" si="0"/>
        <v>EV06_domestic_ALL_NoFlex_GB</v>
      </c>
      <c r="B19" s="120" t="s">
        <v>432</v>
      </c>
      <c r="C19" s="120" t="s">
        <v>267</v>
      </c>
      <c r="D19" s="120" t="s">
        <v>226</v>
      </c>
      <c r="E19" s="120" t="s">
        <v>267</v>
      </c>
      <c r="F19" s="120" t="s">
        <v>228</v>
      </c>
      <c r="G19" s="120" t="s">
        <v>130</v>
      </c>
      <c r="H19" s="127">
        <v>0.3125</v>
      </c>
      <c r="I19" s="128">
        <v>3.1427000000000003E-5</v>
      </c>
      <c r="K19" s="129"/>
    </row>
    <row r="20" spans="1:11">
      <c r="A20" s="40" t="str">
        <f t="shared" si="0"/>
        <v>EV06_domestic_ALL_NoFlex_GB</v>
      </c>
      <c r="B20" s="120" t="s">
        <v>432</v>
      </c>
      <c r="C20" s="120" t="s">
        <v>267</v>
      </c>
      <c r="D20" s="120" t="s">
        <v>226</v>
      </c>
      <c r="E20" s="120" t="s">
        <v>267</v>
      </c>
      <c r="F20" s="120" t="s">
        <v>228</v>
      </c>
      <c r="G20" s="120" t="s">
        <v>130</v>
      </c>
      <c r="H20" s="127">
        <v>0.33333333333333331</v>
      </c>
      <c r="I20" s="128">
        <v>3.8290000000000001E-5</v>
      </c>
      <c r="K20" s="129"/>
    </row>
    <row r="21" spans="1:11">
      <c r="A21" s="40" t="str">
        <f t="shared" si="0"/>
        <v>EV06_domestic_ALL_NoFlex_GB</v>
      </c>
      <c r="B21" s="120" t="s">
        <v>432</v>
      </c>
      <c r="C21" s="120" t="s">
        <v>267</v>
      </c>
      <c r="D21" s="120" t="s">
        <v>226</v>
      </c>
      <c r="E21" s="120" t="s">
        <v>267</v>
      </c>
      <c r="F21" s="120" t="s">
        <v>228</v>
      </c>
      <c r="G21" s="120" t="s">
        <v>130</v>
      </c>
      <c r="H21" s="127">
        <v>0.35416666666666669</v>
      </c>
      <c r="I21" s="128">
        <v>4.7519999999999999E-5</v>
      </c>
      <c r="K21" s="129"/>
    </row>
    <row r="22" spans="1:11">
      <c r="A22" s="40" t="str">
        <f t="shared" si="0"/>
        <v>EV06_domestic_ALL_NoFlex_GB</v>
      </c>
      <c r="B22" s="120" t="s">
        <v>432</v>
      </c>
      <c r="C22" s="120" t="s">
        <v>267</v>
      </c>
      <c r="D22" s="120" t="s">
        <v>226</v>
      </c>
      <c r="E22" s="120" t="s">
        <v>267</v>
      </c>
      <c r="F22" s="120" t="s">
        <v>228</v>
      </c>
      <c r="G22" s="120" t="s">
        <v>130</v>
      </c>
      <c r="H22" s="127">
        <v>0.375</v>
      </c>
      <c r="I22" s="128">
        <v>5.6749999999999997E-5</v>
      </c>
      <c r="K22" s="129"/>
    </row>
    <row r="23" spans="1:11">
      <c r="A23" s="40" t="str">
        <f t="shared" si="0"/>
        <v>EV06_domestic_ALL_NoFlex_GB</v>
      </c>
      <c r="B23" s="120" t="s">
        <v>432</v>
      </c>
      <c r="C23" s="120" t="s">
        <v>267</v>
      </c>
      <c r="D23" s="120" t="s">
        <v>226</v>
      </c>
      <c r="E23" s="120" t="s">
        <v>267</v>
      </c>
      <c r="F23" s="120" t="s">
        <v>228</v>
      </c>
      <c r="G23" s="120" t="s">
        <v>130</v>
      </c>
      <c r="H23" s="127">
        <v>0.39583333333333331</v>
      </c>
      <c r="I23" s="128">
        <v>6.0655000000000001E-5</v>
      </c>
      <c r="K23" s="129"/>
    </row>
    <row r="24" spans="1:11">
      <c r="A24" s="40" t="str">
        <f t="shared" si="0"/>
        <v>EV06_domestic_ALL_NoFlex_GB</v>
      </c>
      <c r="B24" s="120" t="s">
        <v>432</v>
      </c>
      <c r="C24" s="120" t="s">
        <v>267</v>
      </c>
      <c r="D24" s="120" t="s">
        <v>226</v>
      </c>
      <c r="E24" s="120" t="s">
        <v>267</v>
      </c>
      <c r="F24" s="120" t="s">
        <v>228</v>
      </c>
      <c r="G24" s="120" t="s">
        <v>130</v>
      </c>
      <c r="H24" s="127">
        <v>0.41666666666666669</v>
      </c>
      <c r="I24" s="128">
        <v>6.4560000000000005E-5</v>
      </c>
      <c r="K24" s="129"/>
    </row>
    <row r="25" spans="1:11">
      <c r="A25" s="40" t="str">
        <f t="shared" si="0"/>
        <v>EV06_domestic_ALL_NoFlex_GB</v>
      </c>
      <c r="B25" s="120" t="s">
        <v>432</v>
      </c>
      <c r="C25" s="120" t="s">
        <v>267</v>
      </c>
      <c r="D25" s="120" t="s">
        <v>226</v>
      </c>
      <c r="E25" s="120" t="s">
        <v>267</v>
      </c>
      <c r="F25" s="120" t="s">
        <v>228</v>
      </c>
      <c r="G25" s="120" t="s">
        <v>130</v>
      </c>
      <c r="H25" s="127">
        <v>0.4375</v>
      </c>
      <c r="I25" s="128">
        <v>6.9604000000000006E-5</v>
      </c>
      <c r="K25" s="129"/>
    </row>
    <row r="26" spans="1:11">
      <c r="A26" s="40" t="str">
        <f t="shared" si="0"/>
        <v>EV06_domestic_ALL_NoFlex_GB</v>
      </c>
      <c r="B26" s="120" t="s">
        <v>432</v>
      </c>
      <c r="C26" s="120" t="s">
        <v>267</v>
      </c>
      <c r="D26" s="120" t="s">
        <v>226</v>
      </c>
      <c r="E26" s="120" t="s">
        <v>267</v>
      </c>
      <c r="F26" s="120" t="s">
        <v>228</v>
      </c>
      <c r="G26" s="120" t="s">
        <v>130</v>
      </c>
      <c r="H26" s="127">
        <v>0.45833333333333331</v>
      </c>
      <c r="I26" s="128">
        <v>7.4648999999999996E-5</v>
      </c>
      <c r="K26" s="129"/>
    </row>
    <row r="27" spans="1:11">
      <c r="A27" s="40" t="str">
        <f t="shared" si="0"/>
        <v>EV06_domestic_ALL_NoFlex_GB</v>
      </c>
      <c r="B27" s="120" t="s">
        <v>432</v>
      </c>
      <c r="C27" s="120" t="s">
        <v>267</v>
      </c>
      <c r="D27" s="120" t="s">
        <v>226</v>
      </c>
      <c r="E27" s="120" t="s">
        <v>267</v>
      </c>
      <c r="F27" s="120" t="s">
        <v>228</v>
      </c>
      <c r="G27" s="120" t="s">
        <v>130</v>
      </c>
      <c r="H27" s="127">
        <v>0.47916666666666669</v>
      </c>
      <c r="I27" s="128">
        <v>8.0345000000000004E-5</v>
      </c>
      <c r="K27" s="129"/>
    </row>
    <row r="28" spans="1:11">
      <c r="A28" s="40" t="str">
        <f t="shared" si="0"/>
        <v>EV06_domestic_ALL_NoFlex_GB</v>
      </c>
      <c r="B28" s="120" t="s">
        <v>432</v>
      </c>
      <c r="C28" s="120" t="s">
        <v>267</v>
      </c>
      <c r="D28" s="120" t="s">
        <v>226</v>
      </c>
      <c r="E28" s="120" t="s">
        <v>267</v>
      </c>
      <c r="F28" s="120" t="s">
        <v>228</v>
      </c>
      <c r="G28" s="120" t="s">
        <v>130</v>
      </c>
      <c r="H28" s="127">
        <v>0.5</v>
      </c>
      <c r="I28" s="128">
        <v>8.6042000000000001E-5</v>
      </c>
      <c r="K28" s="129"/>
    </row>
    <row r="29" spans="1:11">
      <c r="A29" s="40" t="str">
        <f t="shared" si="0"/>
        <v>EV06_domestic_ALL_NoFlex_GB</v>
      </c>
      <c r="B29" s="120" t="s">
        <v>432</v>
      </c>
      <c r="C29" s="120" t="s">
        <v>267</v>
      </c>
      <c r="D29" s="120" t="s">
        <v>226</v>
      </c>
      <c r="E29" s="120" t="s">
        <v>267</v>
      </c>
      <c r="F29" s="120" t="s">
        <v>228</v>
      </c>
      <c r="G29" s="120" t="s">
        <v>130</v>
      </c>
      <c r="H29" s="127">
        <v>0.52083333333333337</v>
      </c>
      <c r="I29" s="128">
        <v>9.0079000000000003E-5</v>
      </c>
      <c r="K29" s="129"/>
    </row>
    <row r="30" spans="1:11">
      <c r="A30" s="40" t="str">
        <f t="shared" si="0"/>
        <v>EV06_domestic_ALL_NoFlex_GB</v>
      </c>
      <c r="B30" s="120" t="s">
        <v>432</v>
      </c>
      <c r="C30" s="120" t="s">
        <v>267</v>
      </c>
      <c r="D30" s="120" t="s">
        <v>226</v>
      </c>
      <c r="E30" s="120" t="s">
        <v>267</v>
      </c>
      <c r="F30" s="120" t="s">
        <v>228</v>
      </c>
      <c r="G30" s="120" t="s">
        <v>130</v>
      </c>
      <c r="H30" s="127">
        <v>0.54166666666666663</v>
      </c>
      <c r="I30" s="128">
        <v>9.4115000000000003E-5</v>
      </c>
      <c r="K30" s="129"/>
    </row>
    <row r="31" spans="1:11">
      <c r="A31" s="40" t="str">
        <f t="shared" si="0"/>
        <v>EV06_domestic_ALL_NoFlex_GB</v>
      </c>
      <c r="B31" s="120" t="s">
        <v>432</v>
      </c>
      <c r="C31" s="120" t="s">
        <v>267</v>
      </c>
      <c r="D31" s="120" t="s">
        <v>226</v>
      </c>
      <c r="E31" s="120" t="s">
        <v>267</v>
      </c>
      <c r="F31" s="120" t="s">
        <v>228</v>
      </c>
      <c r="G31" s="120" t="s">
        <v>130</v>
      </c>
      <c r="H31" s="127">
        <v>0.5625</v>
      </c>
      <c r="I31" s="128">
        <v>9.6290000000000001E-5</v>
      </c>
      <c r="K31" s="129"/>
    </row>
    <row r="32" spans="1:11">
      <c r="A32" s="40" t="str">
        <f t="shared" si="0"/>
        <v>EV06_domestic_ALL_NoFlex_GB</v>
      </c>
      <c r="B32" s="120" t="s">
        <v>432</v>
      </c>
      <c r="C32" s="120" t="s">
        <v>267</v>
      </c>
      <c r="D32" s="120" t="s">
        <v>226</v>
      </c>
      <c r="E32" s="120" t="s">
        <v>267</v>
      </c>
      <c r="F32" s="120" t="s">
        <v>228</v>
      </c>
      <c r="G32" s="120" t="s">
        <v>130</v>
      </c>
      <c r="H32" s="127">
        <v>0.58333333333333337</v>
      </c>
      <c r="I32" s="128">
        <v>9.8465E-5</v>
      </c>
      <c r="K32" s="129"/>
    </row>
    <row r="33" spans="1:11">
      <c r="A33" s="40" t="str">
        <f t="shared" si="0"/>
        <v>EV06_domestic_ALL_NoFlex_GB</v>
      </c>
      <c r="B33" s="120" t="s">
        <v>432</v>
      </c>
      <c r="C33" s="120" t="s">
        <v>267</v>
      </c>
      <c r="D33" s="120" t="s">
        <v>226</v>
      </c>
      <c r="E33" s="120" t="s">
        <v>267</v>
      </c>
      <c r="F33" s="120" t="s">
        <v>228</v>
      </c>
      <c r="G33" s="120" t="s">
        <v>130</v>
      </c>
      <c r="H33" s="127">
        <v>0.60416666666666663</v>
      </c>
      <c r="I33" s="128">
        <v>1.0696699999999999E-4</v>
      </c>
      <c r="K33" s="129"/>
    </row>
    <row r="34" spans="1:11">
      <c r="A34" s="40" t="str">
        <f t="shared" si="0"/>
        <v>EV06_domestic_ALL_NoFlex_GB</v>
      </c>
      <c r="B34" s="120" t="s">
        <v>432</v>
      </c>
      <c r="C34" s="120" t="s">
        <v>267</v>
      </c>
      <c r="D34" s="120" t="s">
        <v>226</v>
      </c>
      <c r="E34" s="120" t="s">
        <v>267</v>
      </c>
      <c r="F34" s="120" t="s">
        <v>228</v>
      </c>
      <c r="G34" s="120" t="s">
        <v>130</v>
      </c>
      <c r="H34" s="127">
        <v>0.625</v>
      </c>
      <c r="I34" s="128">
        <v>1.15469E-4</v>
      </c>
      <c r="K34" s="129"/>
    </row>
    <row r="35" spans="1:11">
      <c r="A35" s="40" t="str">
        <f t="shared" si="0"/>
        <v>EV06_domestic_ALL_NoFlex_GB</v>
      </c>
      <c r="B35" s="120" t="s">
        <v>432</v>
      </c>
      <c r="C35" s="120" t="s">
        <v>267</v>
      </c>
      <c r="D35" s="120" t="s">
        <v>226</v>
      </c>
      <c r="E35" s="120" t="s">
        <v>267</v>
      </c>
      <c r="F35" s="120" t="s">
        <v>228</v>
      </c>
      <c r="G35" s="120" t="s">
        <v>130</v>
      </c>
      <c r="H35" s="127">
        <v>0.64583333333333337</v>
      </c>
      <c r="I35" s="128">
        <v>1.3636599999999999E-4</v>
      </c>
      <c r="K35" s="129"/>
    </row>
    <row r="36" spans="1:11">
      <c r="A36" s="40" t="str">
        <f t="shared" si="0"/>
        <v>EV06_domestic_ALL_NoFlex_GB</v>
      </c>
      <c r="B36" s="120" t="s">
        <v>432</v>
      </c>
      <c r="C36" s="120" t="s">
        <v>267</v>
      </c>
      <c r="D36" s="120" t="s">
        <v>226</v>
      </c>
      <c r="E36" s="120" t="s">
        <v>267</v>
      </c>
      <c r="F36" s="120" t="s">
        <v>228</v>
      </c>
      <c r="G36" s="120" t="s">
        <v>130</v>
      </c>
      <c r="H36" s="127">
        <v>0.66666666666666663</v>
      </c>
      <c r="I36" s="128">
        <v>1.5726299999999999E-4</v>
      </c>
      <c r="K36" s="129"/>
    </row>
    <row r="37" spans="1:11">
      <c r="A37" s="40" t="str">
        <f t="shared" si="0"/>
        <v>EV06_domestic_ALL_NoFlex_GB</v>
      </c>
      <c r="B37" s="120" t="s">
        <v>432</v>
      </c>
      <c r="C37" s="120" t="s">
        <v>267</v>
      </c>
      <c r="D37" s="120" t="s">
        <v>226</v>
      </c>
      <c r="E37" s="120" t="s">
        <v>267</v>
      </c>
      <c r="F37" s="120" t="s">
        <v>228</v>
      </c>
      <c r="G37" s="120" t="s">
        <v>130</v>
      </c>
      <c r="H37" s="127">
        <v>0.6875</v>
      </c>
      <c r="I37" s="128">
        <v>1.8484600000000001E-4</v>
      </c>
      <c r="K37" s="129"/>
    </row>
    <row r="38" spans="1:11">
      <c r="A38" s="40" t="str">
        <f t="shared" si="0"/>
        <v>EV06_domestic_ALL_NoFlex_GB</v>
      </c>
      <c r="B38" s="120" t="s">
        <v>432</v>
      </c>
      <c r="C38" s="120" t="s">
        <v>267</v>
      </c>
      <c r="D38" s="120" t="s">
        <v>226</v>
      </c>
      <c r="E38" s="120" t="s">
        <v>267</v>
      </c>
      <c r="F38" s="120" t="s">
        <v>228</v>
      </c>
      <c r="G38" s="120" t="s">
        <v>130</v>
      </c>
      <c r="H38" s="127">
        <v>0.70833333333333337</v>
      </c>
      <c r="I38" s="128">
        <v>2.1242900000000001E-4</v>
      </c>
      <c r="K38" s="129"/>
    </row>
    <row r="39" spans="1:11">
      <c r="A39" s="40" t="str">
        <f t="shared" si="0"/>
        <v>EV06_domestic_ALL_NoFlex_GB</v>
      </c>
      <c r="B39" s="120" t="s">
        <v>432</v>
      </c>
      <c r="C39" s="120" t="s">
        <v>267</v>
      </c>
      <c r="D39" s="120" t="s">
        <v>226</v>
      </c>
      <c r="E39" s="120" t="s">
        <v>267</v>
      </c>
      <c r="F39" s="120" t="s">
        <v>228</v>
      </c>
      <c r="G39" s="120" t="s">
        <v>130</v>
      </c>
      <c r="H39" s="127">
        <v>0.72916666666666663</v>
      </c>
      <c r="I39" s="128">
        <v>2.3897999999999999E-4</v>
      </c>
      <c r="K39" s="129"/>
    </row>
    <row r="40" spans="1:11">
      <c r="A40" s="40" t="str">
        <f t="shared" si="0"/>
        <v>EV06_domestic_ALL_NoFlex_GB</v>
      </c>
      <c r="B40" s="120" t="s">
        <v>432</v>
      </c>
      <c r="C40" s="120" t="s">
        <v>267</v>
      </c>
      <c r="D40" s="120" t="s">
        <v>226</v>
      </c>
      <c r="E40" s="120" t="s">
        <v>267</v>
      </c>
      <c r="F40" s="120" t="s">
        <v>228</v>
      </c>
      <c r="G40" s="120" t="s">
        <v>130</v>
      </c>
      <c r="H40" s="127">
        <v>0.75</v>
      </c>
      <c r="I40" s="128">
        <v>2.6553200000000002E-4</v>
      </c>
      <c r="K40" s="129"/>
    </row>
    <row r="41" spans="1:11">
      <c r="A41" s="40" t="str">
        <f t="shared" si="0"/>
        <v>EV06_domestic_ALL_NoFlex_GB</v>
      </c>
      <c r="B41" s="120" t="s">
        <v>432</v>
      </c>
      <c r="C41" s="120" t="s">
        <v>267</v>
      </c>
      <c r="D41" s="120" t="s">
        <v>226</v>
      </c>
      <c r="E41" s="120" t="s">
        <v>267</v>
      </c>
      <c r="F41" s="120" t="s">
        <v>228</v>
      </c>
      <c r="G41" s="120" t="s">
        <v>130</v>
      </c>
      <c r="H41" s="127">
        <v>0.77083333333333337</v>
      </c>
      <c r="I41" s="128">
        <v>2.7015299999999997E-4</v>
      </c>
      <c r="K41" s="129"/>
    </row>
    <row r="42" spans="1:11">
      <c r="A42" s="40" t="str">
        <f t="shared" si="0"/>
        <v>EV06_domestic_ALL_NoFlex_GB</v>
      </c>
      <c r="B42" s="120" t="s">
        <v>432</v>
      </c>
      <c r="C42" s="120" t="s">
        <v>267</v>
      </c>
      <c r="D42" s="120" t="s">
        <v>226</v>
      </c>
      <c r="E42" s="120" t="s">
        <v>267</v>
      </c>
      <c r="F42" s="120" t="s">
        <v>228</v>
      </c>
      <c r="G42" s="120" t="s">
        <v>130</v>
      </c>
      <c r="H42" s="127">
        <v>0.79166666666666663</v>
      </c>
      <c r="I42" s="128">
        <v>2.7477300000000002E-4</v>
      </c>
      <c r="K42" s="129"/>
    </row>
    <row r="43" spans="1:11">
      <c r="A43" s="40" t="str">
        <f t="shared" si="0"/>
        <v>EV06_domestic_ALL_NoFlex_GB</v>
      </c>
      <c r="B43" s="120" t="s">
        <v>432</v>
      </c>
      <c r="C43" s="120" t="s">
        <v>267</v>
      </c>
      <c r="D43" s="120" t="s">
        <v>226</v>
      </c>
      <c r="E43" s="120" t="s">
        <v>267</v>
      </c>
      <c r="F43" s="120" t="s">
        <v>228</v>
      </c>
      <c r="G43" s="120" t="s">
        <v>130</v>
      </c>
      <c r="H43" s="127">
        <v>0.8125</v>
      </c>
      <c r="I43" s="128">
        <v>2.653E-4</v>
      </c>
      <c r="K43" s="129"/>
    </row>
    <row r="44" spans="1:11">
      <c r="A44" s="40" t="str">
        <f t="shared" si="0"/>
        <v>EV06_domestic_ALL_NoFlex_GB</v>
      </c>
      <c r="B44" s="120" t="s">
        <v>432</v>
      </c>
      <c r="C44" s="120" t="s">
        <v>267</v>
      </c>
      <c r="D44" s="120" t="s">
        <v>226</v>
      </c>
      <c r="E44" s="120" t="s">
        <v>267</v>
      </c>
      <c r="F44" s="120" t="s">
        <v>228</v>
      </c>
      <c r="G44" s="120" t="s">
        <v>130</v>
      </c>
      <c r="H44" s="127">
        <v>0.83333333333333337</v>
      </c>
      <c r="I44" s="128">
        <v>2.5582600000000001E-4</v>
      </c>
      <c r="K44" s="129"/>
    </row>
    <row r="45" spans="1:11">
      <c r="A45" s="40" t="str">
        <f t="shared" si="0"/>
        <v>EV06_domestic_ALL_NoFlex_GB</v>
      </c>
      <c r="B45" s="120" t="s">
        <v>432</v>
      </c>
      <c r="C45" s="120" t="s">
        <v>267</v>
      </c>
      <c r="D45" s="120" t="s">
        <v>226</v>
      </c>
      <c r="E45" s="120" t="s">
        <v>267</v>
      </c>
      <c r="F45" s="120" t="s">
        <v>228</v>
      </c>
      <c r="G45" s="120" t="s">
        <v>130</v>
      </c>
      <c r="H45" s="127">
        <v>0.85416666666666663</v>
      </c>
      <c r="I45" s="128">
        <v>2.41769E-4</v>
      </c>
      <c r="K45" s="129"/>
    </row>
    <row r="46" spans="1:11">
      <c r="A46" s="40" t="str">
        <f t="shared" si="0"/>
        <v>EV06_domestic_ALL_NoFlex_GB</v>
      </c>
      <c r="B46" s="120" t="s">
        <v>432</v>
      </c>
      <c r="C46" s="120" t="s">
        <v>267</v>
      </c>
      <c r="D46" s="120" t="s">
        <v>226</v>
      </c>
      <c r="E46" s="120" t="s">
        <v>267</v>
      </c>
      <c r="F46" s="120" t="s">
        <v>228</v>
      </c>
      <c r="G46" s="120" t="s">
        <v>130</v>
      </c>
      <c r="H46" s="127">
        <v>0.875</v>
      </c>
      <c r="I46" s="128">
        <v>2.2771099999999999E-4</v>
      </c>
      <c r="K46" s="129"/>
    </row>
    <row r="47" spans="1:11">
      <c r="A47" s="40" t="str">
        <f t="shared" si="0"/>
        <v>EV06_domestic_ALL_NoFlex_GB</v>
      </c>
      <c r="B47" s="120" t="s">
        <v>432</v>
      </c>
      <c r="C47" s="120" t="s">
        <v>267</v>
      </c>
      <c r="D47" s="120" t="s">
        <v>226</v>
      </c>
      <c r="E47" s="120" t="s">
        <v>267</v>
      </c>
      <c r="F47" s="120" t="s">
        <v>228</v>
      </c>
      <c r="G47" s="120" t="s">
        <v>130</v>
      </c>
      <c r="H47" s="127">
        <v>0.89583333333333337</v>
      </c>
      <c r="I47" s="128">
        <v>2.1337400000000001E-4</v>
      </c>
      <c r="K47" s="129"/>
    </row>
    <row r="48" spans="1:11">
      <c r="A48" s="40" t="str">
        <f t="shared" si="0"/>
        <v>EV06_domestic_ALL_NoFlex_GB</v>
      </c>
      <c r="B48" s="120" t="s">
        <v>432</v>
      </c>
      <c r="C48" s="120" t="s">
        <v>267</v>
      </c>
      <c r="D48" s="120" t="s">
        <v>226</v>
      </c>
      <c r="E48" s="120" t="s">
        <v>267</v>
      </c>
      <c r="F48" s="120" t="s">
        <v>228</v>
      </c>
      <c r="G48" s="120" t="s">
        <v>130</v>
      </c>
      <c r="H48" s="127">
        <v>0.91666666666666663</v>
      </c>
      <c r="I48" s="128">
        <v>1.99037E-4</v>
      </c>
      <c r="K48" s="129"/>
    </row>
    <row r="49" spans="1:11">
      <c r="A49" s="40" t="str">
        <f t="shared" si="0"/>
        <v>EV06_domestic_ALL_NoFlex_GB</v>
      </c>
      <c r="B49" s="120" t="s">
        <v>432</v>
      </c>
      <c r="C49" s="120" t="s">
        <v>267</v>
      </c>
      <c r="D49" s="120" t="s">
        <v>226</v>
      </c>
      <c r="E49" s="120" t="s">
        <v>267</v>
      </c>
      <c r="F49" s="120" t="s">
        <v>228</v>
      </c>
      <c r="G49" s="120" t="s">
        <v>130</v>
      </c>
      <c r="H49" s="127">
        <v>0.9375</v>
      </c>
      <c r="I49" s="128">
        <v>1.7922399999999999E-4</v>
      </c>
      <c r="K49" s="129"/>
    </row>
    <row r="50" spans="1:11">
      <c r="A50" s="40" t="str">
        <f t="shared" si="0"/>
        <v>EV06_domestic_ALL_NoFlex_GB</v>
      </c>
      <c r="B50" s="120" t="s">
        <v>432</v>
      </c>
      <c r="C50" s="120" t="s">
        <v>267</v>
      </c>
      <c r="D50" s="120" t="s">
        <v>226</v>
      </c>
      <c r="E50" s="120" t="s">
        <v>267</v>
      </c>
      <c r="F50" s="120" t="s">
        <v>228</v>
      </c>
      <c r="G50" s="120" t="s">
        <v>130</v>
      </c>
      <c r="H50" s="127">
        <v>0.95833333333333337</v>
      </c>
      <c r="I50" s="128">
        <v>1.5941100000000001E-4</v>
      </c>
      <c r="K50" s="129"/>
    </row>
    <row r="51" spans="1:11">
      <c r="A51" s="40" t="str">
        <f t="shared" si="0"/>
        <v>EV06_domestic_ALL_NoFlex_GB</v>
      </c>
      <c r="B51" s="120" t="s">
        <v>432</v>
      </c>
      <c r="C51" s="120" t="s">
        <v>267</v>
      </c>
      <c r="D51" s="120" t="s">
        <v>226</v>
      </c>
      <c r="E51" s="120" t="s">
        <v>267</v>
      </c>
      <c r="F51" s="120" t="s">
        <v>228</v>
      </c>
      <c r="G51" s="120" t="s">
        <v>130</v>
      </c>
      <c r="H51" s="127">
        <v>0.97916666666666663</v>
      </c>
      <c r="I51" s="128">
        <v>1.38126E-4</v>
      </c>
      <c r="K51" s="129"/>
    </row>
    <row r="52" spans="1:11">
      <c r="A52" s="40" t="str">
        <f t="shared" si="0"/>
        <v>EV06_domestic_ALL_Smart_GB</v>
      </c>
      <c r="B52" s="120" t="s">
        <v>432</v>
      </c>
      <c r="C52" s="120" t="s">
        <v>267</v>
      </c>
      <c r="D52" s="120" t="s">
        <v>226</v>
      </c>
      <c r="E52" s="120" t="s">
        <v>267</v>
      </c>
      <c r="F52" s="120" t="s">
        <v>247</v>
      </c>
      <c r="G52" s="120" t="s">
        <v>130</v>
      </c>
      <c r="H52" s="127">
        <v>0</v>
      </c>
      <c r="I52" s="128">
        <v>2.3851345611588111E-4</v>
      </c>
      <c r="K52" s="129"/>
    </row>
    <row r="53" spans="1:11">
      <c r="A53" s="40" t="str">
        <f t="shared" si="0"/>
        <v>EV06_domestic_ALL_Smart_GB</v>
      </c>
      <c r="B53" s="120" t="s">
        <v>432</v>
      </c>
      <c r="C53" s="120" t="s">
        <v>267</v>
      </c>
      <c r="D53" s="120" t="s">
        <v>226</v>
      </c>
      <c r="E53" s="120" t="s">
        <v>267</v>
      </c>
      <c r="F53" s="120" t="s">
        <v>247</v>
      </c>
      <c r="G53" s="120" t="s">
        <v>130</v>
      </c>
      <c r="H53" s="127">
        <v>2.0833333333333332E-2</v>
      </c>
      <c r="I53" s="128">
        <v>2.7227363280875398E-4</v>
      </c>
      <c r="K53" s="129"/>
    </row>
    <row r="54" spans="1:11">
      <c r="A54" s="40" t="str">
        <f t="shared" si="0"/>
        <v>EV06_domestic_ALL_Smart_GB</v>
      </c>
      <c r="B54" s="120" t="s">
        <v>432</v>
      </c>
      <c r="C54" s="120" t="s">
        <v>267</v>
      </c>
      <c r="D54" s="120" t="s">
        <v>226</v>
      </c>
      <c r="E54" s="120" t="s">
        <v>267</v>
      </c>
      <c r="F54" s="120" t="s">
        <v>247</v>
      </c>
      <c r="G54" s="120" t="s">
        <v>130</v>
      </c>
      <c r="H54" s="127">
        <v>4.1666666666666664E-2</v>
      </c>
      <c r="I54" s="128">
        <v>2.6854686005694313E-4</v>
      </c>
      <c r="K54" s="129"/>
    </row>
    <row r="55" spans="1:11">
      <c r="A55" s="40" t="str">
        <f t="shared" si="0"/>
        <v>EV06_domestic_ALL_Smart_GB</v>
      </c>
      <c r="B55" s="120" t="s">
        <v>432</v>
      </c>
      <c r="C55" s="120" t="s">
        <v>267</v>
      </c>
      <c r="D55" s="120" t="s">
        <v>226</v>
      </c>
      <c r="E55" s="120" t="s">
        <v>267</v>
      </c>
      <c r="F55" s="120" t="s">
        <v>247</v>
      </c>
      <c r="G55" s="120" t="s">
        <v>130</v>
      </c>
      <c r="H55" s="127">
        <v>6.25E-2</v>
      </c>
      <c r="I55" s="128">
        <v>2.5298210326996936E-4</v>
      </c>
      <c r="K55" s="129"/>
    </row>
    <row r="56" spans="1:11">
      <c r="A56" s="40" t="str">
        <f t="shared" si="0"/>
        <v>EV06_domestic_ALL_Smart_GB</v>
      </c>
      <c r="B56" s="120" t="s">
        <v>432</v>
      </c>
      <c r="C56" s="120" t="s">
        <v>267</v>
      </c>
      <c r="D56" s="120" t="s">
        <v>226</v>
      </c>
      <c r="E56" s="120" t="s">
        <v>267</v>
      </c>
      <c r="F56" s="120" t="s">
        <v>247</v>
      </c>
      <c r="G56" s="120" t="s">
        <v>130</v>
      </c>
      <c r="H56" s="127">
        <v>8.3333333333333329E-2</v>
      </c>
      <c r="I56" s="128">
        <v>2.5539354446231733E-4</v>
      </c>
      <c r="K56" s="129"/>
    </row>
    <row r="57" spans="1:11">
      <c r="A57" s="40" t="str">
        <f t="shared" si="0"/>
        <v>EV06_domestic_ALL_Smart_GB</v>
      </c>
      <c r="B57" s="120" t="s">
        <v>432</v>
      </c>
      <c r="C57" s="120" t="s">
        <v>267</v>
      </c>
      <c r="D57" s="120" t="s">
        <v>226</v>
      </c>
      <c r="E57" s="120" t="s">
        <v>267</v>
      </c>
      <c r="F57" s="120" t="s">
        <v>247</v>
      </c>
      <c r="G57" s="120" t="s">
        <v>130</v>
      </c>
      <c r="H57" s="127">
        <v>0.10416666666666667</v>
      </c>
      <c r="I57" s="128">
        <v>2.4333633850057704E-4</v>
      </c>
      <c r="K57" s="129"/>
    </row>
    <row r="58" spans="1:11">
      <c r="A58" s="40" t="str">
        <f t="shared" si="0"/>
        <v>EV06_domestic_ALL_Smart_GB</v>
      </c>
      <c r="B58" s="120" t="s">
        <v>432</v>
      </c>
      <c r="C58" s="120" t="s">
        <v>267</v>
      </c>
      <c r="D58" s="120" t="s">
        <v>226</v>
      </c>
      <c r="E58" s="120" t="s">
        <v>267</v>
      </c>
      <c r="F58" s="120" t="s">
        <v>247</v>
      </c>
      <c r="G58" s="120" t="s">
        <v>130</v>
      </c>
      <c r="H58" s="127">
        <v>0.125</v>
      </c>
      <c r="I58" s="128">
        <v>2.2645625015414045E-4</v>
      </c>
      <c r="K58" s="129"/>
    </row>
    <row r="59" spans="1:11">
      <c r="A59" s="40" t="str">
        <f t="shared" si="0"/>
        <v>EV06_domestic_ALL_Smart_GB</v>
      </c>
      <c r="B59" s="120" t="s">
        <v>432</v>
      </c>
      <c r="C59" s="120" t="s">
        <v>267</v>
      </c>
      <c r="D59" s="120" t="s">
        <v>226</v>
      </c>
      <c r="E59" s="120" t="s">
        <v>267</v>
      </c>
      <c r="F59" s="120" t="s">
        <v>247</v>
      </c>
      <c r="G59" s="120" t="s">
        <v>130</v>
      </c>
      <c r="H59" s="127">
        <v>0.14583333333333334</v>
      </c>
      <c r="I59" s="128">
        <v>1.9905350933200361E-4</v>
      </c>
      <c r="K59" s="129"/>
    </row>
    <row r="60" spans="1:11">
      <c r="A60" s="40" t="str">
        <f t="shared" si="0"/>
        <v>EV06_domestic_ALL_Smart_GB</v>
      </c>
      <c r="B60" s="120" t="s">
        <v>432</v>
      </c>
      <c r="C60" s="120" t="s">
        <v>267</v>
      </c>
      <c r="D60" s="120" t="s">
        <v>226</v>
      </c>
      <c r="E60" s="120" t="s">
        <v>267</v>
      </c>
      <c r="F60" s="120" t="s">
        <v>247</v>
      </c>
      <c r="G60" s="120" t="s">
        <v>130</v>
      </c>
      <c r="H60" s="127">
        <v>0.16666666666666666</v>
      </c>
      <c r="I60" s="128">
        <v>1.6945854924409529E-4</v>
      </c>
      <c r="K60" s="129"/>
    </row>
    <row r="61" spans="1:11">
      <c r="A61" s="40" t="str">
        <f t="shared" si="0"/>
        <v>EV06_domestic_ALL_Smart_GB</v>
      </c>
      <c r="B61" s="120" t="s">
        <v>432</v>
      </c>
      <c r="C61" s="120" t="s">
        <v>267</v>
      </c>
      <c r="D61" s="120" t="s">
        <v>226</v>
      </c>
      <c r="E61" s="120" t="s">
        <v>267</v>
      </c>
      <c r="F61" s="120" t="s">
        <v>247</v>
      </c>
      <c r="G61" s="120" t="s">
        <v>130</v>
      </c>
      <c r="H61" s="127">
        <v>0.1875</v>
      </c>
      <c r="I61" s="128">
        <v>1.3438304099176003E-4</v>
      </c>
      <c r="K61" s="129"/>
    </row>
    <row r="62" spans="1:11">
      <c r="A62" s="40" t="str">
        <f t="shared" si="0"/>
        <v>EV06_domestic_ALL_Smart_GB</v>
      </c>
      <c r="B62" s="120" t="s">
        <v>432</v>
      </c>
      <c r="C62" s="120" t="s">
        <v>267</v>
      </c>
      <c r="D62" s="120" t="s">
        <v>226</v>
      </c>
      <c r="E62" s="120" t="s">
        <v>267</v>
      </c>
      <c r="F62" s="120" t="s">
        <v>247</v>
      </c>
      <c r="G62" s="120" t="s">
        <v>130</v>
      </c>
      <c r="H62" s="127">
        <v>0.20833333333333334</v>
      </c>
      <c r="I62" s="128">
        <v>1.0391119319754381E-4</v>
      </c>
      <c r="K62" s="129"/>
    </row>
    <row r="63" spans="1:11">
      <c r="A63" s="40" t="str">
        <f t="shared" si="0"/>
        <v>EV06_domestic_ALL_Smart_GB</v>
      </c>
      <c r="B63" s="120" t="s">
        <v>432</v>
      </c>
      <c r="C63" s="120" t="s">
        <v>267</v>
      </c>
      <c r="D63" s="120" t="s">
        <v>226</v>
      </c>
      <c r="E63" s="120" t="s">
        <v>267</v>
      </c>
      <c r="F63" s="120" t="s">
        <v>247</v>
      </c>
      <c r="G63" s="120" t="s">
        <v>130</v>
      </c>
      <c r="H63" s="127">
        <v>0.22916666666666666</v>
      </c>
      <c r="I63" s="128">
        <v>8.3742775952450933E-5</v>
      </c>
      <c r="K63" s="129"/>
    </row>
    <row r="64" spans="1:11">
      <c r="A64" s="40" t="str">
        <f t="shared" si="0"/>
        <v>EV06_domestic_ALL_Smart_GB</v>
      </c>
      <c r="B64" s="120" t="s">
        <v>432</v>
      </c>
      <c r="C64" s="120" t="s">
        <v>267</v>
      </c>
      <c r="D64" s="120" t="s">
        <v>226</v>
      </c>
      <c r="E64" s="120" t="s">
        <v>267</v>
      </c>
      <c r="F64" s="120" t="s">
        <v>247</v>
      </c>
      <c r="G64" s="120" t="s">
        <v>130</v>
      </c>
      <c r="H64" s="127">
        <v>0.25</v>
      </c>
      <c r="I64" s="128">
        <v>7.0151016504670555E-5</v>
      </c>
      <c r="K64" s="129"/>
    </row>
    <row r="65" spans="1:11">
      <c r="A65" s="40" t="str">
        <f t="shared" si="0"/>
        <v>EV06_domestic_ALL_Smart_GB</v>
      </c>
      <c r="B65" s="120" t="s">
        <v>432</v>
      </c>
      <c r="C65" s="120" t="s">
        <v>267</v>
      </c>
      <c r="D65" s="120" t="s">
        <v>226</v>
      </c>
      <c r="E65" s="120" t="s">
        <v>267</v>
      </c>
      <c r="F65" s="120" t="s">
        <v>247</v>
      </c>
      <c r="G65" s="120" t="s">
        <v>130</v>
      </c>
      <c r="H65" s="127">
        <v>0.27083333333333331</v>
      </c>
      <c r="I65" s="128">
        <v>5.3928593937965741E-5</v>
      </c>
      <c r="K65" s="129"/>
    </row>
    <row r="66" spans="1:11">
      <c r="A66" s="40" t="str">
        <f t="shared" si="0"/>
        <v>EV06_domestic_ALL_Smart_GB</v>
      </c>
      <c r="B66" s="120" t="s">
        <v>432</v>
      </c>
      <c r="C66" s="120" t="s">
        <v>267</v>
      </c>
      <c r="D66" s="120" t="s">
        <v>226</v>
      </c>
      <c r="E66" s="120" t="s">
        <v>267</v>
      </c>
      <c r="F66" s="120" t="s">
        <v>247</v>
      </c>
      <c r="G66" s="120" t="s">
        <v>130</v>
      </c>
      <c r="H66" s="127">
        <v>0.29166666666666669</v>
      </c>
      <c r="I66" s="128">
        <v>5.5243925497428165E-5</v>
      </c>
      <c r="K66" s="129"/>
    </row>
    <row r="67" spans="1:11">
      <c r="A67" s="40" t="str">
        <f t="shared" si="0"/>
        <v>EV06_domestic_ALL_Smart_GB</v>
      </c>
      <c r="B67" s="120" t="s">
        <v>432</v>
      </c>
      <c r="C67" s="120" t="s">
        <v>267</v>
      </c>
      <c r="D67" s="120" t="s">
        <v>226</v>
      </c>
      <c r="E67" s="120" t="s">
        <v>267</v>
      </c>
      <c r="F67" s="120" t="s">
        <v>247</v>
      </c>
      <c r="G67" s="120" t="s">
        <v>130</v>
      </c>
      <c r="H67" s="127">
        <v>0.3125</v>
      </c>
      <c r="I67" s="128">
        <v>4.779037999380697E-5</v>
      </c>
      <c r="K67" s="129"/>
    </row>
    <row r="68" spans="1:11">
      <c r="A68" s="40" t="str">
        <f t="shared" ref="A68:A131" si="1">_xlfn.CONCAT("EV06_",INDEX(EV_charger_type_short,MATCH(D68,EV_charger_type,0)),"_",INDEX(rep_days_short,MATCH(E68,rep_days,0)),"_",INDEX(EV_Flex_short,MATCH(F68,EV_Flex,0)),"_",G68)</f>
        <v>EV06_domestic_ALL_Smart_GB</v>
      </c>
      <c r="B68" s="120" t="s">
        <v>432</v>
      </c>
      <c r="C68" s="120" t="s">
        <v>267</v>
      </c>
      <c r="D68" s="120" t="s">
        <v>226</v>
      </c>
      <c r="E68" s="120" t="s">
        <v>267</v>
      </c>
      <c r="F68" s="120" t="s">
        <v>247</v>
      </c>
      <c r="G68" s="120" t="s">
        <v>130</v>
      </c>
      <c r="H68" s="127">
        <v>0.33333333333333331</v>
      </c>
      <c r="I68" s="128">
        <v>3.5952395958643841E-5</v>
      </c>
      <c r="K68" s="129"/>
    </row>
    <row r="69" spans="1:11">
      <c r="A69" s="40" t="str">
        <f t="shared" si="1"/>
        <v>EV06_domestic_ALL_Smart_GB</v>
      </c>
      <c r="B69" s="120" t="s">
        <v>432</v>
      </c>
      <c r="C69" s="120" t="s">
        <v>267</v>
      </c>
      <c r="D69" s="120" t="s">
        <v>226</v>
      </c>
      <c r="E69" s="120" t="s">
        <v>267</v>
      </c>
      <c r="F69" s="120" t="s">
        <v>247</v>
      </c>
      <c r="G69" s="120" t="s">
        <v>130</v>
      </c>
      <c r="H69" s="127">
        <v>0.35416666666666669</v>
      </c>
      <c r="I69" s="128">
        <v>4.1652166049648194E-5</v>
      </c>
      <c r="K69" s="129"/>
    </row>
    <row r="70" spans="1:11">
      <c r="A70" s="40" t="str">
        <f t="shared" si="1"/>
        <v>EV06_domestic_ALL_Smart_GB</v>
      </c>
      <c r="B70" s="120" t="s">
        <v>432</v>
      </c>
      <c r="C70" s="120" t="s">
        <v>267</v>
      </c>
      <c r="D70" s="120" t="s">
        <v>226</v>
      </c>
      <c r="E70" s="120" t="s">
        <v>267</v>
      </c>
      <c r="F70" s="120" t="s">
        <v>247</v>
      </c>
      <c r="G70" s="120" t="s">
        <v>130</v>
      </c>
      <c r="H70" s="127">
        <v>0.375</v>
      </c>
      <c r="I70" s="128">
        <v>4.1213722196494054E-5</v>
      </c>
      <c r="K70" s="129"/>
    </row>
    <row r="71" spans="1:11">
      <c r="A71" s="40" t="str">
        <f t="shared" si="1"/>
        <v>EV06_domestic_ALL_Smart_GB</v>
      </c>
      <c r="B71" s="120" t="s">
        <v>432</v>
      </c>
      <c r="C71" s="120" t="s">
        <v>267</v>
      </c>
      <c r="D71" s="120" t="s">
        <v>226</v>
      </c>
      <c r="E71" s="120" t="s">
        <v>267</v>
      </c>
      <c r="F71" s="120" t="s">
        <v>247</v>
      </c>
      <c r="G71" s="120" t="s">
        <v>130</v>
      </c>
      <c r="H71" s="127">
        <v>0.39583333333333331</v>
      </c>
      <c r="I71" s="128">
        <v>4.2967497609110618E-5</v>
      </c>
      <c r="K71" s="129"/>
    </row>
    <row r="72" spans="1:11">
      <c r="A72" s="40" t="str">
        <f t="shared" si="1"/>
        <v>EV06_domestic_ALL_Smart_GB</v>
      </c>
      <c r="B72" s="120" t="s">
        <v>432</v>
      </c>
      <c r="C72" s="120" t="s">
        <v>267</v>
      </c>
      <c r="D72" s="120" t="s">
        <v>226</v>
      </c>
      <c r="E72" s="120" t="s">
        <v>267</v>
      </c>
      <c r="F72" s="120" t="s">
        <v>247</v>
      </c>
      <c r="G72" s="120" t="s">
        <v>130</v>
      </c>
      <c r="H72" s="127">
        <v>0.41666666666666669</v>
      </c>
      <c r="I72" s="128">
        <v>4.5598160728035861E-5</v>
      </c>
      <c r="K72" s="129"/>
    </row>
    <row r="73" spans="1:11">
      <c r="A73" s="40" t="str">
        <f t="shared" si="1"/>
        <v>EV06_domestic_ALL_Smart_GB</v>
      </c>
      <c r="B73" s="120" t="s">
        <v>432</v>
      </c>
      <c r="C73" s="120" t="s">
        <v>267</v>
      </c>
      <c r="D73" s="120" t="s">
        <v>226</v>
      </c>
      <c r="E73" s="120" t="s">
        <v>267</v>
      </c>
      <c r="F73" s="120" t="s">
        <v>247</v>
      </c>
      <c r="G73" s="120" t="s">
        <v>130</v>
      </c>
      <c r="H73" s="127">
        <v>0.4375</v>
      </c>
      <c r="I73" s="128">
        <v>4.8667267700115249E-5</v>
      </c>
      <c r="K73" s="129"/>
    </row>
    <row r="74" spans="1:11">
      <c r="A74" s="40" t="str">
        <f t="shared" si="1"/>
        <v>EV06_domestic_ALL_Smart_GB</v>
      </c>
      <c r="B74" s="120" t="s">
        <v>432</v>
      </c>
      <c r="C74" s="120" t="s">
        <v>267</v>
      </c>
      <c r="D74" s="120" t="s">
        <v>226</v>
      </c>
      <c r="E74" s="120" t="s">
        <v>267</v>
      </c>
      <c r="F74" s="120" t="s">
        <v>247</v>
      </c>
      <c r="G74" s="120" t="s">
        <v>130</v>
      </c>
      <c r="H74" s="127">
        <v>0.45833333333333331</v>
      </c>
      <c r="I74" s="128">
        <v>4.9105711553269388E-5</v>
      </c>
      <c r="K74" s="129"/>
    </row>
    <row r="75" spans="1:11">
      <c r="A75" s="40" t="str">
        <f t="shared" si="1"/>
        <v>EV06_domestic_ALL_Smart_GB</v>
      </c>
      <c r="B75" s="120" t="s">
        <v>432</v>
      </c>
      <c r="C75" s="120" t="s">
        <v>267</v>
      </c>
      <c r="D75" s="120" t="s">
        <v>226</v>
      </c>
      <c r="E75" s="120" t="s">
        <v>267</v>
      </c>
      <c r="F75" s="120" t="s">
        <v>247</v>
      </c>
      <c r="G75" s="120" t="s">
        <v>130</v>
      </c>
      <c r="H75" s="127">
        <v>0.47916666666666669</v>
      </c>
      <c r="I75" s="128">
        <v>5.2613262378502923E-5</v>
      </c>
      <c r="K75" s="129"/>
    </row>
    <row r="76" spans="1:11">
      <c r="A76" s="40" t="str">
        <f t="shared" si="1"/>
        <v>EV06_domestic_ALL_Smart_GB</v>
      </c>
      <c r="B76" s="120" t="s">
        <v>432</v>
      </c>
      <c r="C76" s="120" t="s">
        <v>267</v>
      </c>
      <c r="D76" s="120" t="s">
        <v>226</v>
      </c>
      <c r="E76" s="120" t="s">
        <v>267</v>
      </c>
      <c r="F76" s="120" t="s">
        <v>247</v>
      </c>
      <c r="G76" s="120" t="s">
        <v>130</v>
      </c>
      <c r="H76" s="127">
        <v>0.5</v>
      </c>
      <c r="I76" s="128">
        <v>5.3490150084811608E-5</v>
      </c>
      <c r="K76" s="129"/>
    </row>
    <row r="77" spans="1:11">
      <c r="A77" s="40" t="str">
        <f t="shared" si="1"/>
        <v>EV06_domestic_ALL_Smart_GB</v>
      </c>
      <c r="B77" s="120" t="s">
        <v>432</v>
      </c>
      <c r="C77" s="120" t="s">
        <v>267</v>
      </c>
      <c r="D77" s="120" t="s">
        <v>226</v>
      </c>
      <c r="E77" s="120" t="s">
        <v>267</v>
      </c>
      <c r="F77" s="120" t="s">
        <v>247</v>
      </c>
      <c r="G77" s="120" t="s">
        <v>130</v>
      </c>
      <c r="H77" s="127">
        <v>0.52083333333333337</v>
      </c>
      <c r="I77" s="128">
        <v>5.5243925497428165E-5</v>
      </c>
      <c r="K77" s="129"/>
    </row>
    <row r="78" spans="1:11">
      <c r="A78" s="40" t="str">
        <f t="shared" si="1"/>
        <v>EV06_domestic_ALL_Smart_GB</v>
      </c>
      <c r="B78" s="120" t="s">
        <v>432</v>
      </c>
      <c r="C78" s="120" t="s">
        <v>267</v>
      </c>
      <c r="D78" s="120" t="s">
        <v>226</v>
      </c>
      <c r="E78" s="120" t="s">
        <v>267</v>
      </c>
      <c r="F78" s="120" t="s">
        <v>247</v>
      </c>
      <c r="G78" s="120" t="s">
        <v>130</v>
      </c>
      <c r="H78" s="127">
        <v>0.54166666666666663</v>
      </c>
      <c r="I78" s="128">
        <v>5.5243925497428165E-5</v>
      </c>
      <c r="K78" s="129"/>
    </row>
    <row r="79" spans="1:11">
      <c r="A79" s="40" t="str">
        <f t="shared" si="1"/>
        <v>EV06_domestic_ALL_Smart_GB</v>
      </c>
      <c r="B79" s="120" t="s">
        <v>432</v>
      </c>
      <c r="C79" s="120" t="s">
        <v>267</v>
      </c>
      <c r="D79" s="120" t="s">
        <v>226</v>
      </c>
      <c r="E79" s="120" t="s">
        <v>267</v>
      </c>
      <c r="F79" s="120" t="s">
        <v>247</v>
      </c>
      <c r="G79" s="120" t="s">
        <v>130</v>
      </c>
      <c r="H79" s="127">
        <v>0.5625</v>
      </c>
      <c r="I79" s="128">
        <v>5.8751476322661693E-5</v>
      </c>
      <c r="K79" s="129"/>
    </row>
    <row r="80" spans="1:11">
      <c r="A80" s="40" t="str">
        <f t="shared" si="1"/>
        <v>EV06_domestic_ALL_Smart_GB</v>
      </c>
      <c r="B80" s="120" t="s">
        <v>432</v>
      </c>
      <c r="C80" s="120" t="s">
        <v>267</v>
      </c>
      <c r="D80" s="120" t="s">
        <v>226</v>
      </c>
      <c r="E80" s="120" t="s">
        <v>267</v>
      </c>
      <c r="F80" s="120" t="s">
        <v>247</v>
      </c>
      <c r="G80" s="120" t="s">
        <v>130</v>
      </c>
      <c r="H80" s="127">
        <v>0.58333333333333337</v>
      </c>
      <c r="I80" s="128">
        <v>5.8751476322661693E-5</v>
      </c>
      <c r="K80" s="129"/>
    </row>
    <row r="81" spans="1:11">
      <c r="A81" s="40" t="str">
        <f t="shared" si="1"/>
        <v>EV06_domestic_ALL_Smart_GB</v>
      </c>
      <c r="B81" s="120" t="s">
        <v>432</v>
      </c>
      <c r="C81" s="120" t="s">
        <v>267</v>
      </c>
      <c r="D81" s="120" t="s">
        <v>226</v>
      </c>
      <c r="E81" s="120" t="s">
        <v>267</v>
      </c>
      <c r="F81" s="120" t="s">
        <v>247</v>
      </c>
      <c r="G81" s="120" t="s">
        <v>130</v>
      </c>
      <c r="H81" s="127">
        <v>0.60416666666666663</v>
      </c>
      <c r="I81" s="128">
        <v>5.5243925497428165E-5</v>
      </c>
      <c r="K81" s="129"/>
    </row>
    <row r="82" spans="1:11">
      <c r="A82" s="40" t="str">
        <f t="shared" si="1"/>
        <v>EV06_domestic_ALL_Smart_GB</v>
      </c>
      <c r="B82" s="120" t="s">
        <v>432</v>
      </c>
      <c r="C82" s="120" t="s">
        <v>267</v>
      </c>
      <c r="D82" s="120" t="s">
        <v>226</v>
      </c>
      <c r="E82" s="120" t="s">
        <v>267</v>
      </c>
      <c r="F82" s="120" t="s">
        <v>247</v>
      </c>
      <c r="G82" s="120" t="s">
        <v>130</v>
      </c>
      <c r="H82" s="127">
        <v>0.625</v>
      </c>
      <c r="I82" s="128">
        <v>5.5682369350582305E-5</v>
      </c>
      <c r="K82" s="129"/>
    </row>
    <row r="83" spans="1:11">
      <c r="A83" s="40" t="str">
        <f t="shared" si="1"/>
        <v>EV06_domestic_ALL_Smart_GB</v>
      </c>
      <c r="B83" s="120" t="s">
        <v>432</v>
      </c>
      <c r="C83" s="120" t="s">
        <v>267</v>
      </c>
      <c r="D83" s="120" t="s">
        <v>226</v>
      </c>
      <c r="E83" s="120" t="s">
        <v>267</v>
      </c>
      <c r="F83" s="120" t="s">
        <v>247</v>
      </c>
      <c r="G83" s="120" t="s">
        <v>130</v>
      </c>
      <c r="H83" s="127">
        <v>0.64583333333333337</v>
      </c>
      <c r="I83" s="128">
        <v>5.831303246950756E-5</v>
      </c>
      <c r="K83" s="129"/>
    </row>
    <row r="84" spans="1:11">
      <c r="A84" s="40" t="str">
        <f t="shared" si="1"/>
        <v>EV06_domestic_ALL_Smart_GB</v>
      </c>
      <c r="B84" s="120" t="s">
        <v>432</v>
      </c>
      <c r="C84" s="120" t="s">
        <v>267</v>
      </c>
      <c r="D84" s="120" t="s">
        <v>226</v>
      </c>
      <c r="E84" s="120" t="s">
        <v>267</v>
      </c>
      <c r="F84" s="120" t="s">
        <v>247</v>
      </c>
      <c r="G84" s="120" t="s">
        <v>130</v>
      </c>
      <c r="H84" s="127">
        <v>0.66666666666666663</v>
      </c>
      <c r="I84" s="128">
        <v>6.9712572651516415E-5</v>
      </c>
      <c r="K84" s="129"/>
    </row>
    <row r="85" spans="1:11">
      <c r="A85" s="40" t="str">
        <f t="shared" si="1"/>
        <v>EV06_domestic_ALL_Smart_GB</v>
      </c>
      <c r="B85" s="120" t="s">
        <v>432</v>
      </c>
      <c r="C85" s="120" t="s">
        <v>267</v>
      </c>
      <c r="D85" s="120" t="s">
        <v>226</v>
      </c>
      <c r="E85" s="120" t="s">
        <v>267</v>
      </c>
      <c r="F85" s="120" t="s">
        <v>247</v>
      </c>
      <c r="G85" s="120" t="s">
        <v>130</v>
      </c>
      <c r="H85" s="127">
        <v>0.6875</v>
      </c>
      <c r="I85" s="128">
        <v>7.5412342742521053E-5</v>
      </c>
      <c r="K85" s="129"/>
    </row>
    <row r="86" spans="1:11">
      <c r="A86" s="40" t="str">
        <f t="shared" si="1"/>
        <v>EV06_domestic_ALL_Smart_GB</v>
      </c>
      <c r="B86" s="120" t="s">
        <v>432</v>
      </c>
      <c r="C86" s="120" t="s">
        <v>267</v>
      </c>
      <c r="D86" s="120" t="s">
        <v>226</v>
      </c>
      <c r="E86" s="120" t="s">
        <v>267</v>
      </c>
      <c r="F86" s="120" t="s">
        <v>247</v>
      </c>
      <c r="G86" s="120" t="s">
        <v>130</v>
      </c>
      <c r="H86" s="127">
        <v>0.70833333333333337</v>
      </c>
      <c r="I86" s="128">
        <v>8.3304332099296387E-5</v>
      </c>
      <c r="K86" s="129"/>
    </row>
    <row r="87" spans="1:11">
      <c r="A87" s="40" t="str">
        <f t="shared" si="1"/>
        <v>EV06_domestic_ALL_Smart_GB</v>
      </c>
      <c r="B87" s="120" t="s">
        <v>432</v>
      </c>
      <c r="C87" s="120" t="s">
        <v>267</v>
      </c>
      <c r="D87" s="120" t="s">
        <v>226</v>
      </c>
      <c r="E87" s="120" t="s">
        <v>267</v>
      </c>
      <c r="F87" s="120" t="s">
        <v>247</v>
      </c>
      <c r="G87" s="120" t="s">
        <v>130</v>
      </c>
      <c r="H87" s="127">
        <v>0.72916666666666663</v>
      </c>
      <c r="I87" s="128">
        <v>9.2511653015534546E-5</v>
      </c>
      <c r="K87" s="129"/>
    </row>
    <row r="88" spans="1:11">
      <c r="A88" s="40" t="str">
        <f t="shared" si="1"/>
        <v>EV06_domestic_ALL_Smart_GB</v>
      </c>
      <c r="B88" s="120" t="s">
        <v>432</v>
      </c>
      <c r="C88" s="120" t="s">
        <v>267</v>
      </c>
      <c r="D88" s="120" t="s">
        <v>226</v>
      </c>
      <c r="E88" s="120" t="s">
        <v>267</v>
      </c>
      <c r="F88" s="120" t="s">
        <v>247</v>
      </c>
      <c r="G88" s="120" t="s">
        <v>130</v>
      </c>
      <c r="H88" s="127">
        <v>0.75</v>
      </c>
      <c r="I88" s="128">
        <v>1.0084208622546443E-4</v>
      </c>
      <c r="K88" s="129"/>
    </row>
    <row r="89" spans="1:11">
      <c r="A89" s="40" t="str">
        <f t="shared" si="1"/>
        <v>EV06_domestic_ALL_Smart_GB</v>
      </c>
      <c r="B89" s="120" t="s">
        <v>432</v>
      </c>
      <c r="C89" s="120" t="s">
        <v>267</v>
      </c>
      <c r="D89" s="120" t="s">
        <v>226</v>
      </c>
      <c r="E89" s="120" t="s">
        <v>267</v>
      </c>
      <c r="F89" s="120" t="s">
        <v>247</v>
      </c>
      <c r="G89" s="120" t="s">
        <v>130</v>
      </c>
      <c r="H89" s="127">
        <v>0.77083333333333337</v>
      </c>
      <c r="I89" s="128">
        <v>1.1180318255431915E-4</v>
      </c>
      <c r="K89" s="129"/>
    </row>
    <row r="90" spans="1:11">
      <c r="A90" s="40" t="str">
        <f t="shared" si="1"/>
        <v>EV06_domestic_ALL_Smart_GB</v>
      </c>
      <c r="B90" s="120" t="s">
        <v>432</v>
      </c>
      <c r="C90" s="120" t="s">
        <v>267</v>
      </c>
      <c r="D90" s="120" t="s">
        <v>226</v>
      </c>
      <c r="E90" s="120" t="s">
        <v>267</v>
      </c>
      <c r="F90" s="120" t="s">
        <v>247</v>
      </c>
      <c r="G90" s="120" t="s">
        <v>130</v>
      </c>
      <c r="H90" s="127">
        <v>0.79166666666666663</v>
      </c>
      <c r="I90" s="128">
        <v>1.1794139649847793E-4</v>
      </c>
      <c r="K90" s="129"/>
    </row>
    <row r="91" spans="1:11">
      <c r="A91" s="40" t="str">
        <f t="shared" si="1"/>
        <v>EV06_domestic_ALL_Smart_GB</v>
      </c>
      <c r="B91" s="120" t="s">
        <v>432</v>
      </c>
      <c r="C91" s="120" t="s">
        <v>267</v>
      </c>
      <c r="D91" s="120" t="s">
        <v>226</v>
      </c>
      <c r="E91" s="120" t="s">
        <v>267</v>
      </c>
      <c r="F91" s="120" t="s">
        <v>247</v>
      </c>
      <c r="G91" s="120" t="s">
        <v>130</v>
      </c>
      <c r="H91" s="127">
        <v>0.8125</v>
      </c>
      <c r="I91" s="128">
        <v>1.2232583503001972E-4</v>
      </c>
      <c r="K91" s="129"/>
    </row>
    <row r="92" spans="1:11">
      <c r="A92" s="40" t="str">
        <f t="shared" si="1"/>
        <v>EV06_domestic_ALL_Smart_GB</v>
      </c>
      <c r="B92" s="120" t="s">
        <v>432</v>
      </c>
      <c r="C92" s="120" t="s">
        <v>267</v>
      </c>
      <c r="D92" s="120" t="s">
        <v>226</v>
      </c>
      <c r="E92" s="120" t="s">
        <v>267</v>
      </c>
      <c r="F92" s="120" t="s">
        <v>247</v>
      </c>
      <c r="G92" s="120" t="s">
        <v>130</v>
      </c>
      <c r="H92" s="127">
        <v>0.83333333333333337</v>
      </c>
      <c r="I92" s="128">
        <v>1.2671027356156154E-4</v>
      </c>
      <c r="K92" s="129"/>
    </row>
    <row r="93" spans="1:11">
      <c r="A93" s="40" t="str">
        <f t="shared" si="1"/>
        <v>EV06_domestic_ALL_Smart_GB</v>
      </c>
      <c r="B93" s="120" t="s">
        <v>432</v>
      </c>
      <c r="C93" s="120" t="s">
        <v>267</v>
      </c>
      <c r="D93" s="120" t="s">
        <v>226</v>
      </c>
      <c r="E93" s="120" t="s">
        <v>267</v>
      </c>
      <c r="F93" s="120" t="s">
        <v>247</v>
      </c>
      <c r="G93" s="120" t="s">
        <v>130</v>
      </c>
      <c r="H93" s="127">
        <v>0.85416666666666663</v>
      </c>
      <c r="I93" s="128">
        <v>1.4074047686249566E-4</v>
      </c>
      <c r="K93" s="129"/>
    </row>
    <row r="94" spans="1:11">
      <c r="A94" s="40" t="str">
        <f t="shared" si="1"/>
        <v>EV06_domestic_ALL_Smart_GB</v>
      </c>
      <c r="B94" s="120" t="s">
        <v>432</v>
      </c>
      <c r="C94" s="120" t="s">
        <v>267</v>
      </c>
      <c r="D94" s="120" t="s">
        <v>226</v>
      </c>
      <c r="E94" s="120" t="s">
        <v>267</v>
      </c>
      <c r="F94" s="120" t="s">
        <v>247</v>
      </c>
      <c r="G94" s="120" t="s">
        <v>130</v>
      </c>
      <c r="H94" s="127">
        <v>0.875</v>
      </c>
      <c r="I94" s="128">
        <v>1.4468647154088375E-4</v>
      </c>
      <c r="K94" s="129"/>
    </row>
    <row r="95" spans="1:11">
      <c r="A95" s="40" t="str">
        <f t="shared" si="1"/>
        <v>EV06_domestic_ALL_Smart_GB</v>
      </c>
      <c r="B95" s="120" t="s">
        <v>432</v>
      </c>
      <c r="C95" s="120" t="s">
        <v>267</v>
      </c>
      <c r="D95" s="120" t="s">
        <v>226</v>
      </c>
      <c r="E95" s="120" t="s">
        <v>267</v>
      </c>
      <c r="F95" s="120" t="s">
        <v>247</v>
      </c>
      <c r="G95" s="120" t="s">
        <v>130</v>
      </c>
      <c r="H95" s="127">
        <v>0.89583333333333337</v>
      </c>
      <c r="I95" s="128">
        <v>1.4731713465980859E-4</v>
      </c>
      <c r="K95" s="129"/>
    </row>
    <row r="96" spans="1:11">
      <c r="A96" s="40" t="str">
        <f t="shared" si="1"/>
        <v>EV06_domestic_ALL_Smart_GB</v>
      </c>
      <c r="B96" s="120" t="s">
        <v>432</v>
      </c>
      <c r="C96" s="120" t="s">
        <v>267</v>
      </c>
      <c r="D96" s="120" t="s">
        <v>226</v>
      </c>
      <c r="E96" s="120" t="s">
        <v>267</v>
      </c>
      <c r="F96" s="120" t="s">
        <v>247</v>
      </c>
      <c r="G96" s="120" t="s">
        <v>130</v>
      </c>
      <c r="H96" s="127">
        <v>0.91666666666666663</v>
      </c>
      <c r="I96" s="128">
        <v>1.4907091007242555E-4</v>
      </c>
      <c r="K96" s="129"/>
    </row>
    <row r="97" spans="1:11">
      <c r="A97" s="40" t="str">
        <f t="shared" si="1"/>
        <v>EV06_domestic_ALL_Smart_GB</v>
      </c>
      <c r="B97" s="120" t="s">
        <v>432</v>
      </c>
      <c r="C97" s="120" t="s">
        <v>267</v>
      </c>
      <c r="D97" s="120" t="s">
        <v>226</v>
      </c>
      <c r="E97" s="120" t="s">
        <v>267</v>
      </c>
      <c r="F97" s="120" t="s">
        <v>247</v>
      </c>
      <c r="G97" s="120" t="s">
        <v>130</v>
      </c>
      <c r="H97" s="127">
        <v>0.9375</v>
      </c>
      <c r="I97" s="128">
        <v>1.5433223631027603E-4</v>
      </c>
      <c r="K97" s="129"/>
    </row>
    <row r="98" spans="1:11">
      <c r="A98" s="40" t="str">
        <f t="shared" si="1"/>
        <v>EV06_domestic_ALL_Smart_GB</v>
      </c>
      <c r="B98" s="120" t="s">
        <v>432</v>
      </c>
      <c r="C98" s="120" t="s">
        <v>267</v>
      </c>
      <c r="D98" s="120" t="s">
        <v>226</v>
      </c>
      <c r="E98" s="120" t="s">
        <v>267</v>
      </c>
      <c r="F98" s="120" t="s">
        <v>247</v>
      </c>
      <c r="G98" s="120" t="s">
        <v>130</v>
      </c>
      <c r="H98" s="127">
        <v>0.95833333333333337</v>
      </c>
      <c r="I98" s="128">
        <v>1.7230843428959783E-4</v>
      </c>
      <c r="K98" s="129"/>
    </row>
    <row r="99" spans="1:11">
      <c r="A99" s="40" t="str">
        <f t="shared" si="1"/>
        <v>EV06_domestic_ALL_Smart_GB</v>
      </c>
      <c r="B99" s="120" t="s">
        <v>432</v>
      </c>
      <c r="C99" s="120" t="s">
        <v>267</v>
      </c>
      <c r="D99" s="120" t="s">
        <v>226</v>
      </c>
      <c r="E99" s="120" t="s">
        <v>267</v>
      </c>
      <c r="F99" s="120" t="s">
        <v>247</v>
      </c>
      <c r="G99" s="120" t="s">
        <v>130</v>
      </c>
      <c r="H99" s="127">
        <v>0.97916666666666663</v>
      </c>
      <c r="I99" s="128">
        <v>1.8677708144368606E-4</v>
      </c>
      <c r="K99" s="129"/>
    </row>
    <row r="100" spans="1:11">
      <c r="A100" s="40" t="str">
        <f t="shared" si="1"/>
        <v>EV06_workplace_ALL_NoFlex_GB</v>
      </c>
      <c r="B100" s="120" t="s">
        <v>432</v>
      </c>
      <c r="C100" s="120" t="s">
        <v>267</v>
      </c>
      <c r="D100" s="120" t="s">
        <v>245</v>
      </c>
      <c r="E100" s="120" t="s">
        <v>267</v>
      </c>
      <c r="F100" s="120" t="s">
        <v>228</v>
      </c>
      <c r="G100" s="120" t="s">
        <v>130</v>
      </c>
      <c r="H100" s="127">
        <v>0</v>
      </c>
      <c r="I100" s="128">
        <v>2.2104999999999999E-5</v>
      </c>
      <c r="K100" s="129"/>
    </row>
    <row r="101" spans="1:11">
      <c r="A101" s="40" t="str">
        <f t="shared" si="1"/>
        <v>EV06_workplace_ALL_NoFlex_GB</v>
      </c>
      <c r="B101" s="120" t="s">
        <v>432</v>
      </c>
      <c r="C101" s="120" t="s">
        <v>267</v>
      </c>
      <c r="D101" s="120" t="s">
        <v>245</v>
      </c>
      <c r="E101" s="120" t="s">
        <v>267</v>
      </c>
      <c r="F101" s="120" t="s">
        <v>228</v>
      </c>
      <c r="G101" s="120" t="s">
        <v>130</v>
      </c>
      <c r="H101" s="127">
        <v>2.0833333333333332E-2</v>
      </c>
      <c r="I101" s="128">
        <v>1.9168999999999999E-5</v>
      </c>
      <c r="K101" s="129"/>
    </row>
    <row r="102" spans="1:11">
      <c r="A102" s="40" t="str">
        <f t="shared" si="1"/>
        <v>EV06_workplace_ALL_NoFlex_GB</v>
      </c>
      <c r="B102" s="120" t="s">
        <v>432</v>
      </c>
      <c r="C102" s="120" t="s">
        <v>267</v>
      </c>
      <c r="D102" s="120" t="s">
        <v>245</v>
      </c>
      <c r="E102" s="120" t="s">
        <v>267</v>
      </c>
      <c r="F102" s="120" t="s">
        <v>228</v>
      </c>
      <c r="G102" s="120" t="s">
        <v>130</v>
      </c>
      <c r="H102" s="127">
        <v>4.1666666666666664E-2</v>
      </c>
      <c r="I102" s="128">
        <v>1.6232999999999999E-5</v>
      </c>
      <c r="K102" s="129"/>
    </row>
    <row r="103" spans="1:11">
      <c r="A103" s="40" t="str">
        <f t="shared" si="1"/>
        <v>EV06_workplace_ALL_NoFlex_GB</v>
      </c>
      <c r="B103" s="120" t="s">
        <v>432</v>
      </c>
      <c r="C103" s="120" t="s">
        <v>267</v>
      </c>
      <c r="D103" s="120" t="s">
        <v>245</v>
      </c>
      <c r="E103" s="120" t="s">
        <v>267</v>
      </c>
      <c r="F103" s="120" t="s">
        <v>228</v>
      </c>
      <c r="G103" s="120" t="s">
        <v>130</v>
      </c>
      <c r="H103" s="127">
        <v>6.25E-2</v>
      </c>
      <c r="I103" s="128">
        <v>1.4636E-5</v>
      </c>
      <c r="K103" s="129"/>
    </row>
    <row r="104" spans="1:11">
      <c r="A104" s="40" t="str">
        <f t="shared" si="1"/>
        <v>EV06_workplace_ALL_NoFlex_GB</v>
      </c>
      <c r="B104" s="120" t="s">
        <v>432</v>
      </c>
      <c r="C104" s="120" t="s">
        <v>267</v>
      </c>
      <c r="D104" s="120" t="s">
        <v>245</v>
      </c>
      <c r="E104" s="120" t="s">
        <v>267</v>
      </c>
      <c r="F104" s="120" t="s">
        <v>228</v>
      </c>
      <c r="G104" s="120" t="s">
        <v>130</v>
      </c>
      <c r="H104" s="127">
        <v>8.3333333333333329E-2</v>
      </c>
      <c r="I104" s="128">
        <v>1.3040000000000001E-5</v>
      </c>
      <c r="K104" s="129"/>
    </row>
    <row r="105" spans="1:11">
      <c r="A105" s="40" t="str">
        <f t="shared" si="1"/>
        <v>EV06_workplace_ALL_NoFlex_GB</v>
      </c>
      <c r="B105" s="120" t="s">
        <v>432</v>
      </c>
      <c r="C105" s="120" t="s">
        <v>267</v>
      </c>
      <c r="D105" s="120" t="s">
        <v>245</v>
      </c>
      <c r="E105" s="120" t="s">
        <v>267</v>
      </c>
      <c r="F105" s="120" t="s">
        <v>228</v>
      </c>
      <c r="G105" s="120" t="s">
        <v>130</v>
      </c>
      <c r="H105" s="127">
        <v>0.10416666666666667</v>
      </c>
      <c r="I105" s="128">
        <v>1.2529E-5</v>
      </c>
      <c r="K105" s="129"/>
    </row>
    <row r="106" spans="1:11">
      <c r="A106" s="40" t="str">
        <f t="shared" si="1"/>
        <v>EV06_workplace_ALL_NoFlex_GB</v>
      </c>
      <c r="B106" s="120" t="s">
        <v>432</v>
      </c>
      <c r="C106" s="120" t="s">
        <v>267</v>
      </c>
      <c r="D106" s="120" t="s">
        <v>245</v>
      </c>
      <c r="E106" s="120" t="s">
        <v>267</v>
      </c>
      <c r="F106" s="120" t="s">
        <v>228</v>
      </c>
      <c r="G106" s="120" t="s">
        <v>130</v>
      </c>
      <c r="H106" s="127">
        <v>0.125</v>
      </c>
      <c r="I106" s="128">
        <v>1.2017E-5</v>
      </c>
      <c r="K106" s="129"/>
    </row>
    <row r="107" spans="1:11">
      <c r="A107" s="40" t="str">
        <f t="shared" si="1"/>
        <v>EV06_workplace_ALL_NoFlex_GB</v>
      </c>
      <c r="B107" s="120" t="s">
        <v>432</v>
      </c>
      <c r="C107" s="120" t="s">
        <v>267</v>
      </c>
      <c r="D107" s="120" t="s">
        <v>245</v>
      </c>
      <c r="E107" s="120" t="s">
        <v>267</v>
      </c>
      <c r="F107" s="120" t="s">
        <v>228</v>
      </c>
      <c r="G107" s="120" t="s">
        <v>130</v>
      </c>
      <c r="H107" s="127">
        <v>0.14583333333333334</v>
      </c>
      <c r="I107" s="128">
        <v>1.2361000000000001E-5</v>
      </c>
      <c r="K107" s="129"/>
    </row>
    <row r="108" spans="1:11">
      <c r="A108" s="40" t="str">
        <f t="shared" si="1"/>
        <v>EV06_workplace_ALL_NoFlex_GB</v>
      </c>
      <c r="B108" s="120" t="s">
        <v>432</v>
      </c>
      <c r="C108" s="120" t="s">
        <v>267</v>
      </c>
      <c r="D108" s="120" t="s">
        <v>245</v>
      </c>
      <c r="E108" s="120" t="s">
        <v>267</v>
      </c>
      <c r="F108" s="120" t="s">
        <v>228</v>
      </c>
      <c r="G108" s="120" t="s">
        <v>130</v>
      </c>
      <c r="H108" s="127">
        <v>0.16666666666666666</v>
      </c>
      <c r="I108" s="128">
        <v>1.2704000000000001E-5</v>
      </c>
      <c r="K108" s="129"/>
    </row>
    <row r="109" spans="1:11">
      <c r="A109" s="40" t="str">
        <f t="shared" si="1"/>
        <v>EV06_workplace_ALL_NoFlex_GB</v>
      </c>
      <c r="B109" s="120" t="s">
        <v>432</v>
      </c>
      <c r="C109" s="120" t="s">
        <v>267</v>
      </c>
      <c r="D109" s="120" t="s">
        <v>245</v>
      </c>
      <c r="E109" s="120" t="s">
        <v>267</v>
      </c>
      <c r="F109" s="120" t="s">
        <v>228</v>
      </c>
      <c r="G109" s="120" t="s">
        <v>130</v>
      </c>
      <c r="H109" s="127">
        <v>0.1875</v>
      </c>
      <c r="I109" s="128">
        <v>1.6659000000000001E-5</v>
      </c>
      <c r="K109" s="129"/>
    </row>
    <row r="110" spans="1:11">
      <c r="A110" s="40" t="str">
        <f t="shared" si="1"/>
        <v>EV06_workplace_ALL_NoFlex_GB</v>
      </c>
      <c r="B110" s="120" t="s">
        <v>432</v>
      </c>
      <c r="C110" s="120" t="s">
        <v>267</v>
      </c>
      <c r="D110" s="120" t="s">
        <v>245</v>
      </c>
      <c r="E110" s="120" t="s">
        <v>267</v>
      </c>
      <c r="F110" s="120" t="s">
        <v>228</v>
      </c>
      <c r="G110" s="120" t="s">
        <v>130</v>
      </c>
      <c r="H110" s="127">
        <v>0.20833333333333334</v>
      </c>
      <c r="I110" s="128">
        <v>2.0613000000000001E-5</v>
      </c>
      <c r="K110" s="129"/>
    </row>
    <row r="111" spans="1:11">
      <c r="A111" s="40" t="str">
        <f t="shared" si="1"/>
        <v>EV06_workplace_ALL_NoFlex_GB</v>
      </c>
      <c r="B111" s="120" t="s">
        <v>432</v>
      </c>
      <c r="C111" s="120" t="s">
        <v>267</v>
      </c>
      <c r="D111" s="120" t="s">
        <v>245</v>
      </c>
      <c r="E111" s="120" t="s">
        <v>267</v>
      </c>
      <c r="F111" s="120" t="s">
        <v>228</v>
      </c>
      <c r="G111" s="120" t="s">
        <v>130</v>
      </c>
      <c r="H111" s="127">
        <v>0.22916666666666666</v>
      </c>
      <c r="I111" s="128">
        <v>4.8411000000000001E-5</v>
      </c>
      <c r="K111" s="129"/>
    </row>
    <row r="112" spans="1:11">
      <c r="A112" s="40" t="str">
        <f t="shared" si="1"/>
        <v>EV06_workplace_ALL_NoFlex_GB</v>
      </c>
      <c r="B112" s="120" t="s">
        <v>432</v>
      </c>
      <c r="C112" s="120" t="s">
        <v>267</v>
      </c>
      <c r="D112" s="120" t="s">
        <v>245</v>
      </c>
      <c r="E112" s="120" t="s">
        <v>267</v>
      </c>
      <c r="F112" s="120" t="s">
        <v>228</v>
      </c>
      <c r="G112" s="120" t="s">
        <v>130</v>
      </c>
      <c r="H112" s="127">
        <v>0.25</v>
      </c>
      <c r="I112" s="128">
        <v>7.6209000000000002E-5</v>
      </c>
      <c r="K112" s="129"/>
    </row>
    <row r="113" spans="1:11">
      <c r="A113" s="40" t="str">
        <f t="shared" si="1"/>
        <v>EV06_workplace_ALL_NoFlex_GB</v>
      </c>
      <c r="B113" s="120" t="s">
        <v>432</v>
      </c>
      <c r="C113" s="120" t="s">
        <v>267</v>
      </c>
      <c r="D113" s="120" t="s">
        <v>245</v>
      </c>
      <c r="E113" s="120" t="s">
        <v>267</v>
      </c>
      <c r="F113" s="120" t="s">
        <v>228</v>
      </c>
      <c r="G113" s="120" t="s">
        <v>130</v>
      </c>
      <c r="H113" s="127">
        <v>0.27083333333333331</v>
      </c>
      <c r="I113" s="128">
        <v>1.5965700000000001E-4</v>
      </c>
      <c r="K113" s="129"/>
    </row>
    <row r="114" spans="1:11">
      <c r="A114" s="40" t="str">
        <f t="shared" si="1"/>
        <v>EV06_workplace_ALL_NoFlex_GB</v>
      </c>
      <c r="B114" s="120" t="s">
        <v>432</v>
      </c>
      <c r="C114" s="120" t="s">
        <v>267</v>
      </c>
      <c r="D114" s="120" t="s">
        <v>245</v>
      </c>
      <c r="E114" s="120" t="s">
        <v>267</v>
      </c>
      <c r="F114" s="120" t="s">
        <v>228</v>
      </c>
      <c r="G114" s="120" t="s">
        <v>130</v>
      </c>
      <c r="H114" s="127">
        <v>0.29166666666666669</v>
      </c>
      <c r="I114" s="128">
        <v>2.4310400000000001E-4</v>
      </c>
      <c r="K114" s="129"/>
    </row>
    <row r="115" spans="1:11">
      <c r="A115" s="40" t="str">
        <f t="shared" si="1"/>
        <v>EV06_workplace_ALL_NoFlex_GB</v>
      </c>
      <c r="B115" s="120" t="s">
        <v>432</v>
      </c>
      <c r="C115" s="120" t="s">
        <v>267</v>
      </c>
      <c r="D115" s="120" t="s">
        <v>245</v>
      </c>
      <c r="E115" s="120" t="s">
        <v>267</v>
      </c>
      <c r="F115" s="120" t="s">
        <v>228</v>
      </c>
      <c r="G115" s="120" t="s">
        <v>130</v>
      </c>
      <c r="H115" s="127">
        <v>0.3125</v>
      </c>
      <c r="I115" s="128">
        <v>3.3215399999999998E-4</v>
      </c>
      <c r="K115" s="129"/>
    </row>
    <row r="116" spans="1:11">
      <c r="A116" s="40" t="str">
        <f t="shared" si="1"/>
        <v>EV06_workplace_ALL_NoFlex_GB</v>
      </c>
      <c r="B116" s="120" t="s">
        <v>432</v>
      </c>
      <c r="C116" s="120" t="s">
        <v>267</v>
      </c>
      <c r="D116" s="120" t="s">
        <v>245</v>
      </c>
      <c r="E116" s="120" t="s">
        <v>267</v>
      </c>
      <c r="F116" s="120" t="s">
        <v>228</v>
      </c>
      <c r="G116" s="120" t="s">
        <v>130</v>
      </c>
      <c r="H116" s="127">
        <v>0.33333333333333331</v>
      </c>
      <c r="I116" s="128">
        <v>4.2120500000000002E-4</v>
      </c>
      <c r="K116" s="129"/>
    </row>
    <row r="117" spans="1:11">
      <c r="A117" s="40" t="str">
        <f t="shared" si="1"/>
        <v>EV06_workplace_ALL_NoFlex_GB</v>
      </c>
      <c r="B117" s="120" t="s">
        <v>432</v>
      </c>
      <c r="C117" s="120" t="s">
        <v>267</v>
      </c>
      <c r="D117" s="120" t="s">
        <v>245</v>
      </c>
      <c r="E117" s="120" t="s">
        <v>267</v>
      </c>
      <c r="F117" s="120" t="s">
        <v>228</v>
      </c>
      <c r="G117" s="120" t="s">
        <v>130</v>
      </c>
      <c r="H117" s="127">
        <v>0.35416666666666669</v>
      </c>
      <c r="I117" s="128">
        <v>4.0128700000000001E-4</v>
      </c>
      <c r="K117" s="129"/>
    </row>
    <row r="118" spans="1:11">
      <c r="A118" s="40" t="str">
        <f t="shared" si="1"/>
        <v>EV06_workplace_ALL_NoFlex_GB</v>
      </c>
      <c r="B118" s="120" t="s">
        <v>432</v>
      </c>
      <c r="C118" s="120" t="s">
        <v>267</v>
      </c>
      <c r="D118" s="120" t="s">
        <v>245</v>
      </c>
      <c r="E118" s="120" t="s">
        <v>267</v>
      </c>
      <c r="F118" s="120" t="s">
        <v>228</v>
      </c>
      <c r="G118" s="120" t="s">
        <v>130</v>
      </c>
      <c r="H118" s="127">
        <v>0.375</v>
      </c>
      <c r="I118" s="128">
        <v>3.81369E-4</v>
      </c>
      <c r="K118" s="129"/>
    </row>
    <row r="119" spans="1:11">
      <c r="A119" s="40" t="str">
        <f t="shared" si="1"/>
        <v>EV06_workplace_ALL_NoFlex_GB</v>
      </c>
      <c r="B119" s="120" t="s">
        <v>432</v>
      </c>
      <c r="C119" s="120" t="s">
        <v>267</v>
      </c>
      <c r="D119" s="120" t="s">
        <v>245</v>
      </c>
      <c r="E119" s="120" t="s">
        <v>267</v>
      </c>
      <c r="F119" s="120" t="s">
        <v>228</v>
      </c>
      <c r="G119" s="120" t="s">
        <v>130</v>
      </c>
      <c r="H119" s="127">
        <v>0.39583333333333331</v>
      </c>
      <c r="I119" s="128">
        <v>3.1601099999999999E-4</v>
      </c>
      <c r="K119" s="129"/>
    </row>
    <row r="120" spans="1:11">
      <c r="A120" s="40" t="str">
        <f t="shared" si="1"/>
        <v>EV06_workplace_ALL_NoFlex_GB</v>
      </c>
      <c r="B120" s="120" t="s">
        <v>432</v>
      </c>
      <c r="C120" s="120" t="s">
        <v>267</v>
      </c>
      <c r="D120" s="120" t="s">
        <v>245</v>
      </c>
      <c r="E120" s="120" t="s">
        <v>267</v>
      </c>
      <c r="F120" s="120" t="s">
        <v>228</v>
      </c>
      <c r="G120" s="120" t="s">
        <v>130</v>
      </c>
      <c r="H120" s="127">
        <v>0.41666666666666669</v>
      </c>
      <c r="I120" s="128">
        <v>2.5065299999999999E-4</v>
      </c>
      <c r="K120" s="129"/>
    </row>
    <row r="121" spans="1:11">
      <c r="A121" s="40" t="str">
        <f t="shared" si="1"/>
        <v>EV06_workplace_ALL_NoFlex_GB</v>
      </c>
      <c r="B121" s="120" t="s">
        <v>432</v>
      </c>
      <c r="C121" s="120" t="s">
        <v>267</v>
      </c>
      <c r="D121" s="120" t="s">
        <v>245</v>
      </c>
      <c r="E121" s="120" t="s">
        <v>267</v>
      </c>
      <c r="F121" s="120" t="s">
        <v>228</v>
      </c>
      <c r="G121" s="120" t="s">
        <v>130</v>
      </c>
      <c r="H121" s="127">
        <v>0.4375</v>
      </c>
      <c r="I121" s="128">
        <v>2.1839900000000001E-4</v>
      </c>
      <c r="K121" s="129"/>
    </row>
    <row r="122" spans="1:11">
      <c r="A122" s="40" t="str">
        <f t="shared" si="1"/>
        <v>EV06_workplace_ALL_NoFlex_GB</v>
      </c>
      <c r="B122" s="120" t="s">
        <v>432</v>
      </c>
      <c r="C122" s="120" t="s">
        <v>267</v>
      </c>
      <c r="D122" s="120" t="s">
        <v>245</v>
      </c>
      <c r="E122" s="120" t="s">
        <v>267</v>
      </c>
      <c r="F122" s="120" t="s">
        <v>228</v>
      </c>
      <c r="G122" s="120" t="s">
        <v>130</v>
      </c>
      <c r="H122" s="127">
        <v>0.45833333333333331</v>
      </c>
      <c r="I122" s="128">
        <v>1.8614400000000001E-4</v>
      </c>
      <c r="K122" s="129"/>
    </row>
    <row r="123" spans="1:11">
      <c r="A123" s="40" t="str">
        <f t="shared" si="1"/>
        <v>EV06_workplace_ALL_NoFlex_GB</v>
      </c>
      <c r="B123" s="120" t="s">
        <v>432</v>
      </c>
      <c r="C123" s="120" t="s">
        <v>267</v>
      </c>
      <c r="D123" s="120" t="s">
        <v>245</v>
      </c>
      <c r="E123" s="120" t="s">
        <v>267</v>
      </c>
      <c r="F123" s="120" t="s">
        <v>228</v>
      </c>
      <c r="G123" s="120" t="s">
        <v>130</v>
      </c>
      <c r="H123" s="127">
        <v>0.47916666666666669</v>
      </c>
      <c r="I123" s="128">
        <v>1.7881900000000001E-4</v>
      </c>
      <c r="K123" s="129"/>
    </row>
    <row r="124" spans="1:11">
      <c r="A124" s="40" t="str">
        <f t="shared" si="1"/>
        <v>EV06_workplace_ALL_NoFlex_GB</v>
      </c>
      <c r="B124" s="120" t="s">
        <v>432</v>
      </c>
      <c r="C124" s="120" t="s">
        <v>267</v>
      </c>
      <c r="D124" s="120" t="s">
        <v>245</v>
      </c>
      <c r="E124" s="120" t="s">
        <v>267</v>
      </c>
      <c r="F124" s="120" t="s">
        <v>228</v>
      </c>
      <c r="G124" s="120" t="s">
        <v>130</v>
      </c>
      <c r="H124" s="127">
        <v>0.5</v>
      </c>
      <c r="I124" s="128">
        <v>1.7149299999999999E-4</v>
      </c>
      <c r="K124" s="129"/>
    </row>
    <row r="125" spans="1:11">
      <c r="A125" s="40" t="str">
        <f t="shared" si="1"/>
        <v>EV06_workplace_ALL_NoFlex_GB</v>
      </c>
      <c r="B125" s="120" t="s">
        <v>432</v>
      </c>
      <c r="C125" s="120" t="s">
        <v>267</v>
      </c>
      <c r="D125" s="120" t="s">
        <v>245</v>
      </c>
      <c r="E125" s="120" t="s">
        <v>267</v>
      </c>
      <c r="F125" s="120" t="s">
        <v>228</v>
      </c>
      <c r="G125" s="120" t="s">
        <v>130</v>
      </c>
      <c r="H125" s="127">
        <v>0.52083333333333337</v>
      </c>
      <c r="I125" s="128">
        <v>1.71352E-4</v>
      </c>
      <c r="K125" s="129"/>
    </row>
    <row r="126" spans="1:11">
      <c r="A126" s="40" t="str">
        <f t="shared" si="1"/>
        <v>EV06_workplace_ALL_NoFlex_GB</v>
      </c>
      <c r="B126" s="120" t="s">
        <v>432</v>
      </c>
      <c r="C126" s="120" t="s">
        <v>267</v>
      </c>
      <c r="D126" s="120" t="s">
        <v>245</v>
      </c>
      <c r="E126" s="120" t="s">
        <v>267</v>
      </c>
      <c r="F126" s="120" t="s">
        <v>228</v>
      </c>
      <c r="G126" s="120" t="s">
        <v>130</v>
      </c>
      <c r="H126" s="127">
        <v>0.54166666666666663</v>
      </c>
      <c r="I126" s="128">
        <v>1.71211E-4</v>
      </c>
      <c r="K126" s="129"/>
    </row>
    <row r="127" spans="1:11">
      <c r="A127" s="40" t="str">
        <f t="shared" si="1"/>
        <v>EV06_workplace_ALL_NoFlex_GB</v>
      </c>
      <c r="B127" s="120" t="s">
        <v>432</v>
      </c>
      <c r="C127" s="120" t="s">
        <v>267</v>
      </c>
      <c r="D127" s="120" t="s">
        <v>245</v>
      </c>
      <c r="E127" s="120" t="s">
        <v>267</v>
      </c>
      <c r="F127" s="120" t="s">
        <v>228</v>
      </c>
      <c r="G127" s="120" t="s">
        <v>130</v>
      </c>
      <c r="H127" s="127">
        <v>0.5625</v>
      </c>
      <c r="I127" s="128">
        <v>1.59987E-4</v>
      </c>
      <c r="K127" s="129"/>
    </row>
    <row r="128" spans="1:11">
      <c r="A128" s="40" t="str">
        <f t="shared" si="1"/>
        <v>EV06_workplace_ALL_NoFlex_GB</v>
      </c>
      <c r="B128" s="120" t="s">
        <v>432</v>
      </c>
      <c r="C128" s="120" t="s">
        <v>267</v>
      </c>
      <c r="D128" s="120" t="s">
        <v>245</v>
      </c>
      <c r="E128" s="120" t="s">
        <v>267</v>
      </c>
      <c r="F128" s="120" t="s">
        <v>228</v>
      </c>
      <c r="G128" s="120" t="s">
        <v>130</v>
      </c>
      <c r="H128" s="127">
        <v>0.58333333333333337</v>
      </c>
      <c r="I128" s="128">
        <v>1.4876399999999999E-4</v>
      </c>
      <c r="K128" s="129"/>
    </row>
    <row r="129" spans="1:11">
      <c r="A129" s="40" t="str">
        <f t="shared" si="1"/>
        <v>EV06_workplace_ALL_NoFlex_GB</v>
      </c>
      <c r="B129" s="120" t="s">
        <v>432</v>
      </c>
      <c r="C129" s="120" t="s">
        <v>267</v>
      </c>
      <c r="D129" s="120" t="s">
        <v>245</v>
      </c>
      <c r="E129" s="120" t="s">
        <v>267</v>
      </c>
      <c r="F129" s="120" t="s">
        <v>228</v>
      </c>
      <c r="G129" s="120" t="s">
        <v>130</v>
      </c>
      <c r="H129" s="127">
        <v>0.60416666666666663</v>
      </c>
      <c r="I129" s="128">
        <v>1.3754199999999999E-4</v>
      </c>
      <c r="K129" s="129"/>
    </row>
    <row r="130" spans="1:11">
      <c r="A130" s="40" t="str">
        <f t="shared" si="1"/>
        <v>EV06_workplace_ALL_NoFlex_GB</v>
      </c>
      <c r="B130" s="120" t="s">
        <v>432</v>
      </c>
      <c r="C130" s="120" t="s">
        <v>267</v>
      </c>
      <c r="D130" s="120" t="s">
        <v>245</v>
      </c>
      <c r="E130" s="120" t="s">
        <v>267</v>
      </c>
      <c r="F130" s="120" t="s">
        <v>228</v>
      </c>
      <c r="G130" s="120" t="s">
        <v>130</v>
      </c>
      <c r="H130" s="127">
        <v>0.625</v>
      </c>
      <c r="I130" s="128">
        <v>1.2632100000000001E-4</v>
      </c>
      <c r="K130" s="129"/>
    </row>
    <row r="131" spans="1:11">
      <c r="A131" s="40" t="str">
        <f t="shared" si="1"/>
        <v>EV06_workplace_ALL_NoFlex_GB</v>
      </c>
      <c r="B131" s="120" t="s">
        <v>432</v>
      </c>
      <c r="C131" s="120" t="s">
        <v>267</v>
      </c>
      <c r="D131" s="120" t="s">
        <v>245</v>
      </c>
      <c r="E131" s="120" t="s">
        <v>267</v>
      </c>
      <c r="F131" s="120" t="s">
        <v>228</v>
      </c>
      <c r="G131" s="120" t="s">
        <v>130</v>
      </c>
      <c r="H131" s="127">
        <v>0.64583333333333337</v>
      </c>
      <c r="I131" s="128">
        <v>1.1637E-4</v>
      </c>
      <c r="K131" s="129"/>
    </row>
    <row r="132" spans="1:11">
      <c r="A132" s="40" t="str">
        <f t="shared" ref="A132:A195" si="2">_xlfn.CONCAT("EV06_",INDEX(EV_charger_type_short,MATCH(D132,EV_charger_type,0)),"_",INDEX(rep_days_short,MATCH(E132,rep_days,0)),"_",INDEX(EV_Flex_short,MATCH(F132,EV_Flex,0)),"_",G132)</f>
        <v>EV06_workplace_ALL_NoFlex_GB</v>
      </c>
      <c r="B132" s="120" t="s">
        <v>432</v>
      </c>
      <c r="C132" s="120" t="s">
        <v>267</v>
      </c>
      <c r="D132" s="120" t="s">
        <v>245</v>
      </c>
      <c r="E132" s="120" t="s">
        <v>267</v>
      </c>
      <c r="F132" s="120" t="s">
        <v>228</v>
      </c>
      <c r="G132" s="120" t="s">
        <v>130</v>
      </c>
      <c r="H132" s="127">
        <v>0.66666666666666663</v>
      </c>
      <c r="I132" s="128">
        <v>1.0642E-4</v>
      </c>
      <c r="K132" s="129"/>
    </row>
    <row r="133" spans="1:11">
      <c r="A133" s="40" t="str">
        <f t="shared" si="2"/>
        <v>EV06_workplace_ALL_NoFlex_GB</v>
      </c>
      <c r="B133" s="120" t="s">
        <v>432</v>
      </c>
      <c r="C133" s="120" t="s">
        <v>267</v>
      </c>
      <c r="D133" s="120" t="s">
        <v>245</v>
      </c>
      <c r="E133" s="120" t="s">
        <v>267</v>
      </c>
      <c r="F133" s="120" t="s">
        <v>228</v>
      </c>
      <c r="G133" s="120" t="s">
        <v>130</v>
      </c>
      <c r="H133" s="127">
        <v>0.6875</v>
      </c>
      <c r="I133" s="128">
        <v>9.6531000000000001E-5</v>
      </c>
      <c r="K133" s="129"/>
    </row>
    <row r="134" spans="1:11">
      <c r="A134" s="40" t="str">
        <f t="shared" si="2"/>
        <v>EV06_workplace_ALL_NoFlex_GB</v>
      </c>
      <c r="B134" s="120" t="s">
        <v>432</v>
      </c>
      <c r="C134" s="120" t="s">
        <v>267</v>
      </c>
      <c r="D134" s="120" t="s">
        <v>245</v>
      </c>
      <c r="E134" s="120" t="s">
        <v>267</v>
      </c>
      <c r="F134" s="120" t="s">
        <v>228</v>
      </c>
      <c r="G134" s="120" t="s">
        <v>130</v>
      </c>
      <c r="H134" s="127">
        <v>0.70833333333333337</v>
      </c>
      <c r="I134" s="128">
        <v>8.6642000000000002E-5</v>
      </c>
      <c r="K134" s="129"/>
    </row>
    <row r="135" spans="1:11">
      <c r="A135" s="40" t="str">
        <f t="shared" si="2"/>
        <v>EV06_workplace_ALL_NoFlex_GB</v>
      </c>
      <c r="B135" s="120" t="s">
        <v>432</v>
      </c>
      <c r="C135" s="120" t="s">
        <v>267</v>
      </c>
      <c r="D135" s="120" t="s">
        <v>245</v>
      </c>
      <c r="E135" s="120" t="s">
        <v>267</v>
      </c>
      <c r="F135" s="120" t="s">
        <v>228</v>
      </c>
      <c r="G135" s="120" t="s">
        <v>130</v>
      </c>
      <c r="H135" s="127">
        <v>0.72916666666666663</v>
      </c>
      <c r="I135" s="128">
        <v>7.7455999999999998E-5</v>
      </c>
      <c r="K135" s="129"/>
    </row>
    <row r="136" spans="1:11">
      <c r="A136" s="40" t="str">
        <f t="shared" si="2"/>
        <v>EV06_workplace_ALL_NoFlex_GB</v>
      </c>
      <c r="B136" s="120" t="s">
        <v>432</v>
      </c>
      <c r="C136" s="120" t="s">
        <v>267</v>
      </c>
      <c r="D136" s="120" t="s">
        <v>245</v>
      </c>
      <c r="E136" s="120" t="s">
        <v>267</v>
      </c>
      <c r="F136" s="120" t="s">
        <v>228</v>
      </c>
      <c r="G136" s="120" t="s">
        <v>130</v>
      </c>
      <c r="H136" s="127">
        <v>0.75</v>
      </c>
      <c r="I136" s="128">
        <v>6.8269999999999995E-5</v>
      </c>
      <c r="K136" s="129"/>
    </row>
    <row r="137" spans="1:11">
      <c r="A137" s="40" t="str">
        <f t="shared" si="2"/>
        <v>EV06_workplace_ALL_NoFlex_GB</v>
      </c>
      <c r="B137" s="120" t="s">
        <v>432</v>
      </c>
      <c r="C137" s="120" t="s">
        <v>267</v>
      </c>
      <c r="D137" s="120" t="s">
        <v>245</v>
      </c>
      <c r="E137" s="120" t="s">
        <v>267</v>
      </c>
      <c r="F137" s="120" t="s">
        <v>228</v>
      </c>
      <c r="G137" s="120" t="s">
        <v>130</v>
      </c>
      <c r="H137" s="127">
        <v>0.77083333333333337</v>
      </c>
      <c r="I137" s="128">
        <v>6.198E-5</v>
      </c>
      <c r="K137" s="129"/>
    </row>
    <row r="138" spans="1:11">
      <c r="A138" s="40" t="str">
        <f t="shared" si="2"/>
        <v>EV06_workplace_ALL_NoFlex_GB</v>
      </c>
      <c r="B138" s="120" t="s">
        <v>432</v>
      </c>
      <c r="C138" s="120" t="s">
        <v>267</v>
      </c>
      <c r="D138" s="120" t="s">
        <v>245</v>
      </c>
      <c r="E138" s="120" t="s">
        <v>267</v>
      </c>
      <c r="F138" s="120" t="s">
        <v>228</v>
      </c>
      <c r="G138" s="120" t="s">
        <v>130</v>
      </c>
      <c r="H138" s="127">
        <v>0.79166666666666663</v>
      </c>
      <c r="I138" s="128">
        <v>5.5689999999999997E-5</v>
      </c>
      <c r="K138" s="129"/>
    </row>
    <row r="139" spans="1:11">
      <c r="A139" s="40" t="str">
        <f t="shared" si="2"/>
        <v>EV06_workplace_ALL_NoFlex_GB</v>
      </c>
      <c r="B139" s="120" t="s">
        <v>432</v>
      </c>
      <c r="C139" s="120" t="s">
        <v>267</v>
      </c>
      <c r="D139" s="120" t="s">
        <v>245</v>
      </c>
      <c r="E139" s="120" t="s">
        <v>267</v>
      </c>
      <c r="F139" s="120" t="s">
        <v>228</v>
      </c>
      <c r="G139" s="120" t="s">
        <v>130</v>
      </c>
      <c r="H139" s="127">
        <v>0.8125</v>
      </c>
      <c r="I139" s="128">
        <v>5.0528000000000001E-5</v>
      </c>
      <c r="K139" s="129"/>
    </row>
    <row r="140" spans="1:11">
      <c r="A140" s="40" t="str">
        <f t="shared" si="2"/>
        <v>EV06_workplace_ALL_NoFlex_GB</v>
      </c>
      <c r="B140" s="120" t="s">
        <v>432</v>
      </c>
      <c r="C140" s="120" t="s">
        <v>267</v>
      </c>
      <c r="D140" s="120" t="s">
        <v>245</v>
      </c>
      <c r="E140" s="120" t="s">
        <v>267</v>
      </c>
      <c r="F140" s="120" t="s">
        <v>228</v>
      </c>
      <c r="G140" s="120" t="s">
        <v>130</v>
      </c>
      <c r="H140" s="127">
        <v>0.83333333333333337</v>
      </c>
      <c r="I140" s="128">
        <v>4.5367000000000001E-5</v>
      </c>
      <c r="K140" s="129"/>
    </row>
    <row r="141" spans="1:11">
      <c r="A141" s="40" t="str">
        <f t="shared" si="2"/>
        <v>EV06_workplace_ALL_NoFlex_GB</v>
      </c>
      <c r="B141" s="120" t="s">
        <v>432</v>
      </c>
      <c r="C141" s="120" t="s">
        <v>267</v>
      </c>
      <c r="D141" s="120" t="s">
        <v>245</v>
      </c>
      <c r="E141" s="120" t="s">
        <v>267</v>
      </c>
      <c r="F141" s="120" t="s">
        <v>228</v>
      </c>
      <c r="G141" s="120" t="s">
        <v>130</v>
      </c>
      <c r="H141" s="127">
        <v>0.85416666666666663</v>
      </c>
      <c r="I141" s="128">
        <v>4.2372E-5</v>
      </c>
      <c r="K141" s="129"/>
    </row>
    <row r="142" spans="1:11">
      <c r="A142" s="40" t="str">
        <f t="shared" si="2"/>
        <v>EV06_workplace_ALL_NoFlex_GB</v>
      </c>
      <c r="B142" s="120" t="s">
        <v>432</v>
      </c>
      <c r="C142" s="120" t="s">
        <v>267</v>
      </c>
      <c r="D142" s="120" t="s">
        <v>245</v>
      </c>
      <c r="E142" s="120" t="s">
        <v>267</v>
      </c>
      <c r="F142" s="120" t="s">
        <v>228</v>
      </c>
      <c r="G142" s="120" t="s">
        <v>130</v>
      </c>
      <c r="H142" s="127">
        <v>0.875</v>
      </c>
      <c r="I142" s="128">
        <v>3.9376999999999999E-5</v>
      </c>
      <c r="K142" s="129"/>
    </row>
    <row r="143" spans="1:11">
      <c r="A143" s="40" t="str">
        <f t="shared" si="2"/>
        <v>EV06_workplace_ALL_NoFlex_GB</v>
      </c>
      <c r="B143" s="120" t="s">
        <v>432</v>
      </c>
      <c r="C143" s="120" t="s">
        <v>267</v>
      </c>
      <c r="D143" s="120" t="s">
        <v>245</v>
      </c>
      <c r="E143" s="120" t="s">
        <v>267</v>
      </c>
      <c r="F143" s="120" t="s">
        <v>228</v>
      </c>
      <c r="G143" s="120" t="s">
        <v>130</v>
      </c>
      <c r="H143" s="127">
        <v>0.89583333333333337</v>
      </c>
      <c r="I143" s="128">
        <v>3.7626999999999997E-5</v>
      </c>
      <c r="K143" s="129"/>
    </row>
    <row r="144" spans="1:11">
      <c r="A144" s="40" t="str">
        <f t="shared" si="2"/>
        <v>EV06_workplace_ALL_NoFlex_GB</v>
      </c>
      <c r="B144" s="120" t="s">
        <v>432</v>
      </c>
      <c r="C144" s="120" t="s">
        <v>267</v>
      </c>
      <c r="D144" s="120" t="s">
        <v>245</v>
      </c>
      <c r="E144" s="120" t="s">
        <v>267</v>
      </c>
      <c r="F144" s="120" t="s">
        <v>228</v>
      </c>
      <c r="G144" s="120" t="s">
        <v>130</v>
      </c>
      <c r="H144" s="127">
        <v>0.91666666666666663</v>
      </c>
      <c r="I144" s="128">
        <v>3.5877000000000002E-5</v>
      </c>
      <c r="K144" s="129"/>
    </row>
    <row r="145" spans="1:11">
      <c r="A145" s="40" t="str">
        <f t="shared" si="2"/>
        <v>EV06_workplace_ALL_NoFlex_GB</v>
      </c>
      <c r="B145" s="120" t="s">
        <v>432</v>
      </c>
      <c r="C145" s="120" t="s">
        <v>267</v>
      </c>
      <c r="D145" s="120" t="s">
        <v>245</v>
      </c>
      <c r="E145" s="120" t="s">
        <v>267</v>
      </c>
      <c r="F145" s="120" t="s">
        <v>228</v>
      </c>
      <c r="G145" s="120" t="s">
        <v>130</v>
      </c>
      <c r="H145" s="127">
        <v>0.9375</v>
      </c>
      <c r="I145" s="128">
        <v>3.2388000000000002E-5</v>
      </c>
      <c r="K145" s="129"/>
    </row>
    <row r="146" spans="1:11">
      <c r="A146" s="40" t="str">
        <f t="shared" si="2"/>
        <v>EV06_workplace_ALL_NoFlex_GB</v>
      </c>
      <c r="B146" s="120" t="s">
        <v>432</v>
      </c>
      <c r="C146" s="120" t="s">
        <v>267</v>
      </c>
      <c r="D146" s="120" t="s">
        <v>245</v>
      </c>
      <c r="E146" s="120" t="s">
        <v>267</v>
      </c>
      <c r="F146" s="120" t="s">
        <v>228</v>
      </c>
      <c r="G146" s="120" t="s">
        <v>130</v>
      </c>
      <c r="H146" s="127">
        <v>0.95833333333333337</v>
      </c>
      <c r="I146" s="128">
        <v>2.8898999999999999E-5</v>
      </c>
      <c r="K146" s="129"/>
    </row>
    <row r="147" spans="1:11">
      <c r="A147" s="40" t="str">
        <f t="shared" si="2"/>
        <v>EV06_workplace_ALL_NoFlex_GB</v>
      </c>
      <c r="B147" s="120" t="s">
        <v>432</v>
      </c>
      <c r="C147" s="120" t="s">
        <v>267</v>
      </c>
      <c r="D147" s="120" t="s">
        <v>245</v>
      </c>
      <c r="E147" s="120" t="s">
        <v>267</v>
      </c>
      <c r="F147" s="120" t="s">
        <v>228</v>
      </c>
      <c r="G147" s="120" t="s">
        <v>130</v>
      </c>
      <c r="H147" s="127">
        <v>0.97916666666666663</v>
      </c>
      <c r="I147" s="128">
        <v>2.5502000000000001E-5</v>
      </c>
      <c r="K147" s="129"/>
    </row>
    <row r="148" spans="1:11">
      <c r="A148" s="40" t="str">
        <f t="shared" si="2"/>
        <v>EV06_slowfast_ALL_NoFlex_GB</v>
      </c>
      <c r="B148" s="120" t="s">
        <v>432</v>
      </c>
      <c r="C148" s="120" t="s">
        <v>267</v>
      </c>
      <c r="D148" s="120" t="s">
        <v>265</v>
      </c>
      <c r="E148" s="120" t="s">
        <v>267</v>
      </c>
      <c r="F148" s="120" t="s">
        <v>228</v>
      </c>
      <c r="G148" s="120" t="s">
        <v>130</v>
      </c>
      <c r="H148" s="127">
        <v>0</v>
      </c>
      <c r="I148" s="128">
        <v>3.0066519597307749E-5</v>
      </c>
      <c r="K148" s="129"/>
    </row>
    <row r="149" spans="1:11">
      <c r="A149" s="40" t="str">
        <f t="shared" si="2"/>
        <v>EV06_slowfast_ALL_NoFlex_GB</v>
      </c>
      <c r="B149" s="120" t="s">
        <v>432</v>
      </c>
      <c r="C149" s="120" t="s">
        <v>267</v>
      </c>
      <c r="D149" s="120" t="s">
        <v>265</v>
      </c>
      <c r="E149" s="120" t="s">
        <v>267</v>
      </c>
      <c r="F149" s="120" t="s">
        <v>228</v>
      </c>
      <c r="G149" s="120" t="s">
        <v>130</v>
      </c>
      <c r="H149" s="127">
        <v>2.0833333333333332E-2</v>
      </c>
      <c r="I149" s="128">
        <v>2.7306937219328901E-5</v>
      </c>
      <c r="K149" s="129"/>
    </row>
    <row r="150" spans="1:11">
      <c r="A150" s="40" t="str">
        <f t="shared" si="2"/>
        <v>EV06_slowfast_ALL_NoFlex_GB</v>
      </c>
      <c r="B150" s="120" t="s">
        <v>432</v>
      </c>
      <c r="C150" s="120" t="s">
        <v>267</v>
      </c>
      <c r="D150" s="120" t="s">
        <v>265</v>
      </c>
      <c r="E150" s="120" t="s">
        <v>267</v>
      </c>
      <c r="F150" s="120" t="s">
        <v>228</v>
      </c>
      <c r="G150" s="120" t="s">
        <v>130</v>
      </c>
      <c r="H150" s="127">
        <v>4.1666666666666664E-2</v>
      </c>
      <c r="I150" s="128">
        <v>2.4547354841350043E-5</v>
      </c>
      <c r="K150" s="129"/>
    </row>
    <row r="151" spans="1:11">
      <c r="A151" s="40" t="str">
        <f t="shared" si="2"/>
        <v>EV06_slowfast_ALL_NoFlex_GB</v>
      </c>
      <c r="B151" s="120" t="s">
        <v>432</v>
      </c>
      <c r="C151" s="120" t="s">
        <v>267</v>
      </c>
      <c r="D151" s="120" t="s">
        <v>265</v>
      </c>
      <c r="E151" s="120" t="s">
        <v>267</v>
      </c>
      <c r="F151" s="120" t="s">
        <v>228</v>
      </c>
      <c r="G151" s="120" t="s">
        <v>130</v>
      </c>
      <c r="H151" s="127">
        <v>6.25E-2</v>
      </c>
      <c r="I151" s="128">
        <v>2.1888866738766751E-5</v>
      </c>
      <c r="K151" s="129"/>
    </row>
    <row r="152" spans="1:11">
      <c r="A152" s="40" t="str">
        <f t="shared" si="2"/>
        <v>EV06_slowfast_ALL_NoFlex_GB</v>
      </c>
      <c r="B152" s="120" t="s">
        <v>432</v>
      </c>
      <c r="C152" s="120" t="s">
        <v>267</v>
      </c>
      <c r="D152" s="120" t="s">
        <v>265</v>
      </c>
      <c r="E152" s="120" t="s">
        <v>267</v>
      </c>
      <c r="F152" s="120" t="s">
        <v>228</v>
      </c>
      <c r="G152" s="120" t="s">
        <v>130</v>
      </c>
      <c r="H152" s="127">
        <v>8.3333333333333329E-2</v>
      </c>
      <c r="I152" s="128">
        <v>1.9230378636183466E-5</v>
      </c>
      <c r="K152" s="129"/>
    </row>
    <row r="153" spans="1:11">
      <c r="A153" s="40" t="str">
        <f t="shared" si="2"/>
        <v>EV06_slowfast_ALL_NoFlex_GB</v>
      </c>
      <c r="B153" s="120" t="s">
        <v>432</v>
      </c>
      <c r="C153" s="120" t="s">
        <v>267</v>
      </c>
      <c r="D153" s="120" t="s">
        <v>265</v>
      </c>
      <c r="E153" s="120" t="s">
        <v>267</v>
      </c>
      <c r="F153" s="120" t="s">
        <v>228</v>
      </c>
      <c r="G153" s="120" t="s">
        <v>130</v>
      </c>
      <c r="H153" s="127">
        <v>0.10416666666666667</v>
      </c>
      <c r="I153" s="128">
        <v>1.7238891525756458E-5</v>
      </c>
      <c r="K153" s="129"/>
    </row>
    <row r="154" spans="1:11">
      <c r="A154" s="40" t="str">
        <f t="shared" si="2"/>
        <v>EV06_slowfast_ALL_NoFlex_GB</v>
      </c>
      <c r="B154" s="120" t="s">
        <v>432</v>
      </c>
      <c r="C154" s="120" t="s">
        <v>267</v>
      </c>
      <c r="D154" s="120" t="s">
        <v>265</v>
      </c>
      <c r="E154" s="120" t="s">
        <v>267</v>
      </c>
      <c r="F154" s="120" t="s">
        <v>228</v>
      </c>
      <c r="G154" s="120" t="s">
        <v>130</v>
      </c>
      <c r="H154" s="127">
        <v>0.125</v>
      </c>
      <c r="I154" s="128">
        <v>1.5247404415329453E-5</v>
      </c>
      <c r="K154" s="129"/>
    </row>
    <row r="155" spans="1:11">
      <c r="A155" s="40" t="str">
        <f t="shared" si="2"/>
        <v>EV06_slowfast_ALL_NoFlex_GB</v>
      </c>
      <c r="B155" s="120" t="s">
        <v>432</v>
      </c>
      <c r="C155" s="120" t="s">
        <v>267</v>
      </c>
      <c r="D155" s="120" t="s">
        <v>265</v>
      </c>
      <c r="E155" s="120" t="s">
        <v>267</v>
      </c>
      <c r="F155" s="120" t="s">
        <v>228</v>
      </c>
      <c r="G155" s="120" t="s">
        <v>130</v>
      </c>
      <c r="H155" s="127">
        <v>0.14583333333333334</v>
      </c>
      <c r="I155" s="128">
        <v>1.4751154238731135E-5</v>
      </c>
      <c r="K155" s="129"/>
    </row>
    <row r="156" spans="1:11">
      <c r="A156" s="40" t="str">
        <f t="shared" si="2"/>
        <v>EV06_slowfast_ALL_NoFlex_GB</v>
      </c>
      <c r="B156" s="120" t="s">
        <v>432</v>
      </c>
      <c r="C156" s="120" t="s">
        <v>267</v>
      </c>
      <c r="D156" s="120" t="s">
        <v>265</v>
      </c>
      <c r="E156" s="120" t="s">
        <v>267</v>
      </c>
      <c r="F156" s="120" t="s">
        <v>228</v>
      </c>
      <c r="G156" s="120" t="s">
        <v>130</v>
      </c>
      <c r="H156" s="127">
        <v>0.16666666666666666</v>
      </c>
      <c r="I156" s="128">
        <v>1.425490406213282E-5</v>
      </c>
      <c r="K156" s="129"/>
    </row>
    <row r="157" spans="1:11">
      <c r="A157" s="40" t="str">
        <f t="shared" si="2"/>
        <v>EV06_slowfast_ALL_NoFlex_GB</v>
      </c>
      <c r="B157" s="120" t="s">
        <v>432</v>
      </c>
      <c r="C157" s="120" t="s">
        <v>267</v>
      </c>
      <c r="D157" s="120" t="s">
        <v>265</v>
      </c>
      <c r="E157" s="120" t="s">
        <v>267</v>
      </c>
      <c r="F157" s="120" t="s">
        <v>228</v>
      </c>
      <c r="G157" s="120" t="s">
        <v>130</v>
      </c>
      <c r="H157" s="127">
        <v>0.1875</v>
      </c>
      <c r="I157" s="128">
        <v>1.7433925262583403E-5</v>
      </c>
      <c r="K157" s="129"/>
    </row>
    <row r="158" spans="1:11">
      <c r="A158" s="40" t="str">
        <f t="shared" si="2"/>
        <v>EV06_slowfast_ALL_NoFlex_GB</v>
      </c>
      <c r="B158" s="120" t="s">
        <v>432</v>
      </c>
      <c r="C158" s="120" t="s">
        <v>267</v>
      </c>
      <c r="D158" s="120" t="s">
        <v>265</v>
      </c>
      <c r="E158" s="120" t="s">
        <v>267</v>
      </c>
      <c r="F158" s="120" t="s">
        <v>228</v>
      </c>
      <c r="G158" s="120" t="s">
        <v>130</v>
      </c>
      <c r="H158" s="127">
        <v>0.20833333333333334</v>
      </c>
      <c r="I158" s="128">
        <v>2.0612946463033986E-5</v>
      </c>
      <c r="K158" s="129"/>
    </row>
    <row r="159" spans="1:11">
      <c r="A159" s="40" t="str">
        <f t="shared" si="2"/>
        <v>EV06_slowfast_ALL_NoFlex_GB</v>
      </c>
      <c r="B159" s="120" t="s">
        <v>432</v>
      </c>
      <c r="C159" s="120" t="s">
        <v>267</v>
      </c>
      <c r="D159" s="120" t="s">
        <v>265</v>
      </c>
      <c r="E159" s="120" t="s">
        <v>267</v>
      </c>
      <c r="F159" s="120" t="s">
        <v>228</v>
      </c>
      <c r="G159" s="120" t="s">
        <v>130</v>
      </c>
      <c r="H159" s="127">
        <v>0.22916666666666666</v>
      </c>
      <c r="I159" s="128">
        <v>3.1793974576191048E-5</v>
      </c>
      <c r="K159" s="129"/>
    </row>
    <row r="160" spans="1:11">
      <c r="A160" s="40" t="str">
        <f t="shared" si="2"/>
        <v>EV06_slowfast_ALL_NoFlex_GB</v>
      </c>
      <c r="B160" s="120" t="s">
        <v>432</v>
      </c>
      <c r="C160" s="120" t="s">
        <v>267</v>
      </c>
      <c r="D160" s="120" t="s">
        <v>265</v>
      </c>
      <c r="E160" s="120" t="s">
        <v>267</v>
      </c>
      <c r="F160" s="120" t="s">
        <v>228</v>
      </c>
      <c r="G160" s="120" t="s">
        <v>130</v>
      </c>
      <c r="H160" s="127">
        <v>0.25</v>
      </c>
      <c r="I160" s="128">
        <v>4.2975002689348108E-5</v>
      </c>
      <c r="K160" s="129"/>
    </row>
    <row r="161" spans="1:11">
      <c r="A161" s="40" t="str">
        <f t="shared" si="2"/>
        <v>EV06_slowfast_ALL_NoFlex_GB</v>
      </c>
      <c r="B161" s="120" t="s">
        <v>432</v>
      </c>
      <c r="C161" s="120" t="s">
        <v>267</v>
      </c>
      <c r="D161" s="120" t="s">
        <v>265</v>
      </c>
      <c r="E161" s="120" t="s">
        <v>267</v>
      </c>
      <c r="F161" s="120" t="s">
        <v>228</v>
      </c>
      <c r="G161" s="120" t="s">
        <v>130</v>
      </c>
      <c r="H161" s="127">
        <v>0.27083333333333331</v>
      </c>
      <c r="I161" s="128">
        <v>7.1790466451991685E-5</v>
      </c>
      <c r="K161" s="129"/>
    </row>
    <row r="162" spans="1:11">
      <c r="A162" s="40" t="str">
        <f t="shared" si="2"/>
        <v>EV06_slowfast_ALL_NoFlex_GB</v>
      </c>
      <c r="B162" s="120" t="s">
        <v>432</v>
      </c>
      <c r="C162" s="120" t="s">
        <v>267</v>
      </c>
      <c r="D162" s="120" t="s">
        <v>265</v>
      </c>
      <c r="E162" s="120" t="s">
        <v>267</v>
      </c>
      <c r="F162" s="120" t="s">
        <v>228</v>
      </c>
      <c r="G162" s="120" t="s">
        <v>130</v>
      </c>
      <c r="H162" s="127">
        <v>0.29166666666666669</v>
      </c>
      <c r="I162" s="128">
        <v>1.0060593021463528E-4</v>
      </c>
      <c r="K162" s="129"/>
    </row>
    <row r="163" spans="1:11">
      <c r="A163" s="40" t="str">
        <f t="shared" si="2"/>
        <v>EV06_slowfast_ALL_NoFlex_GB</v>
      </c>
      <c r="B163" s="120" t="s">
        <v>432</v>
      </c>
      <c r="C163" s="120" t="s">
        <v>267</v>
      </c>
      <c r="D163" s="120" t="s">
        <v>265</v>
      </c>
      <c r="E163" s="120" t="s">
        <v>267</v>
      </c>
      <c r="F163" s="120" t="s">
        <v>228</v>
      </c>
      <c r="G163" s="120" t="s">
        <v>130</v>
      </c>
      <c r="H163" s="127">
        <v>0.3125</v>
      </c>
      <c r="I163" s="128">
        <v>1.5016685271193372E-4</v>
      </c>
      <c r="K163" s="129"/>
    </row>
    <row r="164" spans="1:11">
      <c r="A164" s="40" t="str">
        <f t="shared" si="2"/>
        <v>EV06_slowfast_ALL_NoFlex_GB</v>
      </c>
      <c r="B164" s="120" t="s">
        <v>432</v>
      </c>
      <c r="C164" s="120" t="s">
        <v>267</v>
      </c>
      <c r="D164" s="120" t="s">
        <v>265</v>
      </c>
      <c r="E164" s="120" t="s">
        <v>267</v>
      </c>
      <c r="F164" s="120" t="s">
        <v>228</v>
      </c>
      <c r="G164" s="120" t="s">
        <v>130</v>
      </c>
      <c r="H164" s="127">
        <v>0.33333333333333331</v>
      </c>
      <c r="I164" s="128">
        <v>1.9972777520923214E-4</v>
      </c>
      <c r="K164" s="129"/>
    </row>
    <row r="165" spans="1:11">
      <c r="A165" s="40" t="str">
        <f t="shared" si="2"/>
        <v>EV06_slowfast_ALL_NoFlex_GB</v>
      </c>
      <c r="B165" s="120" t="s">
        <v>432</v>
      </c>
      <c r="C165" s="120" t="s">
        <v>267</v>
      </c>
      <c r="D165" s="120" t="s">
        <v>265</v>
      </c>
      <c r="E165" s="120" t="s">
        <v>267</v>
      </c>
      <c r="F165" s="120" t="s">
        <v>228</v>
      </c>
      <c r="G165" s="120" t="s">
        <v>130</v>
      </c>
      <c r="H165" s="127">
        <v>0.35416666666666669</v>
      </c>
      <c r="I165" s="128">
        <v>2.30457303868881E-4</v>
      </c>
      <c r="K165" s="129"/>
    </row>
    <row r="166" spans="1:11">
      <c r="A166" s="40" t="str">
        <f t="shared" si="2"/>
        <v>EV06_slowfast_ALL_NoFlex_GB</v>
      </c>
      <c r="B166" s="120" t="s">
        <v>432</v>
      </c>
      <c r="C166" s="120" t="s">
        <v>267</v>
      </c>
      <c r="D166" s="120" t="s">
        <v>265</v>
      </c>
      <c r="E166" s="120" t="s">
        <v>267</v>
      </c>
      <c r="F166" s="120" t="s">
        <v>228</v>
      </c>
      <c r="G166" s="120" t="s">
        <v>130</v>
      </c>
      <c r="H166" s="127">
        <v>0.375</v>
      </c>
      <c r="I166" s="128">
        <v>2.6118683252852979E-4</v>
      </c>
      <c r="K166" s="129"/>
    </row>
    <row r="167" spans="1:11">
      <c r="A167" s="40" t="str">
        <f t="shared" si="2"/>
        <v>EV06_slowfast_ALL_NoFlex_GB</v>
      </c>
      <c r="B167" s="120" t="s">
        <v>432</v>
      </c>
      <c r="C167" s="120" t="s">
        <v>267</v>
      </c>
      <c r="D167" s="120" t="s">
        <v>265</v>
      </c>
      <c r="E167" s="120" t="s">
        <v>267</v>
      </c>
      <c r="F167" s="120" t="s">
        <v>228</v>
      </c>
      <c r="G167" s="120" t="s">
        <v>130</v>
      </c>
      <c r="H167" s="127">
        <v>0.39583333333333331</v>
      </c>
      <c r="I167" s="128">
        <v>2.5312391699185344E-4</v>
      </c>
      <c r="K167" s="129"/>
    </row>
    <row r="168" spans="1:11">
      <c r="A168" s="40" t="str">
        <f t="shared" si="2"/>
        <v>EV06_slowfast_ALL_NoFlex_GB</v>
      </c>
      <c r="B168" s="120" t="s">
        <v>432</v>
      </c>
      <c r="C168" s="120" t="s">
        <v>267</v>
      </c>
      <c r="D168" s="120" t="s">
        <v>265</v>
      </c>
      <c r="E168" s="120" t="s">
        <v>267</v>
      </c>
      <c r="F168" s="120" t="s">
        <v>228</v>
      </c>
      <c r="G168" s="120" t="s">
        <v>130</v>
      </c>
      <c r="H168" s="127">
        <v>0.41666666666666669</v>
      </c>
      <c r="I168" s="128">
        <v>2.4506100145517699E-4</v>
      </c>
      <c r="K168" s="129"/>
    </row>
    <row r="169" spans="1:11">
      <c r="A169" s="40" t="str">
        <f t="shared" si="2"/>
        <v>EV06_slowfast_ALL_NoFlex_GB</v>
      </c>
      <c r="B169" s="120" t="s">
        <v>432</v>
      </c>
      <c r="C169" s="120" t="s">
        <v>267</v>
      </c>
      <c r="D169" s="120" t="s">
        <v>265</v>
      </c>
      <c r="E169" s="120" t="s">
        <v>267</v>
      </c>
      <c r="F169" s="120" t="s">
        <v>228</v>
      </c>
      <c r="G169" s="120" t="s">
        <v>130</v>
      </c>
      <c r="H169" s="127">
        <v>0.4375</v>
      </c>
      <c r="I169" s="128">
        <v>2.3200357918773547E-4</v>
      </c>
      <c r="K169" s="129"/>
    </row>
    <row r="170" spans="1:11">
      <c r="A170" s="40" t="str">
        <f t="shared" si="2"/>
        <v>EV06_slowfast_ALL_NoFlex_GB</v>
      </c>
      <c r="B170" s="120" t="s">
        <v>432</v>
      </c>
      <c r="C170" s="120" t="s">
        <v>267</v>
      </c>
      <c r="D170" s="120" t="s">
        <v>265</v>
      </c>
      <c r="E170" s="120" t="s">
        <v>267</v>
      </c>
      <c r="F170" s="120" t="s">
        <v>228</v>
      </c>
      <c r="G170" s="120" t="s">
        <v>130</v>
      </c>
      <c r="H170" s="127">
        <v>0.45833333333333331</v>
      </c>
      <c r="I170" s="128">
        <v>2.1894615692029387E-4</v>
      </c>
      <c r="K170" s="129"/>
    </row>
    <row r="171" spans="1:11">
      <c r="A171" s="40" t="str">
        <f t="shared" si="2"/>
        <v>EV06_slowfast_ALL_NoFlex_GB</v>
      </c>
      <c r="B171" s="120" t="s">
        <v>432</v>
      </c>
      <c r="C171" s="120" t="s">
        <v>267</v>
      </c>
      <c r="D171" s="120" t="s">
        <v>265</v>
      </c>
      <c r="E171" s="120" t="s">
        <v>267</v>
      </c>
      <c r="F171" s="120" t="s">
        <v>228</v>
      </c>
      <c r="G171" s="120" t="s">
        <v>130</v>
      </c>
      <c r="H171" s="127">
        <v>0.47916666666666669</v>
      </c>
      <c r="I171" s="128">
        <v>2.1370240209453187E-4</v>
      </c>
      <c r="K171" s="129"/>
    </row>
    <row r="172" spans="1:11">
      <c r="A172" s="40" t="str">
        <f t="shared" si="2"/>
        <v>EV06_slowfast_ALL_NoFlex_GB</v>
      </c>
      <c r="B172" s="120" t="s">
        <v>432</v>
      </c>
      <c r="C172" s="120" t="s">
        <v>267</v>
      </c>
      <c r="D172" s="120" t="s">
        <v>265</v>
      </c>
      <c r="E172" s="120" t="s">
        <v>267</v>
      </c>
      <c r="F172" s="120" t="s">
        <v>228</v>
      </c>
      <c r="G172" s="120" t="s">
        <v>130</v>
      </c>
      <c r="H172" s="127">
        <v>0.5</v>
      </c>
      <c r="I172" s="128">
        <v>2.084586472687699E-4</v>
      </c>
      <c r="K172" s="129"/>
    </row>
    <row r="173" spans="1:11">
      <c r="A173" s="40" t="str">
        <f t="shared" si="2"/>
        <v>EV06_slowfast_ALL_NoFlex_GB</v>
      </c>
      <c r="B173" s="120" t="s">
        <v>432</v>
      </c>
      <c r="C173" s="120" t="s">
        <v>267</v>
      </c>
      <c r="D173" s="120" t="s">
        <v>265</v>
      </c>
      <c r="E173" s="120" t="s">
        <v>267</v>
      </c>
      <c r="F173" s="120" t="s">
        <v>228</v>
      </c>
      <c r="G173" s="120" t="s">
        <v>130</v>
      </c>
      <c r="H173" s="127">
        <v>0.52083333333333337</v>
      </c>
      <c r="I173" s="128">
        <v>2.0541197109321326E-4</v>
      </c>
      <c r="K173" s="129"/>
    </row>
    <row r="174" spans="1:11">
      <c r="A174" s="40" t="str">
        <f t="shared" si="2"/>
        <v>EV06_slowfast_ALL_NoFlex_GB</v>
      </c>
      <c r="B174" s="120" t="s">
        <v>432</v>
      </c>
      <c r="C174" s="120" t="s">
        <v>267</v>
      </c>
      <c r="D174" s="120" t="s">
        <v>265</v>
      </c>
      <c r="E174" s="120" t="s">
        <v>267</v>
      </c>
      <c r="F174" s="120" t="s">
        <v>228</v>
      </c>
      <c r="G174" s="120" t="s">
        <v>130</v>
      </c>
      <c r="H174" s="127">
        <v>0.54166666666666663</v>
      </c>
      <c r="I174" s="128">
        <v>2.0236529491765663E-4</v>
      </c>
      <c r="K174" s="129"/>
    </row>
    <row r="175" spans="1:11">
      <c r="A175" s="40" t="str">
        <f t="shared" si="2"/>
        <v>EV06_slowfast_ALL_NoFlex_GB</v>
      </c>
      <c r="B175" s="120" t="s">
        <v>432</v>
      </c>
      <c r="C175" s="120" t="s">
        <v>267</v>
      </c>
      <c r="D175" s="120" t="s">
        <v>265</v>
      </c>
      <c r="E175" s="120" t="s">
        <v>267</v>
      </c>
      <c r="F175" s="120" t="s">
        <v>228</v>
      </c>
      <c r="G175" s="120" t="s">
        <v>130</v>
      </c>
      <c r="H175" s="127">
        <v>0.5625</v>
      </c>
      <c r="I175" s="128">
        <v>1.9463967667384804E-4</v>
      </c>
      <c r="K175" s="129"/>
    </row>
    <row r="176" spans="1:11">
      <c r="A176" s="40" t="str">
        <f t="shared" si="2"/>
        <v>EV06_slowfast_ALL_NoFlex_GB</v>
      </c>
      <c r="B176" s="120" t="s">
        <v>432</v>
      </c>
      <c r="C176" s="120" t="s">
        <v>267</v>
      </c>
      <c r="D176" s="120" t="s">
        <v>265</v>
      </c>
      <c r="E176" s="120" t="s">
        <v>267</v>
      </c>
      <c r="F176" s="120" t="s">
        <v>228</v>
      </c>
      <c r="G176" s="120" t="s">
        <v>130</v>
      </c>
      <c r="H176" s="127">
        <v>0.58333333333333337</v>
      </c>
      <c r="I176" s="128">
        <v>1.8691405843003936E-4</v>
      </c>
      <c r="K176" s="129"/>
    </row>
    <row r="177" spans="1:11">
      <c r="A177" s="40" t="str">
        <f t="shared" si="2"/>
        <v>EV06_slowfast_ALL_NoFlex_GB</v>
      </c>
      <c r="B177" s="120" t="s">
        <v>432</v>
      </c>
      <c r="C177" s="120" t="s">
        <v>267</v>
      </c>
      <c r="D177" s="120" t="s">
        <v>265</v>
      </c>
      <c r="E177" s="120" t="s">
        <v>267</v>
      </c>
      <c r="F177" s="120" t="s">
        <v>228</v>
      </c>
      <c r="G177" s="120" t="s">
        <v>130</v>
      </c>
      <c r="H177" s="127">
        <v>0.60416666666666663</v>
      </c>
      <c r="I177" s="128">
        <v>1.7571008128843503E-4</v>
      </c>
      <c r="K177" s="129"/>
    </row>
    <row r="178" spans="1:11">
      <c r="A178" s="40" t="str">
        <f t="shared" si="2"/>
        <v>EV06_slowfast_ALL_NoFlex_GB</v>
      </c>
      <c r="B178" s="120" t="s">
        <v>432</v>
      </c>
      <c r="C178" s="120" t="s">
        <v>267</v>
      </c>
      <c r="D178" s="120" t="s">
        <v>265</v>
      </c>
      <c r="E178" s="120" t="s">
        <v>267</v>
      </c>
      <c r="F178" s="120" t="s">
        <v>228</v>
      </c>
      <c r="G178" s="120" t="s">
        <v>130</v>
      </c>
      <c r="H178" s="127">
        <v>0.625</v>
      </c>
      <c r="I178" s="128">
        <v>1.645061041468307E-4</v>
      </c>
      <c r="K178" s="129"/>
    </row>
    <row r="179" spans="1:11">
      <c r="A179" s="40" t="str">
        <f t="shared" si="2"/>
        <v>EV06_slowfast_ALL_NoFlex_GB</v>
      </c>
      <c r="B179" s="120" t="s">
        <v>432</v>
      </c>
      <c r="C179" s="120" t="s">
        <v>267</v>
      </c>
      <c r="D179" s="120" t="s">
        <v>265</v>
      </c>
      <c r="E179" s="120" t="s">
        <v>267</v>
      </c>
      <c r="F179" s="120" t="s">
        <v>228</v>
      </c>
      <c r="G179" s="120" t="s">
        <v>130</v>
      </c>
      <c r="H179" s="127">
        <v>0.64583333333333337</v>
      </c>
      <c r="I179" s="128">
        <v>1.5630908093212129E-4</v>
      </c>
      <c r="K179" s="129"/>
    </row>
    <row r="180" spans="1:11">
      <c r="A180" s="40" t="str">
        <f t="shared" si="2"/>
        <v>EV06_slowfast_ALL_NoFlex_GB</v>
      </c>
      <c r="B180" s="120" t="s">
        <v>432</v>
      </c>
      <c r="C180" s="120" t="s">
        <v>267</v>
      </c>
      <c r="D180" s="120" t="s">
        <v>265</v>
      </c>
      <c r="E180" s="120" t="s">
        <v>267</v>
      </c>
      <c r="F180" s="120" t="s">
        <v>228</v>
      </c>
      <c r="G180" s="120" t="s">
        <v>130</v>
      </c>
      <c r="H180" s="127">
        <v>0.66666666666666663</v>
      </c>
      <c r="I180" s="128">
        <v>1.481120577174119E-4</v>
      </c>
      <c r="K180" s="129"/>
    </row>
    <row r="181" spans="1:11">
      <c r="A181" s="40" t="str">
        <f t="shared" si="2"/>
        <v>EV06_slowfast_ALL_NoFlex_GB</v>
      </c>
      <c r="B181" s="120" t="s">
        <v>432</v>
      </c>
      <c r="C181" s="120" t="s">
        <v>267</v>
      </c>
      <c r="D181" s="120" t="s">
        <v>265</v>
      </c>
      <c r="E181" s="120" t="s">
        <v>267</v>
      </c>
      <c r="F181" s="120" t="s">
        <v>228</v>
      </c>
      <c r="G181" s="120" t="s">
        <v>130</v>
      </c>
      <c r="H181" s="127">
        <v>0.6875</v>
      </c>
      <c r="I181" s="128">
        <v>1.4476832731491262E-4</v>
      </c>
      <c r="K181" s="129"/>
    </row>
    <row r="182" spans="1:11">
      <c r="A182" s="40" t="str">
        <f t="shared" si="2"/>
        <v>EV06_slowfast_ALL_NoFlex_GB</v>
      </c>
      <c r="B182" s="120" t="s">
        <v>432</v>
      </c>
      <c r="C182" s="120" t="s">
        <v>267</v>
      </c>
      <c r="D182" s="120" t="s">
        <v>265</v>
      </c>
      <c r="E182" s="120" t="s">
        <v>267</v>
      </c>
      <c r="F182" s="120" t="s">
        <v>228</v>
      </c>
      <c r="G182" s="120" t="s">
        <v>130</v>
      </c>
      <c r="H182" s="127">
        <v>0.70833333333333337</v>
      </c>
      <c r="I182" s="128">
        <v>1.4142459691241334E-4</v>
      </c>
      <c r="K182" s="129"/>
    </row>
    <row r="183" spans="1:11">
      <c r="A183" s="40" t="str">
        <f t="shared" si="2"/>
        <v>EV06_slowfast_ALL_NoFlex_GB</v>
      </c>
      <c r="B183" s="120" t="s">
        <v>432</v>
      </c>
      <c r="C183" s="120" t="s">
        <v>267</v>
      </c>
      <c r="D183" s="120" t="s">
        <v>265</v>
      </c>
      <c r="E183" s="120" t="s">
        <v>267</v>
      </c>
      <c r="F183" s="120" t="s">
        <v>228</v>
      </c>
      <c r="G183" s="120" t="s">
        <v>130</v>
      </c>
      <c r="H183" s="127">
        <v>0.72916666666666663</v>
      </c>
      <c r="I183" s="128">
        <v>1.400977769103943E-4</v>
      </c>
      <c r="K183" s="129"/>
    </row>
    <row r="184" spans="1:11">
      <c r="A184" s="40" t="str">
        <f t="shared" si="2"/>
        <v>EV06_slowfast_ALL_NoFlex_GB</v>
      </c>
      <c r="B184" s="120" t="s">
        <v>432</v>
      </c>
      <c r="C184" s="120" t="s">
        <v>267</v>
      </c>
      <c r="D184" s="120" t="s">
        <v>265</v>
      </c>
      <c r="E184" s="120" t="s">
        <v>267</v>
      </c>
      <c r="F184" s="120" t="s">
        <v>228</v>
      </c>
      <c r="G184" s="120" t="s">
        <v>130</v>
      </c>
      <c r="H184" s="127">
        <v>0.75</v>
      </c>
      <c r="I184" s="128">
        <v>1.3877095690837527E-4</v>
      </c>
      <c r="K184" s="129"/>
    </row>
    <row r="185" spans="1:11">
      <c r="A185" s="40" t="str">
        <f t="shared" si="2"/>
        <v>EV06_slowfast_ALL_NoFlex_GB</v>
      </c>
      <c r="B185" s="120" t="s">
        <v>432</v>
      </c>
      <c r="C185" s="120" t="s">
        <v>267</v>
      </c>
      <c r="D185" s="120" t="s">
        <v>265</v>
      </c>
      <c r="E185" s="120" t="s">
        <v>267</v>
      </c>
      <c r="F185" s="120" t="s">
        <v>228</v>
      </c>
      <c r="G185" s="120" t="s">
        <v>130</v>
      </c>
      <c r="H185" s="127">
        <v>0.77083333333333337</v>
      </c>
      <c r="I185" s="128">
        <v>1.2989825510290455E-4</v>
      </c>
      <c r="K185" s="129"/>
    </row>
    <row r="186" spans="1:11">
      <c r="A186" s="40" t="str">
        <f t="shared" si="2"/>
        <v>EV06_slowfast_ALL_NoFlex_GB</v>
      </c>
      <c r="B186" s="120" t="s">
        <v>432</v>
      </c>
      <c r="C186" s="120" t="s">
        <v>267</v>
      </c>
      <c r="D186" s="120" t="s">
        <v>265</v>
      </c>
      <c r="E186" s="120" t="s">
        <v>267</v>
      </c>
      <c r="F186" s="120" t="s">
        <v>228</v>
      </c>
      <c r="G186" s="120" t="s">
        <v>130</v>
      </c>
      <c r="H186" s="127">
        <v>0.79166666666666663</v>
      </c>
      <c r="I186" s="128">
        <v>1.210255532974338E-4</v>
      </c>
      <c r="K186" s="129"/>
    </row>
    <row r="187" spans="1:11">
      <c r="A187" s="40" t="str">
        <f t="shared" si="2"/>
        <v>EV06_slowfast_ALL_NoFlex_GB</v>
      </c>
      <c r="B187" s="120" t="s">
        <v>432</v>
      </c>
      <c r="C187" s="120" t="s">
        <v>267</v>
      </c>
      <c r="D187" s="120" t="s">
        <v>265</v>
      </c>
      <c r="E187" s="120" t="s">
        <v>267</v>
      </c>
      <c r="F187" s="120" t="s">
        <v>228</v>
      </c>
      <c r="G187" s="120" t="s">
        <v>130</v>
      </c>
      <c r="H187" s="127">
        <v>0.8125</v>
      </c>
      <c r="I187" s="128">
        <v>1.0582363760704424E-4</v>
      </c>
      <c r="K187" s="129"/>
    </row>
    <row r="188" spans="1:11">
      <c r="A188" s="40" t="str">
        <f t="shared" si="2"/>
        <v>EV06_slowfast_ALL_NoFlex_GB</v>
      </c>
      <c r="B188" s="120" t="s">
        <v>432</v>
      </c>
      <c r="C188" s="120" t="s">
        <v>267</v>
      </c>
      <c r="D188" s="120" t="s">
        <v>265</v>
      </c>
      <c r="E188" s="120" t="s">
        <v>267</v>
      </c>
      <c r="F188" s="120" t="s">
        <v>228</v>
      </c>
      <c r="G188" s="120" t="s">
        <v>130</v>
      </c>
      <c r="H188" s="127">
        <v>0.83333333333333337</v>
      </c>
      <c r="I188" s="128">
        <v>9.0621721916654696E-5</v>
      </c>
      <c r="K188" s="129"/>
    </row>
    <row r="189" spans="1:11">
      <c r="A189" s="40" t="str">
        <f t="shared" si="2"/>
        <v>EV06_slowfast_ALL_NoFlex_GB</v>
      </c>
      <c r="B189" s="120" t="s">
        <v>432</v>
      </c>
      <c r="C189" s="120" t="s">
        <v>267</v>
      </c>
      <c r="D189" s="120" t="s">
        <v>265</v>
      </c>
      <c r="E189" s="120" t="s">
        <v>267</v>
      </c>
      <c r="F189" s="120" t="s">
        <v>228</v>
      </c>
      <c r="G189" s="120" t="s">
        <v>130</v>
      </c>
      <c r="H189" s="127">
        <v>0.85416666666666663</v>
      </c>
      <c r="I189" s="128">
        <v>7.6742817290091308E-5</v>
      </c>
      <c r="K189" s="129"/>
    </row>
    <row r="190" spans="1:11">
      <c r="A190" s="40" t="str">
        <f t="shared" si="2"/>
        <v>EV06_slowfast_ALL_NoFlex_GB</v>
      </c>
      <c r="B190" s="120" t="s">
        <v>432</v>
      </c>
      <c r="C190" s="120" t="s">
        <v>267</v>
      </c>
      <c r="D190" s="120" t="s">
        <v>265</v>
      </c>
      <c r="E190" s="120" t="s">
        <v>267</v>
      </c>
      <c r="F190" s="120" t="s">
        <v>228</v>
      </c>
      <c r="G190" s="120" t="s">
        <v>130</v>
      </c>
      <c r="H190" s="127">
        <v>0.875</v>
      </c>
      <c r="I190" s="128">
        <v>6.2863912663527907E-5</v>
      </c>
      <c r="K190" s="129"/>
    </row>
    <row r="191" spans="1:11">
      <c r="A191" s="40" t="str">
        <f t="shared" si="2"/>
        <v>EV06_slowfast_ALL_NoFlex_GB</v>
      </c>
      <c r="B191" s="120" t="s">
        <v>432</v>
      </c>
      <c r="C191" s="120" t="s">
        <v>267</v>
      </c>
      <c r="D191" s="120" t="s">
        <v>265</v>
      </c>
      <c r="E191" s="120" t="s">
        <v>267</v>
      </c>
      <c r="F191" s="120" t="s">
        <v>228</v>
      </c>
      <c r="G191" s="120" t="s">
        <v>130</v>
      </c>
      <c r="H191" s="127">
        <v>0.89583333333333337</v>
      </c>
      <c r="I191" s="128">
        <v>5.4333557562524453E-5</v>
      </c>
      <c r="K191" s="129"/>
    </row>
    <row r="192" spans="1:11">
      <c r="A192" s="40" t="str">
        <f t="shared" si="2"/>
        <v>EV06_slowfast_ALL_NoFlex_GB</v>
      </c>
      <c r="B192" s="120" t="s">
        <v>432</v>
      </c>
      <c r="C192" s="120" t="s">
        <v>267</v>
      </c>
      <c r="D192" s="120" t="s">
        <v>265</v>
      </c>
      <c r="E192" s="120" t="s">
        <v>267</v>
      </c>
      <c r="F192" s="120" t="s">
        <v>228</v>
      </c>
      <c r="G192" s="120" t="s">
        <v>130</v>
      </c>
      <c r="H192" s="127">
        <v>0.91666666666666663</v>
      </c>
      <c r="I192" s="128">
        <v>4.5803202461521013E-5</v>
      </c>
      <c r="K192" s="129"/>
    </row>
    <row r="193" spans="1:11">
      <c r="A193" s="40" t="str">
        <f t="shared" si="2"/>
        <v>EV06_slowfast_ALL_NoFlex_GB</v>
      </c>
      <c r="B193" s="120" t="s">
        <v>432</v>
      </c>
      <c r="C193" s="120" t="s">
        <v>267</v>
      </c>
      <c r="D193" s="120" t="s">
        <v>265</v>
      </c>
      <c r="E193" s="120" t="s">
        <v>267</v>
      </c>
      <c r="F193" s="120" t="s">
        <v>228</v>
      </c>
      <c r="G193" s="120" t="s">
        <v>130</v>
      </c>
      <c r="H193" s="127">
        <v>0.9375</v>
      </c>
      <c r="I193" s="128">
        <v>4.1100458092796155E-5</v>
      </c>
      <c r="K193" s="129"/>
    </row>
    <row r="194" spans="1:11">
      <c r="A194" s="40" t="str">
        <f t="shared" si="2"/>
        <v>EV06_slowfast_ALL_NoFlex_GB</v>
      </c>
      <c r="B194" s="120" t="s">
        <v>432</v>
      </c>
      <c r="C194" s="120" t="s">
        <v>267</v>
      </c>
      <c r="D194" s="120" t="s">
        <v>265</v>
      </c>
      <c r="E194" s="120" t="s">
        <v>267</v>
      </c>
      <c r="F194" s="120" t="s">
        <v>228</v>
      </c>
      <c r="G194" s="120" t="s">
        <v>130</v>
      </c>
      <c r="H194" s="127">
        <v>0.95833333333333337</v>
      </c>
      <c r="I194" s="128">
        <v>3.639771372407129E-5</v>
      </c>
      <c r="K194" s="129"/>
    </row>
    <row r="195" spans="1:11">
      <c r="A195" s="40" t="str">
        <f t="shared" si="2"/>
        <v>EV06_slowfast_ALL_NoFlex_GB</v>
      </c>
      <c r="B195" s="120" t="s">
        <v>432</v>
      </c>
      <c r="C195" s="120" t="s">
        <v>267</v>
      </c>
      <c r="D195" s="120" t="s">
        <v>265</v>
      </c>
      <c r="E195" s="120" t="s">
        <v>267</v>
      </c>
      <c r="F195" s="120" t="s">
        <v>228</v>
      </c>
      <c r="G195" s="120" t="s">
        <v>130</v>
      </c>
      <c r="H195" s="127">
        <v>0.97916666666666663</v>
      </c>
      <c r="I195" s="128">
        <v>3.3232116660689521E-5</v>
      </c>
      <c r="K195" s="129"/>
    </row>
    <row r="196" spans="1:11">
      <c r="A196" s="40" t="str">
        <f t="shared" ref="A196:A259" si="3">_xlfn.CONCAT("EV06_",INDEX(EV_charger_type_short,MATCH(D196,EV_charger_type,0)),"_",INDEX(rep_days_short,MATCH(E196,rep_days,0)),"_",INDEX(EV_Flex_short,MATCH(F196,EV_Flex,0)),"_",G196)</f>
        <v>EV06_rapid_ALL_NoFlex_GB</v>
      </c>
      <c r="B196" s="120" t="s">
        <v>432</v>
      </c>
      <c r="C196" s="120" t="s">
        <v>267</v>
      </c>
      <c r="D196" s="120" t="s">
        <v>279</v>
      </c>
      <c r="E196" s="120" t="s">
        <v>267</v>
      </c>
      <c r="F196" s="120" t="s">
        <v>228</v>
      </c>
      <c r="G196" s="120" t="s">
        <v>130</v>
      </c>
      <c r="H196" s="127">
        <v>0</v>
      </c>
      <c r="I196" s="128">
        <v>3.4020999999999998E-5</v>
      </c>
      <c r="K196" s="129"/>
    </row>
    <row r="197" spans="1:11">
      <c r="A197" s="40" t="str">
        <f t="shared" si="3"/>
        <v>EV06_rapid_ALL_NoFlex_GB</v>
      </c>
      <c r="B197" s="120" t="s">
        <v>432</v>
      </c>
      <c r="C197" s="120" t="s">
        <v>267</v>
      </c>
      <c r="D197" s="120" t="s">
        <v>279</v>
      </c>
      <c r="E197" s="120" t="s">
        <v>267</v>
      </c>
      <c r="F197" s="120" t="s">
        <v>228</v>
      </c>
      <c r="G197" s="120" t="s">
        <v>130</v>
      </c>
      <c r="H197" s="127">
        <v>2.0833333333333332E-2</v>
      </c>
      <c r="I197" s="128">
        <v>2.6310999999999999E-5</v>
      </c>
      <c r="K197" s="129"/>
    </row>
    <row r="198" spans="1:11">
      <c r="A198" s="40" t="str">
        <f t="shared" si="3"/>
        <v>EV06_rapid_ALL_NoFlex_GB</v>
      </c>
      <c r="B198" s="120" t="s">
        <v>432</v>
      </c>
      <c r="C198" s="120" t="s">
        <v>267</v>
      </c>
      <c r="D198" s="120" t="s">
        <v>279</v>
      </c>
      <c r="E198" s="120" t="s">
        <v>267</v>
      </c>
      <c r="F198" s="120" t="s">
        <v>228</v>
      </c>
      <c r="G198" s="120" t="s">
        <v>130</v>
      </c>
      <c r="H198" s="127">
        <v>4.1666666666666664E-2</v>
      </c>
      <c r="I198" s="128">
        <v>2.1532E-5</v>
      </c>
      <c r="K198" s="129"/>
    </row>
    <row r="199" spans="1:11">
      <c r="A199" s="40" t="str">
        <f t="shared" si="3"/>
        <v>EV06_rapid_ALL_NoFlex_GB</v>
      </c>
      <c r="B199" s="120" t="s">
        <v>432</v>
      </c>
      <c r="C199" s="120" t="s">
        <v>267</v>
      </c>
      <c r="D199" s="120" t="s">
        <v>279</v>
      </c>
      <c r="E199" s="120" t="s">
        <v>267</v>
      </c>
      <c r="F199" s="120" t="s">
        <v>228</v>
      </c>
      <c r="G199" s="120" t="s">
        <v>130</v>
      </c>
      <c r="H199" s="127">
        <v>6.25E-2</v>
      </c>
      <c r="I199" s="128">
        <v>1.6753999999999999E-5</v>
      </c>
      <c r="K199" s="129"/>
    </row>
    <row r="200" spans="1:11">
      <c r="A200" s="40" t="str">
        <f t="shared" si="3"/>
        <v>EV06_rapid_ALL_NoFlex_GB</v>
      </c>
      <c r="B200" s="120" t="s">
        <v>432</v>
      </c>
      <c r="C200" s="120" t="s">
        <v>267</v>
      </c>
      <c r="D200" s="120" t="s">
        <v>279</v>
      </c>
      <c r="E200" s="120" t="s">
        <v>267</v>
      </c>
      <c r="F200" s="120" t="s">
        <v>228</v>
      </c>
      <c r="G200" s="120" t="s">
        <v>130</v>
      </c>
      <c r="H200" s="127">
        <v>8.3333333333333329E-2</v>
      </c>
      <c r="I200" s="128">
        <v>1.3865E-5</v>
      </c>
      <c r="K200" s="129"/>
    </row>
    <row r="201" spans="1:11">
      <c r="A201" s="40" t="str">
        <f t="shared" si="3"/>
        <v>EV06_rapid_ALL_NoFlex_GB</v>
      </c>
      <c r="B201" s="120" t="s">
        <v>432</v>
      </c>
      <c r="C201" s="120" t="s">
        <v>267</v>
      </c>
      <c r="D201" s="120" t="s">
        <v>279</v>
      </c>
      <c r="E201" s="120" t="s">
        <v>267</v>
      </c>
      <c r="F201" s="120" t="s">
        <v>228</v>
      </c>
      <c r="G201" s="120" t="s">
        <v>130</v>
      </c>
      <c r="H201" s="127">
        <v>0.10416666666666667</v>
      </c>
      <c r="I201" s="128">
        <v>1.0976E-5</v>
      </c>
      <c r="K201" s="129"/>
    </row>
    <row r="202" spans="1:11">
      <c r="A202" s="40" t="str">
        <f t="shared" si="3"/>
        <v>EV06_rapid_ALL_NoFlex_GB</v>
      </c>
      <c r="B202" s="120" t="s">
        <v>432</v>
      </c>
      <c r="C202" s="120" t="s">
        <v>267</v>
      </c>
      <c r="D202" s="120" t="s">
        <v>279</v>
      </c>
      <c r="E202" s="120" t="s">
        <v>267</v>
      </c>
      <c r="F202" s="120" t="s">
        <v>228</v>
      </c>
      <c r="G202" s="120" t="s">
        <v>130</v>
      </c>
      <c r="H202" s="127">
        <v>0.125</v>
      </c>
      <c r="I202" s="128">
        <v>9.6930000000000002E-6</v>
      </c>
      <c r="K202" s="129"/>
    </row>
    <row r="203" spans="1:11">
      <c r="A203" s="40" t="str">
        <f t="shared" si="3"/>
        <v>EV06_rapid_ALL_NoFlex_GB</v>
      </c>
      <c r="B203" s="120" t="s">
        <v>432</v>
      </c>
      <c r="C203" s="120" t="s">
        <v>267</v>
      </c>
      <c r="D203" s="120" t="s">
        <v>279</v>
      </c>
      <c r="E203" s="120" t="s">
        <v>267</v>
      </c>
      <c r="F203" s="120" t="s">
        <v>228</v>
      </c>
      <c r="G203" s="120" t="s">
        <v>130</v>
      </c>
      <c r="H203" s="127">
        <v>0.14583333333333334</v>
      </c>
      <c r="I203" s="128">
        <v>8.4100000000000008E-6</v>
      </c>
      <c r="K203" s="129"/>
    </row>
    <row r="204" spans="1:11">
      <c r="A204" s="40" t="str">
        <f t="shared" si="3"/>
        <v>EV06_rapid_ALL_NoFlex_GB</v>
      </c>
      <c r="B204" s="120" t="s">
        <v>432</v>
      </c>
      <c r="C204" s="120" t="s">
        <v>267</v>
      </c>
      <c r="D204" s="120" t="s">
        <v>279</v>
      </c>
      <c r="E204" s="120" t="s">
        <v>267</v>
      </c>
      <c r="F204" s="120" t="s">
        <v>228</v>
      </c>
      <c r="G204" s="120" t="s">
        <v>130</v>
      </c>
      <c r="H204" s="127">
        <v>0.16666666666666666</v>
      </c>
      <c r="I204" s="128">
        <v>8.7180000000000002E-6</v>
      </c>
      <c r="K204" s="129"/>
    </row>
    <row r="205" spans="1:11">
      <c r="A205" s="40" t="str">
        <f t="shared" si="3"/>
        <v>EV06_rapid_ALL_NoFlex_GB</v>
      </c>
      <c r="B205" s="120" t="s">
        <v>432</v>
      </c>
      <c r="C205" s="120" t="s">
        <v>267</v>
      </c>
      <c r="D205" s="120" t="s">
        <v>279</v>
      </c>
      <c r="E205" s="120" t="s">
        <v>267</v>
      </c>
      <c r="F205" s="120" t="s">
        <v>228</v>
      </c>
      <c r="G205" s="120" t="s">
        <v>130</v>
      </c>
      <c r="H205" s="127">
        <v>0.1875</v>
      </c>
      <c r="I205" s="128">
        <v>9.0270000000000001E-6</v>
      </c>
      <c r="K205" s="129"/>
    </row>
    <row r="206" spans="1:11">
      <c r="A206" s="40" t="str">
        <f t="shared" si="3"/>
        <v>EV06_rapid_ALL_NoFlex_GB</v>
      </c>
      <c r="B206" s="120" t="s">
        <v>432</v>
      </c>
      <c r="C206" s="120" t="s">
        <v>267</v>
      </c>
      <c r="D206" s="120" t="s">
        <v>279</v>
      </c>
      <c r="E206" s="120" t="s">
        <v>267</v>
      </c>
      <c r="F206" s="120" t="s">
        <v>228</v>
      </c>
      <c r="G206" s="120" t="s">
        <v>130</v>
      </c>
      <c r="H206" s="127">
        <v>0.20833333333333334</v>
      </c>
      <c r="I206" s="128">
        <v>1.2921999999999999E-5</v>
      </c>
      <c r="K206" s="129"/>
    </row>
    <row r="207" spans="1:11">
      <c r="A207" s="40" t="str">
        <f t="shared" si="3"/>
        <v>EV06_rapid_ALL_NoFlex_GB</v>
      </c>
      <c r="B207" s="120" t="s">
        <v>432</v>
      </c>
      <c r="C207" s="120" t="s">
        <v>267</v>
      </c>
      <c r="D207" s="120" t="s">
        <v>279</v>
      </c>
      <c r="E207" s="120" t="s">
        <v>267</v>
      </c>
      <c r="F207" s="120" t="s">
        <v>228</v>
      </c>
      <c r="G207" s="120" t="s">
        <v>130</v>
      </c>
      <c r="H207" s="127">
        <v>0.22916666666666666</v>
      </c>
      <c r="I207" s="128">
        <v>1.6816999999999998E-5</v>
      </c>
      <c r="K207" s="129"/>
    </row>
    <row r="208" spans="1:11">
      <c r="A208" s="40" t="str">
        <f t="shared" si="3"/>
        <v>EV06_rapid_ALL_NoFlex_GB</v>
      </c>
      <c r="B208" s="120" t="s">
        <v>432</v>
      </c>
      <c r="C208" s="120" t="s">
        <v>267</v>
      </c>
      <c r="D208" s="120" t="s">
        <v>279</v>
      </c>
      <c r="E208" s="120" t="s">
        <v>267</v>
      </c>
      <c r="F208" s="120" t="s">
        <v>228</v>
      </c>
      <c r="G208" s="120" t="s">
        <v>130</v>
      </c>
      <c r="H208" s="127">
        <v>0.25</v>
      </c>
      <c r="I208" s="128">
        <v>3.04E-5</v>
      </c>
      <c r="K208" s="129"/>
    </row>
    <row r="209" spans="1:11">
      <c r="A209" s="40" t="str">
        <f t="shared" si="3"/>
        <v>EV06_rapid_ALL_NoFlex_GB</v>
      </c>
      <c r="B209" s="120" t="s">
        <v>432</v>
      </c>
      <c r="C209" s="120" t="s">
        <v>267</v>
      </c>
      <c r="D209" s="120" t="s">
        <v>279</v>
      </c>
      <c r="E209" s="120" t="s">
        <v>267</v>
      </c>
      <c r="F209" s="120" t="s">
        <v>228</v>
      </c>
      <c r="G209" s="120" t="s">
        <v>130</v>
      </c>
      <c r="H209" s="127">
        <v>0.27083333333333331</v>
      </c>
      <c r="I209" s="128">
        <v>4.3983000000000002E-5</v>
      </c>
      <c r="K209" s="129"/>
    </row>
    <row r="210" spans="1:11">
      <c r="A210" s="40" t="str">
        <f t="shared" si="3"/>
        <v>EV06_rapid_ALL_NoFlex_GB</v>
      </c>
      <c r="B210" s="120" t="s">
        <v>432</v>
      </c>
      <c r="C210" s="120" t="s">
        <v>267</v>
      </c>
      <c r="D210" s="120" t="s">
        <v>279</v>
      </c>
      <c r="E210" s="120" t="s">
        <v>267</v>
      </c>
      <c r="F210" s="120" t="s">
        <v>228</v>
      </c>
      <c r="G210" s="120" t="s">
        <v>130</v>
      </c>
      <c r="H210" s="127">
        <v>0.29166666666666669</v>
      </c>
      <c r="I210" s="128">
        <v>6.1363000000000002E-5</v>
      </c>
      <c r="K210" s="129"/>
    </row>
    <row r="211" spans="1:11">
      <c r="A211" s="40" t="str">
        <f t="shared" si="3"/>
        <v>EV06_rapid_ALL_NoFlex_GB</v>
      </c>
      <c r="B211" s="120" t="s">
        <v>432</v>
      </c>
      <c r="C211" s="120" t="s">
        <v>267</v>
      </c>
      <c r="D211" s="120" t="s">
        <v>279</v>
      </c>
      <c r="E211" s="120" t="s">
        <v>267</v>
      </c>
      <c r="F211" s="120" t="s">
        <v>228</v>
      </c>
      <c r="G211" s="120" t="s">
        <v>130</v>
      </c>
      <c r="H211" s="127">
        <v>0.3125</v>
      </c>
      <c r="I211" s="128">
        <v>7.8744000000000004E-5</v>
      </c>
      <c r="K211" s="129"/>
    </row>
    <row r="212" spans="1:11">
      <c r="A212" s="40" t="str">
        <f t="shared" si="3"/>
        <v>EV06_rapid_ALL_NoFlex_GB</v>
      </c>
      <c r="B212" s="120" t="s">
        <v>432</v>
      </c>
      <c r="C212" s="120" t="s">
        <v>267</v>
      </c>
      <c r="D212" s="120" t="s">
        <v>279</v>
      </c>
      <c r="E212" s="120" t="s">
        <v>267</v>
      </c>
      <c r="F212" s="120" t="s">
        <v>228</v>
      </c>
      <c r="G212" s="120" t="s">
        <v>130</v>
      </c>
      <c r="H212" s="127">
        <v>0.33333333333333331</v>
      </c>
      <c r="I212" s="128">
        <v>9.7966000000000004E-5</v>
      </c>
      <c r="K212" s="129"/>
    </row>
    <row r="213" spans="1:11">
      <c r="A213" s="40" t="str">
        <f t="shared" si="3"/>
        <v>EV06_rapid_ALL_NoFlex_GB</v>
      </c>
      <c r="B213" s="120" t="s">
        <v>432</v>
      </c>
      <c r="C213" s="120" t="s">
        <v>267</v>
      </c>
      <c r="D213" s="120" t="s">
        <v>279</v>
      </c>
      <c r="E213" s="120" t="s">
        <v>267</v>
      </c>
      <c r="F213" s="120" t="s">
        <v>228</v>
      </c>
      <c r="G213" s="120" t="s">
        <v>130</v>
      </c>
      <c r="H213" s="127">
        <v>0.35416666666666669</v>
      </c>
      <c r="I213" s="128">
        <v>1.17188E-4</v>
      </c>
      <c r="K213" s="129"/>
    </row>
    <row r="214" spans="1:11">
      <c r="A214" s="40" t="str">
        <f t="shared" si="3"/>
        <v>EV06_rapid_ALL_NoFlex_GB</v>
      </c>
      <c r="B214" s="120" t="s">
        <v>432</v>
      </c>
      <c r="C214" s="120" t="s">
        <v>267</v>
      </c>
      <c r="D214" s="120" t="s">
        <v>279</v>
      </c>
      <c r="E214" s="120" t="s">
        <v>267</v>
      </c>
      <c r="F214" s="120" t="s">
        <v>228</v>
      </c>
      <c r="G214" s="120" t="s">
        <v>130</v>
      </c>
      <c r="H214" s="127">
        <v>0.375</v>
      </c>
      <c r="I214" s="128">
        <v>1.34406E-4</v>
      </c>
      <c r="K214" s="129"/>
    </row>
    <row r="215" spans="1:11">
      <c r="A215" s="40" t="str">
        <f t="shared" si="3"/>
        <v>EV06_rapid_ALL_NoFlex_GB</v>
      </c>
      <c r="B215" s="120" t="s">
        <v>432</v>
      </c>
      <c r="C215" s="120" t="s">
        <v>267</v>
      </c>
      <c r="D215" s="120" t="s">
        <v>279</v>
      </c>
      <c r="E215" s="120" t="s">
        <v>267</v>
      </c>
      <c r="F215" s="120" t="s">
        <v>228</v>
      </c>
      <c r="G215" s="120" t="s">
        <v>130</v>
      </c>
      <c r="H215" s="127">
        <v>0.39583333333333331</v>
      </c>
      <c r="I215" s="128">
        <v>1.51624E-4</v>
      </c>
      <c r="K215" s="129"/>
    </row>
    <row r="216" spans="1:11">
      <c r="A216" s="40" t="str">
        <f t="shared" si="3"/>
        <v>EV06_rapid_ALL_NoFlex_GB</v>
      </c>
      <c r="B216" s="120" t="s">
        <v>432</v>
      </c>
      <c r="C216" s="120" t="s">
        <v>267</v>
      </c>
      <c r="D216" s="120" t="s">
        <v>279</v>
      </c>
      <c r="E216" s="120" t="s">
        <v>267</v>
      </c>
      <c r="F216" s="120" t="s">
        <v>228</v>
      </c>
      <c r="G216" s="120" t="s">
        <v>130</v>
      </c>
      <c r="H216" s="127">
        <v>0.41666666666666669</v>
      </c>
      <c r="I216" s="128">
        <v>1.5789999999999999E-4</v>
      </c>
      <c r="K216" s="129"/>
    </row>
    <row r="217" spans="1:11">
      <c r="A217" s="40" t="str">
        <f t="shared" si="3"/>
        <v>EV06_rapid_ALL_NoFlex_GB</v>
      </c>
      <c r="B217" s="120" t="s">
        <v>432</v>
      </c>
      <c r="C217" s="120" t="s">
        <v>267</v>
      </c>
      <c r="D217" s="120" t="s">
        <v>279</v>
      </c>
      <c r="E217" s="120" t="s">
        <v>267</v>
      </c>
      <c r="F217" s="120" t="s">
        <v>228</v>
      </c>
      <c r="G217" s="120" t="s">
        <v>130</v>
      </c>
      <c r="H217" s="127">
        <v>0.4375</v>
      </c>
      <c r="I217" s="128">
        <v>1.6417600000000001E-4</v>
      </c>
      <c r="K217" s="129"/>
    </row>
    <row r="218" spans="1:11">
      <c r="A218" s="40" t="str">
        <f t="shared" si="3"/>
        <v>EV06_rapid_ALL_NoFlex_GB</v>
      </c>
      <c r="B218" s="120" t="s">
        <v>432</v>
      </c>
      <c r="C218" s="120" t="s">
        <v>267</v>
      </c>
      <c r="D218" s="120" t="s">
        <v>279</v>
      </c>
      <c r="E218" s="120" t="s">
        <v>267</v>
      </c>
      <c r="F218" s="120" t="s">
        <v>228</v>
      </c>
      <c r="G218" s="120" t="s">
        <v>130</v>
      </c>
      <c r="H218" s="127">
        <v>0.45833333333333331</v>
      </c>
      <c r="I218" s="128">
        <v>1.72996E-4</v>
      </c>
      <c r="K218" s="129"/>
    </row>
    <row r="219" spans="1:11">
      <c r="A219" s="40" t="str">
        <f t="shared" si="3"/>
        <v>EV06_rapid_ALL_NoFlex_GB</v>
      </c>
      <c r="B219" s="120" t="s">
        <v>432</v>
      </c>
      <c r="C219" s="120" t="s">
        <v>267</v>
      </c>
      <c r="D219" s="120" t="s">
        <v>279</v>
      </c>
      <c r="E219" s="120" t="s">
        <v>267</v>
      </c>
      <c r="F219" s="120" t="s">
        <v>228</v>
      </c>
      <c r="G219" s="120" t="s">
        <v>130</v>
      </c>
      <c r="H219" s="127">
        <v>0.47916666666666669</v>
      </c>
      <c r="I219" s="128">
        <v>1.8181499999999999E-4</v>
      </c>
      <c r="K219" s="129"/>
    </row>
    <row r="220" spans="1:11">
      <c r="A220" s="40" t="str">
        <f t="shared" si="3"/>
        <v>EV06_rapid_ALL_NoFlex_GB</v>
      </c>
      <c r="B220" s="120" t="s">
        <v>432</v>
      </c>
      <c r="C220" s="120" t="s">
        <v>267</v>
      </c>
      <c r="D220" s="120" t="s">
        <v>279</v>
      </c>
      <c r="E220" s="120" t="s">
        <v>267</v>
      </c>
      <c r="F220" s="120" t="s">
        <v>228</v>
      </c>
      <c r="G220" s="120" t="s">
        <v>130</v>
      </c>
      <c r="H220" s="127">
        <v>0.5</v>
      </c>
      <c r="I220" s="128">
        <v>1.93241E-4</v>
      </c>
      <c r="K220" s="129"/>
    </row>
    <row r="221" spans="1:11">
      <c r="A221" s="40" t="str">
        <f t="shared" si="3"/>
        <v>EV06_rapid_ALL_NoFlex_GB</v>
      </c>
      <c r="B221" s="120" t="s">
        <v>432</v>
      </c>
      <c r="C221" s="120" t="s">
        <v>267</v>
      </c>
      <c r="D221" s="120" t="s">
        <v>279</v>
      </c>
      <c r="E221" s="120" t="s">
        <v>267</v>
      </c>
      <c r="F221" s="120" t="s">
        <v>228</v>
      </c>
      <c r="G221" s="120" t="s">
        <v>130</v>
      </c>
      <c r="H221" s="127">
        <v>0.52083333333333337</v>
      </c>
      <c r="I221" s="128">
        <v>2.04668E-4</v>
      </c>
      <c r="K221" s="129"/>
    </row>
    <row r="222" spans="1:11">
      <c r="A222" s="40" t="str">
        <f t="shared" si="3"/>
        <v>EV06_rapid_ALL_NoFlex_GB</v>
      </c>
      <c r="B222" s="120" t="s">
        <v>432</v>
      </c>
      <c r="C222" s="120" t="s">
        <v>267</v>
      </c>
      <c r="D222" s="120" t="s">
        <v>279</v>
      </c>
      <c r="E222" s="120" t="s">
        <v>267</v>
      </c>
      <c r="F222" s="120" t="s">
        <v>228</v>
      </c>
      <c r="G222" s="120" t="s">
        <v>130</v>
      </c>
      <c r="H222" s="127">
        <v>0.54166666666666663</v>
      </c>
      <c r="I222" s="128">
        <v>2.0990900000000001E-4</v>
      </c>
      <c r="K222" s="129"/>
    </row>
    <row r="223" spans="1:11">
      <c r="A223" s="40" t="str">
        <f t="shared" si="3"/>
        <v>EV06_rapid_ALL_NoFlex_GB</v>
      </c>
      <c r="B223" s="120" t="s">
        <v>432</v>
      </c>
      <c r="C223" s="120" t="s">
        <v>267</v>
      </c>
      <c r="D223" s="120" t="s">
        <v>279</v>
      </c>
      <c r="E223" s="120" t="s">
        <v>267</v>
      </c>
      <c r="F223" s="120" t="s">
        <v>228</v>
      </c>
      <c r="G223" s="120" t="s">
        <v>130</v>
      </c>
      <c r="H223" s="127">
        <v>0.5625</v>
      </c>
      <c r="I223" s="128">
        <v>2.1515E-4</v>
      </c>
      <c r="K223" s="129"/>
    </row>
    <row r="224" spans="1:11">
      <c r="A224" s="40" t="str">
        <f t="shared" si="3"/>
        <v>EV06_rapid_ALL_NoFlex_GB</v>
      </c>
      <c r="B224" s="120" t="s">
        <v>432</v>
      </c>
      <c r="C224" s="120" t="s">
        <v>267</v>
      </c>
      <c r="D224" s="120" t="s">
        <v>279</v>
      </c>
      <c r="E224" s="120" t="s">
        <v>267</v>
      </c>
      <c r="F224" s="120" t="s">
        <v>228</v>
      </c>
      <c r="G224" s="120" t="s">
        <v>130</v>
      </c>
      <c r="H224" s="127">
        <v>0.58333333333333337</v>
      </c>
      <c r="I224" s="128">
        <v>2.1227999999999999E-4</v>
      </c>
      <c r="K224" s="129"/>
    </row>
    <row r="225" spans="1:11">
      <c r="A225" s="40" t="str">
        <f t="shared" si="3"/>
        <v>EV06_rapid_ALL_NoFlex_GB</v>
      </c>
      <c r="B225" s="120" t="s">
        <v>432</v>
      </c>
      <c r="C225" s="120" t="s">
        <v>267</v>
      </c>
      <c r="D225" s="120" t="s">
        <v>279</v>
      </c>
      <c r="E225" s="120" t="s">
        <v>267</v>
      </c>
      <c r="F225" s="120" t="s">
        <v>228</v>
      </c>
      <c r="G225" s="120" t="s">
        <v>130</v>
      </c>
      <c r="H225" s="127">
        <v>0.60416666666666663</v>
      </c>
      <c r="I225" s="128">
        <v>2.0940999999999999E-4</v>
      </c>
      <c r="K225" s="129"/>
    </row>
    <row r="226" spans="1:11">
      <c r="A226" s="40" t="str">
        <f t="shared" si="3"/>
        <v>EV06_rapid_ALL_NoFlex_GB</v>
      </c>
      <c r="B226" s="120" t="s">
        <v>432</v>
      </c>
      <c r="C226" s="120" t="s">
        <v>267</v>
      </c>
      <c r="D226" s="120" t="s">
        <v>279</v>
      </c>
      <c r="E226" s="120" t="s">
        <v>267</v>
      </c>
      <c r="F226" s="120" t="s">
        <v>228</v>
      </c>
      <c r="G226" s="120" t="s">
        <v>130</v>
      </c>
      <c r="H226" s="127">
        <v>0.625</v>
      </c>
      <c r="I226" s="128">
        <v>2.06422E-4</v>
      </c>
      <c r="K226" s="129"/>
    </row>
    <row r="227" spans="1:11">
      <c r="A227" s="40" t="str">
        <f t="shared" si="3"/>
        <v>EV06_rapid_ALL_NoFlex_GB</v>
      </c>
      <c r="B227" s="120" t="s">
        <v>432</v>
      </c>
      <c r="C227" s="120" t="s">
        <v>267</v>
      </c>
      <c r="D227" s="120" t="s">
        <v>279</v>
      </c>
      <c r="E227" s="120" t="s">
        <v>267</v>
      </c>
      <c r="F227" s="120" t="s">
        <v>228</v>
      </c>
      <c r="G227" s="120" t="s">
        <v>130</v>
      </c>
      <c r="H227" s="127">
        <v>0.64583333333333337</v>
      </c>
      <c r="I227" s="128">
        <v>2.03434E-4</v>
      </c>
      <c r="K227" s="129"/>
    </row>
    <row r="228" spans="1:11">
      <c r="A228" s="40" t="str">
        <f t="shared" si="3"/>
        <v>EV06_rapid_ALL_NoFlex_GB</v>
      </c>
      <c r="B228" s="120" t="s">
        <v>432</v>
      </c>
      <c r="C228" s="120" t="s">
        <v>267</v>
      </c>
      <c r="D228" s="120" t="s">
        <v>279</v>
      </c>
      <c r="E228" s="120" t="s">
        <v>267</v>
      </c>
      <c r="F228" s="120" t="s">
        <v>228</v>
      </c>
      <c r="G228" s="120" t="s">
        <v>130</v>
      </c>
      <c r="H228" s="127">
        <v>0.66666666666666663</v>
      </c>
      <c r="I228" s="128">
        <v>2.0120000000000001E-4</v>
      </c>
      <c r="K228" s="129"/>
    </row>
    <row r="229" spans="1:11">
      <c r="A229" s="40" t="str">
        <f t="shared" si="3"/>
        <v>EV06_rapid_ALL_NoFlex_GB</v>
      </c>
      <c r="B229" s="120" t="s">
        <v>432</v>
      </c>
      <c r="C229" s="120" t="s">
        <v>267</v>
      </c>
      <c r="D229" s="120" t="s">
        <v>279</v>
      </c>
      <c r="E229" s="120" t="s">
        <v>267</v>
      </c>
      <c r="F229" s="120" t="s">
        <v>228</v>
      </c>
      <c r="G229" s="120" t="s">
        <v>130</v>
      </c>
      <c r="H229" s="127">
        <v>0.6875</v>
      </c>
      <c r="I229" s="128">
        <v>1.9896700000000001E-4</v>
      </c>
      <c r="K229" s="129"/>
    </row>
    <row r="230" spans="1:11">
      <c r="A230" s="40" t="str">
        <f t="shared" si="3"/>
        <v>EV06_rapid_ALL_NoFlex_GB</v>
      </c>
      <c r="B230" s="120" t="s">
        <v>432</v>
      </c>
      <c r="C230" s="120" t="s">
        <v>267</v>
      </c>
      <c r="D230" s="120" t="s">
        <v>279</v>
      </c>
      <c r="E230" s="120" t="s">
        <v>267</v>
      </c>
      <c r="F230" s="120" t="s">
        <v>228</v>
      </c>
      <c r="G230" s="120" t="s">
        <v>130</v>
      </c>
      <c r="H230" s="127">
        <v>0.70833333333333337</v>
      </c>
      <c r="I230" s="128">
        <v>1.98185E-4</v>
      </c>
      <c r="K230" s="129"/>
    </row>
    <row r="231" spans="1:11">
      <c r="A231" s="40" t="str">
        <f t="shared" si="3"/>
        <v>EV06_rapid_ALL_NoFlex_GB</v>
      </c>
      <c r="B231" s="120" t="s">
        <v>432</v>
      </c>
      <c r="C231" s="120" t="s">
        <v>267</v>
      </c>
      <c r="D231" s="120" t="s">
        <v>279</v>
      </c>
      <c r="E231" s="120" t="s">
        <v>267</v>
      </c>
      <c r="F231" s="120" t="s">
        <v>228</v>
      </c>
      <c r="G231" s="120" t="s">
        <v>130</v>
      </c>
      <c r="H231" s="127">
        <v>0.72916666666666663</v>
      </c>
      <c r="I231" s="128">
        <v>1.9740299999999999E-4</v>
      </c>
      <c r="K231" s="129"/>
    </row>
    <row r="232" spans="1:11">
      <c r="A232" s="40" t="str">
        <f t="shared" si="3"/>
        <v>EV06_rapid_ALL_NoFlex_GB</v>
      </c>
      <c r="B232" s="120" t="s">
        <v>432</v>
      </c>
      <c r="C232" s="120" t="s">
        <v>267</v>
      </c>
      <c r="D232" s="120" t="s">
        <v>279</v>
      </c>
      <c r="E232" s="120" t="s">
        <v>267</v>
      </c>
      <c r="F232" s="120" t="s">
        <v>228</v>
      </c>
      <c r="G232" s="120" t="s">
        <v>130</v>
      </c>
      <c r="H232" s="127">
        <v>0.75</v>
      </c>
      <c r="I232" s="128">
        <v>1.9522499999999999E-4</v>
      </c>
      <c r="K232" s="129"/>
    </row>
    <row r="233" spans="1:11">
      <c r="A233" s="40" t="str">
        <f t="shared" si="3"/>
        <v>EV06_rapid_ALL_NoFlex_GB</v>
      </c>
      <c r="B233" s="120" t="s">
        <v>432</v>
      </c>
      <c r="C233" s="120" t="s">
        <v>267</v>
      </c>
      <c r="D233" s="120" t="s">
        <v>279</v>
      </c>
      <c r="E233" s="120" t="s">
        <v>267</v>
      </c>
      <c r="F233" s="120" t="s">
        <v>228</v>
      </c>
      <c r="G233" s="120" t="s">
        <v>130</v>
      </c>
      <c r="H233" s="127">
        <v>0.77083333333333337</v>
      </c>
      <c r="I233" s="128">
        <v>1.9304599999999999E-4</v>
      </c>
      <c r="K233" s="129"/>
    </row>
    <row r="234" spans="1:11">
      <c r="A234" s="40" t="str">
        <f t="shared" si="3"/>
        <v>EV06_rapid_ALL_NoFlex_GB</v>
      </c>
      <c r="B234" s="120" t="s">
        <v>432</v>
      </c>
      <c r="C234" s="120" t="s">
        <v>267</v>
      </c>
      <c r="D234" s="120" t="s">
        <v>279</v>
      </c>
      <c r="E234" s="120" t="s">
        <v>267</v>
      </c>
      <c r="F234" s="120" t="s">
        <v>228</v>
      </c>
      <c r="G234" s="120" t="s">
        <v>130</v>
      </c>
      <c r="H234" s="127">
        <v>0.79166666666666663</v>
      </c>
      <c r="I234" s="128">
        <v>1.7954000000000001E-4</v>
      </c>
      <c r="K234" s="129"/>
    </row>
    <row r="235" spans="1:11">
      <c r="A235" s="40" t="str">
        <f t="shared" si="3"/>
        <v>EV06_rapid_ALL_NoFlex_GB</v>
      </c>
      <c r="B235" s="120" t="s">
        <v>432</v>
      </c>
      <c r="C235" s="120" t="s">
        <v>267</v>
      </c>
      <c r="D235" s="120" t="s">
        <v>279</v>
      </c>
      <c r="E235" s="120" t="s">
        <v>267</v>
      </c>
      <c r="F235" s="120" t="s">
        <v>228</v>
      </c>
      <c r="G235" s="120" t="s">
        <v>130</v>
      </c>
      <c r="H235" s="127">
        <v>0.8125</v>
      </c>
      <c r="I235" s="128">
        <v>1.6603399999999999E-4</v>
      </c>
      <c r="K235" s="129"/>
    </row>
    <row r="236" spans="1:11">
      <c r="A236" s="40" t="str">
        <f t="shared" si="3"/>
        <v>EV06_rapid_ALL_NoFlex_GB</v>
      </c>
      <c r="B236" s="120" t="s">
        <v>432</v>
      </c>
      <c r="C236" s="120" t="s">
        <v>267</v>
      </c>
      <c r="D236" s="120" t="s">
        <v>279</v>
      </c>
      <c r="E236" s="120" t="s">
        <v>267</v>
      </c>
      <c r="F236" s="120" t="s">
        <v>228</v>
      </c>
      <c r="G236" s="120" t="s">
        <v>130</v>
      </c>
      <c r="H236" s="127">
        <v>0.83333333333333337</v>
      </c>
      <c r="I236" s="128">
        <v>1.4787200000000001E-4</v>
      </c>
      <c r="K236" s="129"/>
    </row>
    <row r="237" spans="1:11">
      <c r="A237" s="40" t="str">
        <f t="shared" si="3"/>
        <v>EV06_rapid_ALL_NoFlex_GB</v>
      </c>
      <c r="B237" s="120" t="s">
        <v>432</v>
      </c>
      <c r="C237" s="120" t="s">
        <v>267</v>
      </c>
      <c r="D237" s="120" t="s">
        <v>279</v>
      </c>
      <c r="E237" s="120" t="s">
        <v>267</v>
      </c>
      <c r="F237" s="120" t="s">
        <v>228</v>
      </c>
      <c r="G237" s="120" t="s">
        <v>130</v>
      </c>
      <c r="H237" s="127">
        <v>0.85416666666666663</v>
      </c>
      <c r="I237" s="128">
        <v>1.2970899999999999E-4</v>
      </c>
      <c r="K237" s="129"/>
    </row>
    <row r="238" spans="1:11">
      <c r="A238" s="40" t="str">
        <f t="shared" si="3"/>
        <v>EV06_rapid_ALL_NoFlex_GB</v>
      </c>
      <c r="B238" s="120" t="s">
        <v>432</v>
      </c>
      <c r="C238" s="120" t="s">
        <v>267</v>
      </c>
      <c r="D238" s="120" t="s">
        <v>279</v>
      </c>
      <c r="E238" s="120" t="s">
        <v>267</v>
      </c>
      <c r="F238" s="120" t="s">
        <v>228</v>
      </c>
      <c r="G238" s="120" t="s">
        <v>130</v>
      </c>
      <c r="H238" s="127">
        <v>0.875</v>
      </c>
      <c r="I238" s="128">
        <v>1.11276E-4</v>
      </c>
      <c r="K238" s="129"/>
    </row>
    <row r="239" spans="1:11">
      <c r="A239" s="40" t="str">
        <f t="shared" si="3"/>
        <v>EV06_rapid_ALL_NoFlex_GB</v>
      </c>
      <c r="B239" s="120" t="s">
        <v>432</v>
      </c>
      <c r="C239" s="120" t="s">
        <v>267</v>
      </c>
      <c r="D239" s="120" t="s">
        <v>279</v>
      </c>
      <c r="E239" s="120" t="s">
        <v>267</v>
      </c>
      <c r="F239" s="120" t="s">
        <v>228</v>
      </c>
      <c r="G239" s="120" t="s">
        <v>130</v>
      </c>
      <c r="H239" s="127">
        <v>0.89583333333333337</v>
      </c>
      <c r="I239" s="128">
        <v>9.2843000000000005E-5</v>
      </c>
      <c r="K239" s="129"/>
    </row>
    <row r="240" spans="1:11">
      <c r="A240" s="40" t="str">
        <f t="shared" si="3"/>
        <v>EV06_rapid_ALL_NoFlex_GB</v>
      </c>
      <c r="B240" s="120" t="s">
        <v>432</v>
      </c>
      <c r="C240" s="120" t="s">
        <v>267</v>
      </c>
      <c r="D240" s="120" t="s">
        <v>279</v>
      </c>
      <c r="E240" s="120" t="s">
        <v>267</v>
      </c>
      <c r="F240" s="120" t="s">
        <v>228</v>
      </c>
      <c r="G240" s="120" t="s">
        <v>130</v>
      </c>
      <c r="H240" s="127">
        <v>0.91666666666666663</v>
      </c>
      <c r="I240" s="128">
        <v>7.7174000000000003E-5</v>
      </c>
      <c r="K240" s="129"/>
    </row>
    <row r="241" spans="1:11">
      <c r="A241" s="40" t="str">
        <f t="shared" si="3"/>
        <v>EV06_rapid_ALL_NoFlex_GB</v>
      </c>
      <c r="B241" s="120" t="s">
        <v>432</v>
      </c>
      <c r="C241" s="120" t="s">
        <v>267</v>
      </c>
      <c r="D241" s="120" t="s">
        <v>279</v>
      </c>
      <c r="E241" s="120" t="s">
        <v>267</v>
      </c>
      <c r="F241" s="120" t="s">
        <v>228</v>
      </c>
      <c r="G241" s="120" t="s">
        <v>130</v>
      </c>
      <c r="H241" s="127">
        <v>0.9375</v>
      </c>
      <c r="I241" s="128">
        <v>6.1505000000000002E-5</v>
      </c>
      <c r="K241" s="129"/>
    </row>
    <row r="242" spans="1:11">
      <c r="A242" s="40" t="str">
        <f t="shared" si="3"/>
        <v>EV06_rapid_ALL_NoFlex_GB</v>
      </c>
      <c r="B242" s="120" t="s">
        <v>432</v>
      </c>
      <c r="C242" s="120" t="s">
        <v>267</v>
      </c>
      <c r="D242" s="120" t="s">
        <v>279</v>
      </c>
      <c r="E242" s="120" t="s">
        <v>267</v>
      </c>
      <c r="F242" s="120" t="s">
        <v>228</v>
      </c>
      <c r="G242" s="120" t="s">
        <v>130</v>
      </c>
      <c r="H242" s="127">
        <v>0.95833333333333337</v>
      </c>
      <c r="I242" s="128">
        <v>5.1619000000000002E-5</v>
      </c>
      <c r="K242" s="129"/>
    </row>
    <row r="243" spans="1:11">
      <c r="A243" s="40" t="str">
        <f t="shared" si="3"/>
        <v>EV06_rapid_ALL_NoFlex_GB</v>
      </c>
      <c r="B243" s="120" t="s">
        <v>432</v>
      </c>
      <c r="C243" s="120" t="s">
        <v>267</v>
      </c>
      <c r="D243" s="120" t="s">
        <v>279</v>
      </c>
      <c r="E243" s="120" t="s">
        <v>267</v>
      </c>
      <c r="F243" s="120" t="s">
        <v>228</v>
      </c>
      <c r="G243" s="120" t="s">
        <v>130</v>
      </c>
      <c r="H243" s="127">
        <v>0.97916666666666663</v>
      </c>
      <c r="I243" s="128">
        <v>4.1732E-5</v>
      </c>
      <c r="K243" s="129"/>
    </row>
    <row r="244" spans="1:11">
      <c r="A244" s="40" t="str">
        <f t="shared" si="3"/>
        <v>EV06_depot_ALL_NoFlex_GB</v>
      </c>
      <c r="B244" s="120" t="s">
        <v>432</v>
      </c>
      <c r="C244" s="120" t="s">
        <v>267</v>
      </c>
      <c r="D244" s="120" t="s">
        <v>289</v>
      </c>
      <c r="E244" s="120" t="s">
        <v>267</v>
      </c>
      <c r="F244" s="120" t="s">
        <v>228</v>
      </c>
      <c r="G244" s="120" t="s">
        <v>130</v>
      </c>
      <c r="H244" s="127">
        <v>0</v>
      </c>
      <c r="I244" s="128">
        <v>1.8804100000000001E-4</v>
      </c>
      <c r="K244" s="129"/>
    </row>
    <row r="245" spans="1:11">
      <c r="A245" s="40" t="str">
        <f t="shared" si="3"/>
        <v>EV06_depot_ALL_NoFlex_GB</v>
      </c>
      <c r="B245" s="120" t="s">
        <v>432</v>
      </c>
      <c r="C245" s="120" t="s">
        <v>267</v>
      </c>
      <c r="D245" s="120" t="s">
        <v>289</v>
      </c>
      <c r="E245" s="120" t="s">
        <v>267</v>
      </c>
      <c r="F245" s="120" t="s">
        <v>228</v>
      </c>
      <c r="G245" s="120" t="s">
        <v>130</v>
      </c>
      <c r="H245" s="127">
        <v>2.0833333333333332E-2</v>
      </c>
      <c r="I245" s="128">
        <v>1.7903E-4</v>
      </c>
      <c r="K245" s="129"/>
    </row>
    <row r="246" spans="1:11">
      <c r="A246" s="40" t="str">
        <f t="shared" si="3"/>
        <v>EV06_depot_ALL_NoFlex_GB</v>
      </c>
      <c r="B246" s="120" t="s">
        <v>432</v>
      </c>
      <c r="C246" s="120" t="s">
        <v>267</v>
      </c>
      <c r="D246" s="120" t="s">
        <v>289</v>
      </c>
      <c r="E246" s="120" t="s">
        <v>267</v>
      </c>
      <c r="F246" s="120" t="s">
        <v>228</v>
      </c>
      <c r="G246" s="120" t="s">
        <v>130</v>
      </c>
      <c r="H246" s="127">
        <v>4.1666666666666664E-2</v>
      </c>
      <c r="I246" s="128">
        <v>1.7948000000000001E-4</v>
      </c>
      <c r="K246" s="129"/>
    </row>
    <row r="247" spans="1:11">
      <c r="A247" s="40" t="str">
        <f t="shared" si="3"/>
        <v>EV06_depot_ALL_NoFlex_GB</v>
      </c>
      <c r="B247" s="120" t="s">
        <v>432</v>
      </c>
      <c r="C247" s="120" t="s">
        <v>267</v>
      </c>
      <c r="D247" s="120" t="s">
        <v>289</v>
      </c>
      <c r="E247" s="120" t="s">
        <v>267</v>
      </c>
      <c r="F247" s="120" t="s">
        <v>228</v>
      </c>
      <c r="G247" s="120" t="s">
        <v>130</v>
      </c>
      <c r="H247" s="127">
        <v>6.25E-2</v>
      </c>
      <c r="I247" s="128">
        <v>1.7992999999999999E-4</v>
      </c>
      <c r="K247" s="129"/>
    </row>
    <row r="248" spans="1:11">
      <c r="A248" s="40" t="str">
        <f t="shared" si="3"/>
        <v>EV06_depot_ALL_NoFlex_GB</v>
      </c>
      <c r="B248" s="120" t="s">
        <v>432</v>
      </c>
      <c r="C248" s="120" t="s">
        <v>267</v>
      </c>
      <c r="D248" s="120" t="s">
        <v>289</v>
      </c>
      <c r="E248" s="120" t="s">
        <v>267</v>
      </c>
      <c r="F248" s="120" t="s">
        <v>228</v>
      </c>
      <c r="G248" s="120" t="s">
        <v>130</v>
      </c>
      <c r="H248" s="127">
        <v>8.3333333333333329E-2</v>
      </c>
      <c r="I248" s="128">
        <v>1.80414E-4</v>
      </c>
      <c r="K248" s="129"/>
    </row>
    <row r="249" spans="1:11">
      <c r="A249" s="40" t="str">
        <f t="shared" si="3"/>
        <v>EV06_depot_ALL_NoFlex_GB</v>
      </c>
      <c r="B249" s="120" t="s">
        <v>432</v>
      </c>
      <c r="C249" s="120" t="s">
        <v>267</v>
      </c>
      <c r="D249" s="120" t="s">
        <v>289</v>
      </c>
      <c r="E249" s="120" t="s">
        <v>267</v>
      </c>
      <c r="F249" s="120" t="s">
        <v>228</v>
      </c>
      <c r="G249" s="120" t="s">
        <v>130</v>
      </c>
      <c r="H249" s="127">
        <v>0.10416666666666667</v>
      </c>
      <c r="I249" s="128">
        <v>1.80898E-4</v>
      </c>
      <c r="K249" s="129"/>
    </row>
    <row r="250" spans="1:11">
      <c r="A250" s="40" t="str">
        <f t="shared" si="3"/>
        <v>EV06_depot_ALL_NoFlex_GB</v>
      </c>
      <c r="B250" s="120" t="s">
        <v>432</v>
      </c>
      <c r="C250" s="120" t="s">
        <v>267</v>
      </c>
      <c r="D250" s="120" t="s">
        <v>289</v>
      </c>
      <c r="E250" s="120" t="s">
        <v>267</v>
      </c>
      <c r="F250" s="120" t="s">
        <v>228</v>
      </c>
      <c r="G250" s="120" t="s">
        <v>130</v>
      </c>
      <c r="H250" s="127">
        <v>0.125</v>
      </c>
      <c r="I250" s="128">
        <v>1.76097E-4</v>
      </c>
      <c r="K250" s="129"/>
    </row>
    <row r="251" spans="1:11">
      <c r="A251" s="40" t="str">
        <f t="shared" si="3"/>
        <v>EV06_depot_ALL_NoFlex_GB</v>
      </c>
      <c r="B251" s="120" t="s">
        <v>432</v>
      </c>
      <c r="C251" s="120" t="s">
        <v>267</v>
      </c>
      <c r="D251" s="120" t="s">
        <v>289</v>
      </c>
      <c r="E251" s="120" t="s">
        <v>267</v>
      </c>
      <c r="F251" s="120" t="s">
        <v>228</v>
      </c>
      <c r="G251" s="120" t="s">
        <v>130</v>
      </c>
      <c r="H251" s="127">
        <v>0.14583333333333334</v>
      </c>
      <c r="I251" s="128">
        <v>1.71297E-4</v>
      </c>
      <c r="K251" s="129"/>
    </row>
    <row r="252" spans="1:11">
      <c r="A252" s="40" t="str">
        <f t="shared" si="3"/>
        <v>EV06_depot_ALL_NoFlex_GB</v>
      </c>
      <c r="B252" s="120" t="s">
        <v>432</v>
      </c>
      <c r="C252" s="120" t="s">
        <v>267</v>
      </c>
      <c r="D252" s="120" t="s">
        <v>289</v>
      </c>
      <c r="E252" s="120" t="s">
        <v>267</v>
      </c>
      <c r="F252" s="120" t="s">
        <v>228</v>
      </c>
      <c r="G252" s="120" t="s">
        <v>130</v>
      </c>
      <c r="H252" s="127">
        <v>0.16666666666666666</v>
      </c>
      <c r="I252" s="128">
        <v>1.58443E-4</v>
      </c>
      <c r="K252" s="129"/>
    </row>
    <row r="253" spans="1:11">
      <c r="A253" s="40" t="str">
        <f t="shared" si="3"/>
        <v>EV06_depot_ALL_NoFlex_GB</v>
      </c>
      <c r="B253" s="120" t="s">
        <v>432</v>
      </c>
      <c r="C253" s="120" t="s">
        <v>267</v>
      </c>
      <c r="D253" s="120" t="s">
        <v>289</v>
      </c>
      <c r="E253" s="120" t="s">
        <v>267</v>
      </c>
      <c r="F253" s="120" t="s">
        <v>228</v>
      </c>
      <c r="G253" s="120" t="s">
        <v>130</v>
      </c>
      <c r="H253" s="127">
        <v>0.1875</v>
      </c>
      <c r="I253" s="128">
        <v>1.45589E-4</v>
      </c>
      <c r="K253" s="129"/>
    </row>
    <row r="254" spans="1:11">
      <c r="A254" s="40" t="str">
        <f t="shared" si="3"/>
        <v>EV06_depot_ALL_NoFlex_GB</v>
      </c>
      <c r="B254" s="120" t="s">
        <v>432</v>
      </c>
      <c r="C254" s="120" t="s">
        <v>267</v>
      </c>
      <c r="D254" s="120" t="s">
        <v>289</v>
      </c>
      <c r="E254" s="120" t="s">
        <v>267</v>
      </c>
      <c r="F254" s="120" t="s">
        <v>228</v>
      </c>
      <c r="G254" s="120" t="s">
        <v>130</v>
      </c>
      <c r="H254" s="127">
        <v>0.20833333333333334</v>
      </c>
      <c r="I254" s="128">
        <v>1.2917899999999999E-4</v>
      </c>
      <c r="K254" s="129"/>
    </row>
    <row r="255" spans="1:11">
      <c r="A255" s="40" t="str">
        <f t="shared" si="3"/>
        <v>EV06_depot_ALL_NoFlex_GB</v>
      </c>
      <c r="B255" s="120" t="s">
        <v>432</v>
      </c>
      <c r="C255" s="120" t="s">
        <v>267</v>
      </c>
      <c r="D255" s="120" t="s">
        <v>289</v>
      </c>
      <c r="E255" s="120" t="s">
        <v>267</v>
      </c>
      <c r="F255" s="120" t="s">
        <v>228</v>
      </c>
      <c r="G255" s="120" t="s">
        <v>130</v>
      </c>
      <c r="H255" s="127">
        <v>0.22916666666666666</v>
      </c>
      <c r="I255" s="128">
        <v>1.1277000000000001E-4</v>
      </c>
      <c r="K255" s="129"/>
    </row>
    <row r="256" spans="1:11">
      <c r="A256" s="40" t="str">
        <f t="shared" si="3"/>
        <v>EV06_depot_ALL_NoFlex_GB</v>
      </c>
      <c r="B256" s="120" t="s">
        <v>432</v>
      </c>
      <c r="C256" s="120" t="s">
        <v>267</v>
      </c>
      <c r="D256" s="120" t="s">
        <v>289</v>
      </c>
      <c r="E256" s="120" t="s">
        <v>267</v>
      </c>
      <c r="F256" s="120" t="s">
        <v>228</v>
      </c>
      <c r="G256" s="120" t="s">
        <v>130</v>
      </c>
      <c r="H256" s="127">
        <v>0.25</v>
      </c>
      <c r="I256" s="128">
        <v>1.01684E-4</v>
      </c>
      <c r="K256" s="129"/>
    </row>
    <row r="257" spans="1:11">
      <c r="A257" s="40" t="str">
        <f t="shared" si="3"/>
        <v>EV06_depot_ALL_NoFlex_GB</v>
      </c>
      <c r="B257" s="120" t="s">
        <v>432</v>
      </c>
      <c r="C257" s="120" t="s">
        <v>267</v>
      </c>
      <c r="D257" s="120" t="s">
        <v>289</v>
      </c>
      <c r="E257" s="120" t="s">
        <v>267</v>
      </c>
      <c r="F257" s="120" t="s">
        <v>228</v>
      </c>
      <c r="G257" s="120" t="s">
        <v>130</v>
      </c>
      <c r="H257" s="127">
        <v>0.27083333333333331</v>
      </c>
      <c r="I257" s="128">
        <v>9.0598000000000002E-5</v>
      </c>
      <c r="K257" s="129"/>
    </row>
    <row r="258" spans="1:11">
      <c r="A258" s="40" t="str">
        <f t="shared" si="3"/>
        <v>EV06_depot_ALL_NoFlex_GB</v>
      </c>
      <c r="B258" s="120" t="s">
        <v>432</v>
      </c>
      <c r="C258" s="120" t="s">
        <v>267</v>
      </c>
      <c r="D258" s="120" t="s">
        <v>289</v>
      </c>
      <c r="E258" s="120" t="s">
        <v>267</v>
      </c>
      <c r="F258" s="120" t="s">
        <v>228</v>
      </c>
      <c r="G258" s="120" t="s">
        <v>130</v>
      </c>
      <c r="H258" s="127">
        <v>0.29166666666666669</v>
      </c>
      <c r="I258" s="128">
        <v>8.1175999999999997E-5</v>
      </c>
      <c r="K258" s="129"/>
    </row>
    <row r="259" spans="1:11">
      <c r="A259" s="40" t="str">
        <f t="shared" si="3"/>
        <v>EV06_depot_ALL_NoFlex_GB</v>
      </c>
      <c r="B259" s="120" t="s">
        <v>432</v>
      </c>
      <c r="C259" s="120" t="s">
        <v>267</v>
      </c>
      <c r="D259" s="120" t="s">
        <v>289</v>
      </c>
      <c r="E259" s="120" t="s">
        <v>267</v>
      </c>
      <c r="F259" s="120" t="s">
        <v>228</v>
      </c>
      <c r="G259" s="120" t="s">
        <v>130</v>
      </c>
      <c r="H259" s="127">
        <v>0.3125</v>
      </c>
      <c r="I259" s="128">
        <v>7.1753000000000002E-5</v>
      </c>
      <c r="K259" s="129"/>
    </row>
    <row r="260" spans="1:11">
      <c r="A260" s="40" t="str">
        <f t="shared" ref="A260:A291" si="4">_xlfn.CONCAT("EV06_",INDEX(EV_charger_type_short,MATCH(D260,EV_charger_type,0)),"_",INDEX(rep_days_short,MATCH(E260,rep_days,0)),"_",INDEX(EV_Flex_short,MATCH(F260,EV_Flex,0)),"_",G260)</f>
        <v>EV06_depot_ALL_NoFlex_GB</v>
      </c>
      <c r="B260" s="120" t="s">
        <v>432</v>
      </c>
      <c r="C260" s="120" t="s">
        <v>267</v>
      </c>
      <c r="D260" s="120" t="s">
        <v>289</v>
      </c>
      <c r="E260" s="120" t="s">
        <v>267</v>
      </c>
      <c r="F260" s="120" t="s">
        <v>228</v>
      </c>
      <c r="G260" s="120" t="s">
        <v>130</v>
      </c>
      <c r="H260" s="127">
        <v>0.33333333333333331</v>
      </c>
      <c r="I260" s="128">
        <v>6.4772999999999998E-5</v>
      </c>
      <c r="K260" s="129"/>
    </row>
    <row r="261" spans="1:11">
      <c r="A261" s="40" t="str">
        <f t="shared" si="4"/>
        <v>EV06_depot_ALL_NoFlex_GB</v>
      </c>
      <c r="B261" s="120" t="s">
        <v>432</v>
      </c>
      <c r="C261" s="120" t="s">
        <v>267</v>
      </c>
      <c r="D261" s="120" t="s">
        <v>289</v>
      </c>
      <c r="E261" s="120" t="s">
        <v>267</v>
      </c>
      <c r="F261" s="120" t="s">
        <v>228</v>
      </c>
      <c r="G261" s="120" t="s">
        <v>130</v>
      </c>
      <c r="H261" s="127">
        <v>0.35416666666666669</v>
      </c>
      <c r="I261" s="128">
        <v>5.7793E-5</v>
      </c>
      <c r="K261" s="129"/>
    </row>
    <row r="262" spans="1:11">
      <c r="A262" s="40" t="str">
        <f t="shared" si="4"/>
        <v>EV06_depot_ALL_NoFlex_GB</v>
      </c>
      <c r="B262" s="120" t="s">
        <v>432</v>
      </c>
      <c r="C262" s="120" t="s">
        <v>267</v>
      </c>
      <c r="D262" s="120" t="s">
        <v>289</v>
      </c>
      <c r="E262" s="120" t="s">
        <v>267</v>
      </c>
      <c r="F262" s="120" t="s">
        <v>228</v>
      </c>
      <c r="G262" s="120" t="s">
        <v>130</v>
      </c>
      <c r="H262" s="127">
        <v>0.375</v>
      </c>
      <c r="I262" s="128">
        <v>5.2413000000000001E-5</v>
      </c>
      <c r="K262" s="129"/>
    </row>
    <row r="263" spans="1:11">
      <c r="A263" s="40" t="str">
        <f t="shared" si="4"/>
        <v>EV06_depot_ALL_NoFlex_GB</v>
      </c>
      <c r="B263" s="120" t="s">
        <v>432</v>
      </c>
      <c r="C263" s="120" t="s">
        <v>267</v>
      </c>
      <c r="D263" s="120" t="s">
        <v>289</v>
      </c>
      <c r="E263" s="120" t="s">
        <v>267</v>
      </c>
      <c r="F263" s="120" t="s">
        <v>228</v>
      </c>
      <c r="G263" s="120" t="s">
        <v>130</v>
      </c>
      <c r="H263" s="127">
        <v>0.39583333333333331</v>
      </c>
      <c r="I263" s="128">
        <v>4.7033000000000002E-5</v>
      </c>
      <c r="K263" s="129"/>
    </row>
    <row r="264" spans="1:11">
      <c r="A264" s="40" t="str">
        <f t="shared" si="4"/>
        <v>EV06_depot_ALL_NoFlex_GB</v>
      </c>
      <c r="B264" s="120" t="s">
        <v>432</v>
      </c>
      <c r="C264" s="120" t="s">
        <v>267</v>
      </c>
      <c r="D264" s="120" t="s">
        <v>289</v>
      </c>
      <c r="E264" s="120" t="s">
        <v>267</v>
      </c>
      <c r="F264" s="120" t="s">
        <v>228</v>
      </c>
      <c r="G264" s="120" t="s">
        <v>130</v>
      </c>
      <c r="H264" s="127">
        <v>0.41666666666666669</v>
      </c>
      <c r="I264" s="128">
        <v>4.3441E-5</v>
      </c>
      <c r="K264" s="129"/>
    </row>
    <row r="265" spans="1:11">
      <c r="A265" s="40" t="str">
        <f t="shared" si="4"/>
        <v>EV06_depot_ALL_NoFlex_GB</v>
      </c>
      <c r="B265" s="120" t="s">
        <v>432</v>
      </c>
      <c r="C265" s="120" t="s">
        <v>267</v>
      </c>
      <c r="D265" s="120" t="s">
        <v>289</v>
      </c>
      <c r="E265" s="120" t="s">
        <v>267</v>
      </c>
      <c r="F265" s="120" t="s">
        <v>228</v>
      </c>
      <c r="G265" s="120" t="s">
        <v>130</v>
      </c>
      <c r="H265" s="127">
        <v>0.4375</v>
      </c>
      <c r="I265" s="128">
        <v>3.9848999999999997E-5</v>
      </c>
      <c r="K265" s="129"/>
    </row>
    <row r="266" spans="1:11">
      <c r="A266" s="40" t="str">
        <f t="shared" si="4"/>
        <v>EV06_depot_ALL_NoFlex_GB</v>
      </c>
      <c r="B266" s="120" t="s">
        <v>432</v>
      </c>
      <c r="C266" s="120" t="s">
        <v>267</v>
      </c>
      <c r="D266" s="120" t="s">
        <v>289</v>
      </c>
      <c r="E266" s="120" t="s">
        <v>267</v>
      </c>
      <c r="F266" s="120" t="s">
        <v>228</v>
      </c>
      <c r="G266" s="120" t="s">
        <v>130</v>
      </c>
      <c r="H266" s="127">
        <v>0.45833333333333331</v>
      </c>
      <c r="I266" s="128">
        <v>3.8006000000000002E-5</v>
      </c>
      <c r="K266" s="129"/>
    </row>
    <row r="267" spans="1:11">
      <c r="A267" s="40" t="str">
        <f t="shared" si="4"/>
        <v>EV06_depot_ALL_NoFlex_GB</v>
      </c>
      <c r="B267" s="120" t="s">
        <v>432</v>
      </c>
      <c r="C267" s="120" t="s">
        <v>267</v>
      </c>
      <c r="D267" s="120" t="s">
        <v>289</v>
      </c>
      <c r="E267" s="120" t="s">
        <v>267</v>
      </c>
      <c r="F267" s="120" t="s">
        <v>228</v>
      </c>
      <c r="G267" s="120" t="s">
        <v>130</v>
      </c>
      <c r="H267" s="127">
        <v>0.47916666666666669</v>
      </c>
      <c r="I267" s="128">
        <v>3.6161999999999997E-5</v>
      </c>
      <c r="K267" s="129"/>
    </row>
    <row r="268" spans="1:11">
      <c r="A268" s="40" t="str">
        <f t="shared" si="4"/>
        <v>EV06_depot_ALL_NoFlex_GB</v>
      </c>
      <c r="B268" s="120" t="s">
        <v>432</v>
      </c>
      <c r="C268" s="120" t="s">
        <v>267</v>
      </c>
      <c r="D268" s="120" t="s">
        <v>289</v>
      </c>
      <c r="E268" s="120" t="s">
        <v>267</v>
      </c>
      <c r="F268" s="120" t="s">
        <v>228</v>
      </c>
      <c r="G268" s="120" t="s">
        <v>130</v>
      </c>
      <c r="H268" s="127">
        <v>0.5</v>
      </c>
      <c r="I268" s="128">
        <v>3.5043999999999999E-5</v>
      </c>
      <c r="K268" s="129"/>
    </row>
    <row r="269" spans="1:11">
      <c r="A269" s="40" t="str">
        <f t="shared" si="4"/>
        <v>EV06_depot_ALL_NoFlex_GB</v>
      </c>
      <c r="B269" s="120" t="s">
        <v>432</v>
      </c>
      <c r="C269" s="120" t="s">
        <v>267</v>
      </c>
      <c r="D269" s="120" t="s">
        <v>289</v>
      </c>
      <c r="E269" s="120" t="s">
        <v>267</v>
      </c>
      <c r="F269" s="120" t="s">
        <v>228</v>
      </c>
      <c r="G269" s="120" t="s">
        <v>130</v>
      </c>
      <c r="H269" s="127">
        <v>0.52083333333333337</v>
      </c>
      <c r="I269" s="128">
        <v>3.3927000000000002E-5</v>
      </c>
      <c r="K269" s="129"/>
    </row>
    <row r="270" spans="1:11">
      <c r="A270" s="40" t="str">
        <f t="shared" si="4"/>
        <v>EV06_depot_ALL_NoFlex_GB</v>
      </c>
      <c r="B270" s="120" t="s">
        <v>432</v>
      </c>
      <c r="C270" s="120" t="s">
        <v>267</v>
      </c>
      <c r="D270" s="120" t="s">
        <v>289</v>
      </c>
      <c r="E270" s="120" t="s">
        <v>267</v>
      </c>
      <c r="F270" s="120" t="s">
        <v>228</v>
      </c>
      <c r="G270" s="120" t="s">
        <v>130</v>
      </c>
      <c r="H270" s="127">
        <v>0.54166666666666663</v>
      </c>
      <c r="I270" s="128">
        <v>3.3578000000000003E-5</v>
      </c>
      <c r="K270" s="129"/>
    </row>
    <row r="271" spans="1:11">
      <c r="A271" s="40" t="str">
        <f t="shared" si="4"/>
        <v>EV06_depot_ALL_NoFlex_GB</v>
      </c>
      <c r="B271" s="120" t="s">
        <v>432</v>
      </c>
      <c r="C271" s="120" t="s">
        <v>267</v>
      </c>
      <c r="D271" s="120" t="s">
        <v>289</v>
      </c>
      <c r="E271" s="120" t="s">
        <v>267</v>
      </c>
      <c r="F271" s="120" t="s">
        <v>228</v>
      </c>
      <c r="G271" s="120" t="s">
        <v>130</v>
      </c>
      <c r="H271" s="127">
        <v>0.5625</v>
      </c>
      <c r="I271" s="128">
        <v>3.3229000000000003E-5</v>
      </c>
      <c r="K271" s="129"/>
    </row>
    <row r="272" spans="1:11">
      <c r="A272" s="40" t="str">
        <f t="shared" si="4"/>
        <v>EV06_depot_ALL_NoFlex_GB</v>
      </c>
      <c r="B272" s="120" t="s">
        <v>432</v>
      </c>
      <c r="C272" s="120" t="s">
        <v>267</v>
      </c>
      <c r="D272" s="120" t="s">
        <v>289</v>
      </c>
      <c r="E272" s="120" t="s">
        <v>267</v>
      </c>
      <c r="F272" s="120" t="s">
        <v>228</v>
      </c>
      <c r="G272" s="120" t="s">
        <v>130</v>
      </c>
      <c r="H272" s="127">
        <v>0.58333333333333337</v>
      </c>
      <c r="I272" s="128">
        <v>3.3868000000000002E-5</v>
      </c>
      <c r="K272" s="129"/>
    </row>
    <row r="273" spans="1:11">
      <c r="A273" s="40" t="str">
        <f t="shared" si="4"/>
        <v>EV06_depot_ALL_NoFlex_GB</v>
      </c>
      <c r="B273" s="120" t="s">
        <v>432</v>
      </c>
      <c r="C273" s="120" t="s">
        <v>267</v>
      </c>
      <c r="D273" s="120" t="s">
        <v>289</v>
      </c>
      <c r="E273" s="120" t="s">
        <v>267</v>
      </c>
      <c r="F273" s="120" t="s">
        <v>228</v>
      </c>
      <c r="G273" s="120" t="s">
        <v>130</v>
      </c>
      <c r="H273" s="127">
        <v>0.60416666666666663</v>
      </c>
      <c r="I273" s="128">
        <v>3.4507E-5</v>
      </c>
      <c r="K273" s="129"/>
    </row>
    <row r="274" spans="1:11">
      <c r="A274" s="40" t="str">
        <f t="shared" si="4"/>
        <v>EV06_depot_ALL_NoFlex_GB</v>
      </c>
      <c r="B274" s="120" t="s">
        <v>432</v>
      </c>
      <c r="C274" s="120" t="s">
        <v>267</v>
      </c>
      <c r="D274" s="120" t="s">
        <v>289</v>
      </c>
      <c r="E274" s="120" t="s">
        <v>267</v>
      </c>
      <c r="F274" s="120" t="s">
        <v>228</v>
      </c>
      <c r="G274" s="120" t="s">
        <v>130</v>
      </c>
      <c r="H274" s="127">
        <v>0.625</v>
      </c>
      <c r="I274" s="128">
        <v>3.7996E-5</v>
      </c>
      <c r="K274" s="129"/>
    </row>
    <row r="275" spans="1:11">
      <c r="A275" s="40" t="str">
        <f t="shared" si="4"/>
        <v>EV06_depot_ALL_NoFlex_GB</v>
      </c>
      <c r="B275" s="120" t="s">
        <v>432</v>
      </c>
      <c r="C275" s="120" t="s">
        <v>267</v>
      </c>
      <c r="D275" s="120" t="s">
        <v>289</v>
      </c>
      <c r="E275" s="120" t="s">
        <v>267</v>
      </c>
      <c r="F275" s="120" t="s">
        <v>228</v>
      </c>
      <c r="G275" s="120" t="s">
        <v>130</v>
      </c>
      <c r="H275" s="127">
        <v>0.64583333333333337</v>
      </c>
      <c r="I275" s="128">
        <v>4.1485E-5</v>
      </c>
      <c r="K275" s="129"/>
    </row>
    <row r="276" spans="1:11">
      <c r="A276" s="40" t="str">
        <f t="shared" si="4"/>
        <v>EV06_depot_ALL_NoFlex_GB</v>
      </c>
      <c r="B276" s="120" t="s">
        <v>432</v>
      </c>
      <c r="C276" s="120" t="s">
        <v>267</v>
      </c>
      <c r="D276" s="120" t="s">
        <v>289</v>
      </c>
      <c r="E276" s="120" t="s">
        <v>267</v>
      </c>
      <c r="F276" s="120" t="s">
        <v>228</v>
      </c>
      <c r="G276" s="120" t="s">
        <v>130</v>
      </c>
      <c r="H276" s="127">
        <v>0.66666666666666663</v>
      </c>
      <c r="I276" s="128">
        <v>5.0856000000000002E-5</v>
      </c>
      <c r="K276" s="129"/>
    </row>
    <row r="277" spans="1:11">
      <c r="A277" s="40" t="str">
        <f t="shared" si="4"/>
        <v>EV06_depot_ALL_NoFlex_GB</v>
      </c>
      <c r="B277" s="120" t="s">
        <v>432</v>
      </c>
      <c r="C277" s="120" t="s">
        <v>267</v>
      </c>
      <c r="D277" s="120" t="s">
        <v>289</v>
      </c>
      <c r="E277" s="120" t="s">
        <v>267</v>
      </c>
      <c r="F277" s="120" t="s">
        <v>228</v>
      </c>
      <c r="G277" s="120" t="s">
        <v>130</v>
      </c>
      <c r="H277" s="127">
        <v>0.6875</v>
      </c>
      <c r="I277" s="128">
        <v>6.0226999999999998E-5</v>
      </c>
      <c r="K277" s="129"/>
    </row>
    <row r="278" spans="1:11">
      <c r="A278" s="40" t="str">
        <f t="shared" si="4"/>
        <v>EV06_depot_ALL_NoFlex_GB</v>
      </c>
      <c r="B278" s="120" t="s">
        <v>432</v>
      </c>
      <c r="C278" s="120" t="s">
        <v>267</v>
      </c>
      <c r="D278" s="120" t="s">
        <v>289</v>
      </c>
      <c r="E278" s="120" t="s">
        <v>267</v>
      </c>
      <c r="F278" s="120" t="s">
        <v>228</v>
      </c>
      <c r="G278" s="120" t="s">
        <v>130</v>
      </c>
      <c r="H278" s="127">
        <v>0.70833333333333337</v>
      </c>
      <c r="I278" s="128">
        <v>7.9237E-5</v>
      </c>
      <c r="K278" s="129"/>
    </row>
    <row r="279" spans="1:11">
      <c r="A279" s="40" t="str">
        <f t="shared" si="4"/>
        <v>EV06_depot_ALL_NoFlex_GB</v>
      </c>
      <c r="B279" s="120" t="s">
        <v>432</v>
      </c>
      <c r="C279" s="120" t="s">
        <v>267</v>
      </c>
      <c r="D279" s="120" t="s">
        <v>289</v>
      </c>
      <c r="E279" s="120" t="s">
        <v>267</v>
      </c>
      <c r="F279" s="120" t="s">
        <v>228</v>
      </c>
      <c r="G279" s="120" t="s">
        <v>130</v>
      </c>
      <c r="H279" s="127">
        <v>0.72916666666666663</v>
      </c>
      <c r="I279" s="128">
        <v>9.8245999999999994E-5</v>
      </c>
      <c r="K279" s="129"/>
    </row>
    <row r="280" spans="1:11">
      <c r="A280" s="40" t="str">
        <f t="shared" si="4"/>
        <v>EV06_depot_ALL_NoFlex_GB</v>
      </c>
      <c r="B280" s="120" t="s">
        <v>432</v>
      </c>
      <c r="C280" s="120" t="s">
        <v>267</v>
      </c>
      <c r="D280" s="120" t="s">
        <v>289</v>
      </c>
      <c r="E280" s="120" t="s">
        <v>267</v>
      </c>
      <c r="F280" s="120" t="s">
        <v>228</v>
      </c>
      <c r="G280" s="120" t="s">
        <v>130</v>
      </c>
      <c r="H280" s="127">
        <v>0.75</v>
      </c>
      <c r="I280" s="128">
        <v>1.25807E-4</v>
      </c>
      <c r="K280" s="129"/>
    </row>
    <row r="281" spans="1:11">
      <c r="A281" s="40" t="str">
        <f t="shared" si="4"/>
        <v>EV06_depot_ALL_NoFlex_GB</v>
      </c>
      <c r="B281" s="120" t="s">
        <v>432</v>
      </c>
      <c r="C281" s="120" t="s">
        <v>267</v>
      </c>
      <c r="D281" s="120" t="s">
        <v>289</v>
      </c>
      <c r="E281" s="120" t="s">
        <v>267</v>
      </c>
      <c r="F281" s="120" t="s">
        <v>228</v>
      </c>
      <c r="G281" s="120" t="s">
        <v>130</v>
      </c>
      <c r="H281" s="127">
        <v>0.77083333333333337</v>
      </c>
      <c r="I281" s="128">
        <v>1.53368E-4</v>
      </c>
      <c r="K281" s="129"/>
    </row>
    <row r="282" spans="1:11">
      <c r="A282" s="40" t="str">
        <f t="shared" si="4"/>
        <v>EV06_depot_ALL_NoFlex_GB</v>
      </c>
      <c r="B282" s="120" t="s">
        <v>432</v>
      </c>
      <c r="C282" s="120" t="s">
        <v>267</v>
      </c>
      <c r="D282" s="120" t="s">
        <v>289</v>
      </c>
      <c r="E282" s="120" t="s">
        <v>267</v>
      </c>
      <c r="F282" s="120" t="s">
        <v>228</v>
      </c>
      <c r="G282" s="120" t="s">
        <v>130</v>
      </c>
      <c r="H282" s="127">
        <v>0.79166666666666663</v>
      </c>
      <c r="I282" s="128">
        <v>1.6919E-4</v>
      </c>
      <c r="K282" s="129"/>
    </row>
    <row r="283" spans="1:11">
      <c r="A283" s="40" t="str">
        <f t="shared" si="4"/>
        <v>EV06_depot_ALL_NoFlex_GB</v>
      </c>
      <c r="B283" s="120" t="s">
        <v>432</v>
      </c>
      <c r="C283" s="120" t="s">
        <v>267</v>
      </c>
      <c r="D283" s="120" t="s">
        <v>289</v>
      </c>
      <c r="E283" s="120" t="s">
        <v>267</v>
      </c>
      <c r="F283" s="120" t="s">
        <v>228</v>
      </c>
      <c r="G283" s="120" t="s">
        <v>130</v>
      </c>
      <c r="H283" s="127">
        <v>0.8125</v>
      </c>
      <c r="I283" s="128">
        <v>1.85012E-4</v>
      </c>
      <c r="K283" s="129"/>
    </row>
    <row r="284" spans="1:11">
      <c r="A284" s="40" t="str">
        <f t="shared" si="4"/>
        <v>EV06_depot_ALL_NoFlex_GB</v>
      </c>
      <c r="B284" s="120" t="s">
        <v>432</v>
      </c>
      <c r="C284" s="120" t="s">
        <v>267</v>
      </c>
      <c r="D284" s="120" t="s">
        <v>289</v>
      </c>
      <c r="E284" s="120" t="s">
        <v>267</v>
      </c>
      <c r="F284" s="120" t="s">
        <v>228</v>
      </c>
      <c r="G284" s="120" t="s">
        <v>130</v>
      </c>
      <c r="H284" s="127">
        <v>0.83333333333333337</v>
      </c>
      <c r="I284" s="128">
        <v>1.8919600000000001E-4</v>
      </c>
      <c r="K284" s="129"/>
    </row>
    <row r="285" spans="1:11">
      <c r="A285" s="40" t="str">
        <f t="shared" si="4"/>
        <v>EV06_depot_ALL_NoFlex_GB</v>
      </c>
      <c r="B285" s="120" t="s">
        <v>432</v>
      </c>
      <c r="C285" s="120" t="s">
        <v>267</v>
      </c>
      <c r="D285" s="120" t="s">
        <v>289</v>
      </c>
      <c r="E285" s="120" t="s">
        <v>267</v>
      </c>
      <c r="F285" s="120" t="s">
        <v>228</v>
      </c>
      <c r="G285" s="120" t="s">
        <v>130</v>
      </c>
      <c r="H285" s="127">
        <v>0.85416666666666663</v>
      </c>
      <c r="I285" s="128">
        <v>1.9337900000000001E-4</v>
      </c>
      <c r="K285" s="129"/>
    </row>
    <row r="286" spans="1:11">
      <c r="A286" s="40" t="str">
        <f t="shared" si="4"/>
        <v>EV06_depot_ALL_NoFlex_GB</v>
      </c>
      <c r="B286" s="120" t="s">
        <v>432</v>
      </c>
      <c r="C286" s="120" t="s">
        <v>267</v>
      </c>
      <c r="D286" s="120" t="s">
        <v>289</v>
      </c>
      <c r="E286" s="120" t="s">
        <v>267</v>
      </c>
      <c r="F286" s="120" t="s">
        <v>228</v>
      </c>
      <c r="G286" s="120" t="s">
        <v>130</v>
      </c>
      <c r="H286" s="127">
        <v>0.875</v>
      </c>
      <c r="I286" s="128">
        <v>1.9623500000000001E-4</v>
      </c>
      <c r="K286" s="129"/>
    </row>
    <row r="287" spans="1:11">
      <c r="A287" s="40" t="str">
        <f t="shared" si="4"/>
        <v>EV06_depot_ALL_NoFlex_GB</v>
      </c>
      <c r="B287" s="120" t="s">
        <v>432</v>
      </c>
      <c r="C287" s="120" t="s">
        <v>267</v>
      </c>
      <c r="D287" s="120" t="s">
        <v>289</v>
      </c>
      <c r="E287" s="120" t="s">
        <v>267</v>
      </c>
      <c r="F287" s="120" t="s">
        <v>228</v>
      </c>
      <c r="G287" s="120" t="s">
        <v>130</v>
      </c>
      <c r="H287" s="127">
        <v>0.89583333333333337</v>
      </c>
      <c r="I287" s="128">
        <v>1.9909100000000001E-4</v>
      </c>
      <c r="K287" s="129"/>
    </row>
    <row r="288" spans="1:11">
      <c r="A288" s="40" t="str">
        <f t="shared" si="4"/>
        <v>EV06_depot_ALL_NoFlex_GB</v>
      </c>
      <c r="B288" s="120" t="s">
        <v>432</v>
      </c>
      <c r="C288" s="120" t="s">
        <v>267</v>
      </c>
      <c r="D288" s="120" t="s">
        <v>289</v>
      </c>
      <c r="E288" s="120" t="s">
        <v>267</v>
      </c>
      <c r="F288" s="120" t="s">
        <v>228</v>
      </c>
      <c r="G288" s="120" t="s">
        <v>130</v>
      </c>
      <c r="H288" s="127">
        <v>0.91666666666666663</v>
      </c>
      <c r="I288" s="128">
        <v>1.9829599999999999E-4</v>
      </c>
      <c r="K288" s="129"/>
    </row>
    <row r="289" spans="1:11">
      <c r="A289" s="40" t="str">
        <f t="shared" si="4"/>
        <v>EV06_depot_ALL_NoFlex_GB</v>
      </c>
      <c r="B289" s="120" t="s">
        <v>432</v>
      </c>
      <c r="C289" s="120" t="s">
        <v>267</v>
      </c>
      <c r="D289" s="120" t="s">
        <v>289</v>
      </c>
      <c r="E289" s="120" t="s">
        <v>267</v>
      </c>
      <c r="F289" s="120" t="s">
        <v>228</v>
      </c>
      <c r="G289" s="120" t="s">
        <v>130</v>
      </c>
      <c r="H289" s="127">
        <v>0.9375</v>
      </c>
      <c r="I289" s="128">
        <v>1.9750099999999999E-4</v>
      </c>
      <c r="K289" s="129"/>
    </row>
    <row r="290" spans="1:11">
      <c r="A290" s="40" t="str">
        <f t="shared" si="4"/>
        <v>EV06_depot_ALL_NoFlex_GB</v>
      </c>
      <c r="B290" s="120" t="s">
        <v>432</v>
      </c>
      <c r="C290" s="120" t="s">
        <v>267</v>
      </c>
      <c r="D290" s="120" t="s">
        <v>289</v>
      </c>
      <c r="E290" s="120" t="s">
        <v>267</v>
      </c>
      <c r="F290" s="120" t="s">
        <v>228</v>
      </c>
      <c r="G290" s="120" t="s">
        <v>130</v>
      </c>
      <c r="H290" s="127">
        <v>0.95833333333333337</v>
      </c>
      <c r="I290" s="128">
        <v>1.97276E-4</v>
      </c>
      <c r="K290" s="129"/>
    </row>
    <row r="291" spans="1:11">
      <c r="A291" s="40" t="str">
        <f t="shared" si="4"/>
        <v>EV06_depot_ALL_NoFlex_GB</v>
      </c>
      <c r="B291" s="120" t="s">
        <v>432</v>
      </c>
      <c r="C291" s="120" t="s">
        <v>267</v>
      </c>
      <c r="D291" s="120" t="s">
        <v>289</v>
      </c>
      <c r="E291" s="120" t="s">
        <v>267</v>
      </c>
      <c r="F291" s="120" t="s">
        <v>228</v>
      </c>
      <c r="G291" s="120" t="s">
        <v>130</v>
      </c>
      <c r="H291" s="127">
        <v>0.97916666666666663</v>
      </c>
      <c r="I291" s="128">
        <v>1.97052E-4</v>
      </c>
      <c r="K291" s="129"/>
    </row>
  </sheetData>
  <sheetProtection formatCells="0" formatColumns="0" formatRows="0"/>
  <protectedRanges>
    <protectedRange sqref="A4:A291" name="Range1"/>
  </protectedRanges>
  <dataValidations count="5">
    <dataValidation type="list" allowBlank="1" showInputMessage="1" showErrorMessage="1" sqref="G4:G291" xr:uid="{4EB1141B-ECF2-43B9-A3BF-CE64C66363EC}">
      <formula1>spatial_res</formula1>
    </dataValidation>
    <dataValidation type="list" allowBlank="1" showInputMessage="1" showErrorMessage="1" sqref="E4:E291" xr:uid="{38E1844F-A845-492D-B70A-E427478F3E74}">
      <formula1>rep_days</formula1>
    </dataValidation>
    <dataValidation type="list" allowBlank="1" showInputMessage="1" showErrorMessage="1" sqref="F4:F291" xr:uid="{18849BF0-5CDB-4470-B7E1-BD532F26F28A}">
      <formula1>EV_Flex</formula1>
    </dataValidation>
    <dataValidation type="list" allowBlank="1" showInputMessage="1" showErrorMessage="1" sqref="C4:C291" xr:uid="{F8D971BB-BEF3-4DCF-842E-203E6F9A4A5A}">
      <formula1>EV_BBs</formula1>
    </dataValidation>
    <dataValidation type="list" allowBlank="1" showInputMessage="1" showErrorMessage="1" sqref="D4:D291" xr:uid="{DB0A77A3-E091-46C5-8ABC-33EF4324CB9B}">
      <formula1>EV_charger_type</formula1>
    </dataValidation>
  </dataValidations>
  <hyperlinks>
    <hyperlink ref="A1" location="Contents!A1" display="Back to contents" xr:uid="{DEB34B32-FA37-416B-8284-3936CD487101}"/>
    <hyperlink ref="A2" location="'EV CPA Summary Table'!A1" display="Back to EV CPA Summary Table " xr:uid="{0D54EC23-4629-4B16-BD64-EC019BC911B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93C9F-5BAD-4BA8-A2A5-000DA7EB9552}">
  <sheetPr>
    <tabColor theme="8" tint="0.79998168889431442"/>
  </sheetPr>
  <dimension ref="A1:J120"/>
  <sheetViews>
    <sheetView showGridLines="0" workbookViewId="0">
      <pane xSplit="1" ySplit="3" topLeftCell="B4" activePane="bottomRight" state="frozen"/>
      <selection pane="bottomRight"/>
      <selection pane="bottomLeft" activeCell="C8" sqref="C8"/>
      <selection pane="topRight" activeCell="C8" sqref="C8"/>
    </sheetView>
  </sheetViews>
  <sheetFormatPr defaultColWidth="8.8984375" defaultRowHeight="20.45"/>
  <cols>
    <col min="1" max="1" width="33.8984375" style="119" customWidth="1"/>
    <col min="2" max="2" width="23.19921875" style="119" customWidth="1"/>
    <col min="3" max="3" width="21.8984375" style="119" customWidth="1"/>
    <col min="4" max="4" width="21.19921875" style="119" customWidth="1"/>
    <col min="5" max="6" width="24.19921875" style="119" customWidth="1"/>
    <col min="7" max="7" width="30.5" style="119" customWidth="1"/>
    <col min="8" max="8" width="37.5" style="119" customWidth="1"/>
    <col min="9" max="9" width="39.09765625" style="119" customWidth="1"/>
    <col min="10" max="10" width="15.8984375" style="119" customWidth="1"/>
    <col min="11" max="16384" width="8.8984375" style="119"/>
  </cols>
  <sheetData>
    <row r="1" spans="1:10">
      <c r="A1" s="117" t="s">
        <v>57</v>
      </c>
    </row>
    <row r="2" spans="1:10">
      <c r="A2" s="117" t="s">
        <v>338</v>
      </c>
    </row>
    <row r="3" spans="1:10" ht="21.6" customHeight="1">
      <c r="A3" s="170" t="s">
        <v>162</v>
      </c>
      <c r="B3" s="170" t="s">
        <v>340</v>
      </c>
      <c r="C3" s="170" t="s">
        <v>166</v>
      </c>
      <c r="D3" s="170" t="s">
        <v>482</v>
      </c>
      <c r="E3" s="170" t="s">
        <v>483</v>
      </c>
      <c r="F3" s="170" t="s">
        <v>484</v>
      </c>
      <c r="G3" s="170" t="s">
        <v>485</v>
      </c>
      <c r="H3" s="170" t="s">
        <v>493</v>
      </c>
      <c r="I3" s="170" t="s">
        <v>494</v>
      </c>
      <c r="J3" s="170" t="s">
        <v>488</v>
      </c>
    </row>
    <row r="4" spans="1:10">
      <c r="A4" s="40" t="str">
        <f t="shared" ref="A4:A35" si="0">_xlfn.CONCAT("EV07_",INDEX(EV_charger_type_short,MATCH(D4,EV_charger_type,0)),"_",INDEX(rep_days_short,MATCH(E4,rep_days,0)),"_",INDEX(EV_Flex_short,MATCH(F4,EV_Flex,0)),"_",G4)</f>
        <v>EV07_domestic_ALL_ALL_GB</v>
      </c>
      <c r="B4" s="36" t="s">
        <v>443</v>
      </c>
      <c r="C4" s="36" t="s">
        <v>267</v>
      </c>
      <c r="D4" s="36" t="s">
        <v>226</v>
      </c>
      <c r="E4" s="36" t="s">
        <v>267</v>
      </c>
      <c r="F4" s="36" t="s">
        <v>267</v>
      </c>
      <c r="G4" s="36" t="s">
        <v>130</v>
      </c>
      <c r="H4" s="36">
        <v>1</v>
      </c>
      <c r="I4" s="36">
        <v>1</v>
      </c>
      <c r="J4" s="56">
        <v>15.177</v>
      </c>
    </row>
    <row r="5" spans="1:10">
      <c r="A5" s="40" t="str">
        <f t="shared" si="0"/>
        <v>EV07_domestic_ALL_ALL_GB</v>
      </c>
      <c r="B5" s="36" t="s">
        <v>443</v>
      </c>
      <c r="C5" s="36" t="s">
        <v>267</v>
      </c>
      <c r="D5" s="36" t="s">
        <v>226</v>
      </c>
      <c r="E5" s="36" t="s">
        <v>267</v>
      </c>
      <c r="F5" s="36" t="s">
        <v>267</v>
      </c>
      <c r="G5" s="36" t="s">
        <v>130</v>
      </c>
      <c r="H5" s="36">
        <v>2</v>
      </c>
      <c r="I5" s="36">
        <v>2</v>
      </c>
      <c r="J5" s="56">
        <v>9.2959999999999994</v>
      </c>
    </row>
    <row r="6" spans="1:10">
      <c r="A6" s="40" t="str">
        <f t="shared" si="0"/>
        <v>EV07_domestic_ALL_ALL_GB</v>
      </c>
      <c r="B6" s="36" t="s">
        <v>443</v>
      </c>
      <c r="C6" s="36" t="s">
        <v>267</v>
      </c>
      <c r="D6" s="36" t="s">
        <v>226</v>
      </c>
      <c r="E6" s="36" t="s">
        <v>267</v>
      </c>
      <c r="F6" s="36" t="s">
        <v>267</v>
      </c>
      <c r="G6" s="36" t="s">
        <v>130</v>
      </c>
      <c r="H6" s="36">
        <v>3</v>
      </c>
      <c r="I6" s="36">
        <v>3</v>
      </c>
      <c r="J6" s="56">
        <v>8.6210000000000004</v>
      </c>
    </row>
    <row r="7" spans="1:10">
      <c r="A7" s="40" t="str">
        <f t="shared" si="0"/>
        <v>EV07_domestic_ALL_ALL_GB</v>
      </c>
      <c r="B7" s="36" t="s">
        <v>443</v>
      </c>
      <c r="C7" s="36" t="s">
        <v>267</v>
      </c>
      <c r="D7" s="36" t="s">
        <v>226</v>
      </c>
      <c r="E7" s="36" t="s">
        <v>267</v>
      </c>
      <c r="F7" s="36" t="s">
        <v>267</v>
      </c>
      <c r="G7" s="36" t="s">
        <v>130</v>
      </c>
      <c r="H7" s="36">
        <v>4</v>
      </c>
      <c r="I7" s="36">
        <v>4</v>
      </c>
      <c r="J7" s="56">
        <v>7.82</v>
      </c>
    </row>
    <row r="8" spans="1:10">
      <c r="A8" s="40" t="str">
        <f t="shared" si="0"/>
        <v>EV07_domestic_ALL_ALL_GB</v>
      </c>
      <c r="B8" s="36" t="s">
        <v>443</v>
      </c>
      <c r="C8" s="36" t="s">
        <v>267</v>
      </c>
      <c r="D8" s="36" t="s">
        <v>226</v>
      </c>
      <c r="E8" s="36" t="s">
        <v>267</v>
      </c>
      <c r="F8" s="36" t="s">
        <v>267</v>
      </c>
      <c r="G8" s="36" t="s">
        <v>130</v>
      </c>
      <c r="H8" s="36">
        <v>5</v>
      </c>
      <c r="I8" s="36">
        <v>6</v>
      </c>
      <c r="J8" s="56">
        <v>6.4290000000000003</v>
      </c>
    </row>
    <row r="9" spans="1:10">
      <c r="A9" s="40" t="str">
        <f t="shared" si="0"/>
        <v>EV07_domestic_ALL_ALL_GB</v>
      </c>
      <c r="B9" s="36" t="s">
        <v>443</v>
      </c>
      <c r="C9" s="36" t="s">
        <v>267</v>
      </c>
      <c r="D9" s="36" t="s">
        <v>226</v>
      </c>
      <c r="E9" s="36" t="s">
        <v>267</v>
      </c>
      <c r="F9" s="36" t="s">
        <v>267</v>
      </c>
      <c r="G9" s="36" t="s">
        <v>130</v>
      </c>
      <c r="H9" s="36">
        <v>7</v>
      </c>
      <c r="I9" s="36">
        <v>8</v>
      </c>
      <c r="J9" s="56">
        <v>5.306</v>
      </c>
    </row>
    <row r="10" spans="1:10">
      <c r="A10" s="40" t="str">
        <f t="shared" si="0"/>
        <v>EV07_domestic_ALL_ALL_GB</v>
      </c>
      <c r="B10" s="36" t="s">
        <v>443</v>
      </c>
      <c r="C10" s="36" t="s">
        <v>267</v>
      </c>
      <c r="D10" s="36" t="s">
        <v>226</v>
      </c>
      <c r="E10" s="36" t="s">
        <v>267</v>
      </c>
      <c r="F10" s="36" t="s">
        <v>267</v>
      </c>
      <c r="G10" s="36" t="s">
        <v>130</v>
      </c>
      <c r="H10" s="36">
        <v>9</v>
      </c>
      <c r="I10" s="36">
        <v>11</v>
      </c>
      <c r="J10" s="56">
        <v>4.9109999999999996</v>
      </c>
    </row>
    <row r="11" spans="1:10">
      <c r="A11" s="40" t="str">
        <f t="shared" si="0"/>
        <v>EV07_domestic_ALL_ALL_GB</v>
      </c>
      <c r="B11" s="36" t="s">
        <v>443</v>
      </c>
      <c r="C11" s="36" t="s">
        <v>267</v>
      </c>
      <c r="D11" s="36" t="s">
        <v>226</v>
      </c>
      <c r="E11" s="36" t="s">
        <v>267</v>
      </c>
      <c r="F11" s="36" t="s">
        <v>267</v>
      </c>
      <c r="G11" s="36" t="s">
        <v>130</v>
      </c>
      <c r="H11" s="36">
        <v>12</v>
      </c>
      <c r="I11" s="36">
        <v>14</v>
      </c>
      <c r="J11" s="56">
        <v>4.2069999999999999</v>
      </c>
    </row>
    <row r="12" spans="1:10">
      <c r="A12" s="40" t="str">
        <f t="shared" si="0"/>
        <v>EV07_domestic_ALL_ALL_GB</v>
      </c>
      <c r="B12" s="36" t="s">
        <v>443</v>
      </c>
      <c r="C12" s="36" t="s">
        <v>267</v>
      </c>
      <c r="D12" s="36" t="s">
        <v>226</v>
      </c>
      <c r="E12" s="36" t="s">
        <v>267</v>
      </c>
      <c r="F12" s="36" t="s">
        <v>267</v>
      </c>
      <c r="G12" s="36" t="s">
        <v>130</v>
      </c>
      <c r="H12" s="36">
        <v>15</v>
      </c>
      <c r="I12" s="36">
        <v>17</v>
      </c>
      <c r="J12" s="56">
        <v>3.831</v>
      </c>
    </row>
    <row r="13" spans="1:10">
      <c r="A13" s="40" t="str">
        <f t="shared" si="0"/>
        <v>EV07_domestic_ALL_ALL_GB</v>
      </c>
      <c r="B13" s="36" t="s">
        <v>443</v>
      </c>
      <c r="C13" s="36" t="s">
        <v>267</v>
      </c>
      <c r="D13" s="36" t="s">
        <v>226</v>
      </c>
      <c r="E13" s="36" t="s">
        <v>267</v>
      </c>
      <c r="F13" s="36" t="s">
        <v>267</v>
      </c>
      <c r="G13" s="36" t="s">
        <v>130</v>
      </c>
      <c r="H13" s="36">
        <v>18</v>
      </c>
      <c r="I13" s="36">
        <v>20</v>
      </c>
      <c r="J13" s="56">
        <v>3.6019999999999999</v>
      </c>
    </row>
    <row r="14" spans="1:10">
      <c r="A14" s="40" t="str">
        <f t="shared" si="0"/>
        <v>EV07_domestic_ALL_ALL_GB</v>
      </c>
      <c r="B14" s="36" t="s">
        <v>443</v>
      </c>
      <c r="C14" s="36" t="s">
        <v>267</v>
      </c>
      <c r="D14" s="36" t="s">
        <v>226</v>
      </c>
      <c r="E14" s="36" t="s">
        <v>267</v>
      </c>
      <c r="F14" s="36" t="s">
        <v>267</v>
      </c>
      <c r="G14" s="36" t="s">
        <v>130</v>
      </c>
      <c r="H14" s="36">
        <v>21</v>
      </c>
      <c r="I14" s="36">
        <v>24</v>
      </c>
      <c r="J14" s="56">
        <v>3.2330000000000001</v>
      </c>
    </row>
    <row r="15" spans="1:10">
      <c r="A15" s="40" t="str">
        <f t="shared" si="0"/>
        <v>EV07_domestic_ALL_ALL_GB</v>
      </c>
      <c r="B15" s="36" t="s">
        <v>443</v>
      </c>
      <c r="C15" s="36" t="s">
        <v>267</v>
      </c>
      <c r="D15" s="36" t="s">
        <v>226</v>
      </c>
      <c r="E15" s="36" t="s">
        <v>267</v>
      </c>
      <c r="F15" s="36" t="s">
        <v>267</v>
      </c>
      <c r="G15" s="36" t="s">
        <v>130</v>
      </c>
      <c r="H15" s="36">
        <v>25</v>
      </c>
      <c r="I15" s="36">
        <v>29</v>
      </c>
      <c r="J15" s="56">
        <v>3.1339999999999999</v>
      </c>
    </row>
    <row r="16" spans="1:10">
      <c r="A16" s="40" t="str">
        <f t="shared" si="0"/>
        <v>EV07_domestic_ALL_ALL_GB</v>
      </c>
      <c r="B16" s="36" t="s">
        <v>443</v>
      </c>
      <c r="C16" s="36" t="s">
        <v>267</v>
      </c>
      <c r="D16" s="36" t="s">
        <v>226</v>
      </c>
      <c r="E16" s="36" t="s">
        <v>267</v>
      </c>
      <c r="F16" s="36" t="s">
        <v>267</v>
      </c>
      <c r="G16" s="36" t="s">
        <v>130</v>
      </c>
      <c r="H16" s="36">
        <v>30</v>
      </c>
      <c r="I16" s="36">
        <v>39</v>
      </c>
      <c r="J16" s="56">
        <v>2.8780000000000001</v>
      </c>
    </row>
    <row r="17" spans="1:10">
      <c r="A17" s="40" t="str">
        <f t="shared" si="0"/>
        <v>EV07_domestic_ALL_ALL_GB</v>
      </c>
      <c r="B17" s="36" t="s">
        <v>443</v>
      </c>
      <c r="C17" s="36" t="s">
        <v>267</v>
      </c>
      <c r="D17" s="36" t="s">
        <v>226</v>
      </c>
      <c r="E17" s="36" t="s">
        <v>267</v>
      </c>
      <c r="F17" s="36" t="s">
        <v>267</v>
      </c>
      <c r="G17" s="36" t="s">
        <v>130</v>
      </c>
      <c r="H17" s="36">
        <v>40</v>
      </c>
      <c r="I17" s="36">
        <v>49</v>
      </c>
      <c r="J17" s="56">
        <v>2.5779999999999998</v>
      </c>
    </row>
    <row r="18" spans="1:10">
      <c r="A18" s="40" t="str">
        <f t="shared" si="0"/>
        <v>EV07_domestic_ALL_ALL_GB</v>
      </c>
      <c r="B18" s="36" t="s">
        <v>443</v>
      </c>
      <c r="C18" s="36" t="s">
        <v>267</v>
      </c>
      <c r="D18" s="36" t="s">
        <v>226</v>
      </c>
      <c r="E18" s="36" t="s">
        <v>267</v>
      </c>
      <c r="F18" s="36" t="s">
        <v>267</v>
      </c>
      <c r="G18" s="36" t="s">
        <v>130</v>
      </c>
      <c r="H18" s="36">
        <v>50</v>
      </c>
      <c r="I18" s="36">
        <v>74</v>
      </c>
      <c r="J18" s="56">
        <v>2.3839999999999999</v>
      </c>
    </row>
    <row r="19" spans="1:10">
      <c r="A19" s="40" t="str">
        <f>_xlfn.CONCAT("EV07_",INDEX(EV_charger_type_short,MATCH(D19,EV_charger_type,0)),"_",INDEX(rep_days_short,MATCH(E19,rep_days,0)),"_",INDEX(EV_Flex_short,MATCH(F19,EV_Flex,0)),"_",G19)</f>
        <v>EV07_domestic_ALL_ALL_GB</v>
      </c>
      <c r="B19" s="36" t="s">
        <v>443</v>
      </c>
      <c r="C19" s="36" t="s">
        <v>267</v>
      </c>
      <c r="D19" s="36" t="s">
        <v>226</v>
      </c>
      <c r="E19" s="36" t="s">
        <v>267</v>
      </c>
      <c r="F19" s="36" t="s">
        <v>267</v>
      </c>
      <c r="G19" s="36" t="s">
        <v>130</v>
      </c>
      <c r="H19" s="36">
        <v>75</v>
      </c>
      <c r="I19" s="36">
        <v>99</v>
      </c>
      <c r="J19" s="56">
        <v>2.085</v>
      </c>
    </row>
    <row r="20" spans="1:10">
      <c r="A20" s="40" t="str">
        <f>_xlfn.CONCAT("EV07_",INDEX(EV_charger_type_short,MATCH(D20,EV_charger_type,0)),"_",INDEX(rep_days_short,MATCH(E20,rep_days,0)),"_",INDEX(EV_Flex_short,MATCH(F20,EV_Flex,0)),"_",G20)</f>
        <v>EV07_domestic_ALL_ALL_GB</v>
      </c>
      <c r="B20" s="36" t="s">
        <v>443</v>
      </c>
      <c r="C20" s="36" t="s">
        <v>267</v>
      </c>
      <c r="D20" s="36" t="s">
        <v>226</v>
      </c>
      <c r="E20" s="36" t="s">
        <v>267</v>
      </c>
      <c r="F20" s="36" t="s">
        <v>267</v>
      </c>
      <c r="G20" s="36" t="s">
        <v>130</v>
      </c>
      <c r="H20" s="36">
        <v>100</v>
      </c>
      <c r="I20" s="36">
        <v>149</v>
      </c>
      <c r="J20" s="56">
        <v>1.95</v>
      </c>
    </row>
    <row r="21" spans="1:10">
      <c r="A21" s="40" t="str">
        <f>_xlfn.CONCAT("EV07_",INDEX(EV_charger_type_short,MATCH(D21,EV_charger_type,0)),"_",INDEX(rep_days_short,MATCH(E21,rep_days,0)),"_",INDEX(EV_Flex_short,MATCH(F21,EV_Flex,0)),"_",G21)</f>
        <v>EV07_domestic_ALL_ALL_GB</v>
      </c>
      <c r="B21" s="36" t="s">
        <v>443</v>
      </c>
      <c r="C21" s="36" t="s">
        <v>267</v>
      </c>
      <c r="D21" s="36" t="s">
        <v>226</v>
      </c>
      <c r="E21" s="36" t="s">
        <v>267</v>
      </c>
      <c r="F21" s="36" t="s">
        <v>267</v>
      </c>
      <c r="G21" s="36" t="s">
        <v>130</v>
      </c>
      <c r="H21" s="36">
        <v>150</v>
      </c>
      <c r="I21" s="36">
        <v>199</v>
      </c>
      <c r="J21" s="56">
        <v>1.7310000000000001</v>
      </c>
    </row>
    <row r="22" spans="1:10">
      <c r="A22" s="40" t="str">
        <f t="shared" si="0"/>
        <v>EV07_domestic_ALL_ALL_GB</v>
      </c>
      <c r="B22" s="36" t="s">
        <v>443</v>
      </c>
      <c r="C22" s="36" t="s">
        <v>267</v>
      </c>
      <c r="D22" s="36" t="s">
        <v>226</v>
      </c>
      <c r="E22" s="36" t="s">
        <v>267</v>
      </c>
      <c r="F22" s="36" t="s">
        <v>267</v>
      </c>
      <c r="G22" s="36" t="s">
        <v>130</v>
      </c>
      <c r="H22" s="36">
        <v>200</v>
      </c>
      <c r="I22" s="36">
        <v>299</v>
      </c>
      <c r="J22" s="56">
        <v>1.627</v>
      </c>
    </row>
    <row r="23" spans="1:10">
      <c r="A23" s="40" t="str">
        <f t="shared" si="0"/>
        <v>EV07_domestic_ALL_ALL_GB</v>
      </c>
      <c r="B23" s="36" t="s">
        <v>443</v>
      </c>
      <c r="C23" s="36" t="s">
        <v>267</v>
      </c>
      <c r="D23" s="36" t="s">
        <v>226</v>
      </c>
      <c r="E23" s="36" t="s">
        <v>267</v>
      </c>
      <c r="F23" s="36" t="s">
        <v>267</v>
      </c>
      <c r="G23" s="36" t="s">
        <v>130</v>
      </c>
      <c r="H23" s="36">
        <v>300</v>
      </c>
      <c r="I23" s="36">
        <v>499</v>
      </c>
      <c r="J23" s="56">
        <v>1.4990000000000001</v>
      </c>
    </row>
    <row r="24" spans="1:10">
      <c r="A24" s="40" t="str">
        <f t="shared" si="0"/>
        <v>EV07_domestic_ALL_ALL_GB</v>
      </c>
      <c r="B24" s="36" t="s">
        <v>443</v>
      </c>
      <c r="C24" s="36" t="s">
        <v>267</v>
      </c>
      <c r="D24" s="36" t="s">
        <v>226</v>
      </c>
      <c r="E24" s="36" t="s">
        <v>267</v>
      </c>
      <c r="F24" s="36" t="s">
        <v>267</v>
      </c>
      <c r="G24" s="36" t="s">
        <v>130</v>
      </c>
      <c r="H24" s="36">
        <v>500</v>
      </c>
      <c r="I24" s="36">
        <v>749</v>
      </c>
      <c r="J24" s="56">
        <v>1.3680000000000001</v>
      </c>
    </row>
    <row r="25" spans="1:10">
      <c r="A25" s="40" t="str">
        <f t="shared" si="0"/>
        <v>EV07_domestic_ALL_ALL_GB</v>
      </c>
      <c r="B25" s="36" t="s">
        <v>443</v>
      </c>
      <c r="C25" s="36" t="s">
        <v>267</v>
      </c>
      <c r="D25" s="36" t="s">
        <v>226</v>
      </c>
      <c r="E25" s="36" t="s">
        <v>267</v>
      </c>
      <c r="F25" s="36" t="s">
        <v>267</v>
      </c>
      <c r="G25" s="36" t="s">
        <v>130</v>
      </c>
      <c r="H25" s="36">
        <v>750</v>
      </c>
      <c r="I25" s="36">
        <v>999</v>
      </c>
      <c r="J25" s="56">
        <v>1.2949999999999999</v>
      </c>
    </row>
    <row r="26" spans="1:10">
      <c r="A26" s="40" t="str">
        <f t="shared" si="0"/>
        <v>EV07_domestic_ALL_ALL_GB</v>
      </c>
      <c r="B26" s="36" t="s">
        <v>443</v>
      </c>
      <c r="C26" s="36" t="s">
        <v>267</v>
      </c>
      <c r="D26" s="36" t="s">
        <v>226</v>
      </c>
      <c r="E26" s="36" t="s">
        <v>267</v>
      </c>
      <c r="F26" s="36" t="s">
        <v>267</v>
      </c>
      <c r="G26" s="36" t="s">
        <v>130</v>
      </c>
      <c r="H26" s="36">
        <v>1000</v>
      </c>
      <c r="I26" s="36">
        <v>1249</v>
      </c>
      <c r="J26" s="56">
        <v>1.25</v>
      </c>
    </row>
    <row r="27" spans="1:10">
      <c r="A27" s="40" t="str">
        <f t="shared" si="0"/>
        <v>EV07_domestic_ALL_ALL_GB</v>
      </c>
      <c r="B27" s="36" t="s">
        <v>443</v>
      </c>
      <c r="C27" s="36" t="s">
        <v>267</v>
      </c>
      <c r="D27" s="36" t="s">
        <v>226</v>
      </c>
      <c r="E27" s="36" t="s">
        <v>267</v>
      </c>
      <c r="F27" s="36" t="s">
        <v>267</v>
      </c>
      <c r="G27" s="36" t="s">
        <v>130</v>
      </c>
      <c r="H27" s="36">
        <v>1250</v>
      </c>
      <c r="I27" s="36">
        <v>1532</v>
      </c>
      <c r="J27" s="56">
        <v>1.2210000000000001</v>
      </c>
    </row>
    <row r="28" spans="1:10">
      <c r="A28" s="40" t="str">
        <f t="shared" si="0"/>
        <v>EV07_domestic_ALL_ALL_GB</v>
      </c>
      <c r="B28" s="36" t="s">
        <v>443</v>
      </c>
      <c r="C28" s="36" t="s">
        <v>267</v>
      </c>
      <c r="D28" s="36" t="s">
        <v>226</v>
      </c>
      <c r="E28" s="36" t="s">
        <v>267</v>
      </c>
      <c r="F28" s="36" t="s">
        <v>267</v>
      </c>
      <c r="G28" s="36" t="s">
        <v>130</v>
      </c>
      <c r="H28" s="36">
        <v>1533</v>
      </c>
      <c r="I28" s="36" t="s">
        <v>269</v>
      </c>
      <c r="J28" s="56">
        <v>1</v>
      </c>
    </row>
    <row r="29" spans="1:10">
      <c r="A29" s="40" t="str">
        <f t="shared" si="0"/>
        <v>EV07_workplace_ALL_ALL_GB</v>
      </c>
      <c r="B29" s="36" t="s">
        <v>443</v>
      </c>
      <c r="C29" s="36" t="s">
        <v>267</v>
      </c>
      <c r="D29" s="36" t="s">
        <v>245</v>
      </c>
      <c r="E29" s="36" t="s">
        <v>267</v>
      </c>
      <c r="F29" s="36" t="s">
        <v>267</v>
      </c>
      <c r="G29" s="36" t="s">
        <v>130</v>
      </c>
      <c r="H29" s="36">
        <v>1</v>
      </c>
      <c r="I29" s="36">
        <v>1</v>
      </c>
      <c r="J29" s="56">
        <v>7.9509999999999996</v>
      </c>
    </row>
    <row r="30" spans="1:10">
      <c r="A30" s="40" t="str">
        <f t="shared" si="0"/>
        <v>EV07_workplace_ALL_ALL_GB</v>
      </c>
      <c r="B30" s="36" t="s">
        <v>443</v>
      </c>
      <c r="C30" s="36" t="s">
        <v>267</v>
      </c>
      <c r="D30" s="36" t="s">
        <v>245</v>
      </c>
      <c r="E30" s="36" t="s">
        <v>267</v>
      </c>
      <c r="F30" s="36" t="s">
        <v>267</v>
      </c>
      <c r="G30" s="36" t="s">
        <v>130</v>
      </c>
      <c r="H30" s="36">
        <v>2</v>
      </c>
      <c r="I30" s="36">
        <v>2</v>
      </c>
      <c r="J30" s="56">
        <v>5.7560000000000002</v>
      </c>
    </row>
    <row r="31" spans="1:10">
      <c r="A31" s="40" t="str">
        <f t="shared" si="0"/>
        <v>EV07_workplace_ALL_ALL_GB</v>
      </c>
      <c r="B31" s="36" t="s">
        <v>443</v>
      </c>
      <c r="C31" s="36" t="s">
        <v>267</v>
      </c>
      <c r="D31" s="36" t="s">
        <v>245</v>
      </c>
      <c r="E31" s="36" t="s">
        <v>267</v>
      </c>
      <c r="F31" s="36" t="s">
        <v>267</v>
      </c>
      <c r="G31" s="36" t="s">
        <v>130</v>
      </c>
      <c r="H31" s="36">
        <v>3</v>
      </c>
      <c r="I31" s="36">
        <v>3</v>
      </c>
      <c r="J31" s="56">
        <v>5.452</v>
      </c>
    </row>
    <row r="32" spans="1:10">
      <c r="A32" s="40" t="str">
        <f t="shared" si="0"/>
        <v>EV07_workplace_ALL_ALL_GB</v>
      </c>
      <c r="B32" s="36" t="s">
        <v>443</v>
      </c>
      <c r="C32" s="36" t="s">
        <v>267</v>
      </c>
      <c r="D32" s="36" t="s">
        <v>245</v>
      </c>
      <c r="E32" s="36" t="s">
        <v>267</v>
      </c>
      <c r="F32" s="36" t="s">
        <v>267</v>
      </c>
      <c r="G32" s="36" t="s">
        <v>130</v>
      </c>
      <c r="H32" s="36">
        <v>4</v>
      </c>
      <c r="I32" s="36">
        <v>4</v>
      </c>
      <c r="J32" s="56">
        <v>4.3849999999999998</v>
      </c>
    </row>
    <row r="33" spans="1:10">
      <c r="A33" s="40" t="str">
        <f t="shared" si="0"/>
        <v>EV07_workplace_ALL_ALL_GB</v>
      </c>
      <c r="B33" s="36" t="s">
        <v>443</v>
      </c>
      <c r="C33" s="36" t="s">
        <v>267</v>
      </c>
      <c r="D33" s="36" t="s">
        <v>245</v>
      </c>
      <c r="E33" s="36" t="s">
        <v>267</v>
      </c>
      <c r="F33" s="36" t="s">
        <v>267</v>
      </c>
      <c r="G33" s="36" t="s">
        <v>130</v>
      </c>
      <c r="H33" s="36">
        <v>5</v>
      </c>
      <c r="I33" s="36">
        <v>6</v>
      </c>
      <c r="J33" s="56">
        <v>3.9239999999999999</v>
      </c>
    </row>
    <row r="34" spans="1:10">
      <c r="A34" s="40" t="str">
        <f t="shared" si="0"/>
        <v>EV07_workplace_ALL_ALL_GB</v>
      </c>
      <c r="B34" s="36" t="s">
        <v>443</v>
      </c>
      <c r="C34" s="36" t="s">
        <v>267</v>
      </c>
      <c r="D34" s="36" t="s">
        <v>245</v>
      </c>
      <c r="E34" s="36" t="s">
        <v>267</v>
      </c>
      <c r="F34" s="36" t="s">
        <v>267</v>
      </c>
      <c r="G34" s="36" t="s">
        <v>130</v>
      </c>
      <c r="H34" s="36">
        <v>7</v>
      </c>
      <c r="I34" s="36">
        <v>8</v>
      </c>
      <c r="J34" s="56">
        <v>3.64</v>
      </c>
    </row>
    <row r="35" spans="1:10">
      <c r="A35" s="40" t="str">
        <f t="shared" si="0"/>
        <v>EV07_workplace_ALL_ALL_GB</v>
      </c>
      <c r="B35" s="36" t="s">
        <v>443</v>
      </c>
      <c r="C35" s="36" t="s">
        <v>267</v>
      </c>
      <c r="D35" s="36" t="s">
        <v>245</v>
      </c>
      <c r="E35" s="36" t="s">
        <v>267</v>
      </c>
      <c r="F35" s="36" t="s">
        <v>267</v>
      </c>
      <c r="G35" s="36" t="s">
        <v>130</v>
      </c>
      <c r="H35" s="36">
        <v>9</v>
      </c>
      <c r="I35" s="36">
        <v>11</v>
      </c>
      <c r="J35" s="56">
        <v>3.1120000000000001</v>
      </c>
    </row>
    <row r="36" spans="1:10">
      <c r="A36" s="40" t="str">
        <f t="shared" ref="A36:A50" si="1">_xlfn.CONCAT("EV07_",INDEX(EV_charger_type_short,MATCH(D36,EV_charger_type,0)),"_",INDEX(rep_days_short,MATCH(E36,rep_days,0)),"_",INDEX(EV_Flex_short,MATCH(F36,EV_Flex,0)),"_",G36)</f>
        <v>EV07_workplace_ALL_ALL_GB</v>
      </c>
      <c r="B36" s="36" t="s">
        <v>443</v>
      </c>
      <c r="C36" s="36" t="s">
        <v>267</v>
      </c>
      <c r="D36" s="36" t="s">
        <v>245</v>
      </c>
      <c r="E36" s="36" t="s">
        <v>267</v>
      </c>
      <c r="F36" s="36" t="s">
        <v>267</v>
      </c>
      <c r="G36" s="36" t="s">
        <v>130</v>
      </c>
      <c r="H36" s="36">
        <v>12</v>
      </c>
      <c r="I36" s="36">
        <v>14</v>
      </c>
      <c r="J36" s="56">
        <v>2.8690000000000002</v>
      </c>
    </row>
    <row r="37" spans="1:10">
      <c r="A37" s="40" t="str">
        <f t="shared" si="1"/>
        <v>EV07_workplace_ALL_ALL_GB</v>
      </c>
      <c r="B37" s="36" t="s">
        <v>443</v>
      </c>
      <c r="C37" s="36" t="s">
        <v>267</v>
      </c>
      <c r="D37" s="36" t="s">
        <v>245</v>
      </c>
      <c r="E37" s="36" t="s">
        <v>267</v>
      </c>
      <c r="F37" s="36" t="s">
        <v>267</v>
      </c>
      <c r="G37" s="36" t="s">
        <v>130</v>
      </c>
      <c r="H37" s="36">
        <v>15</v>
      </c>
      <c r="I37" s="36">
        <v>17</v>
      </c>
      <c r="J37" s="56">
        <v>2.617</v>
      </c>
    </row>
    <row r="38" spans="1:10">
      <c r="A38" s="40" t="str">
        <f t="shared" si="1"/>
        <v>EV07_workplace_ALL_ALL_GB</v>
      </c>
      <c r="B38" s="36" t="s">
        <v>443</v>
      </c>
      <c r="C38" s="36" t="s">
        <v>267</v>
      </c>
      <c r="D38" s="36" t="s">
        <v>245</v>
      </c>
      <c r="E38" s="36" t="s">
        <v>267</v>
      </c>
      <c r="F38" s="36" t="s">
        <v>267</v>
      </c>
      <c r="G38" s="36" t="s">
        <v>130</v>
      </c>
      <c r="H38" s="36">
        <v>18</v>
      </c>
      <c r="I38" s="36">
        <v>20</v>
      </c>
      <c r="J38" s="56">
        <v>2.4700000000000002</v>
      </c>
    </row>
    <row r="39" spans="1:10">
      <c r="A39" s="40" t="str">
        <f t="shared" si="1"/>
        <v>EV07_workplace_ALL_ALL_GB</v>
      </c>
      <c r="B39" s="36" t="s">
        <v>443</v>
      </c>
      <c r="C39" s="36" t="s">
        <v>267</v>
      </c>
      <c r="D39" s="36" t="s">
        <v>245</v>
      </c>
      <c r="E39" s="36" t="s">
        <v>267</v>
      </c>
      <c r="F39" s="36" t="s">
        <v>267</v>
      </c>
      <c r="G39" s="36" t="s">
        <v>130</v>
      </c>
      <c r="H39" s="36">
        <v>21</v>
      </c>
      <c r="I39" s="36">
        <v>24</v>
      </c>
      <c r="J39" s="56">
        <v>2.3559999999999999</v>
      </c>
    </row>
    <row r="40" spans="1:10">
      <c r="A40" s="40" t="str">
        <f t="shared" si="1"/>
        <v>EV07_workplace_ALL_ALL_GB</v>
      </c>
      <c r="B40" s="36" t="s">
        <v>443</v>
      </c>
      <c r="C40" s="36" t="s">
        <v>267</v>
      </c>
      <c r="D40" s="36" t="s">
        <v>245</v>
      </c>
      <c r="E40" s="36" t="s">
        <v>267</v>
      </c>
      <c r="F40" s="36" t="s">
        <v>267</v>
      </c>
      <c r="G40" s="36" t="s">
        <v>130</v>
      </c>
      <c r="H40" s="36">
        <v>25</v>
      </c>
      <c r="I40" s="36">
        <v>29</v>
      </c>
      <c r="J40" s="56">
        <v>2.2069999999999999</v>
      </c>
    </row>
    <row r="41" spans="1:10">
      <c r="A41" s="40" t="str">
        <f t="shared" si="1"/>
        <v>EV07_workplace_ALL_ALL_GB</v>
      </c>
      <c r="B41" s="36" t="s">
        <v>443</v>
      </c>
      <c r="C41" s="36" t="s">
        <v>267</v>
      </c>
      <c r="D41" s="36" t="s">
        <v>245</v>
      </c>
      <c r="E41" s="36" t="s">
        <v>267</v>
      </c>
      <c r="F41" s="36" t="s">
        <v>267</v>
      </c>
      <c r="G41" s="36" t="s">
        <v>130</v>
      </c>
      <c r="H41" s="36">
        <v>30</v>
      </c>
      <c r="I41" s="36">
        <v>39</v>
      </c>
      <c r="J41" s="56">
        <v>2.0880000000000001</v>
      </c>
    </row>
    <row r="42" spans="1:10">
      <c r="A42" s="40" t="str">
        <f t="shared" si="1"/>
        <v>EV07_workplace_ALL_ALL_GB</v>
      </c>
      <c r="B42" s="36" t="s">
        <v>443</v>
      </c>
      <c r="C42" s="36" t="s">
        <v>267</v>
      </c>
      <c r="D42" s="36" t="s">
        <v>245</v>
      </c>
      <c r="E42" s="36" t="s">
        <v>267</v>
      </c>
      <c r="F42" s="36" t="s">
        <v>267</v>
      </c>
      <c r="G42" s="36" t="s">
        <v>130</v>
      </c>
      <c r="H42" s="36">
        <v>40</v>
      </c>
      <c r="I42" s="36">
        <v>49</v>
      </c>
      <c r="J42" s="56">
        <v>1.9430000000000001</v>
      </c>
    </row>
    <row r="43" spans="1:10">
      <c r="A43" s="40" t="str">
        <f t="shared" si="1"/>
        <v>EV07_workplace_ALL_ALL_GB</v>
      </c>
      <c r="B43" s="36" t="s">
        <v>443</v>
      </c>
      <c r="C43" s="36" t="s">
        <v>267</v>
      </c>
      <c r="D43" s="36" t="s">
        <v>245</v>
      </c>
      <c r="E43" s="36" t="s">
        <v>267</v>
      </c>
      <c r="F43" s="36" t="s">
        <v>267</v>
      </c>
      <c r="G43" s="36" t="s">
        <v>130</v>
      </c>
      <c r="H43" s="36">
        <v>50</v>
      </c>
      <c r="I43" s="36">
        <v>74</v>
      </c>
      <c r="J43" s="56">
        <v>1.8240000000000001</v>
      </c>
    </row>
    <row r="44" spans="1:10">
      <c r="A44" s="40" t="str">
        <f t="shared" si="1"/>
        <v>EV07_workplace_ALL_ALL_GB</v>
      </c>
      <c r="B44" s="36" t="s">
        <v>443</v>
      </c>
      <c r="C44" s="36" t="s">
        <v>267</v>
      </c>
      <c r="D44" s="36" t="s">
        <v>245</v>
      </c>
      <c r="E44" s="36" t="s">
        <v>267</v>
      </c>
      <c r="F44" s="36" t="s">
        <v>267</v>
      </c>
      <c r="G44" s="36" t="s">
        <v>130</v>
      </c>
      <c r="H44" s="36">
        <v>75</v>
      </c>
      <c r="I44" s="36">
        <v>99</v>
      </c>
      <c r="J44" s="56">
        <v>1.6579999999999999</v>
      </c>
    </row>
    <row r="45" spans="1:10">
      <c r="A45" s="40" t="str">
        <f t="shared" si="1"/>
        <v>EV07_workplace_ALL_ALL_GB</v>
      </c>
      <c r="B45" s="36" t="s">
        <v>443</v>
      </c>
      <c r="C45" s="36" t="s">
        <v>267</v>
      </c>
      <c r="D45" s="36" t="s">
        <v>245</v>
      </c>
      <c r="E45" s="36" t="s">
        <v>267</v>
      </c>
      <c r="F45" s="36" t="s">
        <v>267</v>
      </c>
      <c r="G45" s="36" t="s">
        <v>130</v>
      </c>
      <c r="H45" s="36">
        <v>100</v>
      </c>
      <c r="I45" s="36">
        <v>149</v>
      </c>
      <c r="J45" s="56">
        <v>1.5529999999999999</v>
      </c>
    </row>
    <row r="46" spans="1:10">
      <c r="A46" s="40" t="str">
        <f t="shared" si="1"/>
        <v>EV07_workplace_ALL_ALL_GB</v>
      </c>
      <c r="B46" s="36" t="s">
        <v>443</v>
      </c>
      <c r="C46" s="36" t="s">
        <v>267</v>
      </c>
      <c r="D46" s="36" t="s">
        <v>245</v>
      </c>
      <c r="E46" s="36" t="s">
        <v>267</v>
      </c>
      <c r="F46" s="36" t="s">
        <v>267</v>
      </c>
      <c r="G46" s="36" t="s">
        <v>130</v>
      </c>
      <c r="H46" s="36">
        <v>150</v>
      </c>
      <c r="I46" s="36">
        <v>199</v>
      </c>
      <c r="J46" s="56">
        <v>1.454</v>
      </c>
    </row>
    <row r="47" spans="1:10">
      <c r="A47" s="40" t="str">
        <f t="shared" si="1"/>
        <v>EV07_workplace_ALL_ALL_GB</v>
      </c>
      <c r="B47" s="36" t="s">
        <v>443</v>
      </c>
      <c r="C47" s="36" t="s">
        <v>267</v>
      </c>
      <c r="D47" s="36" t="s">
        <v>245</v>
      </c>
      <c r="E47" s="36" t="s">
        <v>267</v>
      </c>
      <c r="F47" s="36" t="s">
        <v>267</v>
      </c>
      <c r="G47" s="36" t="s">
        <v>130</v>
      </c>
      <c r="H47" s="36">
        <v>200</v>
      </c>
      <c r="I47" s="36">
        <v>299</v>
      </c>
      <c r="J47" s="56">
        <v>1.3879999999999999</v>
      </c>
    </row>
    <row r="48" spans="1:10">
      <c r="A48" s="40" t="str">
        <f t="shared" si="1"/>
        <v>EV07_workplace_ALL_ALL_GB</v>
      </c>
      <c r="B48" s="36" t="s">
        <v>443</v>
      </c>
      <c r="C48" s="36" t="s">
        <v>267</v>
      </c>
      <c r="D48" s="36" t="s">
        <v>245</v>
      </c>
      <c r="E48" s="36" t="s">
        <v>267</v>
      </c>
      <c r="F48" s="36" t="s">
        <v>267</v>
      </c>
      <c r="G48" s="36" t="s">
        <v>130</v>
      </c>
      <c r="H48" s="36">
        <v>300</v>
      </c>
      <c r="I48" s="36">
        <v>499</v>
      </c>
      <c r="J48" s="56">
        <v>1.3120000000000001</v>
      </c>
    </row>
    <row r="49" spans="1:10">
      <c r="A49" s="40" t="str">
        <f t="shared" si="1"/>
        <v>EV07_workplace_ALL_ALL_GB</v>
      </c>
      <c r="B49" s="36" t="s">
        <v>443</v>
      </c>
      <c r="C49" s="36" t="s">
        <v>267</v>
      </c>
      <c r="D49" s="36" t="s">
        <v>245</v>
      </c>
      <c r="E49" s="36" t="s">
        <v>267</v>
      </c>
      <c r="F49" s="36" t="s">
        <v>267</v>
      </c>
      <c r="G49" s="36" t="s">
        <v>130</v>
      </c>
      <c r="H49" s="36">
        <v>500</v>
      </c>
      <c r="I49" s="36">
        <v>690</v>
      </c>
      <c r="J49" s="56">
        <v>1.232</v>
      </c>
    </row>
    <row r="50" spans="1:10">
      <c r="A50" s="40" t="str">
        <f t="shared" si="1"/>
        <v>EV07_workplace_ALL_ALL_GB</v>
      </c>
      <c r="B50" s="36" t="s">
        <v>443</v>
      </c>
      <c r="C50" s="36" t="s">
        <v>267</v>
      </c>
      <c r="D50" s="36" t="s">
        <v>245</v>
      </c>
      <c r="E50" s="36" t="s">
        <v>267</v>
      </c>
      <c r="F50" s="36" t="s">
        <v>267</v>
      </c>
      <c r="G50" s="36" t="s">
        <v>130</v>
      </c>
      <c r="H50" s="36">
        <v>691</v>
      </c>
      <c r="I50" s="36" t="s">
        <v>269</v>
      </c>
      <c r="J50" s="56">
        <v>1</v>
      </c>
    </row>
    <row r="51" spans="1:10">
      <c r="A51" s="40" t="str">
        <f t="shared" ref="A51:A79" si="2">_xlfn.CONCAT("EV07_",INDEX(EV_charger_type_short,MATCH(D51,EV_charger_type,0)),"_",INDEX(rep_days_short,MATCH(E51,rep_days,0)),"_",INDEX(EV_Flex_short,MATCH(F51,EV_Flex,0)),"_",G51)</f>
        <v>EV07_slowfast_ALL_ALL_GB</v>
      </c>
      <c r="B51" s="36" t="s">
        <v>443</v>
      </c>
      <c r="C51" s="36" t="s">
        <v>267</v>
      </c>
      <c r="D51" s="36" t="s">
        <v>265</v>
      </c>
      <c r="E51" s="36" t="s">
        <v>267</v>
      </c>
      <c r="F51" s="36" t="s">
        <v>267</v>
      </c>
      <c r="G51" s="36" t="s">
        <v>130</v>
      </c>
      <c r="H51" s="36">
        <v>1</v>
      </c>
      <c r="I51" s="36">
        <v>1</v>
      </c>
      <c r="J51" s="56">
        <v>5.1840000000000002</v>
      </c>
    </row>
    <row r="52" spans="1:10">
      <c r="A52" s="40" t="str">
        <f t="shared" si="2"/>
        <v>EV07_slowfast_ALL_ALL_GB</v>
      </c>
      <c r="B52" s="36" t="s">
        <v>443</v>
      </c>
      <c r="C52" s="36" t="s">
        <v>267</v>
      </c>
      <c r="D52" s="36" t="s">
        <v>265</v>
      </c>
      <c r="E52" s="36" t="s">
        <v>267</v>
      </c>
      <c r="F52" s="36" t="s">
        <v>267</v>
      </c>
      <c r="G52" s="36" t="s">
        <v>130</v>
      </c>
      <c r="H52" s="36">
        <v>2</v>
      </c>
      <c r="I52" s="36">
        <v>2</v>
      </c>
      <c r="J52" s="56">
        <v>5.1840000000000002</v>
      </c>
    </row>
    <row r="53" spans="1:10">
      <c r="A53" s="40" t="str">
        <f t="shared" si="2"/>
        <v>EV07_slowfast_ALL_ALL_GB</v>
      </c>
      <c r="B53" s="36" t="s">
        <v>443</v>
      </c>
      <c r="C53" s="36" t="s">
        <v>267</v>
      </c>
      <c r="D53" s="36" t="s">
        <v>265</v>
      </c>
      <c r="E53" s="36" t="s">
        <v>267</v>
      </c>
      <c r="F53" s="36" t="s">
        <v>267</v>
      </c>
      <c r="G53" s="36" t="s">
        <v>130</v>
      </c>
      <c r="H53" s="36">
        <v>3</v>
      </c>
      <c r="I53" s="36">
        <v>3</v>
      </c>
      <c r="J53" s="56">
        <v>4.2389999999999999</v>
      </c>
    </row>
    <row r="54" spans="1:10">
      <c r="A54" s="40" t="str">
        <f t="shared" si="2"/>
        <v>EV07_slowfast_ALL_ALL_GB</v>
      </c>
      <c r="B54" s="36" t="s">
        <v>443</v>
      </c>
      <c r="C54" s="36" t="s">
        <v>267</v>
      </c>
      <c r="D54" s="36" t="s">
        <v>265</v>
      </c>
      <c r="E54" s="36" t="s">
        <v>267</v>
      </c>
      <c r="F54" s="36" t="s">
        <v>267</v>
      </c>
      <c r="G54" s="36" t="s">
        <v>130</v>
      </c>
      <c r="H54" s="36">
        <v>4</v>
      </c>
      <c r="I54" s="36">
        <v>4</v>
      </c>
      <c r="J54" s="56">
        <v>3.9849999999999999</v>
      </c>
    </row>
    <row r="55" spans="1:10">
      <c r="A55" s="40" t="str">
        <f t="shared" si="2"/>
        <v>EV07_slowfast_ALL_ALL_GB</v>
      </c>
      <c r="B55" s="36" t="s">
        <v>443</v>
      </c>
      <c r="C55" s="36" t="s">
        <v>267</v>
      </c>
      <c r="D55" s="36" t="s">
        <v>265</v>
      </c>
      <c r="E55" s="36" t="s">
        <v>267</v>
      </c>
      <c r="F55" s="36" t="s">
        <v>267</v>
      </c>
      <c r="G55" s="36" t="s">
        <v>130</v>
      </c>
      <c r="H55" s="36">
        <v>5</v>
      </c>
      <c r="I55" s="36">
        <v>6</v>
      </c>
      <c r="J55" s="56">
        <v>3.496</v>
      </c>
    </row>
    <row r="56" spans="1:10">
      <c r="A56" s="40" t="str">
        <f t="shared" si="2"/>
        <v>EV07_slowfast_ALL_ALL_GB</v>
      </c>
      <c r="B56" s="36" t="s">
        <v>443</v>
      </c>
      <c r="C56" s="36" t="s">
        <v>267</v>
      </c>
      <c r="D56" s="36" t="s">
        <v>265</v>
      </c>
      <c r="E56" s="36" t="s">
        <v>267</v>
      </c>
      <c r="F56" s="36" t="s">
        <v>267</v>
      </c>
      <c r="G56" s="36" t="s">
        <v>130</v>
      </c>
      <c r="H56" s="36">
        <v>7</v>
      </c>
      <c r="I56" s="36">
        <v>8</v>
      </c>
      <c r="J56" s="56">
        <v>3.1469999999999998</v>
      </c>
    </row>
    <row r="57" spans="1:10">
      <c r="A57" s="40" t="str">
        <f t="shared" si="2"/>
        <v>EV07_slowfast_ALL_ALL_GB</v>
      </c>
      <c r="B57" s="36" t="s">
        <v>443</v>
      </c>
      <c r="C57" s="36" t="s">
        <v>267</v>
      </c>
      <c r="D57" s="36" t="s">
        <v>265</v>
      </c>
      <c r="E57" s="36" t="s">
        <v>267</v>
      </c>
      <c r="F57" s="36" t="s">
        <v>267</v>
      </c>
      <c r="G57" s="36" t="s">
        <v>130</v>
      </c>
      <c r="H57" s="36">
        <v>9</v>
      </c>
      <c r="I57" s="36">
        <v>11</v>
      </c>
      <c r="J57" s="56">
        <v>2.8639999999999999</v>
      </c>
    </row>
    <row r="58" spans="1:10">
      <c r="A58" s="40" t="str">
        <f t="shared" si="2"/>
        <v>EV07_slowfast_ALL_ALL_GB</v>
      </c>
      <c r="B58" s="36" t="s">
        <v>443</v>
      </c>
      <c r="C58" s="36" t="s">
        <v>267</v>
      </c>
      <c r="D58" s="36" t="s">
        <v>265</v>
      </c>
      <c r="E58" s="36" t="s">
        <v>267</v>
      </c>
      <c r="F58" s="36" t="s">
        <v>267</v>
      </c>
      <c r="G58" s="36" t="s">
        <v>130</v>
      </c>
      <c r="H58" s="36">
        <v>12</v>
      </c>
      <c r="I58" s="36">
        <v>14</v>
      </c>
      <c r="J58" s="56">
        <v>2.5990000000000002</v>
      </c>
    </row>
    <row r="59" spans="1:10">
      <c r="A59" s="40" t="str">
        <f t="shared" si="2"/>
        <v>EV07_slowfast_ALL_ALL_GB</v>
      </c>
      <c r="B59" s="36" t="s">
        <v>443</v>
      </c>
      <c r="C59" s="36" t="s">
        <v>267</v>
      </c>
      <c r="D59" s="36" t="s">
        <v>265</v>
      </c>
      <c r="E59" s="36" t="s">
        <v>267</v>
      </c>
      <c r="F59" s="36" t="s">
        <v>267</v>
      </c>
      <c r="G59" s="36" t="s">
        <v>130</v>
      </c>
      <c r="H59" s="36">
        <v>15</v>
      </c>
      <c r="I59" s="36">
        <v>17</v>
      </c>
      <c r="J59" s="56">
        <v>2.387</v>
      </c>
    </row>
    <row r="60" spans="1:10">
      <c r="A60" s="40" t="str">
        <f t="shared" si="2"/>
        <v>EV07_slowfast_ALL_ALL_GB</v>
      </c>
      <c r="B60" s="36" t="s">
        <v>443</v>
      </c>
      <c r="C60" s="36" t="s">
        <v>267</v>
      </c>
      <c r="D60" s="36" t="s">
        <v>265</v>
      </c>
      <c r="E60" s="36" t="s">
        <v>267</v>
      </c>
      <c r="F60" s="36" t="s">
        <v>267</v>
      </c>
      <c r="G60" s="36" t="s">
        <v>130</v>
      </c>
      <c r="H60" s="36">
        <v>18</v>
      </c>
      <c r="I60" s="36">
        <v>20</v>
      </c>
      <c r="J60" s="56">
        <v>2.2210000000000001</v>
      </c>
    </row>
    <row r="61" spans="1:10">
      <c r="A61" s="40" t="str">
        <f t="shared" si="2"/>
        <v>EV07_slowfast_ALL_ALL_GB</v>
      </c>
      <c r="B61" s="36" t="s">
        <v>443</v>
      </c>
      <c r="C61" s="36" t="s">
        <v>267</v>
      </c>
      <c r="D61" s="36" t="s">
        <v>265</v>
      </c>
      <c r="E61" s="36" t="s">
        <v>267</v>
      </c>
      <c r="F61" s="36" t="s">
        <v>267</v>
      </c>
      <c r="G61" s="36" t="s">
        <v>130</v>
      </c>
      <c r="H61" s="36">
        <v>21</v>
      </c>
      <c r="I61" s="36">
        <v>24</v>
      </c>
      <c r="J61" s="56">
        <v>2.1059999999999999</v>
      </c>
    </row>
    <row r="62" spans="1:10">
      <c r="A62" s="40" t="str">
        <f t="shared" si="2"/>
        <v>EV07_slowfast_ALL_ALL_GB</v>
      </c>
      <c r="B62" s="36" t="s">
        <v>443</v>
      </c>
      <c r="C62" s="36" t="s">
        <v>267</v>
      </c>
      <c r="D62" s="36" t="s">
        <v>265</v>
      </c>
      <c r="E62" s="36" t="s">
        <v>267</v>
      </c>
      <c r="F62" s="36" t="s">
        <v>267</v>
      </c>
      <c r="G62" s="36" t="s">
        <v>130</v>
      </c>
      <c r="H62" s="36">
        <v>25</v>
      </c>
      <c r="I62" s="36">
        <v>29</v>
      </c>
      <c r="J62" s="56">
        <v>2.0179999999999998</v>
      </c>
    </row>
    <row r="63" spans="1:10">
      <c r="A63" s="40" t="str">
        <f t="shared" si="2"/>
        <v>EV07_slowfast_ALL_ALL_GB</v>
      </c>
      <c r="B63" s="36" t="s">
        <v>443</v>
      </c>
      <c r="C63" s="36" t="s">
        <v>267</v>
      </c>
      <c r="D63" s="36" t="s">
        <v>265</v>
      </c>
      <c r="E63" s="36" t="s">
        <v>267</v>
      </c>
      <c r="F63" s="36" t="s">
        <v>267</v>
      </c>
      <c r="G63" s="36" t="s">
        <v>130</v>
      </c>
      <c r="H63" s="36">
        <v>30</v>
      </c>
      <c r="I63" s="36">
        <v>39</v>
      </c>
      <c r="J63" s="56">
        <v>1.913</v>
      </c>
    </row>
    <row r="64" spans="1:10">
      <c r="A64" s="40" t="str">
        <f t="shared" si="2"/>
        <v>EV07_slowfast_ALL_ALL_GB</v>
      </c>
      <c r="B64" s="36" t="s">
        <v>443</v>
      </c>
      <c r="C64" s="36" t="s">
        <v>267</v>
      </c>
      <c r="D64" s="36" t="s">
        <v>265</v>
      </c>
      <c r="E64" s="36" t="s">
        <v>267</v>
      </c>
      <c r="F64" s="36" t="s">
        <v>267</v>
      </c>
      <c r="G64" s="36" t="s">
        <v>130</v>
      </c>
      <c r="H64" s="36">
        <v>40</v>
      </c>
      <c r="I64" s="36">
        <v>49</v>
      </c>
      <c r="J64" s="56">
        <v>1.784</v>
      </c>
    </row>
    <row r="65" spans="1:10">
      <c r="A65" s="40" t="str">
        <f t="shared" si="2"/>
        <v>EV07_slowfast_ALL_ALL_GB</v>
      </c>
      <c r="B65" s="36" t="s">
        <v>443</v>
      </c>
      <c r="C65" s="36" t="s">
        <v>267</v>
      </c>
      <c r="D65" s="36" t="s">
        <v>265</v>
      </c>
      <c r="E65" s="36" t="s">
        <v>267</v>
      </c>
      <c r="F65" s="36" t="s">
        <v>267</v>
      </c>
      <c r="G65" s="36" t="s">
        <v>130</v>
      </c>
      <c r="H65" s="36">
        <v>50</v>
      </c>
      <c r="I65" s="36">
        <v>74</v>
      </c>
      <c r="J65" s="56">
        <v>1.69</v>
      </c>
    </row>
    <row r="66" spans="1:10">
      <c r="A66" s="40" t="str">
        <f t="shared" si="2"/>
        <v>EV07_slowfast_ALL_ALL_GB</v>
      </c>
      <c r="B66" s="36" t="s">
        <v>443</v>
      </c>
      <c r="C66" s="36" t="s">
        <v>267</v>
      </c>
      <c r="D66" s="36" t="s">
        <v>265</v>
      </c>
      <c r="E66" s="36" t="s">
        <v>267</v>
      </c>
      <c r="F66" s="36" t="s">
        <v>267</v>
      </c>
      <c r="G66" s="36" t="s">
        <v>130</v>
      </c>
      <c r="H66" s="36">
        <v>75</v>
      </c>
      <c r="I66" s="36">
        <v>99</v>
      </c>
      <c r="J66" s="56">
        <v>1.5449999999999999</v>
      </c>
    </row>
    <row r="67" spans="1:10">
      <c r="A67" s="40" t="str">
        <f t="shared" si="2"/>
        <v>EV07_slowfast_ALL_ALL_GB</v>
      </c>
      <c r="B67" s="36" t="s">
        <v>443</v>
      </c>
      <c r="C67" s="36" t="s">
        <v>267</v>
      </c>
      <c r="D67" s="36" t="s">
        <v>265</v>
      </c>
      <c r="E67" s="36" t="s">
        <v>267</v>
      </c>
      <c r="F67" s="36" t="s">
        <v>267</v>
      </c>
      <c r="G67" s="36" t="s">
        <v>130</v>
      </c>
      <c r="H67" s="36">
        <v>100</v>
      </c>
      <c r="I67" s="36">
        <v>149</v>
      </c>
      <c r="J67" s="56">
        <v>1.46</v>
      </c>
    </row>
    <row r="68" spans="1:10">
      <c r="A68" s="40" t="str">
        <f>_xlfn.CONCAT("EV07_",INDEX(EV_charger_type_short,MATCH(D68,EV_charger_type,0)),"_",INDEX(rep_days_short,MATCH(E68,rep_days,0)),"_",INDEX(EV_Flex_short,MATCH(F68,EV_Flex,0)),"_",G68)</f>
        <v>EV07_slowfast_ALL_ALL_GB</v>
      </c>
      <c r="B68" s="36" t="s">
        <v>443</v>
      </c>
      <c r="C68" s="36" t="s">
        <v>267</v>
      </c>
      <c r="D68" s="36" t="s">
        <v>265</v>
      </c>
      <c r="E68" s="36" t="s">
        <v>267</v>
      </c>
      <c r="F68" s="36" t="s">
        <v>267</v>
      </c>
      <c r="G68" s="36" t="s">
        <v>130</v>
      </c>
      <c r="H68" s="36">
        <v>150</v>
      </c>
      <c r="I68" s="36">
        <v>199</v>
      </c>
      <c r="J68" s="56">
        <v>1.3660000000000001</v>
      </c>
    </row>
    <row r="69" spans="1:10">
      <c r="A69" s="40" t="str">
        <f>_xlfn.CONCAT("EV07_",INDEX(EV_charger_type_short,MATCH(D69,EV_charger_type,0)),"_",INDEX(rep_days_short,MATCH(E69,rep_days,0)),"_",INDEX(EV_Flex_short,MATCH(F69,EV_Flex,0)),"_",G69)</f>
        <v>EV07_slowfast_ALL_ALL_GB</v>
      </c>
      <c r="B69" s="36" t="s">
        <v>443</v>
      </c>
      <c r="C69" s="36" t="s">
        <v>267</v>
      </c>
      <c r="D69" s="36" t="s">
        <v>265</v>
      </c>
      <c r="E69" s="36" t="s">
        <v>267</v>
      </c>
      <c r="F69" s="36" t="s">
        <v>267</v>
      </c>
      <c r="G69" s="36" t="s">
        <v>130</v>
      </c>
      <c r="H69" s="36">
        <v>200</v>
      </c>
      <c r="I69" s="36">
        <v>299</v>
      </c>
      <c r="J69" s="56">
        <v>1.3069999999999999</v>
      </c>
    </row>
    <row r="70" spans="1:10">
      <c r="A70" s="40" t="str">
        <f>_xlfn.CONCAT("EV07_",INDEX(EV_charger_type_short,MATCH(D70,EV_charger_type,0)),"_",INDEX(rep_days_short,MATCH(E70,rep_days,0)),"_",INDEX(EV_Flex_short,MATCH(F70,EV_Flex,0)),"_",G70)</f>
        <v>EV07_slowfast_ALL_ALL_GB</v>
      </c>
      <c r="B70" s="36" t="s">
        <v>443</v>
      </c>
      <c r="C70" s="36" t="s">
        <v>267</v>
      </c>
      <c r="D70" s="36" t="s">
        <v>265</v>
      </c>
      <c r="E70" s="36" t="s">
        <v>267</v>
      </c>
      <c r="F70" s="36" t="s">
        <v>267</v>
      </c>
      <c r="G70" s="36" t="s">
        <v>130</v>
      </c>
      <c r="H70" s="36">
        <v>300</v>
      </c>
      <c r="I70" s="36">
        <v>432</v>
      </c>
      <c r="J70" s="56">
        <v>1.2450000000000001</v>
      </c>
    </row>
    <row r="71" spans="1:10">
      <c r="A71" s="40" t="str">
        <f t="shared" si="2"/>
        <v>EV07_slowfast_ALL_ALL_GB</v>
      </c>
      <c r="B71" s="36" t="s">
        <v>443</v>
      </c>
      <c r="C71" s="36" t="s">
        <v>267</v>
      </c>
      <c r="D71" s="36" t="s">
        <v>265</v>
      </c>
      <c r="E71" s="36" t="s">
        <v>267</v>
      </c>
      <c r="F71" s="36" t="s">
        <v>267</v>
      </c>
      <c r="G71" s="36" t="s">
        <v>130</v>
      </c>
      <c r="H71" s="36">
        <v>433</v>
      </c>
      <c r="I71" s="36" t="s">
        <v>269</v>
      </c>
      <c r="J71" s="56">
        <v>1</v>
      </c>
    </row>
    <row r="72" spans="1:10">
      <c r="A72" s="40" t="str">
        <f t="shared" si="2"/>
        <v>EV07_rapid_ALL_ALL_GB</v>
      </c>
      <c r="B72" s="36" t="s">
        <v>443</v>
      </c>
      <c r="C72" s="36" t="s">
        <v>267</v>
      </c>
      <c r="D72" s="36" t="s">
        <v>279</v>
      </c>
      <c r="E72" s="36" t="s">
        <v>267</v>
      </c>
      <c r="F72" s="36" t="s">
        <v>267</v>
      </c>
      <c r="G72" s="36" t="s">
        <v>130</v>
      </c>
      <c r="H72" s="36">
        <v>1</v>
      </c>
      <c r="I72" s="36">
        <v>1</v>
      </c>
      <c r="J72" s="56">
        <v>12.887</v>
      </c>
    </row>
    <row r="73" spans="1:10">
      <c r="A73" s="40" t="str">
        <f t="shared" si="2"/>
        <v>EV07_rapid_ALL_ALL_GB</v>
      </c>
      <c r="B73" s="36" t="s">
        <v>443</v>
      </c>
      <c r="C73" s="36" t="s">
        <v>267</v>
      </c>
      <c r="D73" s="36" t="s">
        <v>279</v>
      </c>
      <c r="E73" s="36" t="s">
        <v>267</v>
      </c>
      <c r="F73" s="36" t="s">
        <v>267</v>
      </c>
      <c r="G73" s="36" t="s">
        <v>130</v>
      </c>
      <c r="H73" s="36">
        <v>2</v>
      </c>
      <c r="I73" s="36">
        <v>2</v>
      </c>
      <c r="J73" s="56">
        <v>11.972</v>
      </c>
    </row>
    <row r="74" spans="1:10">
      <c r="A74" s="40" t="str">
        <f t="shared" si="2"/>
        <v>EV07_rapid_ALL_ALL_GB</v>
      </c>
      <c r="B74" s="36" t="s">
        <v>443</v>
      </c>
      <c r="C74" s="36" t="s">
        <v>267</v>
      </c>
      <c r="D74" s="36" t="s">
        <v>279</v>
      </c>
      <c r="E74" s="36" t="s">
        <v>267</v>
      </c>
      <c r="F74" s="36" t="s">
        <v>267</v>
      </c>
      <c r="G74" s="36" t="s">
        <v>130</v>
      </c>
      <c r="H74" s="36">
        <v>3</v>
      </c>
      <c r="I74" s="36">
        <v>3</v>
      </c>
      <c r="J74" s="56">
        <v>8.9179999999999993</v>
      </c>
    </row>
    <row r="75" spans="1:10">
      <c r="A75" s="40" t="str">
        <f t="shared" si="2"/>
        <v>EV07_rapid_ALL_ALL_GB</v>
      </c>
      <c r="B75" s="36" t="s">
        <v>443</v>
      </c>
      <c r="C75" s="36" t="s">
        <v>267</v>
      </c>
      <c r="D75" s="36" t="s">
        <v>279</v>
      </c>
      <c r="E75" s="36" t="s">
        <v>267</v>
      </c>
      <c r="F75" s="36" t="s">
        <v>267</v>
      </c>
      <c r="G75" s="36" t="s">
        <v>130</v>
      </c>
      <c r="H75" s="36">
        <v>4</v>
      </c>
      <c r="I75" s="36">
        <v>4</v>
      </c>
      <c r="J75" s="56">
        <v>7.2869999999999999</v>
      </c>
    </row>
    <row r="76" spans="1:10">
      <c r="A76" s="40" t="str">
        <f t="shared" si="2"/>
        <v>EV07_rapid_ALL_ALL_GB</v>
      </c>
      <c r="B76" s="36" t="s">
        <v>443</v>
      </c>
      <c r="C76" s="36" t="s">
        <v>267</v>
      </c>
      <c r="D76" s="36" t="s">
        <v>279</v>
      </c>
      <c r="E76" s="36" t="s">
        <v>267</v>
      </c>
      <c r="F76" s="36" t="s">
        <v>267</v>
      </c>
      <c r="G76" s="36" t="s">
        <v>130</v>
      </c>
      <c r="H76" s="36">
        <v>5</v>
      </c>
      <c r="I76" s="36">
        <v>6</v>
      </c>
      <c r="J76" s="56">
        <v>6.6879999999999997</v>
      </c>
    </row>
    <row r="77" spans="1:10">
      <c r="A77" s="40" t="str">
        <f t="shared" si="2"/>
        <v>EV07_rapid_ALL_ALL_GB</v>
      </c>
      <c r="B77" s="36" t="s">
        <v>443</v>
      </c>
      <c r="C77" s="36" t="s">
        <v>267</v>
      </c>
      <c r="D77" s="36" t="s">
        <v>279</v>
      </c>
      <c r="E77" s="36" t="s">
        <v>267</v>
      </c>
      <c r="F77" s="36" t="s">
        <v>267</v>
      </c>
      <c r="G77" s="36" t="s">
        <v>130</v>
      </c>
      <c r="H77" s="36">
        <v>7</v>
      </c>
      <c r="I77" s="36">
        <v>8</v>
      </c>
      <c r="J77" s="56">
        <v>5.8230000000000004</v>
      </c>
    </row>
    <row r="78" spans="1:10">
      <c r="A78" s="40" t="str">
        <f t="shared" si="2"/>
        <v>EV07_rapid_ALL_ALL_GB</v>
      </c>
      <c r="B78" s="36" t="s">
        <v>443</v>
      </c>
      <c r="C78" s="36" t="s">
        <v>267</v>
      </c>
      <c r="D78" s="36" t="s">
        <v>279</v>
      </c>
      <c r="E78" s="36" t="s">
        <v>267</v>
      </c>
      <c r="F78" s="36" t="s">
        <v>267</v>
      </c>
      <c r="G78" s="36" t="s">
        <v>130</v>
      </c>
      <c r="H78" s="36">
        <v>9</v>
      </c>
      <c r="I78" s="36">
        <v>11</v>
      </c>
      <c r="J78" s="56">
        <v>4.9630000000000001</v>
      </c>
    </row>
    <row r="79" spans="1:10">
      <c r="A79" s="40" t="str">
        <f t="shared" si="2"/>
        <v>EV07_rapid_ALL_ALL_GB</v>
      </c>
      <c r="B79" s="36" t="s">
        <v>443</v>
      </c>
      <c r="C79" s="36" t="s">
        <v>267</v>
      </c>
      <c r="D79" s="36" t="s">
        <v>279</v>
      </c>
      <c r="E79" s="36" t="s">
        <v>267</v>
      </c>
      <c r="F79" s="36" t="s">
        <v>267</v>
      </c>
      <c r="G79" s="36" t="s">
        <v>130</v>
      </c>
      <c r="H79" s="36">
        <v>12</v>
      </c>
      <c r="I79" s="36">
        <v>14</v>
      </c>
      <c r="J79" s="56">
        <v>4.5090000000000003</v>
      </c>
    </row>
    <row r="80" spans="1:10">
      <c r="A80" s="40" t="str">
        <f t="shared" ref="A80:A107" si="3">_xlfn.CONCAT("EV07_",INDEX(EV_charger_type_short,MATCH(D80,EV_charger_type,0)),"_",INDEX(rep_days_short,MATCH(E80,rep_days,0)),"_",INDEX(EV_Flex_short,MATCH(F80,EV_Flex,0)),"_",G80)</f>
        <v>EV07_rapid_ALL_ALL_GB</v>
      </c>
      <c r="B80" s="36" t="s">
        <v>443</v>
      </c>
      <c r="C80" s="36" t="s">
        <v>267</v>
      </c>
      <c r="D80" s="36" t="s">
        <v>279</v>
      </c>
      <c r="E80" s="36" t="s">
        <v>267</v>
      </c>
      <c r="F80" s="36" t="s">
        <v>267</v>
      </c>
      <c r="G80" s="36" t="s">
        <v>130</v>
      </c>
      <c r="H80" s="36">
        <v>15</v>
      </c>
      <c r="I80" s="36">
        <v>19</v>
      </c>
      <c r="J80" s="56">
        <v>3.9790000000000001</v>
      </c>
    </row>
    <row r="81" spans="1:10">
      <c r="A81" s="40" t="str">
        <f t="shared" si="3"/>
        <v>EV07_rapid_ALL_ALL_GB</v>
      </c>
      <c r="B81" s="36" t="s">
        <v>443</v>
      </c>
      <c r="C81" s="36" t="s">
        <v>267</v>
      </c>
      <c r="D81" s="36" t="s">
        <v>279</v>
      </c>
      <c r="E81" s="36" t="s">
        <v>267</v>
      </c>
      <c r="F81" s="36" t="s">
        <v>267</v>
      </c>
      <c r="G81" s="36" t="s">
        <v>130</v>
      </c>
      <c r="H81" s="36">
        <v>20</v>
      </c>
      <c r="I81" s="36">
        <v>24</v>
      </c>
      <c r="J81" s="56">
        <v>3.4990000000000001</v>
      </c>
    </row>
    <row r="82" spans="1:10">
      <c r="A82" s="40" t="str">
        <f t="shared" si="3"/>
        <v>EV07_rapid_ALL_ALL_GB</v>
      </c>
      <c r="B82" s="36" t="s">
        <v>443</v>
      </c>
      <c r="C82" s="36" t="s">
        <v>267</v>
      </c>
      <c r="D82" s="36" t="s">
        <v>279</v>
      </c>
      <c r="E82" s="36" t="s">
        <v>267</v>
      </c>
      <c r="F82" s="36" t="s">
        <v>267</v>
      </c>
      <c r="G82" s="36" t="s">
        <v>130</v>
      </c>
      <c r="H82" s="36">
        <v>25</v>
      </c>
      <c r="I82" s="36">
        <v>29</v>
      </c>
      <c r="J82" s="56">
        <v>3.266</v>
      </c>
    </row>
    <row r="83" spans="1:10">
      <c r="A83" s="40" t="str">
        <f t="shared" si="3"/>
        <v>EV07_rapid_ALL_ALL_GB</v>
      </c>
      <c r="B83" s="36" t="s">
        <v>443</v>
      </c>
      <c r="C83" s="36" t="s">
        <v>267</v>
      </c>
      <c r="D83" s="36" t="s">
        <v>279</v>
      </c>
      <c r="E83" s="36" t="s">
        <v>267</v>
      </c>
      <c r="F83" s="36" t="s">
        <v>267</v>
      </c>
      <c r="G83" s="36" t="s">
        <v>130</v>
      </c>
      <c r="H83" s="36">
        <v>30</v>
      </c>
      <c r="I83" s="36">
        <v>39</v>
      </c>
      <c r="J83" s="56">
        <v>3.0419999999999998</v>
      </c>
    </row>
    <row r="84" spans="1:10">
      <c r="A84" s="40" t="str">
        <f t="shared" si="3"/>
        <v>EV07_rapid_ALL_ALL_GB</v>
      </c>
      <c r="B84" s="36" t="s">
        <v>443</v>
      </c>
      <c r="C84" s="36" t="s">
        <v>267</v>
      </c>
      <c r="D84" s="36" t="s">
        <v>279</v>
      </c>
      <c r="E84" s="36" t="s">
        <v>267</v>
      </c>
      <c r="F84" s="36" t="s">
        <v>267</v>
      </c>
      <c r="G84" s="36" t="s">
        <v>130</v>
      </c>
      <c r="H84" s="36">
        <v>40</v>
      </c>
      <c r="I84" s="36">
        <v>49</v>
      </c>
      <c r="J84" s="56">
        <v>2.6960000000000002</v>
      </c>
    </row>
    <row r="85" spans="1:10">
      <c r="A85" s="40" t="str">
        <f t="shared" si="3"/>
        <v>EV07_rapid_ALL_ALL_GB</v>
      </c>
      <c r="B85" s="36" t="s">
        <v>443</v>
      </c>
      <c r="C85" s="36" t="s">
        <v>267</v>
      </c>
      <c r="D85" s="36" t="s">
        <v>279</v>
      </c>
      <c r="E85" s="36" t="s">
        <v>267</v>
      </c>
      <c r="F85" s="36" t="s">
        <v>267</v>
      </c>
      <c r="G85" s="36" t="s">
        <v>130</v>
      </c>
      <c r="H85" s="36">
        <v>50</v>
      </c>
      <c r="I85" s="36">
        <v>74</v>
      </c>
      <c r="J85" s="56">
        <v>2.4780000000000002</v>
      </c>
    </row>
    <row r="86" spans="1:10">
      <c r="A86" s="40" t="str">
        <f t="shared" si="3"/>
        <v>EV07_rapid_ALL_ALL_GB</v>
      </c>
      <c r="B86" s="36" t="s">
        <v>443</v>
      </c>
      <c r="C86" s="36" t="s">
        <v>267</v>
      </c>
      <c r="D86" s="36" t="s">
        <v>279</v>
      </c>
      <c r="E86" s="36" t="s">
        <v>267</v>
      </c>
      <c r="F86" s="36" t="s">
        <v>267</v>
      </c>
      <c r="G86" s="36" t="s">
        <v>130</v>
      </c>
      <c r="H86" s="36">
        <v>75</v>
      </c>
      <c r="I86" s="36">
        <v>99</v>
      </c>
      <c r="J86" s="56">
        <v>2.1970000000000001</v>
      </c>
    </row>
    <row r="87" spans="1:10">
      <c r="A87" s="40" t="str">
        <f t="shared" si="3"/>
        <v>EV07_rapid_ALL_ALL_GB</v>
      </c>
      <c r="B87" s="36" t="s">
        <v>443</v>
      </c>
      <c r="C87" s="36" t="s">
        <v>267</v>
      </c>
      <c r="D87" s="36" t="s">
        <v>279</v>
      </c>
      <c r="E87" s="36" t="s">
        <v>267</v>
      </c>
      <c r="F87" s="36" t="s">
        <v>267</v>
      </c>
      <c r="G87" s="36" t="s">
        <v>130</v>
      </c>
      <c r="H87" s="36">
        <v>100</v>
      </c>
      <c r="I87" s="36">
        <v>149</v>
      </c>
      <c r="J87" s="56">
        <v>1.9890000000000001</v>
      </c>
    </row>
    <row r="88" spans="1:10">
      <c r="A88" s="40" t="str">
        <f t="shared" si="3"/>
        <v>EV07_rapid_ALL_ALL_GB</v>
      </c>
      <c r="B88" s="36" t="s">
        <v>443</v>
      </c>
      <c r="C88" s="36" t="s">
        <v>267</v>
      </c>
      <c r="D88" s="36" t="s">
        <v>279</v>
      </c>
      <c r="E88" s="36" t="s">
        <v>267</v>
      </c>
      <c r="F88" s="36" t="s">
        <v>267</v>
      </c>
      <c r="G88" s="36" t="s">
        <v>130</v>
      </c>
      <c r="H88" s="36">
        <v>150</v>
      </c>
      <c r="I88" s="36">
        <v>199</v>
      </c>
      <c r="J88" s="56">
        <v>1.7869999999999999</v>
      </c>
    </row>
    <row r="89" spans="1:10">
      <c r="A89" s="40" t="str">
        <f t="shared" si="3"/>
        <v>EV07_rapid_ALL_ALL_GB</v>
      </c>
      <c r="B89" s="36" t="s">
        <v>443</v>
      </c>
      <c r="C89" s="36" t="s">
        <v>267</v>
      </c>
      <c r="D89" s="36" t="s">
        <v>279</v>
      </c>
      <c r="E89" s="36" t="s">
        <v>267</v>
      </c>
      <c r="F89" s="36" t="s">
        <v>267</v>
      </c>
      <c r="G89" s="36" t="s">
        <v>130</v>
      </c>
      <c r="H89" s="36">
        <v>200</v>
      </c>
      <c r="I89" s="36">
        <v>299</v>
      </c>
      <c r="J89" s="56">
        <v>1.657</v>
      </c>
    </row>
    <row r="90" spans="1:10">
      <c r="A90" s="40" t="str">
        <f t="shared" si="3"/>
        <v>EV07_rapid_ALL_ALL_GB</v>
      </c>
      <c r="B90" s="36" t="s">
        <v>443</v>
      </c>
      <c r="C90" s="36" t="s">
        <v>267</v>
      </c>
      <c r="D90" s="36" t="s">
        <v>279</v>
      </c>
      <c r="E90" s="36" t="s">
        <v>267</v>
      </c>
      <c r="F90" s="36" t="s">
        <v>267</v>
      </c>
      <c r="G90" s="36" t="s">
        <v>130</v>
      </c>
      <c r="H90" s="36">
        <v>300</v>
      </c>
      <c r="I90" s="36">
        <v>499</v>
      </c>
      <c r="J90" s="56">
        <v>1.522</v>
      </c>
    </row>
    <row r="91" spans="1:10">
      <c r="A91" s="40" t="str">
        <f t="shared" si="3"/>
        <v>EV07_rapid_ALL_ALL_GB</v>
      </c>
      <c r="B91" s="36" t="s">
        <v>443</v>
      </c>
      <c r="C91" s="36" t="s">
        <v>267</v>
      </c>
      <c r="D91" s="36" t="s">
        <v>279</v>
      </c>
      <c r="E91" s="36" t="s">
        <v>267</v>
      </c>
      <c r="F91" s="36" t="s">
        <v>267</v>
      </c>
      <c r="G91" s="36" t="s">
        <v>130</v>
      </c>
      <c r="H91" s="36">
        <v>500</v>
      </c>
      <c r="I91" s="36">
        <v>749</v>
      </c>
      <c r="J91" s="56">
        <v>1.383</v>
      </c>
    </row>
    <row r="92" spans="1:10">
      <c r="A92" s="40" t="str">
        <f t="shared" si="3"/>
        <v>EV07_rapid_ALL_ALL_GB</v>
      </c>
      <c r="B92" s="36" t="s">
        <v>443</v>
      </c>
      <c r="C92" s="36" t="s">
        <v>267</v>
      </c>
      <c r="D92" s="36" t="s">
        <v>279</v>
      </c>
      <c r="E92" s="36" t="s">
        <v>267</v>
      </c>
      <c r="F92" s="36" t="s">
        <v>267</v>
      </c>
      <c r="G92" s="36" t="s">
        <v>130</v>
      </c>
      <c r="H92" s="36">
        <v>750</v>
      </c>
      <c r="I92" s="36">
        <v>999</v>
      </c>
      <c r="J92" s="56">
        <v>1.2989999999999999</v>
      </c>
    </row>
    <row r="93" spans="1:10">
      <c r="A93" s="40" t="str">
        <f t="shared" si="3"/>
        <v>EV07_rapid_ALL_ALL_GB</v>
      </c>
      <c r="B93" s="36" t="s">
        <v>443</v>
      </c>
      <c r="C93" s="36" t="s">
        <v>267</v>
      </c>
      <c r="D93" s="36" t="s">
        <v>279</v>
      </c>
      <c r="E93" s="36" t="s">
        <v>267</v>
      </c>
      <c r="F93" s="36" t="s">
        <v>267</v>
      </c>
      <c r="G93" s="36" t="s">
        <v>130</v>
      </c>
      <c r="H93" s="36">
        <v>1000</v>
      </c>
      <c r="I93" s="36">
        <v>1249</v>
      </c>
      <c r="J93" s="56">
        <v>1.25</v>
      </c>
    </row>
    <row r="94" spans="1:10">
      <c r="A94" s="40" t="str">
        <f t="shared" si="3"/>
        <v>EV07_rapid_ALL_ALL_GB</v>
      </c>
      <c r="B94" s="36" t="s">
        <v>443</v>
      </c>
      <c r="C94" s="36" t="s">
        <v>267</v>
      </c>
      <c r="D94" s="36" t="s">
        <v>279</v>
      </c>
      <c r="E94" s="36" t="s">
        <v>267</v>
      </c>
      <c r="F94" s="36" t="s">
        <v>267</v>
      </c>
      <c r="G94" s="36" t="s">
        <v>130</v>
      </c>
      <c r="H94" s="36">
        <v>1250</v>
      </c>
      <c r="I94" s="36">
        <v>1417</v>
      </c>
      <c r="J94" s="56">
        <v>1.216</v>
      </c>
    </row>
    <row r="95" spans="1:10">
      <c r="A95" s="40" t="str">
        <f t="shared" si="3"/>
        <v>EV07_rapid_ALL_ALL_GB</v>
      </c>
      <c r="B95" s="36" t="s">
        <v>443</v>
      </c>
      <c r="C95" s="36" t="s">
        <v>267</v>
      </c>
      <c r="D95" s="36" t="s">
        <v>279</v>
      </c>
      <c r="E95" s="36" t="s">
        <v>267</v>
      </c>
      <c r="F95" s="36" t="s">
        <v>267</v>
      </c>
      <c r="G95" s="36" t="s">
        <v>130</v>
      </c>
      <c r="H95" s="36">
        <v>1418</v>
      </c>
      <c r="I95" s="36" t="s">
        <v>269</v>
      </c>
      <c r="J95" s="56">
        <v>1</v>
      </c>
    </row>
    <row r="96" spans="1:10">
      <c r="A96" s="40" t="str">
        <f t="shared" si="3"/>
        <v>EV07_depot_ALL_ALL_GB</v>
      </c>
      <c r="B96" s="36" t="s">
        <v>443</v>
      </c>
      <c r="C96" s="36" t="s">
        <v>267</v>
      </c>
      <c r="D96" s="36" t="s">
        <v>289</v>
      </c>
      <c r="E96" s="36" t="s">
        <v>267</v>
      </c>
      <c r="F96" s="36" t="s">
        <v>267</v>
      </c>
      <c r="G96" s="36" t="s">
        <v>130</v>
      </c>
      <c r="H96" s="36">
        <v>1</v>
      </c>
      <c r="I96" s="36">
        <v>1</v>
      </c>
      <c r="J96" s="56">
        <v>13.544</v>
      </c>
    </row>
    <row r="97" spans="1:10">
      <c r="A97" s="40" t="str">
        <f t="shared" si="3"/>
        <v>EV07_depot_ALL_ALL_GB</v>
      </c>
      <c r="B97" s="36" t="s">
        <v>443</v>
      </c>
      <c r="C97" s="36" t="s">
        <v>267</v>
      </c>
      <c r="D97" s="36" t="s">
        <v>289</v>
      </c>
      <c r="E97" s="36" t="s">
        <v>267</v>
      </c>
      <c r="F97" s="36" t="s">
        <v>267</v>
      </c>
      <c r="G97" s="36" t="s">
        <v>130</v>
      </c>
      <c r="H97" s="36">
        <v>2</v>
      </c>
      <c r="I97" s="36">
        <v>2</v>
      </c>
      <c r="J97" s="56">
        <v>9.7449999999999992</v>
      </c>
    </row>
    <row r="98" spans="1:10">
      <c r="A98" s="40" t="str">
        <f t="shared" si="3"/>
        <v>EV07_depot_ALL_ALL_GB</v>
      </c>
      <c r="B98" s="36" t="s">
        <v>443</v>
      </c>
      <c r="C98" s="36" t="s">
        <v>267</v>
      </c>
      <c r="D98" s="36" t="s">
        <v>289</v>
      </c>
      <c r="E98" s="36" t="s">
        <v>267</v>
      </c>
      <c r="F98" s="36" t="s">
        <v>267</v>
      </c>
      <c r="G98" s="36" t="s">
        <v>130</v>
      </c>
      <c r="H98" s="36">
        <v>3</v>
      </c>
      <c r="I98" s="36">
        <v>3</v>
      </c>
      <c r="J98" s="56">
        <v>9.1920000000000002</v>
      </c>
    </row>
    <row r="99" spans="1:10">
      <c r="A99" s="40" t="str">
        <f t="shared" si="3"/>
        <v>EV07_depot_ALL_ALL_GB</v>
      </c>
      <c r="B99" s="36" t="s">
        <v>443</v>
      </c>
      <c r="C99" s="36" t="s">
        <v>267</v>
      </c>
      <c r="D99" s="36" t="s">
        <v>289</v>
      </c>
      <c r="E99" s="36" t="s">
        <v>267</v>
      </c>
      <c r="F99" s="36" t="s">
        <v>267</v>
      </c>
      <c r="G99" s="36" t="s">
        <v>130</v>
      </c>
      <c r="H99" s="36">
        <v>4</v>
      </c>
      <c r="I99" s="36">
        <v>4</v>
      </c>
      <c r="J99" s="56">
        <v>7.266</v>
      </c>
    </row>
    <row r="100" spans="1:10">
      <c r="A100" s="40" t="str">
        <f t="shared" si="3"/>
        <v>EV07_depot_ALL_ALL_GB</v>
      </c>
      <c r="B100" s="36" t="s">
        <v>443</v>
      </c>
      <c r="C100" s="36" t="s">
        <v>267</v>
      </c>
      <c r="D100" s="36" t="s">
        <v>289</v>
      </c>
      <c r="E100" s="36" t="s">
        <v>267</v>
      </c>
      <c r="F100" s="36" t="s">
        <v>267</v>
      </c>
      <c r="G100" s="36" t="s">
        <v>130</v>
      </c>
      <c r="H100" s="36">
        <v>5</v>
      </c>
      <c r="I100" s="36">
        <v>6</v>
      </c>
      <c r="J100" s="56">
        <v>6.306</v>
      </c>
    </row>
    <row r="101" spans="1:10">
      <c r="A101" s="40" t="str">
        <f t="shared" si="3"/>
        <v>EV07_depot_ALL_ALL_GB</v>
      </c>
      <c r="B101" s="36" t="s">
        <v>443</v>
      </c>
      <c r="C101" s="36" t="s">
        <v>267</v>
      </c>
      <c r="D101" s="36" t="s">
        <v>289</v>
      </c>
      <c r="E101" s="36" t="s">
        <v>267</v>
      </c>
      <c r="F101" s="36" t="s">
        <v>267</v>
      </c>
      <c r="G101" s="36" t="s">
        <v>130</v>
      </c>
      <c r="H101" s="36">
        <v>7</v>
      </c>
      <c r="I101" s="36">
        <v>8</v>
      </c>
      <c r="J101" s="56">
        <v>5.7759999999999998</v>
      </c>
    </row>
    <row r="102" spans="1:10">
      <c r="A102" s="40" t="str">
        <f t="shared" si="3"/>
        <v>EV07_depot_ALL_ALL_GB</v>
      </c>
      <c r="B102" s="36" t="s">
        <v>443</v>
      </c>
      <c r="C102" s="36" t="s">
        <v>267</v>
      </c>
      <c r="D102" s="36" t="s">
        <v>289</v>
      </c>
      <c r="E102" s="36" t="s">
        <v>267</v>
      </c>
      <c r="F102" s="36" t="s">
        <v>267</v>
      </c>
      <c r="G102" s="36" t="s">
        <v>130</v>
      </c>
      <c r="H102" s="36">
        <v>9</v>
      </c>
      <c r="I102" s="36">
        <v>11</v>
      </c>
      <c r="J102" s="56">
        <v>4.87</v>
      </c>
    </row>
    <row r="103" spans="1:10">
      <c r="A103" s="40" t="str">
        <f t="shared" si="3"/>
        <v>EV07_depot_ALL_ALL_GB</v>
      </c>
      <c r="B103" s="36" t="s">
        <v>443</v>
      </c>
      <c r="C103" s="36" t="s">
        <v>267</v>
      </c>
      <c r="D103" s="36" t="s">
        <v>289</v>
      </c>
      <c r="E103" s="36" t="s">
        <v>267</v>
      </c>
      <c r="F103" s="36" t="s">
        <v>267</v>
      </c>
      <c r="G103" s="36" t="s">
        <v>130</v>
      </c>
      <c r="H103" s="36">
        <v>12</v>
      </c>
      <c r="I103" s="36">
        <v>14</v>
      </c>
      <c r="J103" s="56">
        <v>4.3079999999999998</v>
      </c>
    </row>
    <row r="104" spans="1:10">
      <c r="A104" s="40" t="str">
        <f t="shared" si="3"/>
        <v>EV07_depot_ALL_ALL_GB</v>
      </c>
      <c r="B104" s="36" t="s">
        <v>443</v>
      </c>
      <c r="C104" s="36" t="s">
        <v>267</v>
      </c>
      <c r="D104" s="36" t="s">
        <v>289</v>
      </c>
      <c r="E104" s="36" t="s">
        <v>267</v>
      </c>
      <c r="F104" s="36" t="s">
        <v>267</v>
      </c>
      <c r="G104" s="36" t="s">
        <v>130</v>
      </c>
      <c r="H104" s="36">
        <v>15</v>
      </c>
      <c r="I104" s="36">
        <v>17</v>
      </c>
      <c r="J104" s="56">
        <v>3.9340000000000002</v>
      </c>
    </row>
    <row r="105" spans="1:10">
      <c r="A105" s="40" t="str">
        <f t="shared" si="3"/>
        <v>EV07_depot_ALL_ALL_GB</v>
      </c>
      <c r="B105" s="36" t="s">
        <v>443</v>
      </c>
      <c r="C105" s="36" t="s">
        <v>267</v>
      </c>
      <c r="D105" s="36" t="s">
        <v>289</v>
      </c>
      <c r="E105" s="36" t="s">
        <v>267</v>
      </c>
      <c r="F105" s="36" t="s">
        <v>267</v>
      </c>
      <c r="G105" s="36" t="s">
        <v>130</v>
      </c>
      <c r="H105" s="36">
        <v>18</v>
      </c>
      <c r="I105" s="36">
        <v>20</v>
      </c>
      <c r="J105" s="56">
        <v>3.5990000000000002</v>
      </c>
    </row>
    <row r="106" spans="1:10">
      <c r="A106" s="40" t="str">
        <f t="shared" si="3"/>
        <v>EV07_depot_ALL_ALL_GB</v>
      </c>
      <c r="B106" s="36" t="s">
        <v>443</v>
      </c>
      <c r="C106" s="36" t="s">
        <v>267</v>
      </c>
      <c r="D106" s="36" t="s">
        <v>289</v>
      </c>
      <c r="E106" s="36" t="s">
        <v>267</v>
      </c>
      <c r="F106" s="36" t="s">
        <v>267</v>
      </c>
      <c r="G106" s="36" t="s">
        <v>130</v>
      </c>
      <c r="H106" s="36">
        <v>21</v>
      </c>
      <c r="I106" s="36">
        <v>24</v>
      </c>
      <c r="J106" s="56">
        <v>3.4649999999999999</v>
      </c>
    </row>
    <row r="107" spans="1:10">
      <c r="A107" s="40" t="str">
        <f t="shared" si="3"/>
        <v>EV07_depot_ALL_ALL_GB</v>
      </c>
      <c r="B107" s="36" t="s">
        <v>443</v>
      </c>
      <c r="C107" s="36" t="s">
        <v>267</v>
      </c>
      <c r="D107" s="36" t="s">
        <v>289</v>
      </c>
      <c r="E107" s="36" t="s">
        <v>267</v>
      </c>
      <c r="F107" s="36" t="s">
        <v>267</v>
      </c>
      <c r="G107" s="36" t="s">
        <v>130</v>
      </c>
      <c r="H107" s="36">
        <v>25</v>
      </c>
      <c r="I107" s="36">
        <v>29</v>
      </c>
      <c r="J107" s="56">
        <v>3.16</v>
      </c>
    </row>
    <row r="108" spans="1:10">
      <c r="A108" s="40" t="str">
        <f t="shared" ref="A108:A116" si="4">_xlfn.CONCAT("EV07_",INDEX(EV_charger_type_short,MATCH(D108,EV_charger_type,0)),"_",INDEX(rep_days_short,MATCH(E108,rep_days,0)),"_",INDEX(EV_Flex_short,MATCH(F108,EV_Flex,0)),"_",G108)</f>
        <v>EV07_depot_ALL_ALL_GB</v>
      </c>
      <c r="B108" s="36" t="s">
        <v>443</v>
      </c>
      <c r="C108" s="36" t="s">
        <v>267</v>
      </c>
      <c r="D108" s="36" t="s">
        <v>289</v>
      </c>
      <c r="E108" s="36" t="s">
        <v>267</v>
      </c>
      <c r="F108" s="36" t="s">
        <v>267</v>
      </c>
      <c r="G108" s="36" t="s">
        <v>130</v>
      </c>
      <c r="H108" s="36">
        <v>30</v>
      </c>
      <c r="I108" s="36">
        <v>39</v>
      </c>
      <c r="J108" s="56">
        <v>2.98</v>
      </c>
    </row>
    <row r="109" spans="1:10">
      <c r="A109" s="40" t="str">
        <f t="shared" si="4"/>
        <v>EV07_depot_ALL_ALL_GB</v>
      </c>
      <c r="B109" s="36" t="s">
        <v>443</v>
      </c>
      <c r="C109" s="36" t="s">
        <v>267</v>
      </c>
      <c r="D109" s="36" t="s">
        <v>289</v>
      </c>
      <c r="E109" s="36" t="s">
        <v>267</v>
      </c>
      <c r="F109" s="36" t="s">
        <v>267</v>
      </c>
      <c r="G109" s="36" t="s">
        <v>130</v>
      </c>
      <c r="H109" s="36">
        <v>40</v>
      </c>
      <c r="I109" s="36">
        <v>49</v>
      </c>
      <c r="J109" s="56">
        <v>2.649</v>
      </c>
    </row>
    <row r="110" spans="1:10">
      <c r="A110" s="40" t="str">
        <f t="shared" si="4"/>
        <v>EV07_depot_ALL_ALL_GB</v>
      </c>
      <c r="B110" s="36" t="s">
        <v>443</v>
      </c>
      <c r="C110" s="36" t="s">
        <v>267</v>
      </c>
      <c r="D110" s="36" t="s">
        <v>289</v>
      </c>
      <c r="E110" s="36" t="s">
        <v>267</v>
      </c>
      <c r="F110" s="36" t="s">
        <v>267</v>
      </c>
      <c r="G110" s="36" t="s">
        <v>130</v>
      </c>
      <c r="H110" s="36">
        <v>50</v>
      </c>
      <c r="I110" s="36">
        <v>74</v>
      </c>
      <c r="J110" s="56">
        <v>2.4740000000000002</v>
      </c>
    </row>
    <row r="111" spans="1:10">
      <c r="A111" s="40" t="str">
        <f t="shared" si="4"/>
        <v>EV07_depot_ALL_ALL_GB</v>
      </c>
      <c r="B111" s="36" t="s">
        <v>443</v>
      </c>
      <c r="C111" s="36" t="s">
        <v>267</v>
      </c>
      <c r="D111" s="36" t="s">
        <v>289</v>
      </c>
      <c r="E111" s="36" t="s">
        <v>267</v>
      </c>
      <c r="F111" s="36" t="s">
        <v>267</v>
      </c>
      <c r="G111" s="36" t="s">
        <v>130</v>
      </c>
      <c r="H111" s="36">
        <v>75</v>
      </c>
      <c r="I111" s="36">
        <v>99</v>
      </c>
      <c r="J111" s="56">
        <v>2.1509999999999998</v>
      </c>
    </row>
    <row r="112" spans="1:10">
      <c r="A112" s="40" t="str">
        <f t="shared" si="4"/>
        <v>EV07_depot_ALL_ALL_GB</v>
      </c>
      <c r="B112" s="36" t="s">
        <v>443</v>
      </c>
      <c r="C112" s="36" t="s">
        <v>267</v>
      </c>
      <c r="D112" s="36" t="s">
        <v>289</v>
      </c>
      <c r="E112" s="36" t="s">
        <v>267</v>
      </c>
      <c r="F112" s="36" t="s">
        <v>267</v>
      </c>
      <c r="G112" s="36" t="s">
        <v>130</v>
      </c>
      <c r="H112" s="36">
        <v>100</v>
      </c>
      <c r="I112" s="36">
        <v>149</v>
      </c>
      <c r="J112" s="56">
        <v>1.9970000000000001</v>
      </c>
    </row>
    <row r="113" spans="1:10">
      <c r="A113" s="40" t="str">
        <f t="shared" si="4"/>
        <v>EV07_depot_ALL_ALL_GB</v>
      </c>
      <c r="B113" s="36" t="s">
        <v>443</v>
      </c>
      <c r="C113" s="36" t="s">
        <v>267</v>
      </c>
      <c r="D113" s="36" t="s">
        <v>289</v>
      </c>
      <c r="E113" s="36" t="s">
        <v>267</v>
      </c>
      <c r="F113" s="36" t="s">
        <v>267</v>
      </c>
      <c r="G113" s="36" t="s">
        <v>130</v>
      </c>
      <c r="H113" s="36">
        <v>150</v>
      </c>
      <c r="I113" s="36">
        <v>199</v>
      </c>
      <c r="J113" s="56">
        <v>1.7789999999999999</v>
      </c>
    </row>
    <row r="114" spans="1:10">
      <c r="A114" s="40" t="str">
        <f t="shared" si="4"/>
        <v>EV07_depot_ALL_ALL_GB</v>
      </c>
      <c r="B114" s="36" t="s">
        <v>443</v>
      </c>
      <c r="C114" s="36" t="s">
        <v>267</v>
      </c>
      <c r="D114" s="36" t="s">
        <v>289</v>
      </c>
      <c r="E114" s="36" t="s">
        <v>267</v>
      </c>
      <c r="F114" s="36" t="s">
        <v>267</v>
      </c>
      <c r="G114" s="36" t="s">
        <v>130</v>
      </c>
      <c r="H114" s="36">
        <v>200</v>
      </c>
      <c r="I114" s="36">
        <v>299</v>
      </c>
      <c r="J114" s="56">
        <v>1.6619999999999999</v>
      </c>
    </row>
    <row r="115" spans="1:10">
      <c r="A115" s="40" t="str">
        <f t="shared" si="4"/>
        <v>EV07_depot_ALL_ALL_GB</v>
      </c>
      <c r="B115" s="36" t="s">
        <v>443</v>
      </c>
      <c r="C115" s="36" t="s">
        <v>267</v>
      </c>
      <c r="D115" s="36" t="s">
        <v>289</v>
      </c>
      <c r="E115" s="36" t="s">
        <v>267</v>
      </c>
      <c r="F115" s="36" t="s">
        <v>267</v>
      </c>
      <c r="G115" s="36" t="s">
        <v>130</v>
      </c>
      <c r="H115" s="36">
        <v>300</v>
      </c>
      <c r="I115" s="36">
        <v>499</v>
      </c>
      <c r="J115" s="56">
        <v>1.526</v>
      </c>
    </row>
    <row r="116" spans="1:10">
      <c r="A116" s="40" t="str">
        <f t="shared" si="4"/>
        <v>EV07_depot_ALL_ALL_GB</v>
      </c>
      <c r="B116" s="36" t="s">
        <v>443</v>
      </c>
      <c r="C116" s="36" t="s">
        <v>267</v>
      </c>
      <c r="D116" s="36" t="s">
        <v>289</v>
      </c>
      <c r="E116" s="36" t="s">
        <v>267</v>
      </c>
      <c r="F116" s="36" t="s">
        <v>267</v>
      </c>
      <c r="G116" s="36" t="s">
        <v>130</v>
      </c>
      <c r="H116" s="36">
        <v>500</v>
      </c>
      <c r="I116" s="36">
        <v>749</v>
      </c>
      <c r="J116" s="56">
        <v>1.391</v>
      </c>
    </row>
    <row r="117" spans="1:10">
      <c r="A117" s="305" t="str">
        <f>_xlfn.CONCAT("EV07_",INDEX(EV_charger_type_short,MATCH(D117,EV_charger_type,0)),"_",INDEX(rep_days_short,MATCH(E117,rep_days,0)),"_",INDEX(EV_Flex_short,MATCH(F117,EV_Flex,0)),"_",G117)</f>
        <v>EV07_depot_ALL_ALL_GB</v>
      </c>
      <c r="B117" s="2" t="s">
        <v>443</v>
      </c>
      <c r="C117" s="2" t="s">
        <v>267</v>
      </c>
      <c r="D117" s="2" t="s">
        <v>289</v>
      </c>
      <c r="E117" s="2" t="s">
        <v>267</v>
      </c>
      <c r="F117" s="2" t="s">
        <v>267</v>
      </c>
      <c r="G117" s="2" t="s">
        <v>130</v>
      </c>
      <c r="H117" s="2">
        <v>750</v>
      </c>
      <c r="I117" s="2">
        <v>999</v>
      </c>
      <c r="J117" s="306">
        <v>1.3089999999999999</v>
      </c>
    </row>
    <row r="118" spans="1:10">
      <c r="A118" s="305" t="str">
        <f>_xlfn.CONCAT("EV07_",INDEX(EV_charger_type_short,MATCH(D118,EV_charger_type,0)),"_",INDEX(rep_days_short,MATCH(E118,rep_days,0)),"_",INDEX(EV_Flex_short,MATCH(F118,EV_Flex,0)),"_",G118)</f>
        <v>EV07_depot_ALL_ALL_GB</v>
      </c>
      <c r="B118" s="2" t="s">
        <v>443</v>
      </c>
      <c r="C118" s="2" t="s">
        <v>267</v>
      </c>
      <c r="D118" s="2" t="s">
        <v>289</v>
      </c>
      <c r="E118" s="2" t="s">
        <v>267</v>
      </c>
      <c r="F118" s="2" t="s">
        <v>267</v>
      </c>
      <c r="G118" s="2" t="s">
        <v>130</v>
      </c>
      <c r="H118" s="2">
        <v>1000</v>
      </c>
      <c r="I118" s="2">
        <v>1249</v>
      </c>
      <c r="J118" s="306">
        <v>1.264</v>
      </c>
    </row>
    <row r="119" spans="1:10">
      <c r="A119" s="305" t="str">
        <f>_xlfn.CONCAT("EV07_",INDEX(EV_charger_type_short,MATCH(D119,EV_charger_type,0)),"_",INDEX(rep_days_short,MATCH(E119,rep_days,0)),"_",INDEX(EV_Flex_short,MATCH(F119,EV_Flex,0)),"_",G119)</f>
        <v>EV07_depot_ALL_ALL_GB</v>
      </c>
      <c r="B119" s="2" t="s">
        <v>443</v>
      </c>
      <c r="C119" s="2" t="s">
        <v>267</v>
      </c>
      <c r="D119" s="2" t="s">
        <v>289</v>
      </c>
      <c r="E119" s="2" t="s">
        <v>267</v>
      </c>
      <c r="F119" s="2" t="s">
        <v>267</v>
      </c>
      <c r="G119" s="2" t="s">
        <v>130</v>
      </c>
      <c r="H119" s="2">
        <v>1250</v>
      </c>
      <c r="I119" s="2">
        <v>1566</v>
      </c>
      <c r="J119" s="306">
        <v>1.226</v>
      </c>
    </row>
    <row r="120" spans="1:10">
      <c r="A120" s="305" t="str">
        <f>_xlfn.CONCAT("EV07_",INDEX(EV_charger_type_short,MATCH(D120,EV_charger_type,0)),"_",INDEX(rep_days_short,MATCH(E120,rep_days,0)),"_",INDEX(EV_Flex_short,MATCH(F120,EV_Flex,0)),"_",G120)</f>
        <v>EV07_depot_ALL_ALL_GB</v>
      </c>
      <c r="B120" s="2" t="s">
        <v>443</v>
      </c>
      <c r="C120" s="2" t="s">
        <v>267</v>
      </c>
      <c r="D120" s="2" t="s">
        <v>289</v>
      </c>
      <c r="E120" s="2" t="s">
        <v>267</v>
      </c>
      <c r="F120" s="2" t="s">
        <v>267</v>
      </c>
      <c r="G120" s="2" t="s">
        <v>130</v>
      </c>
      <c r="H120" s="2">
        <v>1567</v>
      </c>
      <c r="I120" s="2" t="s">
        <v>269</v>
      </c>
      <c r="J120" s="306">
        <v>1</v>
      </c>
    </row>
  </sheetData>
  <sheetProtection formatCells="0" formatColumns="0" formatRows="0" sort="0" autoFilter="0" pivotTables="0"/>
  <protectedRanges>
    <protectedRange sqref="A4:A120" name="Range1"/>
  </protectedRanges>
  <dataValidations count="5">
    <dataValidation type="list" allowBlank="1" showInputMessage="1" showErrorMessage="1" sqref="C4:C120" xr:uid="{D0913082-0660-4116-9E5C-AA26726AB191}">
      <formula1>EV_BBs</formula1>
    </dataValidation>
    <dataValidation type="list" allowBlank="1" showInputMessage="1" showErrorMessage="1" sqref="F4:F120" xr:uid="{1A4A2236-334A-4F3F-A577-C2990FCF0E99}">
      <formula1>EV_Flex</formula1>
    </dataValidation>
    <dataValidation type="list" allowBlank="1" showInputMessage="1" showErrorMessage="1" sqref="E4:E120" xr:uid="{0C135141-40C6-4563-89D4-EDDB977404F0}">
      <formula1>rep_days</formula1>
    </dataValidation>
    <dataValidation type="list" allowBlank="1" showInputMessage="1" showErrorMessage="1" sqref="G4:G120" xr:uid="{2EEC0B62-E95C-4B6C-8AF4-202369817384}">
      <formula1>spatial_res</formula1>
    </dataValidation>
    <dataValidation type="list" allowBlank="1" showInputMessage="1" showErrorMessage="1" sqref="D4:D120" xr:uid="{98E40569-752E-4484-8871-A0DA238078F3}">
      <formula1>EV_charger_type</formula1>
    </dataValidation>
  </dataValidations>
  <hyperlinks>
    <hyperlink ref="A1" location="Contents!A1" display="Back to contents" xr:uid="{20F42023-F2CD-42A9-A528-AB27BB524646}"/>
    <hyperlink ref="A2" location="'EV CPA Summary Table'!A1" display="Back to EV CPA Summary Table " xr:uid="{95565906-F6C1-47C9-ACE2-D8BC15E9F1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2D09-3ECA-4C04-9759-56333F5C54DC}">
  <sheetPr>
    <tabColor theme="8" tint="0.79998168889431442"/>
  </sheetPr>
  <dimension ref="A1:I8"/>
  <sheetViews>
    <sheetView showGridLines="0" workbookViewId="0">
      <pane xSplit="1" ySplit="3" topLeftCell="B4" activePane="bottomRight" state="frozen"/>
      <selection pane="bottomRight"/>
      <selection pane="bottomLeft" activeCell="C8" sqref="C8"/>
      <selection pane="topRight" activeCell="C8" sqref="C8"/>
    </sheetView>
  </sheetViews>
  <sheetFormatPr defaultRowHeight="20.45"/>
  <cols>
    <col min="1" max="1" width="33.8984375" customWidth="1"/>
    <col min="2" max="2" width="15.19921875" customWidth="1"/>
    <col min="3" max="3" width="21.8984375" customWidth="1"/>
    <col min="4" max="4" width="21.19921875" customWidth="1"/>
    <col min="5" max="6" width="24.19921875" customWidth="1"/>
    <col min="7" max="7" width="30.5" customWidth="1"/>
    <col min="8" max="8" width="15.8984375" customWidth="1"/>
    <col min="9" max="9" width="16.19921875" customWidth="1"/>
    <col min="10" max="10" width="12.5" customWidth="1"/>
  </cols>
  <sheetData>
    <row r="1" spans="1:9">
      <c r="A1" s="98" t="s">
        <v>57</v>
      </c>
    </row>
    <row r="2" spans="1:9">
      <c r="A2" s="98" t="s">
        <v>338</v>
      </c>
    </row>
    <row r="3" spans="1:9">
      <c r="A3" s="170" t="s">
        <v>162</v>
      </c>
      <c r="B3" s="170" t="s">
        <v>340</v>
      </c>
      <c r="C3" s="170" t="s">
        <v>166</v>
      </c>
      <c r="D3" s="170" t="s">
        <v>482</v>
      </c>
      <c r="E3" s="170" t="s">
        <v>483</v>
      </c>
      <c r="F3" s="170" t="s">
        <v>484</v>
      </c>
      <c r="G3" s="170" t="s">
        <v>485</v>
      </c>
      <c r="H3" s="170" t="s">
        <v>488</v>
      </c>
      <c r="I3" s="1"/>
    </row>
    <row r="4" spans="1:9">
      <c r="A4" s="40" t="str">
        <f>_xlfn.CONCAT("EV08_",INDEX(EV_charger_type_short,MATCH(D4,EV_charger_type,0)),"_",INDEX(rep_days_short,MATCH(E4,rep_days,0)),"_",INDEX(EV_Flex_short,MATCH(F4,EV_Flex,0)),"_",G4)</f>
        <v>EV08_domestic_ALL_ALL_GB</v>
      </c>
      <c r="B4" s="36" t="s">
        <v>454</v>
      </c>
      <c r="C4" s="36" t="s">
        <v>267</v>
      </c>
      <c r="D4" s="36" t="s">
        <v>226</v>
      </c>
      <c r="E4" s="36" t="s">
        <v>267</v>
      </c>
      <c r="F4" s="36" t="s">
        <v>267</v>
      </c>
      <c r="G4" s="36" t="s">
        <v>130</v>
      </c>
      <c r="H4" s="57">
        <v>1533</v>
      </c>
    </row>
    <row r="5" spans="1:9">
      <c r="A5" s="40" t="str">
        <f>_xlfn.CONCAT("EV08_",INDEX(EV_charger_type_short,MATCH(D5,EV_charger_type,0)),"_",INDEX(rep_days_short,MATCH(E5,rep_days,0)),"_",INDEX(EV_Flex_short,MATCH(F5,EV_Flex,0)),"_",G5)</f>
        <v>EV08_workplace_ALL_ALL_GB</v>
      </c>
      <c r="B5" s="36" t="s">
        <v>454</v>
      </c>
      <c r="C5" s="36" t="s">
        <v>267</v>
      </c>
      <c r="D5" s="36" t="s">
        <v>245</v>
      </c>
      <c r="E5" s="36" t="s">
        <v>267</v>
      </c>
      <c r="F5" s="36" t="s">
        <v>267</v>
      </c>
      <c r="G5" s="36" t="s">
        <v>130</v>
      </c>
      <c r="H5" s="36">
        <v>691</v>
      </c>
    </row>
    <row r="6" spans="1:9">
      <c r="A6" s="40" t="str">
        <f>_xlfn.CONCAT("EV08_",INDEX(EV_charger_type_short,MATCH(D6,EV_charger_type,0)),"_",INDEX(rep_days_short,MATCH(E6,rep_days,0)),"_",INDEX(EV_Flex_short,MATCH(F6,EV_Flex,0)),"_",G6)</f>
        <v>EV08_slowfast_ALL_ALL_GB</v>
      </c>
      <c r="B6" s="36" t="s">
        <v>454</v>
      </c>
      <c r="C6" s="36" t="s">
        <v>267</v>
      </c>
      <c r="D6" s="36" t="s">
        <v>265</v>
      </c>
      <c r="E6" s="36" t="s">
        <v>267</v>
      </c>
      <c r="F6" s="36" t="s">
        <v>267</v>
      </c>
      <c r="G6" s="36" t="s">
        <v>130</v>
      </c>
      <c r="H6" s="36">
        <v>433</v>
      </c>
    </row>
    <row r="7" spans="1:9">
      <c r="A7" s="40" t="str">
        <f>_xlfn.CONCAT("EV08_",INDEX(EV_charger_type_short,MATCH(D7,EV_charger_type,0)),"_",INDEX(rep_days_short,MATCH(E7,rep_days,0)),"_",INDEX(EV_Flex_short,MATCH(F7,EV_Flex,0)),"_",G7)</f>
        <v>EV08_rapid_ALL_ALL_GB</v>
      </c>
      <c r="B7" s="36" t="s">
        <v>454</v>
      </c>
      <c r="C7" s="36" t="s">
        <v>267</v>
      </c>
      <c r="D7" s="36" t="s">
        <v>279</v>
      </c>
      <c r="E7" s="36" t="s">
        <v>267</v>
      </c>
      <c r="F7" s="36" t="s">
        <v>267</v>
      </c>
      <c r="G7" s="36" t="s">
        <v>130</v>
      </c>
      <c r="H7" s="57">
        <v>1418</v>
      </c>
    </row>
    <row r="8" spans="1:9">
      <c r="A8" s="40" t="str">
        <f>_xlfn.CONCAT("EV08_",INDEX(EV_charger_type_short,MATCH(D8,EV_charger_type,0)),"_",INDEX(rep_days_short,MATCH(E8,rep_days,0)),"_",INDEX(EV_Flex_short,MATCH(F8,EV_Flex,0)),"_",G8)</f>
        <v>EV08_depot_ALL_ALL_GB</v>
      </c>
      <c r="B8" s="36" t="s">
        <v>454</v>
      </c>
      <c r="C8" s="36" t="s">
        <v>267</v>
      </c>
      <c r="D8" s="36" t="s">
        <v>289</v>
      </c>
      <c r="E8" s="36" t="s">
        <v>267</v>
      </c>
      <c r="F8" s="36" t="s">
        <v>267</v>
      </c>
      <c r="G8" s="36" t="s">
        <v>130</v>
      </c>
      <c r="H8" s="57">
        <v>1567</v>
      </c>
    </row>
  </sheetData>
  <protectedRanges>
    <protectedRange sqref="A4:A8" name="Range1_1"/>
  </protectedRanges>
  <dataValidations count="5">
    <dataValidation type="list" allowBlank="1" showInputMessage="1" showErrorMessage="1" sqref="G4:G19" xr:uid="{43FBB19E-49FC-4188-814F-62B8017C0DB7}">
      <formula1>spatial_res</formula1>
    </dataValidation>
    <dataValidation type="list" allowBlank="1" showInputMessage="1" showErrorMessage="1" sqref="E4:E19" xr:uid="{88CD9EC2-3845-4081-B132-7B1D5CE07DCF}">
      <formula1>rep_days</formula1>
    </dataValidation>
    <dataValidation type="list" allowBlank="1" showInputMessage="1" showErrorMessage="1" sqref="F4:F19" xr:uid="{04A90428-C955-457E-A0B1-7DBA3256D31B}">
      <formula1>EV_Flex</formula1>
    </dataValidation>
    <dataValidation type="list" allowBlank="1" showInputMessage="1" showErrorMessage="1" sqref="D9:D19 C4:C19" xr:uid="{9FBD4284-2005-4852-8C9C-B2F0EF693F3D}">
      <formula1>EV_BBs</formula1>
    </dataValidation>
    <dataValidation type="list" allowBlank="1" showInputMessage="1" showErrorMessage="1" sqref="D4:D8" xr:uid="{07332476-3B89-4DA2-BE6E-EE2C28E885D4}">
      <formula1>EV_charger_type</formula1>
    </dataValidation>
  </dataValidations>
  <hyperlinks>
    <hyperlink ref="A1" location="Contents!A1" display="Back to contents" xr:uid="{2A32DAE4-5EBB-43D9-9D6B-FFC1585582EC}"/>
    <hyperlink ref="A2" location="'EV CPA Summary Table'!A1" display="Back to EV CPA Summary Table " xr:uid="{5F52B66A-1A20-4F1B-8D86-8E7FFD66033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C6BD-B2B5-4BCD-8FF3-52F6B9E24DE5}">
  <sheetPr>
    <tabColor rgb="FF7A3864"/>
  </sheetPr>
  <dimension ref="A1:P49"/>
  <sheetViews>
    <sheetView showRowColHeaders="0" zoomScale="80" zoomScaleNormal="80" workbookViewId="0">
      <pane xSplit="1" ySplit="1" topLeftCell="B2" activePane="bottomRight" state="frozen"/>
      <selection pane="bottomRight"/>
      <selection pane="bottomLeft" activeCell="A2" sqref="A2"/>
      <selection pane="topRight" activeCell="B1" sqref="B1"/>
    </sheetView>
  </sheetViews>
  <sheetFormatPr defaultColWidth="0" defaultRowHeight="20.45"/>
  <cols>
    <col min="1" max="1" width="7" style="102" customWidth="1"/>
    <col min="2" max="2" width="25.8984375" style="102" customWidth="1"/>
    <col min="3" max="3" width="36.5" style="102" customWidth="1"/>
    <col min="4" max="4" width="32.8984375" style="102" customWidth="1"/>
    <col min="5" max="5" width="45.5" style="102" customWidth="1"/>
    <col min="6" max="6" width="64.296875" style="102" customWidth="1"/>
    <col min="7" max="10" width="9.19921875" style="102" hidden="1" customWidth="1"/>
    <col min="11" max="16" width="0" style="102" hidden="1" customWidth="1"/>
    <col min="17" max="16384" width="7.19921875" style="102" hidden="1"/>
  </cols>
  <sheetData>
    <row r="1" spans="1:16" ht="45" customHeight="1">
      <c r="A1" s="100"/>
      <c r="B1" s="100" t="s">
        <v>5</v>
      </c>
      <c r="C1" s="101"/>
      <c r="D1" s="101"/>
      <c r="E1" s="101"/>
      <c r="F1" s="101"/>
      <c r="G1" s="101"/>
      <c r="H1" s="101"/>
      <c r="I1" s="101"/>
      <c r="J1" s="101"/>
      <c r="K1" s="101"/>
      <c r="L1" s="101"/>
      <c r="M1" s="101"/>
      <c r="N1" s="101"/>
      <c r="O1" s="101"/>
      <c r="P1" s="101"/>
    </row>
    <row r="2" spans="1:16">
      <c r="B2" s="103"/>
      <c r="C2" s="103"/>
      <c r="D2" s="103"/>
      <c r="E2" s="103"/>
      <c r="F2" s="103"/>
      <c r="G2" s="103"/>
      <c r="H2" s="103"/>
      <c r="I2" s="103"/>
      <c r="J2" s="103"/>
      <c r="K2" s="103"/>
      <c r="L2" s="103"/>
    </row>
    <row r="3" spans="1:16">
      <c r="B3" s="103"/>
      <c r="C3" s="104" t="s">
        <v>6</v>
      </c>
      <c r="D3" s="103"/>
      <c r="E3" s="103"/>
      <c r="F3" s="103"/>
      <c r="G3" s="103"/>
      <c r="H3" s="103"/>
      <c r="I3" s="103"/>
      <c r="J3" s="103"/>
      <c r="K3" s="103"/>
      <c r="L3" s="103"/>
    </row>
    <row r="4" spans="1:16">
      <c r="B4" s="159" t="s">
        <v>7</v>
      </c>
      <c r="C4" s="161" t="s">
        <v>8</v>
      </c>
      <c r="D4" s="103"/>
      <c r="E4" s="103"/>
      <c r="F4" s="103"/>
      <c r="G4" s="103"/>
      <c r="H4" s="103"/>
      <c r="I4" s="103"/>
      <c r="J4" s="103"/>
      <c r="K4" s="103"/>
      <c r="L4" s="103"/>
    </row>
    <row r="5" spans="1:16">
      <c r="B5" s="160"/>
      <c r="C5" s="103"/>
      <c r="D5" s="103"/>
      <c r="E5" s="103"/>
      <c r="F5" s="103"/>
      <c r="G5" s="103"/>
      <c r="H5" s="103"/>
      <c r="I5" s="103"/>
      <c r="J5" s="103"/>
      <c r="K5" s="103"/>
      <c r="L5" s="103"/>
    </row>
    <row r="6" spans="1:16">
      <c r="B6" s="103"/>
      <c r="C6" s="171" t="s">
        <v>6</v>
      </c>
      <c r="D6" s="103"/>
      <c r="E6" s="103"/>
      <c r="F6" s="103"/>
      <c r="G6" s="103"/>
      <c r="H6" s="103"/>
      <c r="I6" s="103"/>
      <c r="J6" s="103"/>
      <c r="K6" s="103"/>
      <c r="L6" s="103"/>
    </row>
    <row r="7" spans="1:16">
      <c r="B7" s="321" t="s">
        <v>9</v>
      </c>
      <c r="C7" s="105" t="s">
        <v>10</v>
      </c>
      <c r="D7" s="103"/>
      <c r="E7" s="103"/>
      <c r="F7" s="103"/>
      <c r="G7" s="103"/>
      <c r="H7" s="103"/>
      <c r="I7" s="103"/>
      <c r="J7" s="103"/>
      <c r="K7" s="103"/>
      <c r="L7" s="103"/>
    </row>
    <row r="8" spans="1:16">
      <c r="B8" s="321"/>
      <c r="C8" s="105" t="s">
        <v>11</v>
      </c>
      <c r="D8" s="103"/>
      <c r="E8" s="103"/>
      <c r="F8" s="103"/>
      <c r="G8" s="103"/>
      <c r="H8" s="103"/>
      <c r="I8" s="103"/>
      <c r="J8" s="103"/>
      <c r="K8" s="103"/>
      <c r="L8" s="103"/>
    </row>
    <row r="9" spans="1:16">
      <c r="B9" s="103"/>
      <c r="C9" s="103"/>
      <c r="D9" s="103"/>
      <c r="E9" s="103"/>
      <c r="F9" s="103"/>
      <c r="G9" s="103"/>
      <c r="H9" s="103"/>
      <c r="I9" s="103"/>
      <c r="J9" s="103"/>
      <c r="K9" s="103"/>
      <c r="L9" s="103"/>
    </row>
    <row r="10" spans="1:16">
      <c r="B10" s="103"/>
      <c r="C10" s="171" t="s">
        <v>6</v>
      </c>
      <c r="D10" s="103"/>
      <c r="E10" s="103"/>
      <c r="F10" s="103"/>
      <c r="G10" s="103"/>
      <c r="H10" s="103"/>
      <c r="I10" s="103"/>
      <c r="J10" s="103"/>
      <c r="K10" s="103"/>
      <c r="L10" s="103"/>
    </row>
    <row r="11" spans="1:16">
      <c r="B11" s="321" t="s">
        <v>12</v>
      </c>
      <c r="C11" s="105" t="s">
        <v>13</v>
      </c>
      <c r="D11" s="103"/>
      <c r="E11" s="103"/>
      <c r="F11" s="103"/>
      <c r="G11" s="103"/>
      <c r="H11" s="103"/>
      <c r="I11" s="103"/>
      <c r="J11" s="103"/>
      <c r="K11" s="103"/>
      <c r="L11" s="103"/>
    </row>
    <row r="12" spans="1:16">
      <c r="B12" s="321"/>
      <c r="C12" s="105" t="s">
        <v>14</v>
      </c>
      <c r="D12" s="103"/>
      <c r="E12" s="103"/>
      <c r="F12" s="103"/>
      <c r="G12" s="103"/>
      <c r="H12" s="103"/>
      <c r="I12" s="103"/>
      <c r="J12" s="103"/>
      <c r="K12" s="103"/>
      <c r="L12" s="103"/>
    </row>
    <row r="13" spans="1:16">
      <c r="B13" s="103"/>
      <c r="C13" s="103"/>
      <c r="D13" s="103"/>
      <c r="E13" s="103"/>
      <c r="F13" s="103"/>
      <c r="G13" s="103"/>
      <c r="H13" s="103"/>
      <c r="I13" s="103"/>
      <c r="J13" s="103"/>
      <c r="K13" s="103"/>
      <c r="L13" s="103"/>
    </row>
    <row r="14" spans="1:16">
      <c r="B14" s="106" t="s">
        <v>15</v>
      </c>
      <c r="C14" s="107"/>
      <c r="D14" s="107"/>
      <c r="E14" s="107"/>
      <c r="F14" s="103"/>
      <c r="G14" s="103"/>
      <c r="H14" s="103"/>
      <c r="I14" s="103"/>
      <c r="J14" s="103"/>
      <c r="K14" s="103"/>
      <c r="L14" s="103"/>
    </row>
    <row r="15" spans="1:16">
      <c r="B15" s="103"/>
      <c r="C15" s="103"/>
      <c r="D15" s="103"/>
      <c r="E15" s="103"/>
      <c r="F15" s="103"/>
      <c r="G15" s="103"/>
      <c r="H15" s="103"/>
      <c r="I15" s="103"/>
      <c r="J15" s="103"/>
      <c r="K15" s="103"/>
      <c r="L15" s="103"/>
    </row>
    <row r="16" spans="1:16">
      <c r="B16" s="103"/>
      <c r="C16" s="171" t="s">
        <v>16</v>
      </c>
      <c r="D16" s="171" t="s">
        <v>17</v>
      </c>
      <c r="E16" s="171" t="s">
        <v>18</v>
      </c>
    </row>
    <row r="17" spans="2:5">
      <c r="B17" s="322" t="s">
        <v>15</v>
      </c>
      <c r="C17" s="323" t="s">
        <v>19</v>
      </c>
      <c r="D17" s="105" t="s">
        <v>20</v>
      </c>
      <c r="E17" s="116" t="str">
        <f>'EV CPA Summary Table'!B4</f>
        <v>Vehicle mileage</v>
      </c>
    </row>
    <row r="18" spans="2:5">
      <c r="B18" s="322"/>
      <c r="C18" s="323"/>
      <c r="D18" s="105" t="s">
        <v>21</v>
      </c>
      <c r="E18" s="116" t="str">
        <f>'EV CPA Summary Table'!B7</f>
        <v>Distance in EV mode</v>
      </c>
    </row>
    <row r="19" spans="2:5">
      <c r="B19" s="322"/>
      <c r="C19" s="323"/>
      <c r="D19" s="105" t="s">
        <v>22</v>
      </c>
      <c r="E19" s="116" t="str">
        <f>'EV CPA Summary Table'!B11</f>
        <v>EV efficiency</v>
      </c>
    </row>
    <row r="20" spans="2:5">
      <c r="B20" s="322"/>
      <c r="C20" s="323"/>
      <c r="D20" s="105" t="s">
        <v>23</v>
      </c>
      <c r="E20" s="116" t="str">
        <f>'EV CPA Summary Table'!B13</f>
        <v>Proportion of charging by charger type</v>
      </c>
    </row>
    <row r="21" spans="2:5">
      <c r="B21" s="322"/>
      <c r="C21" s="323"/>
      <c r="D21" s="105" t="s">
        <v>24</v>
      </c>
      <c r="E21" s="116" t="str">
        <f>'EV CPA Summary Table'!B17</f>
        <v>Proportion of consumers by behaviour</v>
      </c>
    </row>
    <row r="22" spans="2:5">
      <c r="B22" s="322"/>
      <c r="C22" s="323"/>
      <c r="D22" s="105" t="s">
        <v>25</v>
      </c>
      <c r="E22" s="116" t="str">
        <f>'EV CPA Summary Table'!B18</f>
        <v>Normalised half-hourly profile</v>
      </c>
    </row>
    <row r="23" spans="2:5">
      <c r="B23" s="322"/>
      <c r="C23" s="323"/>
      <c r="D23" s="105" t="s">
        <v>26</v>
      </c>
      <c r="E23" s="116" t="str">
        <f>'EV CPA Summary Table'!B20</f>
        <v>Diversity-correction curve</v>
      </c>
    </row>
    <row r="24" spans="2:5">
      <c r="B24" s="322"/>
      <c r="C24" s="323"/>
      <c r="D24" s="105" t="s">
        <v>27</v>
      </c>
      <c r="E24" s="116" t="str">
        <f>'EV CPA Summary Table'!B22</f>
        <v>Minimum count for full diversification</v>
      </c>
    </row>
    <row r="25" spans="2:5">
      <c r="B25" s="322"/>
      <c r="C25" s="323"/>
      <c r="D25" s="105" t="s">
        <v>28</v>
      </c>
      <c r="E25" s="116" t="str">
        <f>'EV CPA Summary Table'!B23</f>
        <v>Charge point utilisation</v>
      </c>
    </row>
    <row r="26" spans="2:5">
      <c r="B26" s="322"/>
      <c r="C26" s="323"/>
      <c r="D26" s="105" t="s">
        <v>29</v>
      </c>
      <c r="E26" s="116" t="str">
        <f>'EV CPA Summary Table'!B25</f>
        <v>Size of chargers</v>
      </c>
    </row>
    <row r="27" spans="2:5">
      <c r="B27" s="322"/>
      <c r="C27" s="324" t="s">
        <v>30</v>
      </c>
      <c r="D27" s="105" t="s">
        <v>31</v>
      </c>
      <c r="E27" s="116" t="str">
        <f>'HP CPA Summary Table'!B4</f>
        <v>Size of HP</v>
      </c>
    </row>
    <row r="28" spans="2:5">
      <c r="B28" s="322"/>
      <c r="C28" s="324"/>
      <c r="D28" s="105" t="s">
        <v>32</v>
      </c>
      <c r="E28" s="116" t="str">
        <f>'HP CPA Summary Table'!B6</f>
        <v>Dwelling thermal efficiency factor</v>
      </c>
    </row>
    <row r="29" spans="2:5">
      <c r="B29" s="322"/>
      <c r="C29" s="324"/>
      <c r="D29" s="105" t="s">
        <v>33</v>
      </c>
      <c r="E29" s="116" t="str">
        <f>'HP CPA Summary Table'!B7</f>
        <v>Efficiency of HP</v>
      </c>
    </row>
    <row r="30" spans="2:5">
      <c r="B30" s="322"/>
      <c r="C30" s="324"/>
      <c r="D30" s="105" t="s">
        <v>34</v>
      </c>
      <c r="E30" s="116" t="str">
        <f>'HP CPA Summary Table'!B8</f>
        <v>Specific HP heat output</v>
      </c>
    </row>
    <row r="31" spans="2:5">
      <c r="B31" s="322"/>
      <c r="C31" s="324"/>
      <c r="D31" s="105" t="s">
        <v>35</v>
      </c>
      <c r="E31" s="116" t="str">
        <f>'HP CPA Summary Table'!B10</f>
        <v>Temperature difference</v>
      </c>
    </row>
    <row r="32" spans="2:5">
      <c r="B32" s="322"/>
      <c r="C32" s="324"/>
      <c r="D32" s="105" t="s">
        <v>36</v>
      </c>
      <c r="E32" s="116" t="str">
        <f>'HP CPA Summary Table'!B12</f>
        <v>Normalised half-hourly profile</v>
      </c>
    </row>
    <row r="33" spans="2:5">
      <c r="B33" s="322"/>
      <c r="C33" s="324"/>
      <c r="D33" s="105" t="s">
        <v>37</v>
      </c>
      <c r="E33" s="116" t="str">
        <f>'HP CPA Summary Table'!B14</f>
        <v>Proportion of consumers by behaviour</v>
      </c>
    </row>
    <row r="34" spans="2:5">
      <c r="B34" s="322"/>
      <c r="C34" s="324"/>
      <c r="D34" s="105" t="s">
        <v>38</v>
      </c>
      <c r="E34" s="116" t="str">
        <f>'HP CPA Summary Table'!B16</f>
        <v>Diversity-correction curve</v>
      </c>
    </row>
    <row r="35" spans="2:5">
      <c r="B35" s="322"/>
      <c r="C35" s="324"/>
      <c r="D35" s="105" t="s">
        <v>39</v>
      </c>
      <c r="E35" s="116" t="str">
        <f>'HP CPA Summary Table'!B17</f>
        <v>Minimum count for full diversification</v>
      </c>
    </row>
    <row r="36" spans="2:5">
      <c r="B36" s="322"/>
      <c r="C36" s="135" t="s">
        <v>40</v>
      </c>
      <c r="D36" s="105" t="s">
        <v>41</v>
      </c>
      <c r="E36" s="116" t="s">
        <v>42</v>
      </c>
    </row>
    <row r="37" spans="2:5">
      <c r="B37" s="110"/>
      <c r="C37" s="111"/>
      <c r="D37" s="112"/>
    </row>
    <row r="39" spans="2:5">
      <c r="C39" s="171" t="s">
        <v>6</v>
      </c>
    </row>
    <row r="40" spans="2:5">
      <c r="B40" s="318" t="s">
        <v>43</v>
      </c>
      <c r="C40" s="113" t="s">
        <v>44</v>
      </c>
    </row>
    <row r="41" spans="2:5">
      <c r="B41" s="320"/>
      <c r="C41" s="113" t="s">
        <v>45</v>
      </c>
    </row>
    <row r="42" spans="2:5">
      <c r="B42" s="318" t="s">
        <v>46</v>
      </c>
      <c r="C42" s="113" t="s">
        <v>47</v>
      </c>
    </row>
    <row r="43" spans="2:5">
      <c r="B43" s="320"/>
      <c r="C43" s="113" t="s">
        <v>48</v>
      </c>
    </row>
    <row r="46" spans="2:5">
      <c r="C46" s="171" t="s">
        <v>49</v>
      </c>
      <c r="D46" s="171" t="s">
        <v>6</v>
      </c>
    </row>
    <row r="47" spans="2:5" ht="40.9">
      <c r="B47" s="318" t="s">
        <v>50</v>
      </c>
      <c r="C47" s="114" t="s">
        <v>51</v>
      </c>
      <c r="D47" s="108" t="s">
        <v>52</v>
      </c>
    </row>
    <row r="48" spans="2:5">
      <c r="B48" s="319"/>
      <c r="C48" s="115" t="s">
        <v>53</v>
      </c>
      <c r="D48" s="108" t="s">
        <v>54</v>
      </c>
    </row>
    <row r="49" spans="2:4">
      <c r="B49" s="320"/>
      <c r="C49" s="109" t="s">
        <v>55</v>
      </c>
      <c r="D49" s="108" t="s">
        <v>56</v>
      </c>
    </row>
  </sheetData>
  <mergeCells count="8">
    <mergeCell ref="B47:B49"/>
    <mergeCell ref="B7:B8"/>
    <mergeCell ref="B11:B12"/>
    <mergeCell ref="B17:B36"/>
    <mergeCell ref="C17:C26"/>
    <mergeCell ref="C27:C35"/>
    <mergeCell ref="B40:B41"/>
    <mergeCell ref="B42:B43"/>
  </mergeCells>
  <hyperlinks>
    <hyperlink ref="C7" location="'EV CPA List'!A1" display="EV CPA List" xr:uid="{B875B406-D86A-476D-B1F0-667ADFCA725C}"/>
    <hyperlink ref="C8" location="'HP CPA list'!A1" display="HP CPA List" xr:uid="{CCD8D705-7DB9-4F68-9F3F-4DB296AF0C2B}"/>
    <hyperlink ref="C11" location="'EV CPA Process'!A1" display="EV CPA Process" xr:uid="{CD8C9A22-96C4-460C-B8BE-24CB1CD752A1}"/>
    <hyperlink ref="C12" location="'HP CPA Process'!A1" display="HP CPA Process" xr:uid="{8FE11DF0-66D0-4167-B69D-55B21DE1AE95}"/>
    <hyperlink ref="C17:C26" location="'EV CPA Summary Table'!A1" display="EV CPA Summary Table " xr:uid="{377A0E85-A04F-4537-B47E-16BF7E493AA1}"/>
    <hyperlink ref="C27:C35" location="'HP CPA Summary Table'!A1" display="Domestic HP CPA Summary Table" xr:uid="{80369018-D6B6-4C35-958C-4DEB50CAD2A3}"/>
    <hyperlink ref="C36" location="'EE CPA Summary Table'!A1" display="Domestic EE CPA Summary Table" xr:uid="{2C80BB32-E825-4455-B6E7-EBE4D656D6E5}"/>
    <hyperlink ref="D17" location="'EV01'!A1" display="EV01" xr:uid="{C0279B5F-709D-4707-A14B-1682014D7787}"/>
    <hyperlink ref="D18" location="'EV02'!A1" display="EV02" xr:uid="{C50B3351-836B-4F84-8BDB-D478CE7C9960}"/>
    <hyperlink ref="D19" location="'EV03'!A1" display="EV03" xr:uid="{1C3FE347-F99C-4200-AB2F-04DC31806975}"/>
    <hyperlink ref="D20" location="'EV04'!A1" display="EV04" xr:uid="{57BE8A62-D9D1-42B4-B437-90D7DC9CBCB7}"/>
    <hyperlink ref="D21" location="'EV05'!A1" display="EV05" xr:uid="{708FD4B3-E8BB-4E7A-ABF7-FC4A27221B20}"/>
    <hyperlink ref="D22" location="'EV06'!A1" display="EV06" xr:uid="{B918614B-79BE-4B6B-A901-048074A3B925}"/>
    <hyperlink ref="D23" location="'EV07'!A1" display="EV07" xr:uid="{F1D0D35C-6338-4F58-9748-24F1BD726189}"/>
    <hyperlink ref="D24" location="'EV08'!A1" display="EV08" xr:uid="{0F6FA70F-BF8C-4CEF-A495-35B309AAC7D7}"/>
    <hyperlink ref="D25" location="'EV09'!A1" display="EV09" xr:uid="{85E6A504-5D07-410B-B3F1-B9302CD4CFAF}"/>
    <hyperlink ref="D26" location="'EV10'!A1" display="EV10" xr:uid="{2A4749B2-9B48-4CAB-9C25-D14AEF0D276D}"/>
    <hyperlink ref="D27" location="'HP01'!A1" display="HP01" xr:uid="{5D54B843-5BF9-4AFE-BB67-650766B1E8C7}"/>
    <hyperlink ref="D28" location="'HP02'!A1" display="HP02" xr:uid="{8BB3D689-9522-468A-B29E-5BC063B1029D}"/>
    <hyperlink ref="D29" location="'HP03'!A1" display="HP03" xr:uid="{1CC4A1E7-D035-4C72-92BC-C4D1DF787EEA}"/>
    <hyperlink ref="D30" location="'HP04'!A1" display="HP04" xr:uid="{24C6D47C-0198-4BED-BDD2-417D7A28C2D5}"/>
    <hyperlink ref="D31" location="'HP05'!A1" display="HP05" xr:uid="{548D297E-F981-4E1D-B1CF-CDB3A4C0FB23}"/>
    <hyperlink ref="D32" location="'HP06'!A1" display="HP06" xr:uid="{E94C330B-9B10-4F39-9D62-3CD505DBFF07}"/>
    <hyperlink ref="D33" location="'HP07'!A1" display="HP07" xr:uid="{57EE1789-9554-4165-8CFA-3D12F90C5473}"/>
    <hyperlink ref="D34" location="'HP08'!A1" display="HP08" xr:uid="{9BC901BD-53BD-4940-86BA-4CE19918A8AA}"/>
    <hyperlink ref="D35" location="'HP09'!A1" display="HP09" xr:uid="{87D8DCCD-4D70-45F2-B717-91EFABA4E0DB}"/>
    <hyperlink ref="D36" location="'EE01'!A1" display="EE01" xr:uid="{B4287F28-2F93-452E-89B2-F95BED81EAC0}"/>
    <hyperlink ref="C40" location="'EV Indicative Impact'!A1" display="EV Indicative Impact" xr:uid="{388F445D-6CB6-4E02-937B-C04826A03258}"/>
    <hyperlink ref="C41" location="'HP indicative impact'!A1" display="HP Indicative Impact" xr:uid="{19F1447C-54E2-4872-A95D-E6AEF597E0BD}"/>
    <hyperlink ref="D47" location="Mapping!A1" display="Mapping" xr:uid="{377A66C3-25A6-4172-B98A-01F69806B501}"/>
    <hyperlink ref="D48" location="'CPA ID info'!A1" display="CPA ID info" xr:uid="{12937D7D-9585-42F8-9873-D345F8E833B6}"/>
    <hyperlink ref="D49" location="'tRESP BB for EV and HP'!A1" display="tRESP BB for EV and HP" xr:uid="{26DEEC19-D778-4F47-A1DF-C65B78FDAA9C}"/>
    <hyperlink ref="C4" location="Overview!A1" display="Overview" xr:uid="{AE7F795C-60F0-4DB1-8E78-56E3E4834644}"/>
    <hyperlink ref="C42" location="'EV end to end example'!A1" display="EV End to End Example" xr:uid="{79EE4813-A4C3-44B5-A34B-9990204DF849}"/>
    <hyperlink ref="C43" location="'HP end to end example'!A1" display="HP End to End Example" xr:uid="{6DB79B5A-DD8E-425F-886E-48F7BE9E5568}"/>
  </hyperlinks>
  <pageMargins left="0.7" right="0.7" top="0.75" bottom="0.75" header="0.3" footer="0.3"/>
  <pageSetup paperSize="9" scale="40" orientation="portrait" horizont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055A9-400D-41AD-86AC-826D47358FDE}">
  <sheetPr>
    <tabColor theme="8" tint="0.79998168889431442"/>
  </sheetPr>
  <dimension ref="A1:I8"/>
  <sheetViews>
    <sheetView showGridLines="0" workbookViewId="0">
      <pane xSplit="1" ySplit="3" topLeftCell="B4" activePane="bottomRight" state="frozen"/>
      <selection pane="bottomRight"/>
      <selection pane="bottomLeft" activeCell="C8" sqref="C8"/>
      <selection pane="topRight" activeCell="C8" sqref="C8"/>
    </sheetView>
  </sheetViews>
  <sheetFormatPr defaultRowHeight="20.45"/>
  <cols>
    <col min="1" max="1" width="33.8984375" customWidth="1"/>
    <col min="2" max="2" width="7" customWidth="1"/>
    <col min="3" max="3" width="8.296875" customWidth="1"/>
    <col min="4" max="4" width="22.8984375" customWidth="1"/>
    <col min="5" max="5" width="18.8984375" customWidth="1"/>
    <col min="6" max="6" width="21.8984375" customWidth="1"/>
    <col min="7" max="7" width="25.09765625" customWidth="1"/>
    <col min="8" max="8" width="13.5" customWidth="1"/>
    <col min="9" max="9" width="35.5" customWidth="1"/>
  </cols>
  <sheetData>
    <row r="1" spans="1:9">
      <c r="A1" s="98" t="s">
        <v>57</v>
      </c>
    </row>
    <row r="2" spans="1:9">
      <c r="A2" s="98" t="s">
        <v>338</v>
      </c>
    </row>
    <row r="3" spans="1:9" ht="23.65" customHeight="1">
      <c r="A3" s="170" t="s">
        <v>162</v>
      </c>
      <c r="B3" s="170" t="s">
        <v>340</v>
      </c>
      <c r="C3" s="170" t="s">
        <v>166</v>
      </c>
      <c r="D3" s="170" t="s">
        <v>482</v>
      </c>
      <c r="E3" s="170" t="s">
        <v>483</v>
      </c>
      <c r="F3" s="170" t="s">
        <v>484</v>
      </c>
      <c r="G3" s="170" t="s">
        <v>485</v>
      </c>
      <c r="H3" s="170" t="s">
        <v>488</v>
      </c>
      <c r="I3" s="170" t="s">
        <v>495</v>
      </c>
    </row>
    <row r="4" spans="1:9">
      <c r="A4" s="40" t="str">
        <f>_xlfn.CONCAT("EV09_",INDEX(EV_charger_type_short,MATCH(D4,EV_charger_type,0)),"_",INDEX(rep_days_short,MATCH(E4,rep_days,0)),"_",INDEX(EV_Flex_short,MATCH(F4,EV_Flex,0)),"_",G4)</f>
        <v>EV09_domestic_NA_ALL_GB</v>
      </c>
      <c r="B4" s="36" t="s">
        <v>486</v>
      </c>
      <c r="C4" s="36" t="s">
        <v>269</v>
      </c>
      <c r="D4" s="36" t="s">
        <v>226</v>
      </c>
      <c r="E4" s="36" t="s">
        <v>269</v>
      </c>
      <c r="F4" s="36" t="s">
        <v>267</v>
      </c>
      <c r="G4" s="36" t="s">
        <v>130</v>
      </c>
      <c r="H4" s="36">
        <v>244</v>
      </c>
      <c r="I4" s="280">
        <f>H4/(365*24)</f>
        <v>2.7853881278538814E-2</v>
      </c>
    </row>
    <row r="5" spans="1:9">
      <c r="A5" s="40" t="str">
        <f>_xlfn.CONCAT("EV09_",INDEX(EV_charger_type_short,MATCH(D5,EV_charger_type,0)),"_",INDEX(rep_days_short,MATCH(E5,rep_days,0)),"_",INDEX(EV_Flex_short,MATCH(F5,EV_Flex,0)),"_",G5)</f>
        <v>EV09_workplace_NA_ALL_GB</v>
      </c>
      <c r="B5" s="36" t="s">
        <v>486</v>
      </c>
      <c r="C5" s="36" t="s">
        <v>269</v>
      </c>
      <c r="D5" s="36" t="s">
        <v>245</v>
      </c>
      <c r="E5" s="36" t="s">
        <v>269</v>
      </c>
      <c r="F5" s="36" t="s">
        <v>267</v>
      </c>
      <c r="G5" s="36" t="s">
        <v>130</v>
      </c>
      <c r="H5" s="36">
        <v>870</v>
      </c>
      <c r="I5" s="58">
        <f>H5/(365*24)</f>
        <v>9.9315068493150679E-2</v>
      </c>
    </row>
    <row r="6" spans="1:9">
      <c r="A6" s="40" t="str">
        <f>_xlfn.CONCAT("EV09_",INDEX(EV_charger_type_short,MATCH(D6,EV_charger_type,0)),"_",INDEX(rep_days_short,MATCH(E6,rep_days,0)),"_",INDEX(EV_Flex_short,MATCH(F6,EV_Flex,0)),"_",G6)</f>
        <v>EV09_slowfast_NA_ALL_GB</v>
      </c>
      <c r="B6" s="36" t="s">
        <v>486</v>
      </c>
      <c r="C6" s="36" t="s">
        <v>269</v>
      </c>
      <c r="D6" s="36" t="s">
        <v>265</v>
      </c>
      <c r="E6" s="36" t="s">
        <v>269</v>
      </c>
      <c r="F6" s="36" t="s">
        <v>267</v>
      </c>
      <c r="G6" s="36" t="s">
        <v>130</v>
      </c>
      <c r="H6" s="36">
        <v>1164</v>
      </c>
      <c r="I6" s="58">
        <f>H6/(365*24)</f>
        <v>0.13287671232876713</v>
      </c>
    </row>
    <row r="7" spans="1:9">
      <c r="A7" s="40" t="str">
        <f>_xlfn.CONCAT("EV09_",INDEX(EV_charger_type_short,MATCH(D7,EV_charger_type,0)),"_",INDEX(rep_days_short,MATCH(E7,rep_days,0)),"_",INDEX(EV_Flex_short,MATCH(F7,EV_Flex,0)),"_",G7)</f>
        <v>EV09_rapid_NA_ALL_GB</v>
      </c>
      <c r="B7" s="36" t="s">
        <v>486</v>
      </c>
      <c r="C7" s="36" t="s">
        <v>269</v>
      </c>
      <c r="D7" s="36" t="s">
        <v>279</v>
      </c>
      <c r="E7" s="36" t="s">
        <v>269</v>
      </c>
      <c r="F7" s="36" t="s">
        <v>267</v>
      </c>
      <c r="G7" s="36" t="s">
        <v>130</v>
      </c>
      <c r="H7" s="36">
        <v>1175</v>
      </c>
      <c r="I7" s="58">
        <f>H7/(365*24)</f>
        <v>0.1341324200913242</v>
      </c>
    </row>
    <row r="8" spans="1:9">
      <c r="A8" s="40" t="str">
        <f>_xlfn.CONCAT("EV09_",INDEX(EV_charger_type_short,MATCH(D8,EV_charger_type,0)),"_",INDEX(rep_days_short,MATCH(E8,rep_days,0)),"_",INDEX(EV_Flex_short,MATCH(F8,EV_Flex,0)),"_",G8)</f>
        <v>EV09_depot_NA_ALL_GB</v>
      </c>
      <c r="B8" s="36" t="s">
        <v>486</v>
      </c>
      <c r="C8" s="36" t="s">
        <v>269</v>
      </c>
      <c r="D8" s="36" t="s">
        <v>289</v>
      </c>
      <c r="E8" s="36" t="s">
        <v>269</v>
      </c>
      <c r="F8" s="36" t="s">
        <v>267</v>
      </c>
      <c r="G8" s="36" t="s">
        <v>130</v>
      </c>
      <c r="H8" s="36">
        <v>1175</v>
      </c>
      <c r="I8" s="58">
        <f>H8/(365*24)</f>
        <v>0.1341324200913242</v>
      </c>
    </row>
  </sheetData>
  <protectedRanges>
    <protectedRange sqref="A4:A8" name="Range1_1"/>
  </protectedRanges>
  <dataValidations count="5">
    <dataValidation type="list" allowBlank="1" showInputMessage="1" showErrorMessage="1" sqref="G4:G8" xr:uid="{877AB942-7713-4467-9060-37FEDF45BBE0}">
      <formula1>spatial_res</formula1>
    </dataValidation>
    <dataValidation type="list" allowBlank="1" showInputMessage="1" showErrorMessage="1" sqref="E4:E8" xr:uid="{AD83E9D6-496C-4239-8FC9-CAD93678D276}">
      <formula1>rep_days</formula1>
    </dataValidation>
    <dataValidation type="list" allowBlank="1" showInputMessage="1" showErrorMessage="1" sqref="F4:F8" xr:uid="{713C79C4-BF34-43E4-B689-6B5AF5A2A86A}">
      <formula1>EV_Flex</formula1>
    </dataValidation>
    <dataValidation type="list" allowBlank="1" showInputMessage="1" showErrorMessage="1" sqref="C4:C8" xr:uid="{B71FB69C-4285-49FE-B197-E2433A151E8B}">
      <formula1>EV_BBs</formula1>
    </dataValidation>
    <dataValidation type="list" allowBlank="1" showInputMessage="1" showErrorMessage="1" sqref="D4:D8" xr:uid="{134F5492-CA2C-46B3-821A-C09C5CAF9277}">
      <formula1>EV_charger_type</formula1>
    </dataValidation>
  </dataValidations>
  <hyperlinks>
    <hyperlink ref="A1" location="Contents!A1" display="Back to contents" xr:uid="{07FE14EB-6769-4E2D-947E-7B74FC70030E}"/>
    <hyperlink ref="A2" location="'EV CPA Summary Table'!A1" display="Back to EV CPA Summary Table " xr:uid="{1E8679C3-1E4C-470B-B87A-464847A2CC7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245C-8566-4602-843D-5949FCE4DC89}">
  <sheetPr>
    <tabColor theme="8" tint="0.79998168889431442"/>
  </sheetPr>
  <dimension ref="A1:J8"/>
  <sheetViews>
    <sheetView showGridLines="0" workbookViewId="0">
      <pane xSplit="1" ySplit="3" topLeftCell="B4" activePane="bottomRight" state="frozen"/>
      <selection pane="bottomRight"/>
      <selection pane="bottomLeft" activeCell="C8" sqref="C8"/>
      <selection pane="topRight" activeCell="C8" sqref="C8"/>
    </sheetView>
  </sheetViews>
  <sheetFormatPr defaultRowHeight="20.45"/>
  <cols>
    <col min="1" max="1" width="33.19921875" customWidth="1"/>
    <col min="2" max="2" width="5.8984375" customWidth="1"/>
    <col min="3" max="3" width="18.8984375" customWidth="1"/>
    <col min="4" max="4" width="21.19921875" customWidth="1"/>
    <col min="5" max="5" width="22.8984375" customWidth="1"/>
    <col min="6" max="6" width="24.19921875" customWidth="1"/>
    <col min="7" max="7" width="30.5" customWidth="1"/>
    <col min="8" max="8" width="12.8984375" customWidth="1"/>
    <col min="9" max="10" width="18.796875" customWidth="1"/>
  </cols>
  <sheetData>
    <row r="1" spans="1:10">
      <c r="A1" s="98" t="s">
        <v>57</v>
      </c>
    </row>
    <row r="2" spans="1:10">
      <c r="A2" s="98" t="s">
        <v>338</v>
      </c>
    </row>
    <row r="3" spans="1:10" ht="22.5" customHeight="1">
      <c r="A3" s="170" t="s">
        <v>162</v>
      </c>
      <c r="B3" s="170" t="s">
        <v>340</v>
      </c>
      <c r="C3" s="170" t="s">
        <v>166</v>
      </c>
      <c r="D3" s="170" t="s">
        <v>482</v>
      </c>
      <c r="E3" s="170" t="s">
        <v>483</v>
      </c>
      <c r="F3" s="170" t="s">
        <v>484</v>
      </c>
      <c r="G3" s="170" t="s">
        <v>485</v>
      </c>
      <c r="H3" s="170" t="s">
        <v>488</v>
      </c>
      <c r="I3" s="170" t="s">
        <v>489</v>
      </c>
      <c r="J3" s="170" t="s">
        <v>490</v>
      </c>
    </row>
    <row r="4" spans="1:10" ht="22.5" customHeight="1">
      <c r="A4" s="40" t="str">
        <f>_xlfn.CONCAT("EV10_",INDEX(EV_charger_type_short,MATCH(D4,EV_charger_type,0)),"_",INDEX(rep_days_short,MATCH(E4,rep_days,0)),"_",INDEX(EV_Flex_short,MATCH(F4,EV_Flex,0)),"_",G4)</f>
        <v>EV10_domestic_NA_ALL_GB</v>
      </c>
      <c r="B4" s="36" t="s">
        <v>136</v>
      </c>
      <c r="C4" s="36" t="s">
        <v>269</v>
      </c>
      <c r="D4" s="36" t="s">
        <v>226</v>
      </c>
      <c r="E4" s="36" t="s">
        <v>269</v>
      </c>
      <c r="F4" s="36" t="s">
        <v>267</v>
      </c>
      <c r="G4" s="36" t="s">
        <v>130</v>
      </c>
      <c r="H4" s="36">
        <v>7</v>
      </c>
      <c r="I4" s="36">
        <v>7</v>
      </c>
      <c r="J4" s="36">
        <v>7</v>
      </c>
    </row>
    <row r="5" spans="1:10">
      <c r="A5" s="40" t="str">
        <f>_xlfn.CONCAT("EV10_",INDEX(EV_charger_type_short,MATCH(D5,EV_charger_type,0)),"_",INDEX(rep_days_short,MATCH(E5,rep_days,0)),"_",INDEX(EV_Flex_short,MATCH(F5,EV_Flex,0)),"_",G5)</f>
        <v>EV10_workplace_NA_ALL_GB</v>
      </c>
      <c r="B5" s="36" t="s">
        <v>136</v>
      </c>
      <c r="C5" s="36" t="s">
        <v>269</v>
      </c>
      <c r="D5" s="36" t="s">
        <v>245</v>
      </c>
      <c r="E5" s="36" t="s">
        <v>269</v>
      </c>
      <c r="F5" s="36" t="s">
        <v>267</v>
      </c>
      <c r="G5" s="36" t="s">
        <v>130</v>
      </c>
      <c r="H5" s="36">
        <v>7</v>
      </c>
      <c r="I5" s="36">
        <v>7</v>
      </c>
      <c r="J5" s="36">
        <v>22</v>
      </c>
    </row>
    <row r="6" spans="1:10">
      <c r="A6" s="40" t="str">
        <f>_xlfn.CONCAT("EV10_",INDEX(EV_charger_type_short,MATCH(D6,EV_charger_type,0)),"_",INDEX(rep_days_short,MATCH(E6,rep_days,0)),"_",INDEX(EV_Flex_short,MATCH(F6,EV_Flex,0)),"_",G6)</f>
        <v>EV10_slowfast_NA_ALL_GB</v>
      </c>
      <c r="B6" s="36" t="s">
        <v>136</v>
      </c>
      <c r="C6" s="36" t="s">
        <v>269</v>
      </c>
      <c r="D6" s="36" t="s">
        <v>265</v>
      </c>
      <c r="E6" s="36" t="s">
        <v>269</v>
      </c>
      <c r="F6" s="36" t="s">
        <v>267</v>
      </c>
      <c r="G6" s="36" t="s">
        <v>130</v>
      </c>
      <c r="H6" s="36">
        <v>22</v>
      </c>
      <c r="I6" s="36">
        <v>7</v>
      </c>
      <c r="J6" s="36">
        <v>22</v>
      </c>
    </row>
    <row r="7" spans="1:10">
      <c r="A7" s="40" t="str">
        <f>_xlfn.CONCAT("EV10_",INDEX(EV_charger_type_short,MATCH(D7,EV_charger_type,0)),"_",INDEX(rep_days_short,MATCH(E7,rep_days,0)),"_",INDEX(EV_Flex_short,MATCH(F7,EV_Flex,0)),"_",G7)</f>
        <v>EV10_rapid_NA_ALL_GB</v>
      </c>
      <c r="B7" s="36" t="s">
        <v>136</v>
      </c>
      <c r="C7" s="36" t="s">
        <v>269</v>
      </c>
      <c r="D7" s="36" t="s">
        <v>279</v>
      </c>
      <c r="E7" s="36" t="s">
        <v>269</v>
      </c>
      <c r="F7" s="36" t="s">
        <v>267</v>
      </c>
      <c r="G7" s="36" t="s">
        <v>130</v>
      </c>
      <c r="H7" s="36">
        <v>50</v>
      </c>
      <c r="I7" s="36">
        <v>50</v>
      </c>
      <c r="J7" s="36">
        <v>150</v>
      </c>
    </row>
    <row r="8" spans="1:10">
      <c r="A8" s="40" t="str">
        <f>_xlfn.CONCAT("EV10_",INDEX(EV_charger_type_short,MATCH(D8,EV_charger_type,0)),"_",INDEX(rep_days_short,MATCH(E8,rep_days,0)),"_",INDEX(EV_Flex_short,MATCH(F8,EV_Flex,0)),"_",G8)</f>
        <v>EV10_depot_NA_ALL_GB</v>
      </c>
      <c r="B8" s="36" t="s">
        <v>136</v>
      </c>
      <c r="C8" s="36" t="s">
        <v>269</v>
      </c>
      <c r="D8" s="36" t="s">
        <v>289</v>
      </c>
      <c r="E8" s="36" t="s">
        <v>269</v>
      </c>
      <c r="F8" s="36" t="s">
        <v>267</v>
      </c>
      <c r="G8" s="36" t="s">
        <v>130</v>
      </c>
      <c r="H8" s="36">
        <v>150</v>
      </c>
      <c r="I8" s="36">
        <v>50</v>
      </c>
      <c r="J8" s="36">
        <v>1000</v>
      </c>
    </row>
  </sheetData>
  <protectedRanges>
    <protectedRange sqref="A4:A8" name="Range1_1"/>
  </protectedRanges>
  <phoneticPr fontId="3" type="noConversion"/>
  <dataValidations count="5">
    <dataValidation type="list" allowBlank="1" showInputMessage="1" showErrorMessage="1" sqref="G4:G8" xr:uid="{070DD6BA-75B0-4158-9749-527B2666295E}">
      <formula1>spatial_res</formula1>
    </dataValidation>
    <dataValidation type="list" allowBlank="1" showInputMessage="1" showErrorMessage="1" sqref="E4:E8" xr:uid="{93CC2930-12E9-45ED-90A5-6B5FD0F11E25}">
      <formula1>rep_days</formula1>
    </dataValidation>
    <dataValidation type="list" allowBlank="1" showInputMessage="1" showErrorMessage="1" sqref="F4:F8" xr:uid="{7D2A1A74-E0D2-435D-8569-44A5FAABA63E}">
      <formula1>EV_Flex</formula1>
    </dataValidation>
    <dataValidation type="list" allowBlank="1" showInputMessage="1" showErrorMessage="1" sqref="C4:C8" xr:uid="{9DECE6D1-419A-4726-B36A-97DE0A537492}">
      <formula1>EV_BBs</formula1>
    </dataValidation>
    <dataValidation type="list" allowBlank="1" showInputMessage="1" showErrorMessage="1" sqref="D4:D8" xr:uid="{C6EDA7C3-1D4B-451B-AB40-7CEE9BDC18C3}">
      <formula1>EV_charger_type</formula1>
    </dataValidation>
  </dataValidations>
  <hyperlinks>
    <hyperlink ref="A1" location="Contents!A1" display="Back to contents" xr:uid="{5AC53898-E4BC-4922-9213-7C8B847EB056}"/>
    <hyperlink ref="A2" location="'EV CPA Summary Table'!A1" display="Back to EV CPA Summary Table " xr:uid="{789F12BF-EE8B-4B26-A49F-5CD4593DB23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89334-1B7C-4F94-8253-1B32C04E0457}">
  <sheetPr>
    <tabColor theme="8" tint="0.79998168889431442"/>
  </sheetPr>
  <dimension ref="A1:Q90"/>
  <sheetViews>
    <sheetView zoomScale="80" zoomScaleNormal="80" workbookViewId="0"/>
  </sheetViews>
  <sheetFormatPr defaultColWidth="9.19921875" defaultRowHeight="20.45"/>
  <cols>
    <col min="1" max="1" width="9.19921875" style="25"/>
    <col min="2" max="2" width="64.5" style="25" customWidth="1"/>
    <col min="3" max="3" width="16.5" style="25" customWidth="1"/>
    <col min="4" max="4" width="15.19921875" style="25" customWidth="1"/>
    <col min="5" max="5" width="30.19921875" style="25" customWidth="1"/>
    <col min="6" max="6" width="15.19921875" style="25" customWidth="1"/>
    <col min="7" max="7" width="29.5" style="25" customWidth="1"/>
    <col min="8" max="8" width="12.5" style="25" customWidth="1"/>
    <col min="9" max="9" width="11.8984375" style="25" customWidth="1"/>
    <col min="10" max="12" width="9.19921875" style="25"/>
    <col min="13" max="13" width="64.8984375" style="25" customWidth="1"/>
    <col min="14" max="15" width="9.19921875" style="25"/>
    <col min="16" max="16" width="18" style="25" customWidth="1"/>
    <col min="17" max="16384" width="9.19921875" style="25"/>
  </cols>
  <sheetData>
    <row r="1" spans="1:6">
      <c r="A1" s="98" t="s">
        <v>57</v>
      </c>
    </row>
    <row r="2" spans="1:6">
      <c r="A2" s="98" t="s">
        <v>338</v>
      </c>
    </row>
    <row r="3" spans="1:6" ht="21" thickBot="1"/>
    <row r="4" spans="1:6" ht="21" thickBot="1">
      <c r="B4" s="72" t="s">
        <v>496</v>
      </c>
      <c r="C4" s="49"/>
      <c r="D4" s="49"/>
      <c r="E4" s="49"/>
      <c r="F4" s="49"/>
    </row>
    <row r="6" spans="1:6">
      <c r="B6" s="34" t="s">
        <v>497</v>
      </c>
      <c r="C6" s="34" t="s">
        <v>498</v>
      </c>
      <c r="D6" s="34" t="s">
        <v>482</v>
      </c>
      <c r="E6" s="34" t="s">
        <v>340</v>
      </c>
      <c r="F6" s="34" t="s">
        <v>499</v>
      </c>
    </row>
    <row r="7" spans="1:6">
      <c r="B7" s="25" t="s">
        <v>500</v>
      </c>
      <c r="C7" s="25" t="s">
        <v>225</v>
      </c>
      <c r="D7" s="25" t="s">
        <v>501</v>
      </c>
      <c r="E7" s="25" t="s">
        <v>502</v>
      </c>
      <c r="F7" s="59">
        <f>100*F78</f>
        <v>52.648110109762413</v>
      </c>
    </row>
    <row r="8" spans="1:6">
      <c r="B8" s="25" t="s">
        <v>503</v>
      </c>
      <c r="C8" s="25" t="s">
        <v>244</v>
      </c>
      <c r="D8" s="25" t="s">
        <v>501</v>
      </c>
      <c r="E8" s="25" t="s">
        <v>502</v>
      </c>
      <c r="F8" s="59">
        <f>100*F79</f>
        <v>46.114718333752592</v>
      </c>
    </row>
    <row r="9" spans="1:6">
      <c r="B9" s="25" t="s">
        <v>504</v>
      </c>
      <c r="C9" s="25" t="s">
        <v>263</v>
      </c>
      <c r="D9" s="25" t="s">
        <v>501</v>
      </c>
      <c r="E9" s="25" t="s">
        <v>502</v>
      </c>
      <c r="F9" s="59">
        <f>100*F80</f>
        <v>1.2371715564849886</v>
      </c>
    </row>
    <row r="10" spans="1:6">
      <c r="B10" s="25" t="s">
        <v>505</v>
      </c>
      <c r="C10" s="25" t="s">
        <v>277</v>
      </c>
      <c r="D10" s="25" t="s">
        <v>501</v>
      </c>
      <c r="E10" s="25" t="s">
        <v>502</v>
      </c>
      <c r="F10" s="59">
        <f>100*F81</f>
        <v>0</v>
      </c>
    </row>
    <row r="11" spans="1:6">
      <c r="B11" s="31"/>
      <c r="C11" s="31"/>
      <c r="D11" s="31"/>
      <c r="E11" s="31"/>
      <c r="F11" s="31"/>
    </row>
    <row r="12" spans="1:6">
      <c r="B12" s="25" t="s">
        <v>506</v>
      </c>
      <c r="C12" s="25" t="s">
        <v>225</v>
      </c>
      <c r="D12" s="25" t="s">
        <v>501</v>
      </c>
      <c r="E12" s="25" t="s">
        <v>138</v>
      </c>
      <c r="F12" s="60">
        <f>F7 * G37 * G43</f>
        <v>140516.51361116226</v>
      </c>
    </row>
    <row r="13" spans="1:6">
      <c r="B13" s="25" t="s">
        <v>507</v>
      </c>
      <c r="C13" s="25" t="s">
        <v>244</v>
      </c>
      <c r="D13" s="25" t="s">
        <v>501</v>
      </c>
      <c r="E13" s="25" t="s">
        <v>138</v>
      </c>
      <c r="F13" s="60">
        <f>F8 * G38 * G41 *G44</f>
        <v>35811.633140958169</v>
      </c>
    </row>
    <row r="14" spans="1:6">
      <c r="B14" s="25" t="s">
        <v>508</v>
      </c>
      <c r="C14" s="25" t="s">
        <v>263</v>
      </c>
      <c r="D14" s="25" t="s">
        <v>501</v>
      </c>
      <c r="E14" s="25" t="s">
        <v>138</v>
      </c>
      <c r="F14" s="60">
        <f>F9 * G39 * G45</f>
        <v>56253.341523804113</v>
      </c>
    </row>
    <row r="15" spans="1:6">
      <c r="B15" s="25" t="s">
        <v>509</v>
      </c>
      <c r="C15" s="25" t="s">
        <v>277</v>
      </c>
      <c r="D15" s="25" t="s">
        <v>501</v>
      </c>
      <c r="E15" s="25" t="s">
        <v>138</v>
      </c>
      <c r="F15" s="60">
        <f>F10 * G40 * G42 *G46</f>
        <v>0</v>
      </c>
    </row>
    <row r="17" spans="2:7">
      <c r="B17" s="25" t="s">
        <v>510</v>
      </c>
      <c r="C17" s="25" t="s">
        <v>501</v>
      </c>
      <c r="D17" s="25" t="s">
        <v>226</v>
      </c>
      <c r="E17" s="25" t="s">
        <v>138</v>
      </c>
      <c r="F17" s="60" cm="1">
        <f t="array" ref="F17">SUM( F$12*INDEX($G$47:$G$66,MATCH(1,(C$12=$C$47:$C$66)*(D17=$D$47:$D$66),0)),
F$13*INDEX($G$47:$G$66,MATCH(1,(C$13=$C$47:$C$66)*(D17=$D$47:$D$66),0)),
F$14*INDEX($G$47:$G$66,MATCH(1,(C$14=$C$47:$C$66)*(D17=$D$47:$D$66),0)),
F$15*INDEX($G$47:$G$66,MATCH(1,(C$15=$C$47:$C$66)*(D17=$D$47:$D$66),0)))</f>
        <v>127807.23341329544</v>
      </c>
    </row>
    <row r="18" spans="2:7">
      <c r="B18" s="25" t="s">
        <v>511</v>
      </c>
      <c r="C18" s="25" t="s">
        <v>501</v>
      </c>
      <c r="D18" s="25" t="s">
        <v>245</v>
      </c>
      <c r="E18" s="25" t="s">
        <v>138</v>
      </c>
      <c r="F18" s="60" cm="1">
        <f t="array" ref="F18">SUM( F$12*INDEX($G$47:$G$66,MATCH(1,(C$12=$C$47:$C$66)*(D18=$D$47:$D$66),0)),
F$13*INDEX($G$47:$G$66,MATCH(1,(C$13=$C$47:$C$66)*(D18=$D$47:$D$66),0)),
F$14*INDEX($G$47:$G$66,MATCH(1,(C$14=$C$47:$C$66)*(D18=$D$47:$D$66),0)),
F$15*INDEX($G$47:$G$66,MATCH(1,(C$15=$C$47:$C$66)*(D18=$D$47:$D$66),0)))</f>
        <v>24873.188767859665</v>
      </c>
    </row>
    <row r="19" spans="2:7">
      <c r="B19" s="25" t="s">
        <v>512</v>
      </c>
      <c r="C19" s="25" t="s">
        <v>501</v>
      </c>
      <c r="D19" s="25" t="s">
        <v>265</v>
      </c>
      <c r="E19" s="25" t="s">
        <v>138</v>
      </c>
      <c r="F19" s="60" cm="1">
        <f t="array" ref="F19">SUM( F$12*INDEX($G$47:$G$66,MATCH(1,(C$12=$C$47:$C$66)*(D19=$D$47:$D$66),0)),
F$13*INDEX($G$47:$G$66,MATCH(1,(C$13=$C$47:$C$66)*(D19=$D$47:$D$66),0)),
F$14*INDEX($G$47:$G$66,MATCH(1,(C$14=$C$47:$C$66)*(D19=$D$47:$D$66),0)),
F$15*INDEX($G$47:$G$66,MATCH(1,(C$15=$C$47:$C$66)*(D19=$D$47:$D$66),0)))</f>
        <v>9596.0732098490898</v>
      </c>
    </row>
    <row r="20" spans="2:7">
      <c r="B20" s="25" t="s">
        <v>513</v>
      </c>
      <c r="C20" s="25" t="s">
        <v>501</v>
      </c>
      <c r="D20" s="25" t="s">
        <v>279</v>
      </c>
      <c r="E20" s="25" t="s">
        <v>138</v>
      </c>
      <c r="F20" s="60" cm="1">
        <f t="array" ref="F20">SUM( F$12*INDEX($G$47:$G$66,MATCH(1,(C$12=$C$47:$C$66)*(D20=$D$47:$D$66),0)),
F$13*INDEX($G$47:$G$66,MATCH(1,(C$13=$C$47:$C$66)*(D20=$D$47:$D$66),0)),
F$14*INDEX($G$47:$G$66,MATCH(1,(C$14=$C$47:$C$66)*(D20=$D$47:$D$66),0)),
F$15*INDEX($G$47:$G$66,MATCH(1,(C$15=$C$47:$C$66)*(D20=$D$47:$D$66),0)))</f>
        <v>19676.985513496638</v>
      </c>
    </row>
    <row r="21" spans="2:7">
      <c r="B21" s="25" t="s">
        <v>514</v>
      </c>
      <c r="C21" s="25" t="s">
        <v>501</v>
      </c>
      <c r="D21" s="25" t="s">
        <v>289</v>
      </c>
      <c r="E21" s="25" t="s">
        <v>138</v>
      </c>
      <c r="F21" s="60" cm="1">
        <f t="array" ref="F21">SUM( F$12*INDEX($G$47:$G$66,MATCH(1,(C$12=$C$47:$C$66)*(D21=$D$47:$D$66),0)),
F$13*INDEX($G$47:$G$66,MATCH(1,(C$13=$C$47:$C$66)*(D21=$D$47:$D$66),0)),
F$14*INDEX($G$47:$G$66,MATCH(1,(C$14=$C$47:$C$66)*(D21=$D$47:$D$66),0)),
F$15*INDEX($G$47:$G$66,MATCH(1,(C$15=$C$47:$C$66)*(D21=$D$47:$D$66),0)))</f>
        <v>50628.007371423701</v>
      </c>
    </row>
    <row r="23" spans="2:7">
      <c r="B23" s="25" t="s">
        <v>515</v>
      </c>
      <c r="C23" s="25" t="s">
        <v>501</v>
      </c>
      <c r="D23" s="25" t="s">
        <v>226</v>
      </c>
      <c r="E23" s="25" t="s">
        <v>136</v>
      </c>
      <c r="F23" s="61">
        <f>F17*G68</f>
        <v>29.226954891487793</v>
      </c>
    </row>
    <row r="24" spans="2:7">
      <c r="B24" s="25" t="s">
        <v>516</v>
      </c>
      <c r="C24" s="25" t="s">
        <v>501</v>
      </c>
      <c r="D24" s="25" t="s">
        <v>245</v>
      </c>
      <c r="E24" s="25" t="s">
        <v>136</v>
      </c>
      <c r="F24" s="61">
        <f>F18*G69</f>
        <v>0.47679415549110188</v>
      </c>
    </row>
    <row r="25" spans="2:7">
      <c r="B25" s="25" t="s">
        <v>517</v>
      </c>
      <c r="C25" s="25" t="s">
        <v>501</v>
      </c>
      <c r="D25" s="25" t="s">
        <v>265</v>
      </c>
      <c r="E25" s="25" t="s">
        <v>136</v>
      </c>
      <c r="F25" s="61">
        <f>F19*G70</f>
        <v>0.26203936869343308</v>
      </c>
    </row>
    <row r="26" spans="2:7">
      <c r="B26" s="25" t="s">
        <v>518</v>
      </c>
      <c r="C26" s="25" t="s">
        <v>501</v>
      </c>
      <c r="D26" s="25" t="s">
        <v>279</v>
      </c>
      <c r="E26" s="25" t="s">
        <v>136</v>
      </c>
      <c r="F26" s="61">
        <f>F20*G71</f>
        <v>0.51772116584561001</v>
      </c>
    </row>
    <row r="27" spans="2:7">
      <c r="B27" s="25" t="s">
        <v>519</v>
      </c>
      <c r="C27" s="25" t="s">
        <v>501</v>
      </c>
      <c r="D27" s="25" t="s">
        <v>289</v>
      </c>
      <c r="E27" s="25" t="s">
        <v>136</v>
      </c>
      <c r="F27" s="61">
        <f>F21*G72</f>
        <v>9.0639321597059848</v>
      </c>
    </row>
    <row r="30" spans="2:7">
      <c r="B30" s="25" t="s">
        <v>520</v>
      </c>
      <c r="E30" s="25" t="s">
        <v>136</v>
      </c>
      <c r="F30" s="62">
        <f>SUM(F23:F27)</f>
        <v>39.547441741223921</v>
      </c>
    </row>
    <row r="32" spans="2:7">
      <c r="B32" s="25" t="s">
        <v>521</v>
      </c>
      <c r="E32" s="25" t="s">
        <v>136</v>
      </c>
      <c r="F32" s="63">
        <f>F30/SUM(F7:F10)</f>
        <v>0.39547441741223921</v>
      </c>
      <c r="G32" s="62"/>
    </row>
    <row r="33" spans="2:9" ht="21" thickBot="1"/>
    <row r="34" spans="2:9" ht="21" thickBot="1">
      <c r="B34" s="72" t="s">
        <v>522</v>
      </c>
      <c r="C34" s="49"/>
      <c r="D34" s="49"/>
      <c r="E34" s="49"/>
      <c r="F34" s="49"/>
      <c r="G34" s="49"/>
      <c r="H34" s="49"/>
      <c r="I34" s="49"/>
    </row>
    <row r="36" spans="2:9">
      <c r="B36" s="34" t="s">
        <v>18</v>
      </c>
      <c r="C36" s="34" t="s">
        <v>498</v>
      </c>
      <c r="D36" s="34" t="s">
        <v>482</v>
      </c>
      <c r="E36" s="34" t="s">
        <v>523</v>
      </c>
      <c r="F36" s="34" t="s">
        <v>340</v>
      </c>
      <c r="G36" s="34" t="s">
        <v>499</v>
      </c>
      <c r="H36" s="31"/>
    </row>
    <row r="37" spans="2:9">
      <c r="B37" s="25" t="s">
        <v>524</v>
      </c>
      <c r="C37" s="25" t="s">
        <v>225</v>
      </c>
      <c r="D37" s="25" t="s">
        <v>269</v>
      </c>
      <c r="E37" s="25" t="s">
        <v>525</v>
      </c>
      <c r="F37" s="25" t="s">
        <v>355</v>
      </c>
      <c r="G37" s="86">
        <f>AVERAGE('EV01'!I4:I14)</f>
        <v>13736.363636363636</v>
      </c>
      <c r="H37" s="32"/>
    </row>
    <row r="38" spans="2:9">
      <c r="B38" s="25" t="s">
        <v>524</v>
      </c>
      <c r="C38" s="25" t="s">
        <v>244</v>
      </c>
      <c r="D38" s="25" t="s">
        <v>269</v>
      </c>
      <c r="E38" s="25" t="s">
        <v>525</v>
      </c>
      <c r="F38" s="25" t="s">
        <v>355</v>
      </c>
      <c r="G38" s="86">
        <f>AVERAGE('EV01'!I4:I14)</f>
        <v>13736.363636363636</v>
      </c>
      <c r="H38" s="32"/>
    </row>
    <row r="39" spans="2:9">
      <c r="B39" s="25" t="s">
        <v>524</v>
      </c>
      <c r="C39" s="25" t="s">
        <v>263</v>
      </c>
      <c r="D39" s="25" t="s">
        <v>269</v>
      </c>
      <c r="E39" s="25" t="s">
        <v>525</v>
      </c>
      <c r="F39" s="25" t="s">
        <v>355</v>
      </c>
      <c r="G39" s="86">
        <f>AVERAGE('EV01'!I15:I25)</f>
        <v>38354.545454545456</v>
      </c>
      <c r="H39" s="32"/>
    </row>
    <row r="40" spans="2:9">
      <c r="B40" s="25" t="s">
        <v>524</v>
      </c>
      <c r="C40" s="25" t="s">
        <v>277</v>
      </c>
      <c r="D40" s="25" t="s">
        <v>269</v>
      </c>
      <c r="E40" s="25" t="s">
        <v>525</v>
      </c>
      <c r="F40" s="25" t="s">
        <v>355</v>
      </c>
      <c r="G40" s="86">
        <f>AVERAGE('EV01'!I15:I25)</f>
        <v>38354.545454545456</v>
      </c>
      <c r="H40" s="32"/>
    </row>
    <row r="41" spans="2:9">
      <c r="B41" s="25" t="s">
        <v>526</v>
      </c>
      <c r="C41" s="25" t="s">
        <v>244</v>
      </c>
      <c r="D41" s="25" t="s">
        <v>269</v>
      </c>
      <c r="F41" s="25" t="s">
        <v>403</v>
      </c>
      <c r="G41" s="52">
        <f>'EV02'!H4</f>
        <v>0.312</v>
      </c>
      <c r="H41" s="32"/>
    </row>
    <row r="42" spans="2:9">
      <c r="B42" s="25" t="s">
        <v>526</v>
      </c>
      <c r="C42" s="25" t="s">
        <v>277</v>
      </c>
      <c r="D42" s="25" t="s">
        <v>269</v>
      </c>
      <c r="F42" s="25" t="s">
        <v>403</v>
      </c>
      <c r="G42" s="52">
        <f>'EV02'!H5</f>
        <v>0.4</v>
      </c>
      <c r="H42" s="32"/>
    </row>
    <row r="43" spans="2:9">
      <c r="B43" s="25" t="s">
        <v>262</v>
      </c>
      <c r="C43" s="25" t="s">
        <v>225</v>
      </c>
      <c r="D43" s="25" t="s">
        <v>269</v>
      </c>
      <c r="E43" s="25">
        <v>2030</v>
      </c>
      <c r="F43" s="25" t="s">
        <v>527</v>
      </c>
      <c r="G43" s="25">
        <f>'EV03'!J10</f>
        <v>0.1943</v>
      </c>
      <c r="H43" s="32"/>
    </row>
    <row r="44" spans="2:9">
      <c r="B44" s="25" t="s">
        <v>262</v>
      </c>
      <c r="C44" s="25" t="s">
        <v>244</v>
      </c>
      <c r="D44" s="25" t="s">
        <v>269</v>
      </c>
      <c r="E44" s="25">
        <v>2030</v>
      </c>
      <c r="F44" s="25" t="s">
        <v>527</v>
      </c>
      <c r="G44" s="25">
        <f>'EV03'!J37</f>
        <v>0.1812</v>
      </c>
      <c r="H44" s="32"/>
    </row>
    <row r="45" spans="2:9">
      <c r="B45" s="25" t="s">
        <v>262</v>
      </c>
      <c r="C45" s="25" t="s">
        <v>263</v>
      </c>
      <c r="D45" s="25" t="s">
        <v>269</v>
      </c>
      <c r="E45" s="25">
        <v>2030</v>
      </c>
      <c r="F45" s="25" t="s">
        <v>527</v>
      </c>
      <c r="G45" s="25">
        <f>'EV03'!J64</f>
        <v>1.1855</v>
      </c>
      <c r="H45" s="32"/>
    </row>
    <row r="46" spans="2:9">
      <c r="B46" s="25" t="s">
        <v>262</v>
      </c>
      <c r="C46" s="25" t="s">
        <v>277</v>
      </c>
      <c r="D46" s="25" t="s">
        <v>269</v>
      </c>
      <c r="E46" s="25">
        <v>2030</v>
      </c>
      <c r="F46" s="25" t="s">
        <v>527</v>
      </c>
      <c r="G46" s="25">
        <f>'EV03'!J64</f>
        <v>1.1855</v>
      </c>
      <c r="H46" s="32"/>
    </row>
    <row r="47" spans="2:9">
      <c r="B47" s="25" t="s">
        <v>528</v>
      </c>
      <c r="C47" s="25" t="s">
        <v>225</v>
      </c>
      <c r="D47" s="25" t="s">
        <v>226</v>
      </c>
      <c r="F47" s="25" t="s">
        <v>403</v>
      </c>
      <c r="G47" s="52">
        <f>'EV04'!H4</f>
        <v>0.71</v>
      </c>
    </row>
    <row r="48" spans="2:9">
      <c r="B48" s="25" t="s">
        <v>528</v>
      </c>
      <c r="C48" s="25" t="s">
        <v>225</v>
      </c>
      <c r="D48" s="25" t="s">
        <v>245</v>
      </c>
      <c r="F48" s="25" t="s">
        <v>403</v>
      </c>
      <c r="G48" s="52">
        <f>'EV04'!H5</f>
        <v>0.13700000000000001</v>
      </c>
    </row>
    <row r="49" spans="2:12">
      <c r="B49" s="25" t="s">
        <v>528</v>
      </c>
      <c r="C49" s="25" t="s">
        <v>225</v>
      </c>
      <c r="D49" s="25" t="s">
        <v>265</v>
      </c>
      <c r="F49" s="25" t="s">
        <v>403</v>
      </c>
      <c r="G49" s="52">
        <f>'EV04'!H6</f>
        <v>5.2999999999999999E-2</v>
      </c>
    </row>
    <row r="50" spans="2:12">
      <c r="B50" s="25" t="s">
        <v>528</v>
      </c>
      <c r="C50" s="25" t="s">
        <v>225</v>
      </c>
      <c r="D50" s="25" t="s">
        <v>279</v>
      </c>
      <c r="F50" s="25" t="s">
        <v>403</v>
      </c>
      <c r="G50" s="52">
        <f>'EV04'!H7</f>
        <v>0.1</v>
      </c>
    </row>
    <row r="51" spans="2:12">
      <c r="B51" s="25" t="s">
        <v>528</v>
      </c>
      <c r="C51" s="25" t="s">
        <v>225</v>
      </c>
      <c r="D51" s="25" t="s">
        <v>289</v>
      </c>
      <c r="F51" s="25" t="s">
        <v>403</v>
      </c>
      <c r="G51" s="52">
        <f>'EV04'!H8</f>
        <v>0</v>
      </c>
    </row>
    <row r="52" spans="2:12">
      <c r="B52" s="25" t="s">
        <v>528</v>
      </c>
      <c r="C52" s="25" t="s">
        <v>244</v>
      </c>
      <c r="D52" s="25" t="s">
        <v>226</v>
      </c>
      <c r="F52" s="25" t="s">
        <v>403</v>
      </c>
      <c r="G52" s="52">
        <f>'EV04'!H9</f>
        <v>0.78300000000000003</v>
      </c>
    </row>
    <row r="53" spans="2:12">
      <c r="B53" s="25" t="s">
        <v>528</v>
      </c>
      <c r="C53" s="25" t="s">
        <v>244</v>
      </c>
      <c r="D53" s="25" t="s">
        <v>245</v>
      </c>
      <c r="F53" s="25" t="s">
        <v>403</v>
      </c>
      <c r="G53" s="52">
        <f>'EV04'!H10</f>
        <v>0.157</v>
      </c>
    </row>
    <row r="54" spans="2:12">
      <c r="B54" s="25" t="s">
        <v>528</v>
      </c>
      <c r="C54" s="25" t="s">
        <v>244</v>
      </c>
      <c r="D54" s="25" t="s">
        <v>265</v>
      </c>
      <c r="F54" s="25" t="s">
        <v>403</v>
      </c>
      <c r="G54" s="52">
        <f>'EV04'!H11</f>
        <v>0.06</v>
      </c>
    </row>
    <row r="55" spans="2:12">
      <c r="B55" s="25" t="s">
        <v>528</v>
      </c>
      <c r="C55" s="25" t="s">
        <v>244</v>
      </c>
      <c r="D55" s="25" t="s">
        <v>279</v>
      </c>
      <c r="F55" s="25" t="s">
        <v>403</v>
      </c>
      <c r="G55" s="52">
        <f>'EV04'!H12</f>
        <v>0</v>
      </c>
    </row>
    <row r="56" spans="2:12">
      <c r="B56" s="25" t="s">
        <v>528</v>
      </c>
      <c r="C56" s="25" t="s">
        <v>244</v>
      </c>
      <c r="D56" s="25" t="s">
        <v>289</v>
      </c>
      <c r="F56" s="25" t="s">
        <v>403</v>
      </c>
      <c r="G56" s="52">
        <f>'EV04'!H13</f>
        <v>0</v>
      </c>
    </row>
    <row r="57" spans="2:12">
      <c r="B57" s="25" t="s">
        <v>528</v>
      </c>
      <c r="C57" s="25" t="s">
        <v>263</v>
      </c>
      <c r="D57" s="25" t="s">
        <v>226</v>
      </c>
      <c r="F57" s="25" t="s">
        <v>403</v>
      </c>
      <c r="G57" s="52">
        <f>'EV04'!H14</f>
        <v>0</v>
      </c>
    </row>
    <row r="58" spans="2:12">
      <c r="B58" s="25" t="s">
        <v>528</v>
      </c>
      <c r="C58" s="25" t="s">
        <v>263</v>
      </c>
      <c r="D58" s="25" t="s">
        <v>245</v>
      </c>
      <c r="F58" s="25" t="s">
        <v>403</v>
      </c>
      <c r="G58" s="52">
        <f>'EV04'!H15</f>
        <v>0</v>
      </c>
    </row>
    <row r="59" spans="2:12">
      <c r="B59" s="25" t="s">
        <v>528</v>
      </c>
      <c r="C59" s="25" t="s">
        <v>263</v>
      </c>
      <c r="D59" s="25" t="s">
        <v>265</v>
      </c>
      <c r="F59" s="25" t="s">
        <v>403</v>
      </c>
      <c r="G59" s="52">
        <f>'EV04'!H16</f>
        <v>0</v>
      </c>
    </row>
    <row r="60" spans="2:12">
      <c r="B60" s="25" t="s">
        <v>528</v>
      </c>
      <c r="C60" s="25" t="s">
        <v>263</v>
      </c>
      <c r="D60" s="25" t="s">
        <v>279</v>
      </c>
      <c r="F60" s="25" t="s">
        <v>403</v>
      </c>
      <c r="G60" s="52">
        <f>'EV04'!H17</f>
        <v>0.1</v>
      </c>
    </row>
    <row r="61" spans="2:12">
      <c r="B61" s="25" t="s">
        <v>528</v>
      </c>
      <c r="C61" s="25" t="s">
        <v>263</v>
      </c>
      <c r="D61" s="25" t="s">
        <v>289</v>
      </c>
      <c r="F61" s="25" t="s">
        <v>403</v>
      </c>
      <c r="G61" s="52">
        <f>'EV04'!H18</f>
        <v>0.9</v>
      </c>
    </row>
    <row r="62" spans="2:12">
      <c r="B62" s="25" t="s">
        <v>528</v>
      </c>
      <c r="C62" s="25" t="s">
        <v>277</v>
      </c>
      <c r="D62" s="25" t="s">
        <v>226</v>
      </c>
      <c r="F62" s="25" t="s">
        <v>403</v>
      </c>
      <c r="G62" s="52">
        <f>'EV04'!H19</f>
        <v>0</v>
      </c>
    </row>
    <row r="63" spans="2:12">
      <c r="B63" s="25" t="s">
        <v>528</v>
      </c>
      <c r="C63" s="25" t="s">
        <v>277</v>
      </c>
      <c r="D63" s="25" t="s">
        <v>245</v>
      </c>
      <c r="F63" s="25" t="s">
        <v>403</v>
      </c>
      <c r="G63" s="52">
        <f>'EV04'!H20</f>
        <v>0</v>
      </c>
    </row>
    <row r="64" spans="2:12">
      <c r="B64" s="25" t="s">
        <v>528</v>
      </c>
      <c r="C64" s="25" t="s">
        <v>277</v>
      </c>
      <c r="D64" s="25" t="s">
        <v>265</v>
      </c>
      <c r="F64" s="25" t="s">
        <v>403</v>
      </c>
      <c r="G64" s="52">
        <f>'EV04'!H21</f>
        <v>0</v>
      </c>
      <c r="L64" s="64"/>
    </row>
    <row r="65" spans="2:13">
      <c r="B65" s="25" t="s">
        <v>528</v>
      </c>
      <c r="C65" s="25" t="s">
        <v>277</v>
      </c>
      <c r="D65" s="25" t="s">
        <v>279</v>
      </c>
      <c r="F65" s="25" t="s">
        <v>403</v>
      </c>
      <c r="G65" s="52">
        <f>'EV04'!H22</f>
        <v>0</v>
      </c>
      <c r="L65" s="64"/>
    </row>
    <row r="66" spans="2:13">
      <c r="B66" s="25" t="s">
        <v>528</v>
      </c>
      <c r="C66" s="25" t="s">
        <v>277</v>
      </c>
      <c r="D66" s="25" t="s">
        <v>289</v>
      </c>
      <c r="F66" s="25" t="s">
        <v>403</v>
      </c>
      <c r="G66" s="52">
        <f>'EV04'!H23</f>
        <v>1</v>
      </c>
      <c r="L66" s="64"/>
    </row>
    <row r="67" spans="2:13">
      <c r="B67" s="25" t="s">
        <v>529</v>
      </c>
      <c r="D67" s="25" t="s">
        <v>226</v>
      </c>
      <c r="E67" s="25">
        <v>2030</v>
      </c>
      <c r="F67" s="25" t="s">
        <v>403</v>
      </c>
      <c r="G67" s="52">
        <f>INDEX('EV05'!$I$5:$I$30,MATCH(E67,'EV05'!$H$5:$H$30,0))</f>
        <v>0.25</v>
      </c>
      <c r="L67" s="64"/>
    </row>
    <row r="68" spans="2:13">
      <c r="B68" s="25" t="s">
        <v>530</v>
      </c>
      <c r="C68" s="25" t="s">
        <v>501</v>
      </c>
      <c r="D68" s="25" t="s">
        <v>226</v>
      </c>
      <c r="E68" s="25" t="s">
        <v>531</v>
      </c>
      <c r="F68" s="25" t="s">
        <v>532</v>
      </c>
      <c r="G68" s="65" cm="1">
        <f t="array" ref="G68">MAX(($G$67*'EV06'!$I$4:$I$51)+((1-$G$67)*'EV06'!$I$52:$I$99))</f>
        <v>2.2867997460656551E-4</v>
      </c>
      <c r="H68" s="31" t="s">
        <v>533</v>
      </c>
      <c r="I68" s="66" cm="1">
        <f t="array" ref="I68">INDEX('EV06'!$H$4:$H$51,MATCH($G68,(($G$67*'EV06'!$I$4:$I$51)+((1-$G$67)*'EV06'!$I$52:$I$99)),0))</f>
        <v>2.0833333333333332E-2</v>
      </c>
      <c r="L68" s="64"/>
    </row>
    <row r="69" spans="2:13">
      <c r="B69" s="25" t="s">
        <v>534</v>
      </c>
      <c r="C69" s="25" t="s">
        <v>501</v>
      </c>
      <c r="D69" s="25" t="s">
        <v>245</v>
      </c>
      <c r="E69" s="25" t="s">
        <v>535</v>
      </c>
      <c r="F69" s="25" t="s">
        <v>532</v>
      </c>
      <c r="G69" s="67">
        <f>SUMIFS('EV06'!$I$4:$I$291,'EV06'!$D$4:$D$291,$D69,'EV06'!$H$4:$H$291,$I$68)</f>
        <v>1.9168999999999999E-5</v>
      </c>
      <c r="L69" s="64"/>
      <c r="M69" s="31"/>
    </row>
    <row r="70" spans="2:13">
      <c r="B70" s="25" t="s">
        <v>534</v>
      </c>
      <c r="C70" s="25" t="s">
        <v>501</v>
      </c>
      <c r="D70" s="25" t="s">
        <v>265</v>
      </c>
      <c r="E70" s="25" t="s">
        <v>535</v>
      </c>
      <c r="F70" s="25" t="s">
        <v>532</v>
      </c>
      <c r="G70" s="67">
        <f>SUMIFS('EV06'!$I$4:$I$291,'EV06'!$D$4:$D$291,$D70,'EV06'!$H$4:$H$291,$I$68)</f>
        <v>2.7306937219328901E-5</v>
      </c>
      <c r="L70" s="68"/>
    </row>
    <row r="71" spans="2:13">
      <c r="B71" s="25" t="s">
        <v>534</v>
      </c>
      <c r="C71" s="25" t="s">
        <v>501</v>
      </c>
      <c r="D71" s="25" t="s">
        <v>279</v>
      </c>
      <c r="E71" s="25" t="s">
        <v>535</v>
      </c>
      <c r="F71" s="25" t="s">
        <v>532</v>
      </c>
      <c r="G71" s="67">
        <f>SUMIFS('EV06'!$I$4:$I$291,'EV06'!$D$4:$D$291,$D71,'EV06'!$H$4:$H$291,$I$68)</f>
        <v>2.6310999999999999E-5</v>
      </c>
      <c r="L71" s="68"/>
    </row>
    <row r="72" spans="2:13">
      <c r="B72" s="25" t="s">
        <v>534</v>
      </c>
      <c r="C72" s="25" t="s">
        <v>501</v>
      </c>
      <c r="D72" s="25" t="s">
        <v>289</v>
      </c>
      <c r="E72" s="25" t="s">
        <v>535</v>
      </c>
      <c r="F72" s="25" t="s">
        <v>532</v>
      </c>
      <c r="G72" s="67">
        <f>SUMIFS('EV06'!$I$4:$I$291,'EV06'!$D$4:$D$291,$D72,'EV06'!$H$4:$H$291,$I$68)</f>
        <v>1.7903E-4</v>
      </c>
      <c r="L72" s="68"/>
    </row>
    <row r="73" spans="2:13">
      <c r="L73" s="69"/>
    </row>
    <row r="74" spans="2:13" ht="21" thickBot="1"/>
    <row r="75" spans="2:13" ht="21" thickBot="1">
      <c r="B75" s="72" t="s">
        <v>536</v>
      </c>
      <c r="C75" s="49"/>
      <c r="D75" s="49"/>
      <c r="E75" s="49"/>
      <c r="F75" s="49"/>
      <c r="G75" s="49"/>
      <c r="H75" s="49"/>
      <c r="I75" s="49"/>
      <c r="J75" s="49"/>
      <c r="K75" s="49"/>
      <c r="L75" s="49"/>
    </row>
    <row r="77" spans="2:13">
      <c r="B77" s="34" t="s">
        <v>537</v>
      </c>
      <c r="C77" s="34" t="s">
        <v>498</v>
      </c>
      <c r="D77" s="34" t="s">
        <v>482</v>
      </c>
      <c r="E77" s="34" t="s">
        <v>340</v>
      </c>
      <c r="F77" s="34" t="s">
        <v>499</v>
      </c>
      <c r="G77" s="34" t="s">
        <v>538</v>
      </c>
    </row>
    <row r="78" spans="2:13">
      <c r="B78" s="25" t="s">
        <v>539</v>
      </c>
      <c r="C78" s="25" t="s">
        <v>225</v>
      </c>
      <c r="D78" s="25" t="s">
        <v>269</v>
      </c>
      <c r="E78" s="25" t="s">
        <v>403</v>
      </c>
      <c r="F78" s="70">
        <f>G78/SUM($G$78:$G$81)</f>
        <v>0.52648110109762414</v>
      </c>
      <c r="G78" s="60">
        <v>9409683</v>
      </c>
      <c r="H78" s="25" t="s">
        <v>540</v>
      </c>
    </row>
    <row r="79" spans="2:13">
      <c r="B79" s="25" t="s">
        <v>541</v>
      </c>
      <c r="C79" s="25" t="s">
        <v>244</v>
      </c>
      <c r="D79" s="25" t="s">
        <v>269</v>
      </c>
      <c r="E79" s="25" t="s">
        <v>403</v>
      </c>
      <c r="F79" s="70">
        <f>G79/SUM($G$78:$G$81)</f>
        <v>0.46114718333752591</v>
      </c>
      <c r="G79" s="60">
        <v>8241984</v>
      </c>
      <c r="H79" s="25" t="s">
        <v>540</v>
      </c>
    </row>
    <row r="80" spans="2:13">
      <c r="B80" s="25" t="s">
        <v>542</v>
      </c>
      <c r="C80" s="25" t="s">
        <v>263</v>
      </c>
      <c r="D80" s="25" t="s">
        <v>269</v>
      </c>
      <c r="E80" s="25" t="s">
        <v>403</v>
      </c>
      <c r="F80" s="70">
        <f>G80/SUM($G$78:$G$81)</f>
        <v>1.2371715564849886E-2</v>
      </c>
      <c r="G80" s="60">
        <v>221117</v>
      </c>
      <c r="H80" s="25" t="s">
        <v>540</v>
      </c>
    </row>
    <row r="81" spans="2:17">
      <c r="B81" s="25" t="s">
        <v>543</v>
      </c>
      <c r="C81" s="25" t="s">
        <v>277</v>
      </c>
      <c r="D81" s="25" t="s">
        <v>269</v>
      </c>
      <c r="E81" s="25" t="s">
        <v>403</v>
      </c>
      <c r="F81" s="70">
        <f>G81/SUM($G$78:$G$81)</f>
        <v>0</v>
      </c>
      <c r="G81" s="60">
        <v>0</v>
      </c>
      <c r="H81" s="25" t="s">
        <v>540</v>
      </c>
    </row>
    <row r="90" spans="2:17">
      <c r="P90" s="71"/>
      <c r="Q90" s="64"/>
    </row>
  </sheetData>
  <phoneticPr fontId="3" type="noConversion"/>
  <dataValidations count="1">
    <dataValidation type="list" allowBlank="1" showInputMessage="1" showErrorMessage="1" sqref="D47:D72" xr:uid="{000C071C-DE53-4591-963C-AFD55A54F829}">
      <formula1>EV_BBs</formula1>
    </dataValidation>
  </dataValidations>
  <hyperlinks>
    <hyperlink ref="A1" location="Contents!A1" display="Back to contents" xr:uid="{53D16169-2A33-4652-8336-34E5F9C02559}"/>
    <hyperlink ref="A2" location="'EV CPA Summary Table'!A1" display="Back to EV CPA Summary Table " xr:uid="{0F829D41-6645-4489-9D3F-C527324D7D3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90089-DD35-4321-9E02-0F71BC8338C3}">
  <sheetPr>
    <tabColor theme="8" tint="0.79998168889431442"/>
  </sheetPr>
  <dimension ref="A1:AN406"/>
  <sheetViews>
    <sheetView zoomScale="60" zoomScaleNormal="60" zoomScaleSheetLayoutView="10" workbookViewId="0"/>
  </sheetViews>
  <sheetFormatPr defaultColWidth="9.09765625" defaultRowHeight="20.45"/>
  <cols>
    <col min="1" max="1" width="3.5" style="3" customWidth="1"/>
    <col min="2" max="2" width="4.19921875" style="3" customWidth="1"/>
    <col min="3" max="3" width="44.19921875" style="3" customWidth="1"/>
    <col min="4" max="4" width="21.69921875" style="3" bestFit="1" customWidth="1"/>
    <col min="5" max="5" width="45.796875" style="3" bestFit="1" customWidth="1"/>
    <col min="6" max="6" width="20.8984375" style="3" bestFit="1" customWidth="1"/>
    <col min="7" max="7" width="13.296875" style="3" bestFit="1" customWidth="1"/>
    <col min="8" max="8" width="18.5" style="3" customWidth="1"/>
    <col min="9" max="9" width="24.19921875" style="3" customWidth="1"/>
    <col min="10" max="10" width="18.5" style="3" bestFit="1" customWidth="1"/>
    <col min="11" max="11" width="16.8984375" style="3" customWidth="1"/>
    <col min="12" max="12" width="17.296875" style="3" customWidth="1"/>
    <col min="13" max="13" width="16.8984375" style="3" customWidth="1"/>
    <col min="14" max="14" width="19.296875" style="3" customWidth="1"/>
    <col min="15" max="15" width="14.296875" style="3" customWidth="1"/>
    <col min="16" max="16" width="12.69921875" style="3" bestFit="1" customWidth="1"/>
    <col min="17" max="17" width="9.09765625" style="3"/>
    <col min="18" max="18" width="29.296875" style="3" bestFit="1" customWidth="1"/>
    <col min="19" max="19" width="39.19921875" style="3" customWidth="1"/>
    <col min="20" max="20" width="12.5" style="3" bestFit="1" customWidth="1"/>
    <col min="21" max="21" width="14.19921875" style="3" bestFit="1" customWidth="1"/>
    <col min="22" max="22" width="12.69921875" style="3" bestFit="1" customWidth="1"/>
    <col min="23" max="23" width="18.296875" style="3" customWidth="1"/>
    <col min="24" max="24" width="18.5" style="3" customWidth="1"/>
    <col min="25" max="26" width="12.5" style="3" bestFit="1" customWidth="1"/>
    <col min="27" max="27" width="16.5" style="3" bestFit="1" customWidth="1"/>
    <col min="28" max="28" width="12.69921875" style="3" bestFit="1" customWidth="1"/>
    <col min="29" max="30" width="12.5" style="3" bestFit="1" customWidth="1"/>
    <col min="31" max="31" width="14.19921875" style="3" bestFit="1" customWidth="1"/>
    <col min="32" max="16384" width="9.09765625" style="3"/>
  </cols>
  <sheetData>
    <row r="1" spans="1:40" s="97" customFormat="1" ht="45" customHeight="1">
      <c r="A1" s="88" t="s">
        <v>544</v>
      </c>
      <c r="B1" s="88"/>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row>
    <row r="2" spans="1:40">
      <c r="A2" s="247" t="s">
        <v>57</v>
      </c>
      <c r="B2" s="247"/>
      <c r="D2" s="253"/>
    </row>
    <row r="3" spans="1:40" ht="34.9">
      <c r="A3" s="247"/>
      <c r="B3" s="194"/>
      <c r="C3" s="197" t="s">
        <v>545</v>
      </c>
      <c r="D3" s="194"/>
      <c r="E3" s="250"/>
      <c r="F3" s="194"/>
      <c r="G3" s="194"/>
      <c r="H3" s="194"/>
      <c r="I3" s="194"/>
      <c r="J3" s="194"/>
    </row>
    <row r="4" spans="1:40" ht="26.45">
      <c r="B4" s="194"/>
      <c r="C4" s="248" t="s">
        <v>546</v>
      </c>
      <c r="D4" s="194"/>
      <c r="E4" s="194"/>
      <c r="F4" s="194"/>
      <c r="G4" s="194"/>
      <c r="H4" s="194"/>
      <c r="I4" s="388" t="s">
        <v>547</v>
      </c>
      <c r="J4" s="389"/>
    </row>
    <row r="5" spans="1:40" ht="26.45">
      <c r="B5" s="194"/>
      <c r="C5" s="270" t="s">
        <v>548</v>
      </c>
      <c r="D5" s="194"/>
      <c r="E5" s="194"/>
      <c r="F5" s="194"/>
      <c r="G5" s="194"/>
      <c r="H5" s="194"/>
      <c r="I5" s="390" t="s">
        <v>549</v>
      </c>
      <c r="J5" s="391"/>
    </row>
    <row r="6" spans="1:40" ht="26.45">
      <c r="B6" s="194"/>
      <c r="C6" s="271" t="s">
        <v>550</v>
      </c>
      <c r="D6" s="194"/>
      <c r="E6" s="261"/>
      <c r="F6" s="194"/>
      <c r="G6" s="194"/>
      <c r="H6" s="194"/>
      <c r="I6" s="392" t="s">
        <v>551</v>
      </c>
      <c r="J6" s="393"/>
    </row>
    <row r="7" spans="1:40" ht="26.45">
      <c r="B7" s="194"/>
      <c r="C7" s="271" t="s">
        <v>552</v>
      </c>
      <c r="D7" s="194"/>
      <c r="E7" s="194"/>
      <c r="F7" s="194"/>
      <c r="G7" s="194"/>
      <c r="H7" s="194"/>
      <c r="I7" s="394" t="s">
        <v>553</v>
      </c>
      <c r="J7" s="395"/>
    </row>
    <row r="8" spans="1:40" ht="26.45">
      <c r="B8" s="194"/>
      <c r="C8" s="270" t="s">
        <v>554</v>
      </c>
      <c r="D8" s="194"/>
      <c r="E8" s="194"/>
      <c r="F8" s="194"/>
      <c r="G8" s="194"/>
      <c r="H8" s="194"/>
      <c r="I8" s="396" t="s">
        <v>555</v>
      </c>
      <c r="J8" s="397"/>
    </row>
    <row r="9" spans="1:40">
      <c r="B9" s="194"/>
      <c r="C9" s="194"/>
      <c r="D9" s="194"/>
      <c r="E9" s="194"/>
      <c r="F9" s="194"/>
      <c r="G9" s="194"/>
      <c r="H9" s="194"/>
      <c r="I9" s="194"/>
      <c r="J9" s="194"/>
    </row>
    <row r="11" spans="1:40" ht="34.9">
      <c r="B11" s="194"/>
      <c r="C11" s="197" t="s">
        <v>556</v>
      </c>
      <c r="D11" s="194"/>
      <c r="E11" s="194"/>
      <c r="F11" s="194"/>
      <c r="G11" s="194"/>
      <c r="H11" s="194"/>
      <c r="I11" s="194"/>
      <c r="J11" s="194"/>
    </row>
    <row r="12" spans="1:40" ht="31.9">
      <c r="B12" s="194"/>
      <c r="C12" s="246" t="s">
        <v>557</v>
      </c>
      <c r="D12" s="194"/>
      <c r="E12" s="194"/>
      <c r="F12" s="194"/>
      <c r="G12" s="194"/>
      <c r="H12" s="194"/>
      <c r="I12" s="194"/>
      <c r="J12" s="194"/>
    </row>
    <row r="13" spans="1:40">
      <c r="B13" s="194"/>
      <c r="C13" s="194"/>
      <c r="D13" s="194"/>
      <c r="E13" s="194"/>
      <c r="F13" s="194"/>
      <c r="G13" s="194"/>
      <c r="H13" s="194"/>
      <c r="I13" s="194"/>
      <c r="J13" s="194"/>
    </row>
    <row r="14" spans="1:40">
      <c r="B14" s="194"/>
      <c r="C14" s="196" t="s">
        <v>558</v>
      </c>
      <c r="D14" s="194"/>
      <c r="E14" s="196" t="s">
        <v>559</v>
      </c>
      <c r="F14" s="194"/>
      <c r="G14" s="194"/>
      <c r="H14" s="194"/>
      <c r="I14" s="194"/>
      <c r="J14" s="194"/>
    </row>
    <row r="15" spans="1:40">
      <c r="B15" s="194"/>
      <c r="C15" s="168" t="s">
        <v>560</v>
      </c>
      <c r="D15" s="194"/>
      <c r="E15" s="196" t="s">
        <v>561</v>
      </c>
      <c r="F15" s="194"/>
      <c r="G15" s="194"/>
      <c r="H15" s="194"/>
      <c r="I15" s="194"/>
      <c r="J15" s="194"/>
    </row>
    <row r="16" spans="1:40">
      <c r="B16" s="194"/>
      <c r="C16" s="166" t="s">
        <v>260</v>
      </c>
      <c r="D16" s="194"/>
      <c r="E16" s="196" t="s">
        <v>562</v>
      </c>
      <c r="F16" s="194"/>
      <c r="G16" s="194"/>
      <c r="H16" s="194"/>
      <c r="I16" s="194"/>
      <c r="J16" s="194"/>
    </row>
    <row r="17" spans="2:23">
      <c r="B17" s="194"/>
      <c r="C17" s="194"/>
      <c r="D17" s="194"/>
      <c r="E17" s="196" t="s">
        <v>563</v>
      </c>
      <c r="F17" s="194"/>
      <c r="G17" s="194"/>
      <c r="H17" s="194"/>
      <c r="I17" s="194"/>
      <c r="J17" s="194"/>
    </row>
    <row r="18" spans="2:23">
      <c r="B18" s="194"/>
      <c r="C18" s="168" t="s">
        <v>483</v>
      </c>
      <c r="D18" s="194"/>
      <c r="E18" s="168" t="s">
        <v>497</v>
      </c>
      <c r="F18" s="168" t="s">
        <v>498</v>
      </c>
      <c r="G18" s="168" t="s">
        <v>482</v>
      </c>
      <c r="H18" s="168" t="s">
        <v>340</v>
      </c>
      <c r="I18" s="168" t="s">
        <v>499</v>
      </c>
      <c r="J18" s="194"/>
    </row>
    <row r="19" spans="2:23">
      <c r="B19" s="194"/>
      <c r="C19" s="166" t="s">
        <v>235</v>
      </c>
      <c r="D19" s="194"/>
      <c r="E19" s="116" t="s">
        <v>500</v>
      </c>
      <c r="F19" s="116" t="s">
        <v>225</v>
      </c>
      <c r="G19" s="116" t="s">
        <v>501</v>
      </c>
      <c r="H19" s="116" t="s">
        <v>502</v>
      </c>
      <c r="I19" s="167">
        <v>94</v>
      </c>
      <c r="J19" s="194"/>
    </row>
    <row r="20" spans="2:23">
      <c r="B20" s="194"/>
      <c r="C20" s="194"/>
      <c r="D20" s="194"/>
      <c r="E20" s="116" t="s">
        <v>503</v>
      </c>
      <c r="F20" s="116" t="s">
        <v>244</v>
      </c>
      <c r="G20" s="116" t="s">
        <v>501</v>
      </c>
      <c r="H20" s="116" t="s">
        <v>502</v>
      </c>
      <c r="I20" s="167">
        <v>18</v>
      </c>
      <c r="J20" s="194"/>
    </row>
    <row r="21" spans="2:23">
      <c r="B21" s="194"/>
      <c r="C21" s="168" t="s">
        <v>491</v>
      </c>
      <c r="D21" s="194"/>
      <c r="E21" s="116" t="s">
        <v>504</v>
      </c>
      <c r="F21" s="116" t="s">
        <v>263</v>
      </c>
      <c r="G21" s="116" t="s">
        <v>501</v>
      </c>
      <c r="H21" s="116" t="s">
        <v>502</v>
      </c>
      <c r="I21" s="167">
        <v>8</v>
      </c>
      <c r="J21" s="194"/>
    </row>
    <row r="22" spans="2:23">
      <c r="B22" s="194"/>
      <c r="C22" s="166">
        <v>2030</v>
      </c>
      <c r="D22" s="194"/>
      <c r="E22" s="116" t="s">
        <v>505</v>
      </c>
      <c r="F22" s="116" t="s">
        <v>277</v>
      </c>
      <c r="G22" s="116" t="s">
        <v>501</v>
      </c>
      <c r="H22" s="116" t="s">
        <v>502</v>
      </c>
      <c r="I22" s="167">
        <v>0</v>
      </c>
      <c r="J22" s="194"/>
    </row>
    <row r="23" spans="2:23">
      <c r="B23" s="194"/>
      <c r="C23" s="194"/>
      <c r="D23" s="194"/>
      <c r="E23" s="194"/>
      <c r="F23" s="194"/>
      <c r="G23" s="194"/>
      <c r="H23" s="194"/>
      <c r="I23" s="194"/>
      <c r="J23" s="194"/>
    </row>
    <row r="24" spans="2:23">
      <c r="B24" s="194"/>
      <c r="C24" s="194"/>
      <c r="D24" s="195"/>
      <c r="E24" s="196" t="s">
        <v>564</v>
      </c>
      <c r="F24" s="194"/>
      <c r="G24" s="194"/>
      <c r="H24" s="194"/>
      <c r="I24" s="194"/>
      <c r="J24" s="194"/>
    </row>
    <row r="25" spans="2:23">
      <c r="B25" s="194"/>
      <c r="C25" s="194"/>
      <c r="D25" s="195"/>
      <c r="E25" s="196" t="s">
        <v>565</v>
      </c>
      <c r="F25" s="194"/>
      <c r="G25" s="194"/>
      <c r="H25" s="194"/>
      <c r="I25" s="194"/>
      <c r="J25" s="194"/>
    </row>
    <row r="26" spans="2:23">
      <c r="B26" s="194"/>
      <c r="C26" s="194"/>
      <c r="D26" s="194"/>
      <c r="E26" s="168" t="s">
        <v>566</v>
      </c>
      <c r="F26" s="245" t="s">
        <v>242</v>
      </c>
      <c r="G26" s="194"/>
      <c r="H26" s="194"/>
      <c r="I26" s="194"/>
      <c r="J26" s="194"/>
    </row>
    <row r="27" spans="2:23">
      <c r="B27" s="194"/>
      <c r="C27" s="194"/>
      <c r="D27" s="194"/>
      <c r="E27" s="194"/>
      <c r="F27" s="194"/>
      <c r="G27" s="194"/>
      <c r="H27" s="194"/>
      <c r="I27" s="194"/>
      <c r="J27" s="194"/>
    </row>
    <row r="29" spans="2:23" ht="34.9">
      <c r="B29" s="194"/>
      <c r="C29" s="197" t="s">
        <v>567</v>
      </c>
      <c r="D29" s="194"/>
      <c r="E29" s="194"/>
      <c r="F29" s="198"/>
      <c r="G29" s="194"/>
      <c r="H29" s="194"/>
      <c r="I29" s="194"/>
      <c r="J29" s="194"/>
      <c r="K29" s="194"/>
      <c r="L29" s="194"/>
      <c r="M29" s="194"/>
      <c r="N29" s="194"/>
      <c r="O29" s="194"/>
      <c r="P29" s="194"/>
      <c r="Q29" s="194"/>
      <c r="R29" s="194"/>
      <c r="S29" s="194"/>
      <c r="T29" s="194"/>
      <c r="U29" s="194"/>
      <c r="V29" s="194"/>
      <c r="W29" s="194"/>
    </row>
    <row r="30" spans="2:23">
      <c r="B30" s="194"/>
      <c r="C30" s="194"/>
      <c r="D30" s="194"/>
      <c r="E30" s="194"/>
      <c r="F30" s="198"/>
      <c r="G30" s="194"/>
      <c r="H30" s="194"/>
      <c r="I30" s="194"/>
      <c r="J30" s="194"/>
      <c r="K30" s="194"/>
      <c r="L30" s="194"/>
      <c r="M30" s="194"/>
      <c r="N30" s="194"/>
      <c r="O30" s="194"/>
      <c r="P30" s="194"/>
      <c r="Q30" s="194"/>
      <c r="R30" s="194"/>
      <c r="S30" s="194"/>
      <c r="T30" s="194"/>
      <c r="U30" s="194"/>
      <c r="V30" s="194"/>
      <c r="W30" s="194"/>
    </row>
    <row r="31" spans="2:23" ht="37.9">
      <c r="B31" s="194"/>
      <c r="C31" s="402" t="str">
        <f>_xlfn.CONCAT($C$16,": ",$C$22, " ",$C$19)</f>
        <v>Eastern: 2030 Peak demand winter day</v>
      </c>
      <c r="D31" s="402"/>
      <c r="E31" s="402"/>
      <c r="F31" s="198"/>
      <c r="G31" s="204" t="s">
        <v>568</v>
      </c>
      <c r="H31" s="204"/>
      <c r="I31" s="204"/>
      <c r="J31" s="207" t="s">
        <v>569</v>
      </c>
      <c r="L31" s="207" t="s">
        <v>570</v>
      </c>
      <c r="O31" s="194"/>
      <c r="Q31" s="204" t="s">
        <v>571</v>
      </c>
      <c r="S31" s="207" t="s">
        <v>569</v>
      </c>
      <c r="U31" s="207" t="s">
        <v>570</v>
      </c>
      <c r="W31" s="194"/>
    </row>
    <row r="32" spans="2:23" ht="37.9">
      <c r="B32" s="194"/>
      <c r="C32" s="402"/>
      <c r="D32" s="402"/>
      <c r="E32" s="402"/>
      <c r="F32" s="198"/>
      <c r="G32" s="203"/>
      <c r="J32" s="265">
        <f>J227</f>
        <v>627.58956000965691</v>
      </c>
      <c r="K32" s="206" t="s">
        <v>136</v>
      </c>
      <c r="L32" s="208">
        <f>$J$228</f>
        <v>0.89583333333333337</v>
      </c>
      <c r="M32" s="206"/>
      <c r="O32" s="194"/>
      <c r="Q32" s="204" t="s">
        <v>572</v>
      </c>
      <c r="S32" s="267">
        <f>$K$289</f>
        <v>0.77719933340328173</v>
      </c>
      <c r="T32" s="206" t="s">
        <v>136</v>
      </c>
      <c r="U32" s="208">
        <f>$K$290</f>
        <v>2.0833333333333332E-2</v>
      </c>
      <c r="W32" s="194"/>
    </row>
    <row r="33" spans="2:23" ht="34.9">
      <c r="B33" s="194"/>
      <c r="C33" s="268" t="s">
        <v>573</v>
      </c>
      <c r="D33" s="221">
        <f>SUM(EV_number_BB1,EV_number_BB2)</f>
        <v>112</v>
      </c>
      <c r="E33" s="3" t="s">
        <v>574</v>
      </c>
      <c r="F33" s="198"/>
      <c r="O33" s="194"/>
      <c r="Q33" s="200" t="s">
        <v>575</v>
      </c>
      <c r="S33" s="209" t="str">
        <f>_xlfn.CONCAT(ROUND($U$289,2), " - ",ROUND($AE$289,2))</f>
        <v>0.66 - 0.91</v>
      </c>
      <c r="T33" s="210" t="s">
        <v>136</v>
      </c>
      <c r="W33" s="194"/>
    </row>
    <row r="34" spans="2:23" ht="37.9">
      <c r="B34" s="194"/>
      <c r="C34" s="268" t="s">
        <v>576</v>
      </c>
      <c r="D34" s="221">
        <f>SUM(EV_Number_BB3,EV_number_BB4)</f>
        <v>8</v>
      </c>
      <c r="E34" s="3" t="s">
        <v>577</v>
      </c>
      <c r="F34" s="198"/>
      <c r="H34" s="199"/>
      <c r="O34" s="194"/>
      <c r="W34" s="194"/>
    </row>
    <row r="35" spans="2:23">
      <c r="B35" s="194"/>
      <c r="F35" s="198"/>
      <c r="O35" s="194"/>
      <c r="W35" s="194"/>
    </row>
    <row r="36" spans="2:23" ht="31.9">
      <c r="B36" s="194"/>
      <c r="C36" s="175" t="s">
        <v>578</v>
      </c>
      <c r="E36" s="201"/>
      <c r="F36" s="198"/>
      <c r="O36" s="194"/>
      <c r="W36" s="194"/>
    </row>
    <row r="37" spans="2:23" ht="31.9">
      <c r="B37" s="194"/>
      <c r="C37" s="269" t="s">
        <v>226</v>
      </c>
      <c r="D37" s="202" t="str">
        <f>J191</f>
        <v>Y</v>
      </c>
      <c r="F37" s="198"/>
      <c r="H37" s="174"/>
      <c r="O37" s="194"/>
      <c r="W37" s="194"/>
    </row>
    <row r="38" spans="2:23" ht="31.9">
      <c r="B38" s="194"/>
      <c r="C38" s="269" t="s">
        <v>245</v>
      </c>
      <c r="D38" s="202" t="str">
        <f>J192</f>
        <v>Y</v>
      </c>
      <c r="E38" s="202"/>
      <c r="F38" s="198"/>
      <c r="H38" s="174"/>
      <c r="O38" s="194"/>
      <c r="W38" s="194"/>
    </row>
    <row r="39" spans="2:23" ht="31.9">
      <c r="B39" s="194"/>
      <c r="C39" s="269" t="s">
        <v>265</v>
      </c>
      <c r="D39" s="202" t="str">
        <f>J193</f>
        <v>Y</v>
      </c>
      <c r="E39" s="202"/>
      <c r="F39" s="198"/>
      <c r="H39" s="174"/>
      <c r="O39" s="194"/>
      <c r="W39" s="194"/>
    </row>
    <row r="40" spans="2:23" ht="31.9">
      <c r="B40" s="194"/>
      <c r="C40" s="269" t="s">
        <v>279</v>
      </c>
      <c r="D40" s="202" t="str">
        <f>J194</f>
        <v>Y</v>
      </c>
      <c r="E40" s="202"/>
      <c r="F40" s="198"/>
      <c r="H40" s="174"/>
      <c r="O40" s="194"/>
      <c r="W40" s="194"/>
    </row>
    <row r="41" spans="2:23" ht="31.9">
      <c r="B41" s="194"/>
      <c r="C41" s="269" t="s">
        <v>289</v>
      </c>
      <c r="D41" s="202" t="str">
        <f>J195</f>
        <v>Y</v>
      </c>
      <c r="E41" s="202"/>
      <c r="F41" s="198"/>
      <c r="H41" s="174"/>
      <c r="O41" s="194"/>
      <c r="W41" s="194"/>
    </row>
    <row r="42" spans="2:23" ht="18" customHeight="1">
      <c r="B42" s="194"/>
      <c r="E42" s="202"/>
      <c r="F42" s="198"/>
      <c r="H42" s="174"/>
      <c r="O42" s="194"/>
      <c r="W42" s="194"/>
    </row>
    <row r="43" spans="2:23">
      <c r="B43" s="194"/>
      <c r="C43" s="194"/>
      <c r="D43" s="194"/>
      <c r="E43" s="194"/>
      <c r="F43" s="198"/>
      <c r="H43" s="174"/>
      <c r="O43" s="194"/>
      <c r="W43" s="194"/>
    </row>
    <row r="44" spans="2:23">
      <c r="B44" s="194"/>
      <c r="C44" s="194"/>
      <c r="D44" s="194"/>
      <c r="E44" s="194"/>
      <c r="F44" s="198"/>
      <c r="H44" s="174"/>
      <c r="O44" s="194"/>
      <c r="P44" s="194"/>
      <c r="Q44" s="194"/>
      <c r="R44" s="194"/>
      <c r="S44" s="194"/>
      <c r="T44" s="194"/>
      <c r="U44" s="194"/>
      <c r="V44" s="194"/>
      <c r="W44" s="194"/>
    </row>
    <row r="45" spans="2:23">
      <c r="B45" s="194"/>
      <c r="C45" s="194"/>
      <c r="D45" s="194"/>
      <c r="E45" s="194"/>
      <c r="F45" s="198"/>
      <c r="H45" s="174"/>
      <c r="O45" s="194"/>
      <c r="P45" s="194"/>
      <c r="Q45" s="194"/>
      <c r="R45" s="194"/>
      <c r="S45" s="194"/>
      <c r="T45" s="194"/>
      <c r="U45" s="194"/>
      <c r="V45" s="194"/>
      <c r="W45" s="194"/>
    </row>
    <row r="46" spans="2:23" ht="37.9">
      <c r="B46" s="194"/>
      <c r="C46" s="194"/>
      <c r="D46" s="194"/>
      <c r="E46" s="194"/>
      <c r="F46" s="198"/>
      <c r="H46" s="174"/>
      <c r="O46" s="194"/>
      <c r="Q46" s="204" t="s">
        <v>571</v>
      </c>
      <c r="S46" s="207" t="s">
        <v>569</v>
      </c>
      <c r="U46" s="207" t="s">
        <v>570</v>
      </c>
      <c r="W46" s="194"/>
    </row>
    <row r="47" spans="2:23" ht="37.9">
      <c r="B47" s="194"/>
      <c r="C47" s="194"/>
      <c r="D47" s="194"/>
      <c r="E47" s="194"/>
      <c r="F47" s="198"/>
      <c r="H47" s="174"/>
      <c r="O47" s="194"/>
      <c r="Q47" s="204" t="s">
        <v>579</v>
      </c>
      <c r="S47" s="205">
        <f>$K$351</f>
        <v>69.934521785914811</v>
      </c>
      <c r="T47" s="206" t="s">
        <v>136</v>
      </c>
      <c r="U47" s="208">
        <f>$K$352</f>
        <v>0.89583333333333337</v>
      </c>
      <c r="W47" s="194"/>
    </row>
    <row r="48" spans="2:23" ht="31.9">
      <c r="B48" s="194"/>
      <c r="C48" s="194"/>
      <c r="D48" s="194"/>
      <c r="E48" s="194"/>
      <c r="F48" s="198"/>
      <c r="H48" s="174"/>
      <c r="O48" s="194"/>
      <c r="Q48" s="200" t="s">
        <v>580</v>
      </c>
      <c r="S48" s="209" t="str">
        <f>_xlfn.CONCAT(ROUND($U$351,2), " - ",ROUND($AE$351,2))</f>
        <v>69.93 - 69.93</v>
      </c>
      <c r="T48" s="210" t="s">
        <v>136</v>
      </c>
      <c r="W48" s="194"/>
    </row>
    <row r="49" spans="2:23">
      <c r="B49" s="194"/>
      <c r="C49" s="194"/>
      <c r="D49" s="194"/>
      <c r="E49" s="194"/>
      <c r="F49" s="198"/>
      <c r="H49" s="174"/>
      <c r="O49" s="194"/>
      <c r="W49" s="194"/>
    </row>
    <row r="50" spans="2:23">
      <c r="B50" s="194"/>
      <c r="C50" s="194"/>
      <c r="D50" s="194"/>
      <c r="E50" s="194"/>
      <c r="F50" s="198"/>
      <c r="H50" s="174"/>
      <c r="O50" s="194"/>
      <c r="W50" s="194"/>
    </row>
    <row r="51" spans="2:23">
      <c r="B51" s="194"/>
      <c r="C51" s="194"/>
      <c r="D51" s="194"/>
      <c r="E51" s="194"/>
      <c r="F51" s="198"/>
      <c r="H51" s="174"/>
      <c r="O51" s="194"/>
      <c r="W51" s="194"/>
    </row>
    <row r="52" spans="2:23">
      <c r="B52" s="194"/>
      <c r="C52" s="194"/>
      <c r="D52" s="194"/>
      <c r="E52" s="194"/>
      <c r="F52" s="198"/>
      <c r="G52" s="198"/>
      <c r="H52" s="198"/>
      <c r="I52" s="198"/>
      <c r="J52" s="198"/>
      <c r="K52" s="198"/>
      <c r="L52" s="198"/>
      <c r="M52" s="198"/>
      <c r="N52" s="198"/>
      <c r="O52" s="194"/>
      <c r="W52" s="194"/>
    </row>
    <row r="53" spans="2:23">
      <c r="B53" s="194"/>
      <c r="C53" s="194"/>
      <c r="D53" s="194"/>
      <c r="E53" s="194"/>
      <c r="F53" s="198"/>
      <c r="G53" s="198"/>
      <c r="H53" s="198"/>
      <c r="I53" s="198"/>
      <c r="J53" s="198"/>
      <c r="K53" s="198"/>
      <c r="L53" s="198"/>
      <c r="M53" s="198"/>
      <c r="N53" s="198"/>
      <c r="O53" s="194"/>
      <c r="W53" s="194"/>
    </row>
    <row r="54" spans="2:23" ht="37.9">
      <c r="B54" s="194"/>
      <c r="C54" s="194"/>
      <c r="D54" s="194"/>
      <c r="E54" s="194"/>
      <c r="F54" s="198"/>
      <c r="G54" s="405" t="s">
        <v>581</v>
      </c>
      <c r="H54" s="405"/>
      <c r="I54" s="405"/>
      <c r="J54" s="174"/>
      <c r="K54" s="174"/>
      <c r="L54" s="174"/>
      <c r="M54" s="174"/>
      <c r="N54" s="174"/>
      <c r="O54" s="194"/>
      <c r="W54" s="194"/>
    </row>
    <row r="55" spans="2:23" ht="31.9">
      <c r="B55" s="194"/>
      <c r="C55" s="194"/>
      <c r="D55" s="194"/>
      <c r="E55" s="194"/>
      <c r="F55" s="198"/>
      <c r="G55" s="174"/>
      <c r="I55" s="207" t="s">
        <v>582</v>
      </c>
      <c r="J55" s="174"/>
      <c r="K55" s="174"/>
      <c r="L55" s="207" t="s">
        <v>583</v>
      </c>
      <c r="M55" s="174"/>
      <c r="N55" s="174"/>
      <c r="O55" s="198"/>
      <c r="W55" s="194"/>
    </row>
    <row r="56" spans="2:23" ht="37.9">
      <c r="B56" s="194"/>
      <c r="C56" s="194"/>
      <c r="D56" s="194"/>
      <c r="E56" s="194"/>
      <c r="F56" s="198"/>
      <c r="G56" s="174"/>
      <c r="I56" s="228">
        <f>SUM(W203:W207)</f>
        <v>123</v>
      </c>
      <c r="J56" s="174"/>
      <c r="K56" s="174"/>
      <c r="L56" s="230">
        <f>SUM(W191:W195)</f>
        <v>1300.1646846339304</v>
      </c>
      <c r="M56" s="229" t="s">
        <v>136</v>
      </c>
      <c r="N56" s="174"/>
      <c r="O56" s="198"/>
      <c r="W56" s="194"/>
    </row>
    <row r="57" spans="2:23">
      <c r="B57" s="194"/>
      <c r="C57" s="194"/>
      <c r="D57" s="194"/>
      <c r="E57" s="194"/>
      <c r="F57" s="198"/>
      <c r="G57" s="174"/>
      <c r="H57" s="174"/>
      <c r="I57" s="174"/>
      <c r="J57" s="174"/>
      <c r="K57" s="174"/>
      <c r="L57" s="174"/>
      <c r="M57" s="174"/>
      <c r="N57" s="174"/>
      <c r="O57" s="198"/>
      <c r="W57" s="194"/>
    </row>
    <row r="58" spans="2:23">
      <c r="B58" s="194"/>
      <c r="C58" s="194"/>
      <c r="D58" s="194"/>
      <c r="E58" s="194"/>
      <c r="F58" s="198"/>
      <c r="G58" s="174"/>
      <c r="H58" s="174"/>
      <c r="I58" s="174"/>
      <c r="J58" s="174"/>
      <c r="K58" s="174"/>
      <c r="L58" s="174"/>
      <c r="M58" s="174"/>
      <c r="N58" s="174"/>
      <c r="O58" s="198"/>
      <c r="W58" s="194"/>
    </row>
    <row r="59" spans="2:23">
      <c r="B59" s="194"/>
      <c r="C59" s="194"/>
      <c r="D59" s="194"/>
      <c r="E59" s="194"/>
      <c r="F59" s="198"/>
      <c r="O59" s="194"/>
      <c r="W59" s="194"/>
    </row>
    <row r="60" spans="2:23">
      <c r="B60" s="194"/>
      <c r="C60" s="194"/>
      <c r="D60" s="194"/>
      <c r="E60" s="194"/>
      <c r="F60" s="198"/>
      <c r="O60" s="194"/>
      <c r="W60" s="194"/>
    </row>
    <row r="61" spans="2:23">
      <c r="B61" s="194"/>
      <c r="C61" s="194"/>
      <c r="D61" s="194"/>
      <c r="E61" s="194"/>
      <c r="F61" s="198"/>
      <c r="O61" s="194"/>
      <c r="W61" s="194"/>
    </row>
    <row r="62" spans="2:23">
      <c r="B62" s="194"/>
      <c r="C62" s="194"/>
      <c r="D62" s="194"/>
      <c r="E62" s="194"/>
      <c r="F62" s="198"/>
      <c r="O62" s="194"/>
      <c r="W62" s="194"/>
    </row>
    <row r="63" spans="2:23">
      <c r="B63" s="194"/>
      <c r="C63" s="194"/>
      <c r="D63" s="194"/>
      <c r="E63" s="194"/>
      <c r="F63" s="198"/>
      <c r="O63" s="194"/>
      <c r="P63" s="194"/>
      <c r="Q63" s="194"/>
      <c r="R63" s="194"/>
      <c r="S63" s="194"/>
      <c r="T63" s="194"/>
      <c r="U63" s="194"/>
      <c r="V63" s="194"/>
      <c r="W63" s="194"/>
    </row>
    <row r="64" spans="2:23">
      <c r="B64" s="194"/>
      <c r="C64" s="194"/>
      <c r="D64" s="194"/>
      <c r="E64" s="194"/>
      <c r="F64" s="198"/>
      <c r="O64" s="194"/>
      <c r="P64" s="194"/>
      <c r="Q64" s="194"/>
      <c r="R64" s="194"/>
      <c r="S64" s="194"/>
      <c r="T64" s="194"/>
      <c r="U64" s="194"/>
      <c r="V64" s="194"/>
      <c r="W64" s="194"/>
    </row>
    <row r="65" spans="2:23">
      <c r="B65" s="194"/>
      <c r="C65" s="194"/>
      <c r="D65" s="194"/>
      <c r="E65" s="194"/>
      <c r="F65" s="198"/>
      <c r="O65" s="194"/>
      <c r="P65" s="194"/>
      <c r="Q65" s="194"/>
      <c r="R65" s="194"/>
      <c r="S65" s="194"/>
      <c r="T65" s="194"/>
      <c r="U65" s="194"/>
      <c r="V65" s="194"/>
      <c r="W65" s="194"/>
    </row>
    <row r="66" spans="2:23">
      <c r="B66" s="194"/>
      <c r="C66" s="194"/>
      <c r="D66" s="194"/>
      <c r="E66" s="194"/>
      <c r="F66" s="198"/>
      <c r="O66" s="194"/>
      <c r="P66" s="194"/>
      <c r="Q66" s="194"/>
      <c r="R66" s="194"/>
      <c r="S66" s="194"/>
      <c r="T66" s="194"/>
      <c r="U66" s="194"/>
      <c r="V66" s="194"/>
      <c r="W66" s="194"/>
    </row>
    <row r="67" spans="2:23">
      <c r="B67" s="194"/>
      <c r="C67" s="194"/>
      <c r="D67" s="194"/>
      <c r="E67" s="194"/>
      <c r="F67" s="198"/>
      <c r="O67" s="194"/>
      <c r="P67" s="194"/>
      <c r="Q67" s="194"/>
      <c r="R67" s="194"/>
      <c r="S67" s="194"/>
      <c r="T67" s="194"/>
      <c r="U67" s="194"/>
      <c r="V67" s="194"/>
      <c r="W67" s="194"/>
    </row>
    <row r="68" spans="2:23">
      <c r="B68" s="194"/>
      <c r="C68" s="194"/>
      <c r="D68" s="194"/>
      <c r="E68" s="194"/>
      <c r="F68" s="198"/>
      <c r="O68" s="194"/>
      <c r="P68" s="194"/>
      <c r="Q68" s="194"/>
      <c r="R68" s="194"/>
      <c r="S68" s="194"/>
      <c r="T68" s="194"/>
      <c r="U68" s="194"/>
      <c r="V68" s="194"/>
      <c r="W68" s="194"/>
    </row>
    <row r="69" spans="2:23">
      <c r="B69" s="194"/>
      <c r="C69" s="194"/>
      <c r="D69" s="194"/>
      <c r="E69" s="194"/>
      <c r="F69" s="198"/>
      <c r="O69" s="194"/>
      <c r="P69" s="194"/>
      <c r="Q69" s="194"/>
      <c r="R69" s="194"/>
      <c r="S69" s="194"/>
      <c r="T69" s="194"/>
      <c r="U69" s="194"/>
      <c r="V69" s="194"/>
      <c r="W69" s="194"/>
    </row>
    <row r="70" spans="2:23">
      <c r="B70" s="194"/>
      <c r="C70" s="194"/>
      <c r="D70" s="194"/>
      <c r="E70" s="194"/>
      <c r="F70" s="198"/>
      <c r="O70" s="194"/>
      <c r="P70" s="194"/>
      <c r="Q70" s="194"/>
      <c r="R70" s="194"/>
      <c r="S70" s="194"/>
      <c r="T70" s="194"/>
      <c r="U70" s="194"/>
      <c r="V70" s="194"/>
      <c r="W70" s="194"/>
    </row>
    <row r="71" spans="2:23">
      <c r="B71" s="194"/>
      <c r="C71" s="194"/>
      <c r="D71" s="194"/>
      <c r="E71" s="194"/>
      <c r="F71" s="198"/>
      <c r="O71" s="194"/>
      <c r="P71" s="194"/>
      <c r="Q71" s="194"/>
      <c r="R71" s="194"/>
      <c r="S71" s="194"/>
      <c r="T71" s="194"/>
      <c r="U71" s="194"/>
      <c r="V71" s="194"/>
      <c r="W71" s="194"/>
    </row>
    <row r="72" spans="2:23">
      <c r="B72" s="194"/>
      <c r="C72" s="194"/>
      <c r="D72" s="194"/>
      <c r="E72" s="194"/>
      <c r="F72" s="198"/>
      <c r="O72" s="194"/>
      <c r="P72" s="194"/>
      <c r="Q72" s="194"/>
      <c r="R72" s="194"/>
      <c r="S72" s="194"/>
      <c r="T72" s="194"/>
      <c r="U72" s="194"/>
      <c r="V72" s="194"/>
      <c r="W72" s="194"/>
    </row>
    <row r="73" spans="2:23">
      <c r="B73" s="194"/>
      <c r="C73" s="194"/>
      <c r="D73" s="194"/>
      <c r="E73" s="194"/>
      <c r="F73" s="198"/>
      <c r="O73" s="194"/>
      <c r="P73" s="194"/>
      <c r="Q73" s="194"/>
      <c r="R73" s="194"/>
      <c r="S73" s="194"/>
      <c r="T73" s="194"/>
      <c r="U73" s="194"/>
      <c r="V73" s="194"/>
      <c r="W73" s="194"/>
    </row>
    <row r="74" spans="2:23">
      <c r="B74" s="194"/>
      <c r="C74" s="194"/>
      <c r="D74" s="194"/>
      <c r="E74" s="194"/>
      <c r="F74" s="198"/>
      <c r="G74" s="194"/>
      <c r="H74" s="194"/>
      <c r="I74" s="194"/>
      <c r="J74" s="194"/>
      <c r="K74" s="194"/>
      <c r="L74" s="194"/>
      <c r="M74" s="194"/>
      <c r="N74" s="194"/>
      <c r="O74" s="194"/>
      <c r="P74" s="194"/>
      <c r="Q74" s="194"/>
      <c r="R74" s="194"/>
      <c r="S74" s="194"/>
      <c r="T74" s="194"/>
      <c r="U74" s="194"/>
      <c r="V74" s="194"/>
      <c r="W74" s="194"/>
    </row>
    <row r="75" spans="2:23">
      <c r="B75" s="194"/>
      <c r="C75" s="194"/>
      <c r="D75" s="194"/>
      <c r="E75" s="194"/>
      <c r="F75" s="198"/>
      <c r="G75" s="194"/>
      <c r="H75" s="194"/>
      <c r="I75" s="194"/>
      <c r="J75" s="194"/>
      <c r="K75" s="194"/>
      <c r="L75" s="194"/>
      <c r="M75" s="194"/>
      <c r="N75" s="194"/>
      <c r="O75" s="194"/>
      <c r="P75" s="194"/>
      <c r="Q75" s="194"/>
      <c r="R75" s="194"/>
      <c r="S75" s="194"/>
      <c r="T75" s="194"/>
      <c r="U75" s="194"/>
      <c r="V75" s="194"/>
      <c r="W75" s="194"/>
    </row>
    <row r="76" spans="2:23">
      <c r="F76" s="174"/>
    </row>
    <row r="77" spans="2:23" ht="34.9">
      <c r="B77" s="194"/>
      <c r="C77" s="197" t="s">
        <v>584</v>
      </c>
      <c r="D77" s="194"/>
      <c r="E77" s="194"/>
      <c r="F77" s="198"/>
      <c r="G77" s="194"/>
      <c r="H77" s="194"/>
      <c r="I77" s="194"/>
      <c r="J77" s="194"/>
      <c r="K77" s="194"/>
      <c r="L77" s="194"/>
      <c r="M77" s="194"/>
      <c r="N77" s="194"/>
      <c r="O77" s="194"/>
      <c r="P77" s="194"/>
    </row>
    <row r="78" spans="2:23" ht="31.9">
      <c r="B78" s="194"/>
      <c r="C78" s="246" t="s">
        <v>585</v>
      </c>
      <c r="D78" s="194"/>
      <c r="E78" s="194"/>
      <c r="F78" s="198"/>
      <c r="G78" s="194"/>
      <c r="H78" s="194"/>
      <c r="I78" s="194"/>
      <c r="J78" s="194"/>
      <c r="K78" s="194"/>
      <c r="L78" s="194"/>
      <c r="M78" s="194"/>
      <c r="N78" s="194"/>
      <c r="O78" s="194"/>
      <c r="P78" s="194"/>
    </row>
    <row r="79" spans="2:23">
      <c r="B79" s="194"/>
      <c r="C79" s="194"/>
      <c r="D79" s="194"/>
      <c r="E79" s="196"/>
      <c r="F79" s="194"/>
      <c r="G79" s="194"/>
      <c r="H79" s="194"/>
      <c r="I79" s="194"/>
      <c r="J79" s="194"/>
      <c r="K79" s="194"/>
      <c r="L79" s="194"/>
      <c r="M79" s="194"/>
      <c r="N79" s="194"/>
      <c r="O79" s="194"/>
      <c r="P79" s="194"/>
    </row>
    <row r="80" spans="2:23">
      <c r="B80" s="194"/>
      <c r="C80" s="168" t="s">
        <v>162</v>
      </c>
      <c r="D80" s="168" t="s">
        <v>162</v>
      </c>
      <c r="E80" s="168" t="s">
        <v>18</v>
      </c>
      <c r="F80" s="168" t="s">
        <v>498</v>
      </c>
      <c r="G80" s="168" t="s">
        <v>482</v>
      </c>
      <c r="H80" s="168" t="s">
        <v>483</v>
      </c>
      <c r="I80" s="168" t="s">
        <v>484</v>
      </c>
      <c r="J80" s="168" t="s">
        <v>586</v>
      </c>
      <c r="K80" s="168" t="s">
        <v>491</v>
      </c>
      <c r="L80" s="168" t="s">
        <v>340</v>
      </c>
      <c r="M80" s="168" t="s">
        <v>587</v>
      </c>
      <c r="N80" s="168" t="s">
        <v>588</v>
      </c>
      <c r="O80" s="168" t="s">
        <v>589</v>
      </c>
      <c r="P80" s="194"/>
    </row>
    <row r="81" spans="2:16" ht="30.6" customHeight="1">
      <c r="B81" s="194"/>
      <c r="C81" s="398" t="s">
        <v>20</v>
      </c>
      <c r="D81" s="178" t="s">
        <v>20</v>
      </c>
      <c r="E81" s="116" t="s">
        <v>524</v>
      </c>
      <c r="F81" s="116" t="s">
        <v>225</v>
      </c>
      <c r="G81" s="116" t="s">
        <v>269</v>
      </c>
      <c r="H81" s="116" t="s">
        <v>269</v>
      </c>
      <c r="I81" s="116" t="s">
        <v>269</v>
      </c>
      <c r="J81" s="169" t="str">
        <f>$C$16</f>
        <v>Eastern</v>
      </c>
      <c r="K81" s="176" t="s">
        <v>501</v>
      </c>
      <c r="L81" s="116" t="s">
        <v>355</v>
      </c>
      <c r="M81" s="179" cm="1">
        <f t="array" ref="M81">IFERROR(INDEX('EV01'!$I$4:$I$31,MATCH(1,($F81='EV01'!$C$4:$C$31)*($J81='EV01'!$H$4:$H$31),0)),INDEX('EV01'!$I$4:$I$31,MATCH(1,($F81='EV01'!$D$4:$D$31)*($J81='EV01'!$H$4:$H$31),0)))</f>
        <v>13700</v>
      </c>
      <c r="N81" s="179">
        <f>M81</f>
        <v>13700</v>
      </c>
      <c r="O81" s="179">
        <f>M81</f>
        <v>13700</v>
      </c>
      <c r="P81" s="194"/>
    </row>
    <row r="82" spans="2:16" ht="21.6" customHeight="1">
      <c r="B82" s="194"/>
      <c r="C82" s="399"/>
      <c r="D82" s="178" t="s">
        <v>20</v>
      </c>
      <c r="E82" s="116" t="s">
        <v>524</v>
      </c>
      <c r="F82" s="116" t="s">
        <v>244</v>
      </c>
      <c r="G82" s="116" t="s">
        <v>269</v>
      </c>
      <c r="H82" s="116" t="s">
        <v>269</v>
      </c>
      <c r="I82" s="116" t="s">
        <v>269</v>
      </c>
      <c r="J82" s="169" t="str">
        <f>$C$16</f>
        <v>Eastern</v>
      </c>
      <c r="K82" s="176" t="s">
        <v>501</v>
      </c>
      <c r="L82" s="116" t="s">
        <v>355</v>
      </c>
      <c r="M82" s="179" cm="1">
        <f t="array" ref="M82">IFERROR(INDEX('EV01'!$I$4:$I$31,MATCH(1,($F82='EV01'!$C$4:$C$31)*($J82='EV01'!$H$4:$H$31),0)),INDEX('EV01'!$I$4:$I$31,MATCH(1,($F82='EV01'!$D$4:$D$31)*($J82='EV01'!$H$4:$H$31),0)))</f>
        <v>13700</v>
      </c>
      <c r="N82" s="179">
        <f t="shared" ref="N82:N84" si="0">M82</f>
        <v>13700</v>
      </c>
      <c r="O82" s="179">
        <f t="shared" ref="O82:O84" si="1">M82</f>
        <v>13700</v>
      </c>
      <c r="P82" s="194"/>
    </row>
    <row r="83" spans="2:16" ht="21.6" customHeight="1">
      <c r="B83" s="194"/>
      <c r="C83" s="399"/>
      <c r="D83" s="178" t="s">
        <v>20</v>
      </c>
      <c r="E83" s="116" t="s">
        <v>524</v>
      </c>
      <c r="F83" s="116" t="s">
        <v>263</v>
      </c>
      <c r="G83" s="116" t="s">
        <v>269</v>
      </c>
      <c r="H83" s="116" t="s">
        <v>269</v>
      </c>
      <c r="I83" s="116" t="s">
        <v>269</v>
      </c>
      <c r="J83" s="169" t="str">
        <f>$C$16</f>
        <v>Eastern</v>
      </c>
      <c r="K83" s="176" t="s">
        <v>501</v>
      </c>
      <c r="L83" s="116" t="s">
        <v>355</v>
      </c>
      <c r="M83" s="179" cm="1">
        <f t="array" ref="M83">IFERROR(INDEX('EV01'!$I$4:$I$31,MATCH(1,($F83='EV01'!$C$4:$C$31)*($J83='EV01'!$H$4:$H$31),0)),INDEX('EV01'!$I$4:$I$31,MATCH(1,($F83='EV01'!$D$4:$D$31)*($J83='EV01'!$H$4:$H$31),0)))</f>
        <v>56000</v>
      </c>
      <c r="N83" s="179">
        <f t="shared" si="0"/>
        <v>56000</v>
      </c>
      <c r="O83" s="179">
        <f t="shared" si="1"/>
        <v>56000</v>
      </c>
      <c r="P83" s="194"/>
    </row>
    <row r="84" spans="2:16" ht="21.6" customHeight="1">
      <c r="B84" s="194"/>
      <c r="C84" s="400"/>
      <c r="D84" s="178" t="s">
        <v>20</v>
      </c>
      <c r="E84" s="116" t="s">
        <v>524</v>
      </c>
      <c r="F84" s="116" t="s">
        <v>277</v>
      </c>
      <c r="G84" s="116" t="s">
        <v>269</v>
      </c>
      <c r="H84" s="116" t="s">
        <v>269</v>
      </c>
      <c r="I84" s="116" t="s">
        <v>269</v>
      </c>
      <c r="J84" s="169" t="str">
        <f>$C$16</f>
        <v>Eastern</v>
      </c>
      <c r="K84" s="176" t="s">
        <v>501</v>
      </c>
      <c r="L84" s="116" t="s">
        <v>355</v>
      </c>
      <c r="M84" s="179" cm="1">
        <f t="array" ref="M84">IFERROR(INDEX('EV01'!$I$4:$I$31,MATCH(1,($F84='EV01'!$C$4:$C$31)*($J84='EV01'!$H$4:$H$31),0)),INDEX('EV01'!$I$4:$I$31,MATCH(1,($F84='EV01'!$D$4:$D$31)*($J84='EV01'!$H$4:$H$31),0)))</f>
        <v>56000</v>
      </c>
      <c r="N84" s="179">
        <f t="shared" si="0"/>
        <v>56000</v>
      </c>
      <c r="O84" s="179">
        <f t="shared" si="1"/>
        <v>56000</v>
      </c>
      <c r="P84" s="194"/>
    </row>
    <row r="85" spans="2:16">
      <c r="B85" s="194"/>
      <c r="C85" s="398" t="s">
        <v>21</v>
      </c>
      <c r="D85" s="211" t="s">
        <v>21</v>
      </c>
      <c r="E85" s="116" t="s">
        <v>526</v>
      </c>
      <c r="F85" s="116" t="s">
        <v>244</v>
      </c>
      <c r="G85" s="116" t="s">
        <v>269</v>
      </c>
      <c r="H85" s="116" t="s">
        <v>269</v>
      </c>
      <c r="I85" s="116" t="s">
        <v>269</v>
      </c>
      <c r="J85" s="176" t="s">
        <v>130</v>
      </c>
      <c r="K85" s="176" t="s">
        <v>501</v>
      </c>
      <c r="L85" s="116" t="s">
        <v>403</v>
      </c>
      <c r="M85" s="219">
        <f>'EV02'!H4</f>
        <v>0.312</v>
      </c>
      <c r="N85" s="219">
        <f>'EV02'!I4</f>
        <v>0.2</v>
      </c>
      <c r="O85" s="219">
        <f>'EV02'!J4</f>
        <v>0.5</v>
      </c>
      <c r="P85" s="194"/>
    </row>
    <row r="86" spans="2:16">
      <c r="B86" s="194"/>
      <c r="C86" s="400"/>
      <c r="D86" s="211" t="s">
        <v>21</v>
      </c>
      <c r="E86" s="116" t="s">
        <v>526</v>
      </c>
      <c r="F86" s="116" t="s">
        <v>277</v>
      </c>
      <c r="G86" s="116" t="s">
        <v>269</v>
      </c>
      <c r="H86" s="116" t="s">
        <v>269</v>
      </c>
      <c r="I86" s="116" t="s">
        <v>269</v>
      </c>
      <c r="J86" s="176" t="s">
        <v>130</v>
      </c>
      <c r="K86" s="176" t="s">
        <v>501</v>
      </c>
      <c r="L86" s="116" t="s">
        <v>403</v>
      </c>
      <c r="M86" s="219">
        <f>'EV02'!H5</f>
        <v>0.4</v>
      </c>
      <c r="N86" s="219">
        <f>'EV02'!I5</f>
        <v>0.3</v>
      </c>
      <c r="O86" s="219">
        <f>'EV02'!J5</f>
        <v>0.5</v>
      </c>
      <c r="P86" s="194"/>
    </row>
    <row r="87" spans="2:16">
      <c r="B87" s="194"/>
      <c r="C87" s="398" t="s">
        <v>22</v>
      </c>
      <c r="D87" s="211" t="s">
        <v>22</v>
      </c>
      <c r="E87" s="116" t="s">
        <v>262</v>
      </c>
      <c r="F87" s="116" t="s">
        <v>225</v>
      </c>
      <c r="G87" s="116" t="s">
        <v>269</v>
      </c>
      <c r="H87" s="116" t="s">
        <v>269</v>
      </c>
      <c r="I87" s="116" t="s">
        <v>269</v>
      </c>
      <c r="J87" s="176" t="s">
        <v>130</v>
      </c>
      <c r="K87" s="169">
        <f>$C$22</f>
        <v>2030</v>
      </c>
      <c r="L87" s="116" t="s">
        <v>527</v>
      </c>
      <c r="M87" s="179" cm="1">
        <f t="array" ref="M87">IFERROR(INDEX('EV03'!$J$5:$J$84,MATCH(1,($F87='EV03'!$C$5:$C$84) * ($K87='EV03'!$I$5:$I$84),0)),INDEX('EV03'!$J$5:$J$84,MATCH(1,($F87='EV03'!$D$5:$D$84) * ($K87='EV03'!$I$5:$I$84),0)))</f>
        <v>0.1943</v>
      </c>
      <c r="N87" s="179">
        <f>M87</f>
        <v>0.1943</v>
      </c>
      <c r="O87" s="179">
        <f>M87</f>
        <v>0.1943</v>
      </c>
      <c r="P87" s="194"/>
    </row>
    <row r="88" spans="2:16">
      <c r="B88" s="194"/>
      <c r="C88" s="399"/>
      <c r="D88" s="211" t="s">
        <v>22</v>
      </c>
      <c r="E88" s="116" t="s">
        <v>262</v>
      </c>
      <c r="F88" s="116" t="s">
        <v>244</v>
      </c>
      <c r="G88" s="116" t="s">
        <v>269</v>
      </c>
      <c r="H88" s="116" t="s">
        <v>269</v>
      </c>
      <c r="I88" s="116" t="s">
        <v>269</v>
      </c>
      <c r="J88" s="176" t="s">
        <v>130</v>
      </c>
      <c r="K88" s="169">
        <f>$C$22</f>
        <v>2030</v>
      </c>
      <c r="L88" s="116" t="s">
        <v>527</v>
      </c>
      <c r="M88" s="179" cm="1">
        <f t="array" ref="M88">IFERROR(INDEX('EV03'!$J$5:$J$84,MATCH(1,($F88='EV03'!$C$5:$C$84) * ($K88='EV03'!$I$5:$I$84),0)),INDEX('EV03'!$J$5:$J$84,MATCH(1,($F88='EV03'!$D$5:$D$84) * ($K88='EV03'!$I$5:$I$84),0)))</f>
        <v>0.1812</v>
      </c>
      <c r="N88" s="179">
        <f t="shared" ref="N88:N90" si="2">M88</f>
        <v>0.1812</v>
      </c>
      <c r="O88" s="179">
        <f t="shared" ref="O88:O90" si="3">M88</f>
        <v>0.1812</v>
      </c>
      <c r="P88" s="194"/>
    </row>
    <row r="89" spans="2:16">
      <c r="B89" s="194"/>
      <c r="C89" s="399"/>
      <c r="D89" s="211" t="s">
        <v>22</v>
      </c>
      <c r="E89" s="116" t="s">
        <v>262</v>
      </c>
      <c r="F89" s="116" t="s">
        <v>263</v>
      </c>
      <c r="G89" s="116" t="s">
        <v>269</v>
      </c>
      <c r="H89" s="116" t="s">
        <v>269</v>
      </c>
      <c r="I89" s="116" t="s">
        <v>269</v>
      </c>
      <c r="J89" s="176" t="s">
        <v>130</v>
      </c>
      <c r="K89" s="169">
        <f>$C$22</f>
        <v>2030</v>
      </c>
      <c r="L89" s="116" t="s">
        <v>527</v>
      </c>
      <c r="M89" s="179" cm="1">
        <f t="array" ref="M89">IFERROR(INDEX('EV03'!$J$5:$J$84,MATCH(1,($F89='EV03'!$C$5:$C$84) * ($K89='EV03'!$I$5:$I$84),0)),INDEX('EV03'!$J$5:$J$84,MATCH(1,($F89='EV03'!$D$5:$D$84) * ($K89='EV03'!$I$5:$I$84),0)))</f>
        <v>1.1855</v>
      </c>
      <c r="N89" s="179">
        <f t="shared" si="2"/>
        <v>1.1855</v>
      </c>
      <c r="O89" s="179">
        <f t="shared" si="3"/>
        <v>1.1855</v>
      </c>
      <c r="P89" s="194"/>
    </row>
    <row r="90" spans="2:16">
      <c r="B90" s="194"/>
      <c r="C90" s="400"/>
      <c r="D90" s="211" t="s">
        <v>22</v>
      </c>
      <c r="E90" s="116" t="s">
        <v>262</v>
      </c>
      <c r="F90" s="116" t="s">
        <v>277</v>
      </c>
      <c r="G90" s="116" t="s">
        <v>269</v>
      </c>
      <c r="H90" s="116" t="s">
        <v>269</v>
      </c>
      <c r="I90" s="116" t="s">
        <v>269</v>
      </c>
      <c r="J90" s="176" t="s">
        <v>130</v>
      </c>
      <c r="K90" s="169">
        <f>$C$22</f>
        <v>2030</v>
      </c>
      <c r="L90" s="116" t="s">
        <v>527</v>
      </c>
      <c r="M90" s="179" cm="1">
        <f t="array" ref="M90">IFERROR(INDEX('EV03'!$J$5:$J$84,MATCH(1,($F90='EV03'!$C$5:$C$84) * ($K90='EV03'!$I$5:$I$84),0)),INDEX('EV03'!$J$5:$J$84,MATCH(1,($F90='EV03'!$D$5:$D$84) * ($K90='EV03'!$I$5:$I$84),0)))</f>
        <v>1.1855</v>
      </c>
      <c r="N90" s="179">
        <f t="shared" si="2"/>
        <v>1.1855</v>
      </c>
      <c r="O90" s="179">
        <f t="shared" si="3"/>
        <v>1.1855</v>
      </c>
      <c r="P90" s="194"/>
    </row>
    <row r="91" spans="2:16">
      <c r="B91" s="194"/>
      <c r="C91" s="398" t="s">
        <v>23</v>
      </c>
      <c r="D91" s="211" t="s">
        <v>23</v>
      </c>
      <c r="E91" s="116" t="s">
        <v>528</v>
      </c>
      <c r="F91" s="116" t="s">
        <v>225</v>
      </c>
      <c r="G91" s="116" t="s">
        <v>226</v>
      </c>
      <c r="H91" s="116" t="s">
        <v>269</v>
      </c>
      <c r="I91" s="116" t="s">
        <v>269</v>
      </c>
      <c r="J91" s="176" t="s">
        <v>130</v>
      </c>
      <c r="K91" s="176" t="s">
        <v>501</v>
      </c>
      <c r="L91" s="116" t="s">
        <v>403</v>
      </c>
      <c r="M91" s="219">
        <f>'EV04'!H4</f>
        <v>0.71</v>
      </c>
      <c r="N91" s="219">
        <f>'EV04'!I4</f>
        <v>0.63</v>
      </c>
      <c r="O91" s="219">
        <f>'EV04'!J4</f>
        <v>0.79</v>
      </c>
      <c r="P91" s="194"/>
    </row>
    <row r="92" spans="2:16">
      <c r="B92" s="194"/>
      <c r="C92" s="399"/>
      <c r="D92" s="211" t="s">
        <v>23</v>
      </c>
      <c r="E92" s="116" t="s">
        <v>528</v>
      </c>
      <c r="F92" s="116" t="s">
        <v>225</v>
      </c>
      <c r="G92" s="116" t="s">
        <v>245</v>
      </c>
      <c r="H92" s="116" t="s">
        <v>269</v>
      </c>
      <c r="I92" s="116" t="s">
        <v>269</v>
      </c>
      <c r="J92" s="176" t="s">
        <v>130</v>
      </c>
      <c r="K92" s="176" t="s">
        <v>501</v>
      </c>
      <c r="L92" s="116" t="s">
        <v>403</v>
      </c>
      <c r="M92" s="219">
        <f>'EV04'!H5</f>
        <v>0.13700000000000001</v>
      </c>
      <c r="N92" s="219">
        <f>'EV04'!I5</f>
        <v>0.11</v>
      </c>
      <c r="O92" s="219">
        <f>'EV04'!J5</f>
        <v>0.16</v>
      </c>
      <c r="P92" s="194"/>
    </row>
    <row r="93" spans="2:16">
      <c r="B93" s="194"/>
      <c r="C93" s="399"/>
      <c r="D93" s="211" t="s">
        <v>23</v>
      </c>
      <c r="E93" s="116" t="s">
        <v>528</v>
      </c>
      <c r="F93" s="116" t="s">
        <v>225</v>
      </c>
      <c r="G93" s="116" t="s">
        <v>265</v>
      </c>
      <c r="H93" s="116" t="s">
        <v>269</v>
      </c>
      <c r="I93" s="116" t="s">
        <v>269</v>
      </c>
      <c r="J93" s="176" t="s">
        <v>130</v>
      </c>
      <c r="K93" s="176" t="s">
        <v>501</v>
      </c>
      <c r="L93" s="116" t="s">
        <v>403</v>
      </c>
      <c r="M93" s="219">
        <f>'EV04'!H6</f>
        <v>5.2999999999999999E-2</v>
      </c>
      <c r="N93" s="219">
        <f>'EV04'!I6</f>
        <v>0.01</v>
      </c>
      <c r="O93" s="219">
        <f>'EV04'!J6</f>
        <v>0.1</v>
      </c>
      <c r="P93" s="194"/>
    </row>
    <row r="94" spans="2:16">
      <c r="B94" s="194"/>
      <c r="C94" s="399"/>
      <c r="D94" s="211" t="s">
        <v>23</v>
      </c>
      <c r="E94" s="116" t="s">
        <v>528</v>
      </c>
      <c r="F94" s="116" t="s">
        <v>225</v>
      </c>
      <c r="G94" s="116" t="s">
        <v>279</v>
      </c>
      <c r="H94" s="116" t="s">
        <v>269</v>
      </c>
      <c r="I94" s="116" t="s">
        <v>269</v>
      </c>
      <c r="J94" s="176" t="s">
        <v>130</v>
      </c>
      <c r="K94" s="176" t="s">
        <v>501</v>
      </c>
      <c r="L94" s="116" t="s">
        <v>403</v>
      </c>
      <c r="M94" s="219">
        <f>'EV04'!H7</f>
        <v>0.1</v>
      </c>
      <c r="N94" s="219">
        <f>'EV04'!I7</f>
        <v>0.03</v>
      </c>
      <c r="O94" s="219">
        <f>'EV04'!J7</f>
        <v>0.17</v>
      </c>
      <c r="P94" s="194"/>
    </row>
    <row r="95" spans="2:16">
      <c r="B95" s="194"/>
      <c r="C95" s="399"/>
      <c r="D95" s="211" t="s">
        <v>23</v>
      </c>
      <c r="E95" s="116" t="s">
        <v>528</v>
      </c>
      <c r="F95" s="116" t="s">
        <v>225</v>
      </c>
      <c r="G95" s="116" t="s">
        <v>289</v>
      </c>
      <c r="H95" s="116" t="s">
        <v>269</v>
      </c>
      <c r="I95" s="116" t="s">
        <v>269</v>
      </c>
      <c r="J95" s="176" t="s">
        <v>130</v>
      </c>
      <c r="K95" s="176" t="s">
        <v>501</v>
      </c>
      <c r="L95" s="116" t="s">
        <v>403</v>
      </c>
      <c r="M95" s="219">
        <f>'EV04'!H8</f>
        <v>0</v>
      </c>
      <c r="N95" s="219">
        <f>'EV04'!I8</f>
        <v>0</v>
      </c>
      <c r="O95" s="219">
        <f>'EV04'!J8</f>
        <v>0</v>
      </c>
      <c r="P95" s="194"/>
    </row>
    <row r="96" spans="2:16">
      <c r="B96" s="194"/>
      <c r="C96" s="399"/>
      <c r="D96" s="211" t="s">
        <v>23</v>
      </c>
      <c r="E96" s="116" t="s">
        <v>528</v>
      </c>
      <c r="F96" s="116" t="s">
        <v>244</v>
      </c>
      <c r="G96" s="116" t="s">
        <v>226</v>
      </c>
      <c r="H96" s="116" t="s">
        <v>269</v>
      </c>
      <c r="I96" s="116" t="s">
        <v>269</v>
      </c>
      <c r="J96" s="176" t="s">
        <v>130</v>
      </c>
      <c r="K96" s="176" t="s">
        <v>501</v>
      </c>
      <c r="L96" s="116" t="s">
        <v>403</v>
      </c>
      <c r="M96" s="219">
        <f>'EV04'!H9</f>
        <v>0.78300000000000003</v>
      </c>
      <c r="N96" s="219">
        <f>'EV04'!I9</f>
        <v>0.71</v>
      </c>
      <c r="O96" s="219">
        <f>'EV04'!J9</f>
        <v>0.86</v>
      </c>
      <c r="P96" s="194"/>
    </row>
    <row r="97" spans="2:16">
      <c r="B97" s="194"/>
      <c r="C97" s="399"/>
      <c r="D97" s="211" t="s">
        <v>23</v>
      </c>
      <c r="E97" s="116" t="s">
        <v>528</v>
      </c>
      <c r="F97" s="116" t="s">
        <v>244</v>
      </c>
      <c r="G97" s="116" t="s">
        <v>245</v>
      </c>
      <c r="H97" s="116" t="s">
        <v>269</v>
      </c>
      <c r="I97" s="116" t="s">
        <v>269</v>
      </c>
      <c r="J97" s="176" t="s">
        <v>130</v>
      </c>
      <c r="K97" s="176" t="s">
        <v>501</v>
      </c>
      <c r="L97" s="116" t="s">
        <v>403</v>
      </c>
      <c r="M97" s="219">
        <f>'EV04'!H10</f>
        <v>0.157</v>
      </c>
      <c r="N97" s="219">
        <f>'EV04'!I10</f>
        <v>0.12</v>
      </c>
      <c r="O97" s="219">
        <f>'EV04'!J10</f>
        <v>0.2</v>
      </c>
      <c r="P97" s="194"/>
    </row>
    <row r="98" spans="2:16">
      <c r="B98" s="194"/>
      <c r="C98" s="399"/>
      <c r="D98" s="211" t="s">
        <v>23</v>
      </c>
      <c r="E98" s="116" t="s">
        <v>528</v>
      </c>
      <c r="F98" s="116" t="s">
        <v>244</v>
      </c>
      <c r="G98" s="116" t="s">
        <v>265</v>
      </c>
      <c r="H98" s="116" t="s">
        <v>269</v>
      </c>
      <c r="I98" s="116" t="s">
        <v>269</v>
      </c>
      <c r="J98" s="176" t="s">
        <v>130</v>
      </c>
      <c r="K98" s="176" t="s">
        <v>501</v>
      </c>
      <c r="L98" s="116" t="s">
        <v>403</v>
      </c>
      <c r="M98" s="219">
        <f>'EV04'!H11</f>
        <v>0.06</v>
      </c>
      <c r="N98" s="219">
        <f>'EV04'!I11</f>
        <v>0</v>
      </c>
      <c r="O98" s="219">
        <f>'EV04'!J11</f>
        <v>0.17</v>
      </c>
      <c r="P98" s="194"/>
    </row>
    <row r="99" spans="2:16">
      <c r="B99" s="194"/>
      <c r="C99" s="399"/>
      <c r="D99" s="211" t="s">
        <v>23</v>
      </c>
      <c r="E99" s="116" t="s">
        <v>528</v>
      </c>
      <c r="F99" s="116" t="s">
        <v>244</v>
      </c>
      <c r="G99" s="116" t="s">
        <v>279</v>
      </c>
      <c r="H99" s="116" t="s">
        <v>269</v>
      </c>
      <c r="I99" s="116" t="s">
        <v>269</v>
      </c>
      <c r="J99" s="176" t="s">
        <v>130</v>
      </c>
      <c r="K99" s="176" t="s">
        <v>501</v>
      </c>
      <c r="L99" s="116" t="s">
        <v>403</v>
      </c>
      <c r="M99" s="219">
        <f>'EV04'!H12</f>
        <v>0</v>
      </c>
      <c r="N99" s="219">
        <f>'EV04'!I12</f>
        <v>0</v>
      </c>
      <c r="O99" s="219">
        <f>'EV04'!J12</f>
        <v>0</v>
      </c>
      <c r="P99" s="194"/>
    </row>
    <row r="100" spans="2:16">
      <c r="B100" s="194"/>
      <c r="C100" s="399"/>
      <c r="D100" s="211" t="s">
        <v>23</v>
      </c>
      <c r="E100" s="116" t="s">
        <v>528</v>
      </c>
      <c r="F100" s="116" t="s">
        <v>244</v>
      </c>
      <c r="G100" s="116" t="s">
        <v>289</v>
      </c>
      <c r="H100" s="116" t="s">
        <v>269</v>
      </c>
      <c r="I100" s="116" t="s">
        <v>269</v>
      </c>
      <c r="J100" s="176" t="s">
        <v>130</v>
      </c>
      <c r="K100" s="176" t="s">
        <v>501</v>
      </c>
      <c r="L100" s="116" t="s">
        <v>403</v>
      </c>
      <c r="M100" s="219">
        <f>'EV04'!H13</f>
        <v>0</v>
      </c>
      <c r="N100" s="219">
        <f>'EV04'!I13</f>
        <v>0</v>
      </c>
      <c r="O100" s="219">
        <f>'EV04'!J13</f>
        <v>0</v>
      </c>
      <c r="P100" s="194"/>
    </row>
    <row r="101" spans="2:16">
      <c r="B101" s="194"/>
      <c r="C101" s="399"/>
      <c r="D101" s="211" t="s">
        <v>23</v>
      </c>
      <c r="E101" s="116" t="s">
        <v>528</v>
      </c>
      <c r="F101" s="116" t="s">
        <v>263</v>
      </c>
      <c r="G101" s="116" t="s">
        <v>226</v>
      </c>
      <c r="H101" s="116" t="s">
        <v>269</v>
      </c>
      <c r="I101" s="116" t="s">
        <v>269</v>
      </c>
      <c r="J101" s="176" t="s">
        <v>130</v>
      </c>
      <c r="K101" s="176" t="s">
        <v>501</v>
      </c>
      <c r="L101" s="116" t="s">
        <v>403</v>
      </c>
      <c r="M101" s="219">
        <f>'EV04'!H14</f>
        <v>0</v>
      </c>
      <c r="N101" s="219">
        <f>'EV04'!I14</f>
        <v>0</v>
      </c>
      <c r="O101" s="219">
        <f>'EV04'!J14</f>
        <v>0</v>
      </c>
      <c r="P101" s="194"/>
    </row>
    <row r="102" spans="2:16">
      <c r="B102" s="194"/>
      <c r="C102" s="399"/>
      <c r="D102" s="211" t="s">
        <v>23</v>
      </c>
      <c r="E102" s="116" t="s">
        <v>528</v>
      </c>
      <c r="F102" s="116" t="s">
        <v>263</v>
      </c>
      <c r="G102" s="116" t="s">
        <v>245</v>
      </c>
      <c r="H102" s="116" t="s">
        <v>269</v>
      </c>
      <c r="I102" s="116" t="s">
        <v>269</v>
      </c>
      <c r="J102" s="176" t="s">
        <v>130</v>
      </c>
      <c r="K102" s="176" t="s">
        <v>501</v>
      </c>
      <c r="L102" s="116" t="s">
        <v>403</v>
      </c>
      <c r="M102" s="219">
        <f>'EV04'!H15</f>
        <v>0</v>
      </c>
      <c r="N102" s="219">
        <f>'EV04'!I15</f>
        <v>0</v>
      </c>
      <c r="O102" s="219">
        <f>'EV04'!J15</f>
        <v>0</v>
      </c>
      <c r="P102" s="194"/>
    </row>
    <row r="103" spans="2:16">
      <c r="B103" s="194"/>
      <c r="C103" s="399"/>
      <c r="D103" s="211" t="s">
        <v>23</v>
      </c>
      <c r="E103" s="116" t="s">
        <v>528</v>
      </c>
      <c r="F103" s="116" t="s">
        <v>263</v>
      </c>
      <c r="G103" s="116" t="s">
        <v>265</v>
      </c>
      <c r="H103" s="116" t="s">
        <v>269</v>
      </c>
      <c r="I103" s="116" t="s">
        <v>269</v>
      </c>
      <c r="J103" s="176" t="s">
        <v>130</v>
      </c>
      <c r="K103" s="176" t="s">
        <v>501</v>
      </c>
      <c r="L103" s="116" t="s">
        <v>403</v>
      </c>
      <c r="M103" s="219">
        <f>'EV04'!H16</f>
        <v>0</v>
      </c>
      <c r="N103" s="219">
        <f>'EV04'!I16</f>
        <v>0</v>
      </c>
      <c r="O103" s="219">
        <f>'EV04'!J16</f>
        <v>0</v>
      </c>
      <c r="P103" s="194"/>
    </row>
    <row r="104" spans="2:16">
      <c r="B104" s="194"/>
      <c r="C104" s="399"/>
      <c r="D104" s="211" t="s">
        <v>23</v>
      </c>
      <c r="E104" s="116" t="s">
        <v>528</v>
      </c>
      <c r="F104" s="116" t="s">
        <v>263</v>
      </c>
      <c r="G104" s="116" t="s">
        <v>279</v>
      </c>
      <c r="H104" s="116" t="s">
        <v>269</v>
      </c>
      <c r="I104" s="116" t="s">
        <v>269</v>
      </c>
      <c r="J104" s="176" t="s">
        <v>130</v>
      </c>
      <c r="K104" s="176" t="s">
        <v>501</v>
      </c>
      <c r="L104" s="116" t="s">
        <v>403</v>
      </c>
      <c r="M104" s="219">
        <f>'EV04'!H17</f>
        <v>0.1</v>
      </c>
      <c r="N104" s="219">
        <f>'EV04'!I17</f>
        <v>0.1</v>
      </c>
      <c r="O104" s="219">
        <f>'EV04'!J17</f>
        <v>0.1</v>
      </c>
      <c r="P104" s="194"/>
    </row>
    <row r="105" spans="2:16">
      <c r="B105" s="194"/>
      <c r="C105" s="399"/>
      <c r="D105" s="211" t="s">
        <v>23</v>
      </c>
      <c r="E105" s="116" t="s">
        <v>528</v>
      </c>
      <c r="F105" s="116" t="s">
        <v>263</v>
      </c>
      <c r="G105" s="116" t="s">
        <v>289</v>
      </c>
      <c r="H105" s="116" t="s">
        <v>269</v>
      </c>
      <c r="I105" s="116" t="s">
        <v>269</v>
      </c>
      <c r="J105" s="176" t="s">
        <v>130</v>
      </c>
      <c r="K105" s="176" t="s">
        <v>501</v>
      </c>
      <c r="L105" s="116" t="s">
        <v>403</v>
      </c>
      <c r="M105" s="219">
        <f>'EV04'!H18</f>
        <v>0.9</v>
      </c>
      <c r="N105" s="219">
        <f>'EV04'!I18</f>
        <v>0.9</v>
      </c>
      <c r="O105" s="219">
        <f>'EV04'!J18</f>
        <v>0.9</v>
      </c>
      <c r="P105" s="194"/>
    </row>
    <row r="106" spans="2:16">
      <c r="B106" s="194"/>
      <c r="C106" s="399"/>
      <c r="D106" s="211" t="s">
        <v>23</v>
      </c>
      <c r="E106" s="116" t="s">
        <v>528</v>
      </c>
      <c r="F106" s="116" t="s">
        <v>277</v>
      </c>
      <c r="G106" s="116" t="s">
        <v>226</v>
      </c>
      <c r="H106" s="116" t="s">
        <v>269</v>
      </c>
      <c r="I106" s="116" t="s">
        <v>269</v>
      </c>
      <c r="J106" s="176" t="s">
        <v>130</v>
      </c>
      <c r="K106" s="176" t="s">
        <v>501</v>
      </c>
      <c r="L106" s="116" t="s">
        <v>403</v>
      </c>
      <c r="M106" s="219">
        <f>'EV04'!H19</f>
        <v>0</v>
      </c>
      <c r="N106" s="219">
        <f>'EV04'!I19</f>
        <v>0</v>
      </c>
      <c r="O106" s="219">
        <f>'EV04'!J19</f>
        <v>0</v>
      </c>
      <c r="P106" s="194"/>
    </row>
    <row r="107" spans="2:16">
      <c r="B107" s="194"/>
      <c r="C107" s="399"/>
      <c r="D107" s="211" t="s">
        <v>23</v>
      </c>
      <c r="E107" s="116" t="s">
        <v>528</v>
      </c>
      <c r="F107" s="116" t="s">
        <v>277</v>
      </c>
      <c r="G107" s="116" t="s">
        <v>245</v>
      </c>
      <c r="H107" s="116" t="s">
        <v>269</v>
      </c>
      <c r="I107" s="116" t="s">
        <v>269</v>
      </c>
      <c r="J107" s="176" t="s">
        <v>130</v>
      </c>
      <c r="K107" s="176" t="s">
        <v>501</v>
      </c>
      <c r="L107" s="116" t="s">
        <v>403</v>
      </c>
      <c r="M107" s="219">
        <f>'EV04'!H20</f>
        <v>0</v>
      </c>
      <c r="N107" s="219">
        <f>'EV04'!I20</f>
        <v>0</v>
      </c>
      <c r="O107" s="219">
        <f>'EV04'!J20</f>
        <v>0</v>
      </c>
      <c r="P107" s="194"/>
    </row>
    <row r="108" spans="2:16">
      <c r="B108" s="194"/>
      <c r="C108" s="399"/>
      <c r="D108" s="211" t="s">
        <v>23</v>
      </c>
      <c r="E108" s="116" t="s">
        <v>528</v>
      </c>
      <c r="F108" s="116" t="s">
        <v>277</v>
      </c>
      <c r="G108" s="116" t="s">
        <v>265</v>
      </c>
      <c r="H108" s="116" t="s">
        <v>269</v>
      </c>
      <c r="I108" s="116" t="s">
        <v>269</v>
      </c>
      <c r="J108" s="176" t="s">
        <v>130</v>
      </c>
      <c r="K108" s="176" t="s">
        <v>501</v>
      </c>
      <c r="L108" s="116" t="s">
        <v>403</v>
      </c>
      <c r="M108" s="219">
        <f>'EV04'!H21</f>
        <v>0</v>
      </c>
      <c r="N108" s="219">
        <f>'EV04'!I21</f>
        <v>0</v>
      </c>
      <c r="O108" s="219">
        <f>'EV04'!J21</f>
        <v>0</v>
      </c>
      <c r="P108" s="194"/>
    </row>
    <row r="109" spans="2:16">
      <c r="B109" s="194"/>
      <c r="C109" s="399"/>
      <c r="D109" s="211" t="s">
        <v>23</v>
      </c>
      <c r="E109" s="116" t="s">
        <v>528</v>
      </c>
      <c r="F109" s="116" t="s">
        <v>277</v>
      </c>
      <c r="G109" s="116" t="s">
        <v>279</v>
      </c>
      <c r="H109" s="116" t="s">
        <v>269</v>
      </c>
      <c r="I109" s="116" t="s">
        <v>269</v>
      </c>
      <c r="J109" s="176" t="s">
        <v>130</v>
      </c>
      <c r="K109" s="176" t="s">
        <v>501</v>
      </c>
      <c r="L109" s="116" t="s">
        <v>403</v>
      </c>
      <c r="M109" s="219">
        <f>'EV04'!H22</f>
        <v>0</v>
      </c>
      <c r="N109" s="219">
        <f>'EV04'!I22</f>
        <v>0</v>
      </c>
      <c r="O109" s="219">
        <f>'EV04'!J22</f>
        <v>0</v>
      </c>
      <c r="P109" s="194"/>
    </row>
    <row r="110" spans="2:16">
      <c r="B110" s="194"/>
      <c r="C110" s="400"/>
      <c r="D110" s="211" t="s">
        <v>23</v>
      </c>
      <c r="E110" s="116" t="s">
        <v>528</v>
      </c>
      <c r="F110" s="116" t="s">
        <v>277</v>
      </c>
      <c r="G110" s="116" t="s">
        <v>289</v>
      </c>
      <c r="H110" s="116" t="s">
        <v>269</v>
      </c>
      <c r="I110" s="116" t="s">
        <v>269</v>
      </c>
      <c r="J110" s="176" t="s">
        <v>130</v>
      </c>
      <c r="K110" s="176" t="s">
        <v>501</v>
      </c>
      <c r="L110" s="116" t="s">
        <v>403</v>
      </c>
      <c r="M110" s="219">
        <f>'EV04'!H23</f>
        <v>1</v>
      </c>
      <c r="N110" s="219">
        <f>'EV04'!I23</f>
        <v>1</v>
      </c>
      <c r="O110" s="219">
        <f>'EV04'!J23</f>
        <v>1</v>
      </c>
      <c r="P110" s="194"/>
    </row>
    <row r="111" spans="2:16">
      <c r="B111" s="194"/>
      <c r="C111" s="398" t="s">
        <v>24</v>
      </c>
      <c r="D111" s="211" t="s">
        <v>24</v>
      </c>
      <c r="E111" s="116" t="s">
        <v>418</v>
      </c>
      <c r="F111" s="116" t="s">
        <v>267</v>
      </c>
      <c r="G111" s="116" t="s">
        <v>226</v>
      </c>
      <c r="H111" s="116" t="s">
        <v>269</v>
      </c>
      <c r="I111" s="116" t="s">
        <v>228</v>
      </c>
      <c r="J111" s="176" t="s">
        <v>130</v>
      </c>
      <c r="K111" s="169">
        <f>$C$22</f>
        <v>2030</v>
      </c>
      <c r="L111" s="116" t="s">
        <v>403</v>
      </c>
      <c r="M111" s="219" cm="1">
        <f t="array" ref="M111">IF(EV_smart_input="OFF",1,INDEX('EV05'!$I$5:$I$57,MATCH(1, ($I111='EV05'!$F$5:$F$57)*($K111='EV05'!$H$5:$H$57),0)))</f>
        <v>0.25</v>
      </c>
      <c r="N111" s="219">
        <f t="shared" ref="N111:N127" si="4">M111</f>
        <v>0.25</v>
      </c>
      <c r="O111" s="219">
        <f>M111</f>
        <v>0.25</v>
      </c>
      <c r="P111" s="194"/>
    </row>
    <row r="112" spans="2:16">
      <c r="B112" s="194"/>
      <c r="C112" s="400"/>
      <c r="D112" s="211" t="s">
        <v>24</v>
      </c>
      <c r="E112" s="116" t="s">
        <v>418</v>
      </c>
      <c r="F112" s="116" t="s">
        <v>267</v>
      </c>
      <c r="G112" s="116" t="s">
        <v>226</v>
      </c>
      <c r="H112" s="116" t="s">
        <v>269</v>
      </c>
      <c r="I112" s="116" t="s">
        <v>247</v>
      </c>
      <c r="J112" s="176" t="s">
        <v>130</v>
      </c>
      <c r="K112" s="169">
        <f>$C$22</f>
        <v>2030</v>
      </c>
      <c r="L112" s="116" t="s">
        <v>403</v>
      </c>
      <c r="M112" s="219" cm="1">
        <f t="array" ref="M112">IF(EV_smart_input="OFF",0,INDEX('EV05'!$I$5:$I$57,MATCH(1, ($I112='EV05'!$F$5:$F$57)*($K112='EV05'!$H$5:$H$57),0)))</f>
        <v>0.75</v>
      </c>
      <c r="N112" s="219">
        <f t="shared" si="4"/>
        <v>0.75</v>
      </c>
      <c r="O112" s="219">
        <f>M112</f>
        <v>0.75</v>
      </c>
      <c r="P112" s="194"/>
    </row>
    <row r="113" spans="2:16">
      <c r="B113" s="194"/>
      <c r="C113" s="398" t="s">
        <v>27</v>
      </c>
      <c r="D113" s="211" t="s">
        <v>27</v>
      </c>
      <c r="E113" s="176" t="s">
        <v>306</v>
      </c>
      <c r="F113" s="116" t="s">
        <v>267</v>
      </c>
      <c r="G113" s="116" t="s">
        <v>226</v>
      </c>
      <c r="H113" s="116" t="s">
        <v>269</v>
      </c>
      <c r="I113" s="116" t="s">
        <v>269</v>
      </c>
      <c r="J113" s="176" t="s">
        <v>130</v>
      </c>
      <c r="K113" s="177" t="s">
        <v>501</v>
      </c>
      <c r="L113" s="176" t="s">
        <v>502</v>
      </c>
      <c r="M113" s="179">
        <f>'EV08'!H4</f>
        <v>1533</v>
      </c>
      <c r="N113" s="179">
        <f t="shared" si="4"/>
        <v>1533</v>
      </c>
      <c r="O113" s="179">
        <f t="shared" ref="O113:O127" si="5">N113</f>
        <v>1533</v>
      </c>
      <c r="P113" s="194"/>
    </row>
    <row r="114" spans="2:16">
      <c r="B114" s="194"/>
      <c r="C114" s="403"/>
      <c r="D114" s="211" t="s">
        <v>27</v>
      </c>
      <c r="E114" s="176" t="s">
        <v>306</v>
      </c>
      <c r="F114" s="116" t="s">
        <v>267</v>
      </c>
      <c r="G114" s="116" t="s">
        <v>245</v>
      </c>
      <c r="H114" s="116" t="s">
        <v>269</v>
      </c>
      <c r="I114" s="116" t="s">
        <v>269</v>
      </c>
      <c r="J114" s="176" t="s">
        <v>130</v>
      </c>
      <c r="K114" s="177" t="s">
        <v>501</v>
      </c>
      <c r="L114" s="176" t="s">
        <v>502</v>
      </c>
      <c r="M114" s="179">
        <f>'EV08'!H5</f>
        <v>691</v>
      </c>
      <c r="N114" s="179">
        <f t="shared" si="4"/>
        <v>691</v>
      </c>
      <c r="O114" s="179">
        <f t="shared" si="5"/>
        <v>691</v>
      </c>
      <c r="P114" s="194"/>
    </row>
    <row r="115" spans="2:16">
      <c r="B115" s="194"/>
      <c r="C115" s="403"/>
      <c r="D115" s="211" t="s">
        <v>27</v>
      </c>
      <c r="E115" s="176" t="s">
        <v>306</v>
      </c>
      <c r="F115" s="116" t="s">
        <v>267</v>
      </c>
      <c r="G115" s="116" t="s">
        <v>265</v>
      </c>
      <c r="H115" s="116" t="s">
        <v>269</v>
      </c>
      <c r="I115" s="116" t="s">
        <v>269</v>
      </c>
      <c r="J115" s="176" t="s">
        <v>130</v>
      </c>
      <c r="K115" s="177" t="s">
        <v>501</v>
      </c>
      <c r="L115" s="176" t="s">
        <v>502</v>
      </c>
      <c r="M115" s="179">
        <f>'EV08'!H6</f>
        <v>433</v>
      </c>
      <c r="N115" s="179">
        <f t="shared" si="4"/>
        <v>433</v>
      </c>
      <c r="O115" s="179">
        <f t="shared" si="5"/>
        <v>433</v>
      </c>
      <c r="P115" s="194"/>
    </row>
    <row r="116" spans="2:16">
      <c r="B116" s="194"/>
      <c r="C116" s="403"/>
      <c r="D116" s="211" t="s">
        <v>27</v>
      </c>
      <c r="E116" s="176" t="s">
        <v>306</v>
      </c>
      <c r="F116" s="116" t="s">
        <v>267</v>
      </c>
      <c r="G116" s="116" t="s">
        <v>279</v>
      </c>
      <c r="H116" s="116" t="s">
        <v>269</v>
      </c>
      <c r="I116" s="116" t="s">
        <v>269</v>
      </c>
      <c r="J116" s="176" t="s">
        <v>130</v>
      </c>
      <c r="K116" s="177" t="s">
        <v>501</v>
      </c>
      <c r="L116" s="176" t="s">
        <v>502</v>
      </c>
      <c r="M116" s="179">
        <f>'EV08'!H7</f>
        <v>1418</v>
      </c>
      <c r="N116" s="179">
        <f t="shared" si="4"/>
        <v>1418</v>
      </c>
      <c r="O116" s="179">
        <f t="shared" si="5"/>
        <v>1418</v>
      </c>
      <c r="P116" s="194"/>
    </row>
    <row r="117" spans="2:16">
      <c r="B117" s="194"/>
      <c r="C117" s="404"/>
      <c r="D117" s="211" t="s">
        <v>27</v>
      </c>
      <c r="E117" s="176" t="s">
        <v>306</v>
      </c>
      <c r="F117" s="116" t="s">
        <v>267</v>
      </c>
      <c r="G117" s="116" t="s">
        <v>289</v>
      </c>
      <c r="H117" s="116" t="s">
        <v>269</v>
      </c>
      <c r="I117" s="116" t="s">
        <v>269</v>
      </c>
      <c r="J117" s="176" t="s">
        <v>130</v>
      </c>
      <c r="K117" s="177" t="s">
        <v>501</v>
      </c>
      <c r="L117" s="176" t="s">
        <v>502</v>
      </c>
      <c r="M117" s="179">
        <f>'EV08'!H8</f>
        <v>1567</v>
      </c>
      <c r="N117" s="179">
        <f t="shared" si="4"/>
        <v>1567</v>
      </c>
      <c r="O117" s="179">
        <f t="shared" si="5"/>
        <v>1567</v>
      </c>
      <c r="P117" s="194"/>
    </row>
    <row r="118" spans="2:16">
      <c r="B118" s="194"/>
      <c r="C118" s="399" t="s">
        <v>26</v>
      </c>
      <c r="D118" s="211" t="s">
        <v>26</v>
      </c>
      <c r="E118" s="176" t="s">
        <v>590</v>
      </c>
      <c r="F118" s="116" t="s">
        <v>267</v>
      </c>
      <c r="G118" s="116" t="s">
        <v>226</v>
      </c>
      <c r="H118" s="116" t="s">
        <v>269</v>
      </c>
      <c r="I118" s="116" t="s">
        <v>269</v>
      </c>
      <c r="J118" s="176" t="s">
        <v>130</v>
      </c>
      <c r="K118" s="177" t="s">
        <v>501</v>
      </c>
      <c r="L118" s="36" t="s">
        <v>443</v>
      </c>
      <c r="M118" s="179" cm="1">
        <f t="array" ref="M118">_xlfn.IFNA(INDEX('EV07'!$J$4:$J$116,MATCH(1,($G118='EV07'!$D$4:$D$116)*(SUM(EV_number_BB1,EV_number_BB2)&lt;='EV07'!$I$4:$I$116),0)),1)</f>
        <v>1.95</v>
      </c>
      <c r="N118" s="179">
        <f t="shared" si="4"/>
        <v>1.95</v>
      </c>
      <c r="O118" s="179">
        <f t="shared" si="5"/>
        <v>1.95</v>
      </c>
      <c r="P118" s="194"/>
    </row>
    <row r="119" spans="2:16">
      <c r="B119" s="194"/>
      <c r="C119" s="399"/>
      <c r="D119" s="211" t="s">
        <v>26</v>
      </c>
      <c r="E119" s="176" t="s">
        <v>590</v>
      </c>
      <c r="F119" s="116" t="s">
        <v>267</v>
      </c>
      <c r="G119" s="116" t="s">
        <v>245</v>
      </c>
      <c r="H119" s="116" t="s">
        <v>269</v>
      </c>
      <c r="I119" s="116" t="s">
        <v>269</v>
      </c>
      <c r="J119" s="176" t="s">
        <v>130</v>
      </c>
      <c r="K119" s="177" t="s">
        <v>501</v>
      </c>
      <c r="L119" s="36" t="s">
        <v>443</v>
      </c>
      <c r="M119" s="179" cm="1">
        <f t="array" ref="M119">_xlfn.IFNA(INDEX('EV07'!$J$4:$J$116,MATCH(1,($G119='EV07'!$D$4:$D$116)*(SUM(EV_number_BB1,EV_number_BB2)&lt;='EV07'!$I$4:$I$116),0)),1)</f>
        <v>1.5529999999999999</v>
      </c>
      <c r="N119" s="179">
        <f t="shared" si="4"/>
        <v>1.5529999999999999</v>
      </c>
      <c r="O119" s="179">
        <f t="shared" si="5"/>
        <v>1.5529999999999999</v>
      </c>
      <c r="P119" s="194"/>
    </row>
    <row r="120" spans="2:16">
      <c r="B120" s="194"/>
      <c r="C120" s="399"/>
      <c r="D120" s="211" t="s">
        <v>26</v>
      </c>
      <c r="E120" s="176" t="s">
        <v>590</v>
      </c>
      <c r="F120" s="116" t="s">
        <v>267</v>
      </c>
      <c r="G120" s="116" t="s">
        <v>265</v>
      </c>
      <c r="H120" s="116" t="s">
        <v>269</v>
      </c>
      <c r="I120" s="116" t="s">
        <v>269</v>
      </c>
      <c r="J120" s="176" t="s">
        <v>130</v>
      </c>
      <c r="K120" s="177" t="s">
        <v>501</v>
      </c>
      <c r="L120" s="36" t="s">
        <v>443</v>
      </c>
      <c r="M120" s="179" cm="1">
        <f t="array" ref="M120">_xlfn.IFNA(INDEX('EV07'!$J$4:$J$116,MATCH(1,($G120='EV07'!$D$4:$D$116)*(SUM(EV_number_BB1,EV_number_BB2)&lt;='EV07'!$I$4:$I$116),0)),1)</f>
        <v>1.46</v>
      </c>
      <c r="N120" s="179">
        <f t="shared" si="4"/>
        <v>1.46</v>
      </c>
      <c r="O120" s="179">
        <f t="shared" si="5"/>
        <v>1.46</v>
      </c>
      <c r="P120" s="194"/>
    </row>
    <row r="121" spans="2:16">
      <c r="B121" s="194"/>
      <c r="C121" s="399"/>
      <c r="D121" s="211" t="s">
        <v>26</v>
      </c>
      <c r="E121" s="176" t="s">
        <v>590</v>
      </c>
      <c r="F121" s="116" t="s">
        <v>267</v>
      </c>
      <c r="G121" s="116" t="s">
        <v>279</v>
      </c>
      <c r="H121" s="116" t="s">
        <v>269</v>
      </c>
      <c r="I121" s="116" t="s">
        <v>269</v>
      </c>
      <c r="J121" s="176" t="s">
        <v>130</v>
      </c>
      <c r="K121" s="177" t="s">
        <v>501</v>
      </c>
      <c r="L121" s="36" t="s">
        <v>443</v>
      </c>
      <c r="M121" s="179" cm="1">
        <f t="array" ref="M121">_xlfn.IFNA(INDEX('EV07'!$J$4:$J$116,MATCH(1,($G121='EV07'!$D$4:$D$116)*(SUM(EV_number_BB1,EV_number_BB2,EV_Number_BB3,EV_number_BB4)&lt;='EV07'!$I$4:$I$116),0)),1)</f>
        <v>1.9890000000000001</v>
      </c>
      <c r="N121" s="179">
        <f t="shared" si="4"/>
        <v>1.9890000000000001</v>
      </c>
      <c r="O121" s="179">
        <f t="shared" si="5"/>
        <v>1.9890000000000001</v>
      </c>
      <c r="P121" s="194"/>
    </row>
    <row r="122" spans="2:16">
      <c r="B122" s="194"/>
      <c r="C122" s="400"/>
      <c r="D122" s="211" t="s">
        <v>26</v>
      </c>
      <c r="E122" s="176" t="s">
        <v>590</v>
      </c>
      <c r="F122" s="116" t="s">
        <v>267</v>
      </c>
      <c r="G122" s="116" t="s">
        <v>289</v>
      </c>
      <c r="H122" s="116" t="s">
        <v>269</v>
      </c>
      <c r="I122" s="116" t="s">
        <v>269</v>
      </c>
      <c r="J122" s="176" t="s">
        <v>130</v>
      </c>
      <c r="K122" s="177" t="s">
        <v>501</v>
      </c>
      <c r="L122" s="36" t="s">
        <v>443</v>
      </c>
      <c r="M122" s="179" cm="1">
        <f t="array" ref="M122">_xlfn.IFNA(INDEX('EV07'!$J$4:$J$116,MATCH(1,($G122='EV07'!$D$4:$D$116)*(SUM(EV_Number_BB3,EV_number_BB4)&lt;='EV07'!$I$4:$I$116),0)),1)</f>
        <v>5.7759999999999998</v>
      </c>
      <c r="N122" s="179">
        <f t="shared" si="4"/>
        <v>5.7759999999999998</v>
      </c>
      <c r="O122" s="179">
        <f t="shared" si="5"/>
        <v>5.7759999999999998</v>
      </c>
      <c r="P122" s="194"/>
    </row>
    <row r="123" spans="2:16" ht="21.6" customHeight="1">
      <c r="B123" s="194"/>
      <c r="C123" s="401" t="s">
        <v>28</v>
      </c>
      <c r="D123" s="178" t="s">
        <v>28</v>
      </c>
      <c r="E123" s="176" t="s">
        <v>310</v>
      </c>
      <c r="F123" s="116" t="s">
        <v>267</v>
      </c>
      <c r="G123" s="116" t="s">
        <v>226</v>
      </c>
      <c r="H123" s="116" t="s">
        <v>269</v>
      </c>
      <c r="I123" s="116" t="s">
        <v>269</v>
      </c>
      <c r="J123" s="176" t="s">
        <v>130</v>
      </c>
      <c r="K123" s="177" t="s">
        <v>501</v>
      </c>
      <c r="L123" s="176" t="s">
        <v>591</v>
      </c>
      <c r="M123" s="224">
        <f>'EV09'!H4</f>
        <v>244</v>
      </c>
      <c r="N123" s="224">
        <f t="shared" si="4"/>
        <v>244</v>
      </c>
      <c r="O123" s="225">
        <f t="shared" si="5"/>
        <v>244</v>
      </c>
      <c r="P123" s="194"/>
    </row>
    <row r="124" spans="2:16" ht="21.6" customHeight="1">
      <c r="B124" s="194"/>
      <c r="C124" s="401"/>
      <c r="D124" s="178" t="s">
        <v>28</v>
      </c>
      <c r="E124" s="176" t="s">
        <v>310</v>
      </c>
      <c r="F124" s="116" t="s">
        <v>267</v>
      </c>
      <c r="G124" s="116" t="s">
        <v>245</v>
      </c>
      <c r="H124" s="116" t="s">
        <v>269</v>
      </c>
      <c r="I124" s="116" t="s">
        <v>269</v>
      </c>
      <c r="J124" s="176" t="s">
        <v>130</v>
      </c>
      <c r="K124" s="177" t="s">
        <v>501</v>
      </c>
      <c r="L124" s="176" t="s">
        <v>591</v>
      </c>
      <c r="M124" s="224">
        <f>'EV09'!H5</f>
        <v>870</v>
      </c>
      <c r="N124" s="224">
        <f t="shared" si="4"/>
        <v>870</v>
      </c>
      <c r="O124" s="225">
        <f t="shared" si="5"/>
        <v>870</v>
      </c>
      <c r="P124" s="194"/>
    </row>
    <row r="125" spans="2:16" ht="21.6" customHeight="1">
      <c r="B125" s="194"/>
      <c r="C125" s="401"/>
      <c r="D125" s="178" t="s">
        <v>28</v>
      </c>
      <c r="E125" s="176" t="s">
        <v>310</v>
      </c>
      <c r="F125" s="116" t="s">
        <v>267</v>
      </c>
      <c r="G125" s="116" t="s">
        <v>265</v>
      </c>
      <c r="H125" s="116" t="s">
        <v>269</v>
      </c>
      <c r="I125" s="116" t="s">
        <v>269</v>
      </c>
      <c r="J125" s="176" t="s">
        <v>130</v>
      </c>
      <c r="K125" s="177" t="s">
        <v>501</v>
      </c>
      <c r="L125" s="176" t="s">
        <v>591</v>
      </c>
      <c r="M125" s="224">
        <f>'EV09'!H6</f>
        <v>1164</v>
      </c>
      <c r="N125" s="224">
        <f t="shared" si="4"/>
        <v>1164</v>
      </c>
      <c r="O125" s="225">
        <f t="shared" si="5"/>
        <v>1164</v>
      </c>
      <c r="P125" s="194"/>
    </row>
    <row r="126" spans="2:16" ht="21.6" customHeight="1">
      <c r="B126" s="194"/>
      <c r="C126" s="401"/>
      <c r="D126" s="178" t="s">
        <v>28</v>
      </c>
      <c r="E126" s="176" t="s">
        <v>310</v>
      </c>
      <c r="F126" s="116" t="s">
        <v>267</v>
      </c>
      <c r="G126" s="116" t="s">
        <v>279</v>
      </c>
      <c r="H126" s="116" t="s">
        <v>269</v>
      </c>
      <c r="I126" s="116" t="s">
        <v>269</v>
      </c>
      <c r="J126" s="176" t="s">
        <v>130</v>
      </c>
      <c r="K126" s="177" t="s">
        <v>501</v>
      </c>
      <c r="L126" s="176" t="s">
        <v>591</v>
      </c>
      <c r="M126" s="224">
        <f>'EV09'!H7</f>
        <v>1175</v>
      </c>
      <c r="N126" s="224">
        <f t="shared" si="4"/>
        <v>1175</v>
      </c>
      <c r="O126" s="225">
        <f t="shared" si="5"/>
        <v>1175</v>
      </c>
      <c r="P126" s="194"/>
    </row>
    <row r="127" spans="2:16" ht="21.6" customHeight="1">
      <c r="B127" s="194"/>
      <c r="C127" s="401"/>
      <c r="D127" s="178" t="s">
        <v>28</v>
      </c>
      <c r="E127" s="176" t="s">
        <v>310</v>
      </c>
      <c r="F127" s="116" t="s">
        <v>267</v>
      </c>
      <c r="G127" s="116" t="s">
        <v>289</v>
      </c>
      <c r="H127" s="116" t="s">
        <v>269</v>
      </c>
      <c r="I127" s="116" t="s">
        <v>269</v>
      </c>
      <c r="J127" s="176" t="s">
        <v>130</v>
      </c>
      <c r="K127" s="177" t="s">
        <v>501</v>
      </c>
      <c r="L127" s="176" t="s">
        <v>591</v>
      </c>
      <c r="M127" s="224">
        <f>'EV09'!H8</f>
        <v>1175</v>
      </c>
      <c r="N127" s="224">
        <f t="shared" si="4"/>
        <v>1175</v>
      </c>
      <c r="O127" s="225">
        <f t="shared" si="5"/>
        <v>1175</v>
      </c>
      <c r="P127" s="194"/>
    </row>
    <row r="128" spans="2:16" ht="21.6" customHeight="1">
      <c r="B128" s="194"/>
      <c r="C128" s="398" t="s">
        <v>29</v>
      </c>
      <c r="D128" s="178" t="s">
        <v>29</v>
      </c>
      <c r="E128" s="176" t="s">
        <v>315</v>
      </c>
      <c r="F128" s="116" t="s">
        <v>267</v>
      </c>
      <c r="G128" s="116" t="s">
        <v>226</v>
      </c>
      <c r="H128" s="116" t="s">
        <v>269</v>
      </c>
      <c r="I128" s="116" t="s">
        <v>269</v>
      </c>
      <c r="J128" s="176" t="s">
        <v>130</v>
      </c>
      <c r="K128" s="177" t="s">
        <v>501</v>
      </c>
      <c r="L128" s="176" t="s">
        <v>136</v>
      </c>
      <c r="M128" s="179">
        <f>'EV10'!H4</f>
        <v>7</v>
      </c>
      <c r="N128" s="179">
        <f>'EV10'!I4</f>
        <v>7</v>
      </c>
      <c r="O128" s="179">
        <f>'EV10'!J4</f>
        <v>7</v>
      </c>
      <c r="P128" s="194"/>
    </row>
    <row r="129" spans="2:16" ht="21.6" customHeight="1">
      <c r="B129" s="194"/>
      <c r="C129" s="399"/>
      <c r="D129" s="178" t="s">
        <v>29</v>
      </c>
      <c r="E129" s="176" t="s">
        <v>315</v>
      </c>
      <c r="F129" s="116" t="s">
        <v>267</v>
      </c>
      <c r="G129" s="116" t="s">
        <v>245</v>
      </c>
      <c r="H129" s="116" t="s">
        <v>269</v>
      </c>
      <c r="I129" s="116" t="s">
        <v>269</v>
      </c>
      <c r="J129" s="176" t="s">
        <v>130</v>
      </c>
      <c r="K129" s="177" t="s">
        <v>501</v>
      </c>
      <c r="L129" s="176" t="s">
        <v>136</v>
      </c>
      <c r="M129" s="179">
        <f>'EV10'!H5</f>
        <v>7</v>
      </c>
      <c r="N129" s="179">
        <f>'EV10'!I5</f>
        <v>7</v>
      </c>
      <c r="O129" s="179">
        <f>'EV10'!J5</f>
        <v>22</v>
      </c>
      <c r="P129" s="194"/>
    </row>
    <row r="130" spans="2:16" ht="21.6" customHeight="1">
      <c r="B130" s="194"/>
      <c r="C130" s="399"/>
      <c r="D130" s="178" t="s">
        <v>29</v>
      </c>
      <c r="E130" s="176" t="s">
        <v>315</v>
      </c>
      <c r="F130" s="116" t="s">
        <v>267</v>
      </c>
      <c r="G130" s="116" t="s">
        <v>265</v>
      </c>
      <c r="H130" s="116" t="s">
        <v>269</v>
      </c>
      <c r="I130" s="116" t="s">
        <v>269</v>
      </c>
      <c r="J130" s="176" t="s">
        <v>130</v>
      </c>
      <c r="K130" s="177" t="s">
        <v>501</v>
      </c>
      <c r="L130" s="176" t="s">
        <v>136</v>
      </c>
      <c r="M130" s="179">
        <f>'EV10'!H6</f>
        <v>22</v>
      </c>
      <c r="N130" s="179">
        <f>'EV10'!I6</f>
        <v>7</v>
      </c>
      <c r="O130" s="179">
        <f>'EV10'!J6</f>
        <v>22</v>
      </c>
      <c r="P130" s="194"/>
    </row>
    <row r="131" spans="2:16" ht="21.6" customHeight="1">
      <c r="B131" s="194"/>
      <c r="C131" s="399"/>
      <c r="D131" s="178" t="s">
        <v>29</v>
      </c>
      <c r="E131" s="176" t="s">
        <v>315</v>
      </c>
      <c r="F131" s="116" t="s">
        <v>267</v>
      </c>
      <c r="G131" s="116" t="s">
        <v>279</v>
      </c>
      <c r="H131" s="116" t="s">
        <v>269</v>
      </c>
      <c r="I131" s="116" t="s">
        <v>269</v>
      </c>
      <c r="J131" s="176" t="s">
        <v>130</v>
      </c>
      <c r="K131" s="177" t="s">
        <v>501</v>
      </c>
      <c r="L131" s="176" t="s">
        <v>136</v>
      </c>
      <c r="M131" s="179">
        <f>'EV10'!H7</f>
        <v>50</v>
      </c>
      <c r="N131" s="179">
        <f>'EV10'!I7</f>
        <v>50</v>
      </c>
      <c r="O131" s="179">
        <f>'EV10'!J7</f>
        <v>150</v>
      </c>
      <c r="P131" s="194"/>
    </row>
    <row r="132" spans="2:16" ht="21.6" customHeight="1">
      <c r="B132" s="194"/>
      <c r="C132" s="400"/>
      <c r="D132" s="178" t="s">
        <v>29</v>
      </c>
      <c r="E132" s="176" t="s">
        <v>315</v>
      </c>
      <c r="F132" s="116" t="s">
        <v>267</v>
      </c>
      <c r="G132" s="116" t="s">
        <v>289</v>
      </c>
      <c r="H132" s="116" t="s">
        <v>269</v>
      </c>
      <c r="I132" s="116" t="s">
        <v>269</v>
      </c>
      <c r="J132" s="176" t="s">
        <v>130</v>
      </c>
      <c r="K132" s="177" t="s">
        <v>501</v>
      </c>
      <c r="L132" s="176" t="s">
        <v>136</v>
      </c>
      <c r="M132" s="179">
        <f>'EV10'!H8</f>
        <v>150</v>
      </c>
      <c r="N132" s="179">
        <f>'EV10'!I8</f>
        <v>50</v>
      </c>
      <c r="O132" s="179">
        <f>'EV10'!J8</f>
        <v>1000</v>
      </c>
      <c r="P132" s="194"/>
    </row>
    <row r="133" spans="2:16">
      <c r="B133" s="194"/>
      <c r="C133" s="194"/>
      <c r="D133" s="194"/>
      <c r="E133" s="194"/>
      <c r="F133" s="194"/>
      <c r="G133" s="194"/>
      <c r="H133" s="194"/>
      <c r="I133" s="194"/>
      <c r="J133" s="194"/>
      <c r="K133" s="194"/>
      <c r="L133" s="194"/>
      <c r="M133" s="194"/>
      <c r="N133" s="194"/>
      <c r="O133" s="194"/>
      <c r="P133" s="194"/>
    </row>
    <row r="134" spans="2:16" ht="21.6" customHeight="1">
      <c r="B134" s="194"/>
      <c r="C134" s="398" t="s">
        <v>25</v>
      </c>
      <c r="D134" s="196"/>
      <c r="E134" s="194"/>
      <c r="F134" s="212"/>
      <c r="G134" s="212"/>
      <c r="H134" s="212"/>
      <c r="I134" s="212"/>
      <c r="J134" s="194"/>
      <c r="K134" s="194"/>
      <c r="L134" s="168" t="s">
        <v>226</v>
      </c>
      <c r="M134" s="168" t="s">
        <v>226</v>
      </c>
      <c r="N134" s="168" t="s">
        <v>226</v>
      </c>
      <c r="O134" s="194"/>
      <c r="P134" s="194"/>
    </row>
    <row r="135" spans="2:16" ht="21.6" customHeight="1">
      <c r="B135" s="194"/>
      <c r="C135" s="399"/>
      <c r="D135" s="176" t="s">
        <v>592</v>
      </c>
      <c r="E135" s="168" t="s">
        <v>226</v>
      </c>
      <c r="F135" s="168" t="s">
        <v>226</v>
      </c>
      <c r="G135" s="168" t="s">
        <v>245</v>
      </c>
      <c r="H135" s="168" t="s">
        <v>265</v>
      </c>
      <c r="I135" s="168" t="s">
        <v>279</v>
      </c>
      <c r="J135" s="168" t="s">
        <v>289</v>
      </c>
      <c r="K135" s="194"/>
      <c r="L135" s="172" t="s">
        <v>593</v>
      </c>
      <c r="M135" s="172" t="s">
        <v>588</v>
      </c>
      <c r="N135" s="172" t="s">
        <v>589</v>
      </c>
      <c r="O135" s="194"/>
      <c r="P135" s="194"/>
    </row>
    <row r="136" spans="2:16" ht="68.099999999999994" customHeight="1">
      <c r="B136" s="194"/>
      <c r="C136" s="400"/>
      <c r="D136" s="257" t="s">
        <v>594</v>
      </c>
      <c r="E136" s="213" t="s">
        <v>228</v>
      </c>
      <c r="F136" s="213" t="s">
        <v>247</v>
      </c>
      <c r="G136" s="213" t="s">
        <v>228</v>
      </c>
      <c r="H136" s="213" t="s">
        <v>228</v>
      </c>
      <c r="I136" s="213" t="s">
        <v>228</v>
      </c>
      <c r="J136" s="213" t="s">
        <v>228</v>
      </c>
      <c r="K136" s="194"/>
      <c r="L136" s="213" t="s">
        <v>595</v>
      </c>
      <c r="M136" s="213" t="s">
        <v>595</v>
      </c>
      <c r="N136" s="213" t="s">
        <v>595</v>
      </c>
      <c r="O136" s="194"/>
      <c r="P136" s="194"/>
    </row>
    <row r="137" spans="2:16" ht="21.6" customHeight="1">
      <c r="B137" s="194"/>
      <c r="C137" s="194"/>
      <c r="D137" s="180">
        <v>0</v>
      </c>
      <c r="E137" s="181" cm="1">
        <f t="array" ref="E137">INDEX('EV06'!$I$4:$I$291,MATCH(1,(E$135='EV06'!$D$4:$D$291) * ($D137='EV06'!$H$4:$H$291) * (E$136='EV06'!$F$4:$F$291),0))</f>
        <v>1.16842E-4</v>
      </c>
      <c r="F137" s="181" cm="1">
        <f t="array" ref="F137">INDEX('EV06'!$I$4:$I$291,MATCH(1,(F$135='EV06'!$D$4:$D$291) * ($D137='EV06'!$H$4:$H$291) * (F$136='EV06'!$F$4:$F$291),0))</f>
        <v>2.3851345611588111E-4</v>
      </c>
      <c r="G137" s="181" cm="1">
        <f t="array" ref="G137">INDEX('EV06'!$I$4:$I$291,MATCH(1,(G$135='EV06'!$D$4:$D$291) * ($D137='EV06'!$H$4:$H$291) * (G$136='EV06'!$F$4:$F$291),0))</f>
        <v>2.2104999999999999E-5</v>
      </c>
      <c r="H137" s="181" cm="1">
        <f t="array" ref="H137">INDEX('EV06'!$I$4:$I$291,MATCH(1,(H$135='EV06'!$D$4:$D$291) * ($D137='EV06'!$H$4:$H$291) * (H$136='EV06'!$F$4:$F$291),0))</f>
        <v>3.0066519597307749E-5</v>
      </c>
      <c r="I137" s="181" cm="1">
        <f t="array" ref="I137">INDEX('EV06'!$I$4:$I$291,MATCH(1,(I$135='EV06'!$D$4:$D$291) * ($D137='EV06'!$H$4:$H$291) * (I$136='EV06'!$F$4:$F$291),0))</f>
        <v>3.4020999999999998E-5</v>
      </c>
      <c r="J137" s="181" cm="1">
        <f t="array" ref="J137">INDEX('EV06'!$I$4:$I$291,MATCH(1,(J$135='EV06'!$D$4:$D$291) * ($D137='EV06'!$H$4:$H$291) * (J$136='EV06'!$F$4:$F$291),0))</f>
        <v>1.8804100000000001E-4</v>
      </c>
      <c r="K137" s="194"/>
      <c r="L137" s="190">
        <f>$E137*EV05_noflex_Default+$F137*EV05_smart_Default</f>
        <v>2.0809559208691085E-4</v>
      </c>
      <c r="M137" s="190">
        <f t="shared" ref="M137:M184" si="6">$E137*EV05_noflex_lower+$F137*EV05_smart_lower</f>
        <v>2.0809559208691085E-4</v>
      </c>
      <c r="N137" s="190">
        <f t="shared" ref="N137:N184" si="7">$E137*EV05_noflex_upper+$F137*EV05_smart_upper</f>
        <v>2.0809559208691085E-4</v>
      </c>
      <c r="O137" s="194"/>
      <c r="P137" s="194"/>
    </row>
    <row r="138" spans="2:16">
      <c r="B138" s="194"/>
      <c r="C138" s="194"/>
      <c r="D138" s="180">
        <v>2.0833333333333332E-2</v>
      </c>
      <c r="E138" s="181" cm="1">
        <f t="array" ref="E138">INDEX('EV06'!$I$4:$I$291,MATCH(1,(E$135='EV06'!$D$4:$D$291) * ($D138='EV06'!$H$4:$H$291) * (E$136='EV06'!$F$4:$F$291),0))</f>
        <v>9.7899000000000006E-5</v>
      </c>
      <c r="F138" s="181" cm="1">
        <f t="array" ref="F138">INDEX('EV06'!$I$4:$I$291,MATCH(1,(F$135='EV06'!$D$4:$D$291) * ($D138='EV06'!$H$4:$H$291) * (F$136='EV06'!$F$4:$F$291),0))</f>
        <v>2.7227363280875398E-4</v>
      </c>
      <c r="G138" s="181" cm="1">
        <f t="array" ref="G138">INDEX('EV06'!$I$4:$I$291,MATCH(1,(G$135='EV06'!$D$4:$D$291) * ($D138='EV06'!$H$4:$H$291) * (G$136='EV06'!$F$4:$F$291),0))</f>
        <v>1.9168999999999999E-5</v>
      </c>
      <c r="H138" s="181" cm="1">
        <f t="array" ref="H138">INDEX('EV06'!$I$4:$I$291,MATCH(1,(H$135='EV06'!$D$4:$D$291) * ($D138='EV06'!$H$4:$H$291) * (H$136='EV06'!$F$4:$F$291),0))</f>
        <v>2.7306937219328901E-5</v>
      </c>
      <c r="I138" s="181" cm="1">
        <f t="array" ref="I138">INDEX('EV06'!$I$4:$I$291,MATCH(1,(I$135='EV06'!$D$4:$D$291) * ($D138='EV06'!$H$4:$H$291) * (I$136='EV06'!$F$4:$F$291),0))</f>
        <v>2.6310999999999999E-5</v>
      </c>
      <c r="J138" s="181" cm="1">
        <f t="array" ref="J138">INDEX('EV06'!$I$4:$I$291,MATCH(1,(J$135='EV06'!$D$4:$D$291) * ($D138='EV06'!$H$4:$H$291) * (J$136='EV06'!$F$4:$F$291),0))</f>
        <v>1.7903E-4</v>
      </c>
      <c r="K138" s="194"/>
      <c r="L138" s="190">
        <f t="shared" ref="L138:L184" si="8">$E138*EV05_noflex_Default+$F138*EV05_smart_Default</f>
        <v>2.2867997460656551E-4</v>
      </c>
      <c r="M138" s="190">
        <f t="shared" si="6"/>
        <v>2.2867997460656551E-4</v>
      </c>
      <c r="N138" s="190">
        <f t="shared" si="7"/>
        <v>2.2867997460656551E-4</v>
      </c>
      <c r="O138" s="194"/>
      <c r="P138" s="194"/>
    </row>
    <row r="139" spans="2:16">
      <c r="B139" s="194"/>
      <c r="C139" s="194"/>
      <c r="D139" s="180">
        <v>4.1666666666666664E-2</v>
      </c>
      <c r="E139" s="181" cm="1">
        <f t="array" ref="E139">INDEX('EV06'!$I$4:$I$291,MATCH(1,(E$135='EV06'!$D$4:$D$291) * ($D139='EV06'!$H$4:$H$291) * (E$136='EV06'!$F$4:$F$291),0))</f>
        <v>7.8956999999999996E-5</v>
      </c>
      <c r="F139" s="181" cm="1">
        <f t="array" ref="F139">INDEX('EV06'!$I$4:$I$291,MATCH(1,(F$135='EV06'!$D$4:$D$291) * ($D139='EV06'!$H$4:$H$291) * (F$136='EV06'!$F$4:$F$291),0))</f>
        <v>2.6854686005694313E-4</v>
      </c>
      <c r="G139" s="181" cm="1">
        <f t="array" ref="G139">INDEX('EV06'!$I$4:$I$291,MATCH(1,(G$135='EV06'!$D$4:$D$291) * ($D139='EV06'!$H$4:$H$291) * (G$136='EV06'!$F$4:$F$291),0))</f>
        <v>1.6232999999999999E-5</v>
      </c>
      <c r="H139" s="181" cm="1">
        <f t="array" ref="H139">INDEX('EV06'!$I$4:$I$291,MATCH(1,(H$135='EV06'!$D$4:$D$291) * ($D139='EV06'!$H$4:$H$291) * (H$136='EV06'!$F$4:$F$291),0))</f>
        <v>2.4547354841350043E-5</v>
      </c>
      <c r="I139" s="181" cm="1">
        <f t="array" ref="I139">INDEX('EV06'!$I$4:$I$291,MATCH(1,(I$135='EV06'!$D$4:$D$291) * ($D139='EV06'!$H$4:$H$291) * (I$136='EV06'!$F$4:$F$291),0))</f>
        <v>2.1532E-5</v>
      </c>
      <c r="J139" s="181" cm="1">
        <f t="array" ref="J139">INDEX('EV06'!$I$4:$I$291,MATCH(1,(J$135='EV06'!$D$4:$D$291) * ($D139='EV06'!$H$4:$H$291) * (J$136='EV06'!$F$4:$F$291),0))</f>
        <v>1.7948000000000001E-4</v>
      </c>
      <c r="K139" s="194"/>
      <c r="L139" s="190">
        <f t="shared" si="8"/>
        <v>2.2114939504270733E-4</v>
      </c>
      <c r="M139" s="190">
        <f t="shared" si="6"/>
        <v>2.2114939504270733E-4</v>
      </c>
      <c r="N139" s="190">
        <f t="shared" si="7"/>
        <v>2.2114939504270733E-4</v>
      </c>
      <c r="O139" s="194"/>
      <c r="P139" s="194"/>
    </row>
    <row r="140" spans="2:16">
      <c r="B140" s="194"/>
      <c r="C140" s="194"/>
      <c r="D140" s="180">
        <v>6.25E-2</v>
      </c>
      <c r="E140" s="181" cm="1">
        <f t="array" ref="E140">INDEX('EV06'!$I$4:$I$291,MATCH(1,(E$135='EV06'!$D$4:$D$291) * ($D140='EV06'!$H$4:$H$291) * (E$136='EV06'!$F$4:$F$291),0))</f>
        <v>6.4321999999999998E-5</v>
      </c>
      <c r="F140" s="181" cm="1">
        <f t="array" ref="F140">INDEX('EV06'!$I$4:$I$291,MATCH(1,(F$135='EV06'!$D$4:$D$291) * ($D140='EV06'!$H$4:$H$291) * (F$136='EV06'!$F$4:$F$291),0))</f>
        <v>2.5298210326996936E-4</v>
      </c>
      <c r="G140" s="181" cm="1">
        <f t="array" ref="G140">INDEX('EV06'!$I$4:$I$291,MATCH(1,(G$135='EV06'!$D$4:$D$291) * ($D140='EV06'!$H$4:$H$291) * (G$136='EV06'!$F$4:$F$291),0))</f>
        <v>1.4636E-5</v>
      </c>
      <c r="H140" s="181" cm="1">
        <f t="array" ref="H140">INDEX('EV06'!$I$4:$I$291,MATCH(1,(H$135='EV06'!$D$4:$D$291) * ($D140='EV06'!$H$4:$H$291) * (H$136='EV06'!$F$4:$F$291),0))</f>
        <v>2.1888866738766751E-5</v>
      </c>
      <c r="I140" s="181" cm="1">
        <f t="array" ref="I140">INDEX('EV06'!$I$4:$I$291,MATCH(1,(I$135='EV06'!$D$4:$D$291) * ($D140='EV06'!$H$4:$H$291) * (I$136='EV06'!$F$4:$F$291),0))</f>
        <v>1.6753999999999999E-5</v>
      </c>
      <c r="J140" s="181" cm="1">
        <f t="array" ref="J140">INDEX('EV06'!$I$4:$I$291,MATCH(1,(J$135='EV06'!$D$4:$D$291) * ($D140='EV06'!$H$4:$H$291) * (J$136='EV06'!$F$4:$F$291),0))</f>
        <v>1.7992999999999999E-4</v>
      </c>
      <c r="K140" s="194"/>
      <c r="L140" s="190">
        <f t="shared" si="8"/>
        <v>2.0581707745247703E-4</v>
      </c>
      <c r="M140" s="190">
        <f t="shared" si="6"/>
        <v>2.0581707745247703E-4</v>
      </c>
      <c r="N140" s="190">
        <f t="shared" si="7"/>
        <v>2.0581707745247703E-4</v>
      </c>
      <c r="O140" s="194"/>
      <c r="P140" s="194"/>
    </row>
    <row r="141" spans="2:16">
      <c r="B141" s="194"/>
      <c r="C141" s="194"/>
      <c r="D141" s="180">
        <v>8.3333333333333329E-2</v>
      </c>
      <c r="E141" s="181" cm="1">
        <f t="array" ref="E141">INDEX('EV06'!$I$4:$I$291,MATCH(1,(E$135='EV06'!$D$4:$D$291) * ($D141='EV06'!$H$4:$H$291) * (E$136='EV06'!$F$4:$F$291),0))</f>
        <v>4.9687E-5</v>
      </c>
      <c r="F141" s="181" cm="1">
        <f t="array" ref="F141">INDEX('EV06'!$I$4:$I$291,MATCH(1,(F$135='EV06'!$D$4:$D$291) * ($D141='EV06'!$H$4:$H$291) * (F$136='EV06'!$F$4:$F$291),0))</f>
        <v>2.5539354446231733E-4</v>
      </c>
      <c r="G141" s="181" cm="1">
        <f t="array" ref="G141">INDEX('EV06'!$I$4:$I$291,MATCH(1,(G$135='EV06'!$D$4:$D$291) * ($D141='EV06'!$H$4:$H$291) * (G$136='EV06'!$F$4:$F$291),0))</f>
        <v>1.3040000000000001E-5</v>
      </c>
      <c r="H141" s="181" cm="1">
        <f t="array" ref="H141">INDEX('EV06'!$I$4:$I$291,MATCH(1,(H$135='EV06'!$D$4:$D$291) * ($D141='EV06'!$H$4:$H$291) * (H$136='EV06'!$F$4:$F$291),0))</f>
        <v>1.9230378636183466E-5</v>
      </c>
      <c r="I141" s="181" cm="1">
        <f t="array" ref="I141">INDEX('EV06'!$I$4:$I$291,MATCH(1,(I$135='EV06'!$D$4:$D$291) * ($D141='EV06'!$H$4:$H$291) * (I$136='EV06'!$F$4:$F$291),0))</f>
        <v>1.3865E-5</v>
      </c>
      <c r="J141" s="181" cm="1">
        <f t="array" ref="J141">INDEX('EV06'!$I$4:$I$291,MATCH(1,(J$135='EV06'!$D$4:$D$291) * ($D141='EV06'!$H$4:$H$291) * (J$136='EV06'!$F$4:$F$291),0))</f>
        <v>1.80414E-4</v>
      </c>
      <c r="K141" s="194"/>
      <c r="L141" s="190">
        <f t="shared" si="8"/>
        <v>2.03966908346738E-4</v>
      </c>
      <c r="M141" s="190">
        <f t="shared" si="6"/>
        <v>2.03966908346738E-4</v>
      </c>
      <c r="N141" s="190">
        <f t="shared" si="7"/>
        <v>2.03966908346738E-4</v>
      </c>
      <c r="O141" s="194"/>
      <c r="P141" s="194"/>
    </row>
    <row r="142" spans="2:16">
      <c r="B142" s="194"/>
      <c r="C142" s="194"/>
      <c r="D142" s="180">
        <v>0.10416666666666667</v>
      </c>
      <c r="E142" s="181" cm="1">
        <f t="array" ref="E142">INDEX('EV06'!$I$4:$I$291,MATCH(1,(E$135='EV06'!$D$4:$D$291) * ($D142='EV06'!$H$4:$H$291) * (E$136='EV06'!$F$4:$F$291),0))</f>
        <v>4.0843999999999997E-5</v>
      </c>
      <c r="F142" s="181" cm="1">
        <f t="array" ref="F142">INDEX('EV06'!$I$4:$I$291,MATCH(1,(F$135='EV06'!$D$4:$D$291) * ($D142='EV06'!$H$4:$H$291) * (F$136='EV06'!$F$4:$F$291),0))</f>
        <v>2.4333633850057704E-4</v>
      </c>
      <c r="G142" s="181" cm="1">
        <f t="array" ref="G142">INDEX('EV06'!$I$4:$I$291,MATCH(1,(G$135='EV06'!$D$4:$D$291) * ($D142='EV06'!$H$4:$H$291) * (G$136='EV06'!$F$4:$F$291),0))</f>
        <v>1.2529E-5</v>
      </c>
      <c r="H142" s="181" cm="1">
        <f t="array" ref="H142">INDEX('EV06'!$I$4:$I$291,MATCH(1,(H$135='EV06'!$D$4:$D$291) * ($D142='EV06'!$H$4:$H$291) * (H$136='EV06'!$F$4:$F$291),0))</f>
        <v>1.7238891525756458E-5</v>
      </c>
      <c r="I142" s="181" cm="1">
        <f t="array" ref="I142">INDEX('EV06'!$I$4:$I$291,MATCH(1,(I$135='EV06'!$D$4:$D$291) * ($D142='EV06'!$H$4:$H$291) * (I$136='EV06'!$F$4:$F$291),0))</f>
        <v>1.0976E-5</v>
      </c>
      <c r="J142" s="181" cm="1">
        <f t="array" ref="J142">INDEX('EV06'!$I$4:$I$291,MATCH(1,(J$135='EV06'!$D$4:$D$291) * ($D142='EV06'!$H$4:$H$291) * (J$136='EV06'!$F$4:$F$291),0))</f>
        <v>1.80898E-4</v>
      </c>
      <c r="K142" s="194"/>
      <c r="L142" s="190">
        <f t="shared" si="8"/>
        <v>1.9271325387543278E-4</v>
      </c>
      <c r="M142" s="190">
        <f t="shared" si="6"/>
        <v>1.9271325387543278E-4</v>
      </c>
      <c r="N142" s="190">
        <f t="shared" si="7"/>
        <v>1.9271325387543278E-4</v>
      </c>
      <c r="O142" s="194"/>
      <c r="P142" s="194"/>
    </row>
    <row r="143" spans="2:16">
      <c r="B143" s="194"/>
      <c r="C143" s="194"/>
      <c r="D143" s="180">
        <v>0.125</v>
      </c>
      <c r="E143" s="181" cm="1">
        <f t="array" ref="E143">INDEX('EV06'!$I$4:$I$291,MATCH(1,(E$135='EV06'!$D$4:$D$291) * ($D143='EV06'!$H$4:$H$291) * (E$136='EV06'!$F$4:$F$291),0))</f>
        <v>3.2001000000000001E-5</v>
      </c>
      <c r="F143" s="181" cm="1">
        <f t="array" ref="F143">INDEX('EV06'!$I$4:$I$291,MATCH(1,(F$135='EV06'!$D$4:$D$291) * ($D143='EV06'!$H$4:$H$291) * (F$136='EV06'!$F$4:$F$291),0))</f>
        <v>2.2645625015414045E-4</v>
      </c>
      <c r="G143" s="181" cm="1">
        <f t="array" ref="G143">INDEX('EV06'!$I$4:$I$291,MATCH(1,(G$135='EV06'!$D$4:$D$291) * ($D143='EV06'!$H$4:$H$291) * (G$136='EV06'!$F$4:$F$291),0))</f>
        <v>1.2017E-5</v>
      </c>
      <c r="H143" s="181" cm="1">
        <f t="array" ref="H143">INDEX('EV06'!$I$4:$I$291,MATCH(1,(H$135='EV06'!$D$4:$D$291) * ($D143='EV06'!$H$4:$H$291) * (H$136='EV06'!$F$4:$F$291),0))</f>
        <v>1.5247404415329453E-5</v>
      </c>
      <c r="I143" s="181" cm="1">
        <f t="array" ref="I143">INDEX('EV06'!$I$4:$I$291,MATCH(1,(I$135='EV06'!$D$4:$D$291) * ($D143='EV06'!$H$4:$H$291) * (I$136='EV06'!$F$4:$F$291),0))</f>
        <v>9.6930000000000002E-6</v>
      </c>
      <c r="J143" s="181" cm="1">
        <f t="array" ref="J143">INDEX('EV06'!$I$4:$I$291,MATCH(1,(J$135='EV06'!$D$4:$D$291) * ($D143='EV06'!$H$4:$H$291) * (J$136='EV06'!$F$4:$F$291),0))</f>
        <v>1.76097E-4</v>
      </c>
      <c r="K143" s="194"/>
      <c r="L143" s="190">
        <f t="shared" si="8"/>
        <v>1.7784243761560534E-4</v>
      </c>
      <c r="M143" s="190">
        <f t="shared" si="6"/>
        <v>1.7784243761560534E-4</v>
      </c>
      <c r="N143" s="190">
        <f t="shared" si="7"/>
        <v>1.7784243761560534E-4</v>
      </c>
      <c r="O143" s="194"/>
      <c r="P143" s="194"/>
    </row>
    <row r="144" spans="2:16">
      <c r="B144" s="194"/>
      <c r="C144" s="194"/>
      <c r="D144" s="180">
        <v>0.14583333333333334</v>
      </c>
      <c r="E144" s="181" cm="1">
        <f t="array" ref="E144">INDEX('EV06'!$I$4:$I$291,MATCH(1,(E$135='EV06'!$D$4:$D$291) * ($D144='EV06'!$H$4:$H$291) * (E$136='EV06'!$F$4:$F$291),0))</f>
        <v>2.7056999999999999E-5</v>
      </c>
      <c r="F144" s="181" cm="1">
        <f t="array" ref="F144">INDEX('EV06'!$I$4:$I$291,MATCH(1,(F$135='EV06'!$D$4:$D$291) * ($D144='EV06'!$H$4:$H$291) * (F$136='EV06'!$F$4:$F$291),0))</f>
        <v>1.9905350933200361E-4</v>
      </c>
      <c r="G144" s="181" cm="1">
        <f t="array" ref="G144">INDEX('EV06'!$I$4:$I$291,MATCH(1,(G$135='EV06'!$D$4:$D$291) * ($D144='EV06'!$H$4:$H$291) * (G$136='EV06'!$F$4:$F$291),0))</f>
        <v>1.2361000000000001E-5</v>
      </c>
      <c r="H144" s="181" cm="1">
        <f t="array" ref="H144">INDEX('EV06'!$I$4:$I$291,MATCH(1,(H$135='EV06'!$D$4:$D$291) * ($D144='EV06'!$H$4:$H$291) * (H$136='EV06'!$F$4:$F$291),0))</f>
        <v>1.4751154238731135E-5</v>
      </c>
      <c r="I144" s="181" cm="1">
        <f t="array" ref="I144">INDEX('EV06'!$I$4:$I$291,MATCH(1,(I$135='EV06'!$D$4:$D$291) * ($D144='EV06'!$H$4:$H$291) * (I$136='EV06'!$F$4:$F$291),0))</f>
        <v>8.4100000000000008E-6</v>
      </c>
      <c r="J144" s="181" cm="1">
        <f t="array" ref="J144">INDEX('EV06'!$I$4:$I$291,MATCH(1,(J$135='EV06'!$D$4:$D$291) * ($D144='EV06'!$H$4:$H$291) * (J$136='EV06'!$F$4:$F$291),0))</f>
        <v>1.71297E-4</v>
      </c>
      <c r="K144" s="194"/>
      <c r="L144" s="190">
        <f t="shared" si="8"/>
        <v>1.5605438199900272E-4</v>
      </c>
      <c r="M144" s="190">
        <f t="shared" si="6"/>
        <v>1.5605438199900272E-4</v>
      </c>
      <c r="N144" s="190">
        <f t="shared" si="7"/>
        <v>1.5605438199900272E-4</v>
      </c>
      <c r="O144" s="194"/>
      <c r="P144" s="194"/>
    </row>
    <row r="145" spans="2:16">
      <c r="B145" s="194"/>
      <c r="C145" s="194"/>
      <c r="D145" s="180">
        <v>0.16666666666666666</v>
      </c>
      <c r="E145" s="181" cm="1">
        <f t="array" ref="E145">INDEX('EV06'!$I$4:$I$291,MATCH(1,(E$135='EV06'!$D$4:$D$291) * ($D145='EV06'!$H$4:$H$291) * (E$136='EV06'!$F$4:$F$291),0))</f>
        <v>2.2113E-5</v>
      </c>
      <c r="F145" s="181" cm="1">
        <f t="array" ref="F145">INDEX('EV06'!$I$4:$I$291,MATCH(1,(F$135='EV06'!$D$4:$D$291) * ($D145='EV06'!$H$4:$H$291) * (F$136='EV06'!$F$4:$F$291),0))</f>
        <v>1.6945854924409529E-4</v>
      </c>
      <c r="G145" s="181" cm="1">
        <f t="array" ref="G145">INDEX('EV06'!$I$4:$I$291,MATCH(1,(G$135='EV06'!$D$4:$D$291) * ($D145='EV06'!$H$4:$H$291) * (G$136='EV06'!$F$4:$F$291),0))</f>
        <v>1.2704000000000001E-5</v>
      </c>
      <c r="H145" s="181" cm="1">
        <f t="array" ref="H145">INDEX('EV06'!$I$4:$I$291,MATCH(1,(H$135='EV06'!$D$4:$D$291) * ($D145='EV06'!$H$4:$H$291) * (H$136='EV06'!$F$4:$F$291),0))</f>
        <v>1.425490406213282E-5</v>
      </c>
      <c r="I145" s="181" cm="1">
        <f t="array" ref="I145">INDEX('EV06'!$I$4:$I$291,MATCH(1,(I$135='EV06'!$D$4:$D$291) * ($D145='EV06'!$H$4:$H$291) * (I$136='EV06'!$F$4:$F$291),0))</f>
        <v>8.7180000000000002E-6</v>
      </c>
      <c r="J145" s="181" cm="1">
        <f t="array" ref="J145">INDEX('EV06'!$I$4:$I$291,MATCH(1,(J$135='EV06'!$D$4:$D$291) * ($D145='EV06'!$H$4:$H$291) * (J$136='EV06'!$F$4:$F$291),0))</f>
        <v>1.58443E-4</v>
      </c>
      <c r="K145" s="194"/>
      <c r="L145" s="190">
        <f t="shared" si="8"/>
        <v>1.3262216193307149E-4</v>
      </c>
      <c r="M145" s="190">
        <f t="shared" si="6"/>
        <v>1.3262216193307149E-4</v>
      </c>
      <c r="N145" s="190">
        <f t="shared" si="7"/>
        <v>1.3262216193307149E-4</v>
      </c>
      <c r="O145" s="194"/>
      <c r="P145" s="194"/>
    </row>
    <row r="146" spans="2:16">
      <c r="B146" s="194"/>
      <c r="C146" s="194"/>
      <c r="D146" s="180">
        <v>0.1875</v>
      </c>
      <c r="E146" s="181" cm="1">
        <f t="array" ref="E146">INDEX('EV06'!$I$4:$I$291,MATCH(1,(E$135='EV06'!$D$4:$D$291) * ($D146='EV06'!$H$4:$H$291) * (E$136='EV06'!$F$4:$F$291),0))</f>
        <v>1.9746999999999999E-5</v>
      </c>
      <c r="F146" s="181" cm="1">
        <f t="array" ref="F146">INDEX('EV06'!$I$4:$I$291,MATCH(1,(F$135='EV06'!$D$4:$D$291) * ($D146='EV06'!$H$4:$H$291) * (F$136='EV06'!$F$4:$F$291),0))</f>
        <v>1.3438304099176003E-4</v>
      </c>
      <c r="G146" s="181" cm="1">
        <f t="array" ref="G146">INDEX('EV06'!$I$4:$I$291,MATCH(1,(G$135='EV06'!$D$4:$D$291) * ($D146='EV06'!$H$4:$H$291) * (G$136='EV06'!$F$4:$F$291),0))</f>
        <v>1.6659000000000001E-5</v>
      </c>
      <c r="H146" s="181" cm="1">
        <f t="array" ref="H146">INDEX('EV06'!$I$4:$I$291,MATCH(1,(H$135='EV06'!$D$4:$D$291) * ($D146='EV06'!$H$4:$H$291) * (H$136='EV06'!$F$4:$F$291),0))</f>
        <v>1.7433925262583403E-5</v>
      </c>
      <c r="I146" s="181" cm="1">
        <f t="array" ref="I146">INDEX('EV06'!$I$4:$I$291,MATCH(1,(I$135='EV06'!$D$4:$D$291) * ($D146='EV06'!$H$4:$H$291) * (I$136='EV06'!$F$4:$F$291),0))</f>
        <v>9.0270000000000001E-6</v>
      </c>
      <c r="J146" s="181" cm="1">
        <f t="array" ref="J146">INDEX('EV06'!$I$4:$I$291,MATCH(1,(J$135='EV06'!$D$4:$D$291) * ($D146='EV06'!$H$4:$H$291) * (J$136='EV06'!$F$4:$F$291),0))</f>
        <v>1.45589E-4</v>
      </c>
      <c r="K146" s="194"/>
      <c r="L146" s="190">
        <f t="shared" si="8"/>
        <v>1.0572403074382003E-4</v>
      </c>
      <c r="M146" s="190">
        <f t="shared" si="6"/>
        <v>1.0572403074382003E-4</v>
      </c>
      <c r="N146" s="190">
        <f t="shared" si="7"/>
        <v>1.0572403074382003E-4</v>
      </c>
      <c r="O146" s="194"/>
      <c r="P146" s="194"/>
    </row>
    <row r="147" spans="2:16">
      <c r="B147" s="194"/>
      <c r="C147" s="194"/>
      <c r="D147" s="180">
        <v>0.20833333333333334</v>
      </c>
      <c r="E147" s="181" cm="1">
        <f t="array" ref="E147">INDEX('EV06'!$I$4:$I$291,MATCH(1,(E$135='EV06'!$D$4:$D$291) * ($D147='EV06'!$H$4:$H$291) * (E$136='EV06'!$F$4:$F$291),0))</f>
        <v>1.7380999999999998E-5</v>
      </c>
      <c r="F147" s="181" cm="1">
        <f t="array" ref="F147">INDEX('EV06'!$I$4:$I$291,MATCH(1,(F$135='EV06'!$D$4:$D$291) * ($D147='EV06'!$H$4:$H$291) * (F$136='EV06'!$F$4:$F$291),0))</f>
        <v>1.0391119319754381E-4</v>
      </c>
      <c r="G147" s="181" cm="1">
        <f t="array" ref="G147">INDEX('EV06'!$I$4:$I$291,MATCH(1,(G$135='EV06'!$D$4:$D$291) * ($D147='EV06'!$H$4:$H$291) * (G$136='EV06'!$F$4:$F$291),0))</f>
        <v>2.0613000000000001E-5</v>
      </c>
      <c r="H147" s="181" cm="1">
        <f t="array" ref="H147">INDEX('EV06'!$I$4:$I$291,MATCH(1,(H$135='EV06'!$D$4:$D$291) * ($D147='EV06'!$H$4:$H$291) * (H$136='EV06'!$F$4:$F$291),0))</f>
        <v>2.0612946463033986E-5</v>
      </c>
      <c r="I147" s="181" cm="1">
        <f t="array" ref="I147">INDEX('EV06'!$I$4:$I$291,MATCH(1,(I$135='EV06'!$D$4:$D$291) * ($D147='EV06'!$H$4:$H$291) * (I$136='EV06'!$F$4:$F$291),0))</f>
        <v>1.2921999999999999E-5</v>
      </c>
      <c r="J147" s="181" cm="1">
        <f t="array" ref="J147">INDEX('EV06'!$I$4:$I$291,MATCH(1,(J$135='EV06'!$D$4:$D$291) * ($D147='EV06'!$H$4:$H$291) * (J$136='EV06'!$F$4:$F$291),0))</f>
        <v>1.2917899999999999E-4</v>
      </c>
      <c r="K147" s="194"/>
      <c r="L147" s="190">
        <f t="shared" si="8"/>
        <v>8.2278644898157853E-5</v>
      </c>
      <c r="M147" s="190">
        <f t="shared" si="6"/>
        <v>8.2278644898157853E-5</v>
      </c>
      <c r="N147" s="190">
        <f t="shared" si="7"/>
        <v>8.2278644898157853E-5</v>
      </c>
      <c r="O147" s="194"/>
      <c r="P147" s="194"/>
    </row>
    <row r="148" spans="2:16">
      <c r="B148" s="194"/>
      <c r="C148" s="194"/>
      <c r="D148" s="180">
        <v>0.22916666666666666</v>
      </c>
      <c r="E148" s="181" cm="1">
        <f t="array" ref="E148">INDEX('EV06'!$I$4:$I$291,MATCH(1,(E$135='EV06'!$D$4:$D$291) * ($D148='EV06'!$H$4:$H$291) * (E$136='EV06'!$F$4:$F$291),0))</f>
        <v>1.7620000000000001E-5</v>
      </c>
      <c r="F148" s="181" cm="1">
        <f t="array" ref="F148">INDEX('EV06'!$I$4:$I$291,MATCH(1,(F$135='EV06'!$D$4:$D$291) * ($D148='EV06'!$H$4:$H$291) * (F$136='EV06'!$F$4:$F$291),0))</f>
        <v>8.3742775952450933E-5</v>
      </c>
      <c r="G148" s="181" cm="1">
        <f t="array" ref="G148">INDEX('EV06'!$I$4:$I$291,MATCH(1,(G$135='EV06'!$D$4:$D$291) * ($D148='EV06'!$H$4:$H$291) * (G$136='EV06'!$F$4:$F$291),0))</f>
        <v>4.8411000000000001E-5</v>
      </c>
      <c r="H148" s="181" cm="1">
        <f t="array" ref="H148">INDEX('EV06'!$I$4:$I$291,MATCH(1,(H$135='EV06'!$D$4:$D$291) * ($D148='EV06'!$H$4:$H$291) * (H$136='EV06'!$F$4:$F$291),0))</f>
        <v>3.1793974576191048E-5</v>
      </c>
      <c r="I148" s="181" cm="1">
        <f t="array" ref="I148">INDEX('EV06'!$I$4:$I$291,MATCH(1,(I$135='EV06'!$D$4:$D$291) * ($D148='EV06'!$H$4:$H$291) * (I$136='EV06'!$F$4:$F$291),0))</f>
        <v>1.6816999999999998E-5</v>
      </c>
      <c r="J148" s="181" cm="1">
        <f t="array" ref="J148">INDEX('EV06'!$I$4:$I$291,MATCH(1,(J$135='EV06'!$D$4:$D$291) * ($D148='EV06'!$H$4:$H$291) * (J$136='EV06'!$F$4:$F$291),0))</f>
        <v>1.1277000000000001E-4</v>
      </c>
      <c r="K148" s="194"/>
      <c r="L148" s="190">
        <f t="shared" si="8"/>
        <v>6.7212081964338196E-5</v>
      </c>
      <c r="M148" s="190">
        <f t="shared" si="6"/>
        <v>6.7212081964338196E-5</v>
      </c>
      <c r="N148" s="190">
        <f t="shared" si="7"/>
        <v>6.7212081964338196E-5</v>
      </c>
      <c r="O148" s="194"/>
      <c r="P148" s="194"/>
    </row>
    <row r="149" spans="2:16">
      <c r="B149" s="194"/>
      <c r="C149" s="194"/>
      <c r="D149" s="180">
        <v>0.25</v>
      </c>
      <c r="E149" s="181" cm="1">
        <f t="array" ref="E149">INDEX('EV06'!$I$4:$I$291,MATCH(1,(E$135='EV06'!$D$4:$D$291) * ($D149='EV06'!$H$4:$H$291) * (E$136='EV06'!$F$4:$F$291),0))</f>
        <v>1.7859999999999998E-5</v>
      </c>
      <c r="F149" s="181" cm="1">
        <f t="array" ref="F149">INDEX('EV06'!$I$4:$I$291,MATCH(1,(F$135='EV06'!$D$4:$D$291) * ($D149='EV06'!$H$4:$H$291) * (F$136='EV06'!$F$4:$F$291),0))</f>
        <v>7.0151016504670555E-5</v>
      </c>
      <c r="G149" s="181" cm="1">
        <f t="array" ref="G149">INDEX('EV06'!$I$4:$I$291,MATCH(1,(G$135='EV06'!$D$4:$D$291) * ($D149='EV06'!$H$4:$H$291) * (G$136='EV06'!$F$4:$F$291),0))</f>
        <v>7.6209000000000002E-5</v>
      </c>
      <c r="H149" s="181" cm="1">
        <f t="array" ref="H149">INDEX('EV06'!$I$4:$I$291,MATCH(1,(H$135='EV06'!$D$4:$D$291) * ($D149='EV06'!$H$4:$H$291) * (H$136='EV06'!$F$4:$F$291),0))</f>
        <v>4.2975002689348108E-5</v>
      </c>
      <c r="I149" s="181" cm="1">
        <f t="array" ref="I149">INDEX('EV06'!$I$4:$I$291,MATCH(1,(I$135='EV06'!$D$4:$D$291) * ($D149='EV06'!$H$4:$H$291) * (I$136='EV06'!$F$4:$F$291),0))</f>
        <v>3.04E-5</v>
      </c>
      <c r="J149" s="181" cm="1">
        <f t="array" ref="J149">INDEX('EV06'!$I$4:$I$291,MATCH(1,(J$135='EV06'!$D$4:$D$291) * ($D149='EV06'!$H$4:$H$291) * (J$136='EV06'!$F$4:$F$291),0))</f>
        <v>1.01684E-4</v>
      </c>
      <c r="K149" s="194"/>
      <c r="L149" s="190">
        <f t="shared" si="8"/>
        <v>5.7078262378502915E-5</v>
      </c>
      <c r="M149" s="190">
        <f t="shared" si="6"/>
        <v>5.7078262378502915E-5</v>
      </c>
      <c r="N149" s="190">
        <f t="shared" si="7"/>
        <v>5.7078262378502915E-5</v>
      </c>
      <c r="O149" s="194"/>
      <c r="P149" s="194"/>
    </row>
    <row r="150" spans="2:16">
      <c r="B150" s="194"/>
      <c r="C150" s="194"/>
      <c r="D150" s="180">
        <v>0.27083333333333331</v>
      </c>
      <c r="E150" s="181" cm="1">
        <f t="array" ref="E150">INDEX('EV06'!$I$4:$I$291,MATCH(1,(E$135='EV06'!$D$4:$D$291) * ($D150='EV06'!$H$4:$H$291) * (E$136='EV06'!$F$4:$F$291),0))</f>
        <v>2.1212E-5</v>
      </c>
      <c r="F150" s="181" cm="1">
        <f t="array" ref="F150">INDEX('EV06'!$I$4:$I$291,MATCH(1,(F$135='EV06'!$D$4:$D$291) * ($D150='EV06'!$H$4:$H$291) * (F$136='EV06'!$F$4:$F$291),0))</f>
        <v>5.3928593937965741E-5</v>
      </c>
      <c r="G150" s="181" cm="1">
        <f t="array" ref="G150">INDEX('EV06'!$I$4:$I$291,MATCH(1,(G$135='EV06'!$D$4:$D$291) * ($D150='EV06'!$H$4:$H$291) * (G$136='EV06'!$F$4:$F$291),0))</f>
        <v>1.5965700000000001E-4</v>
      </c>
      <c r="H150" s="181" cm="1">
        <f t="array" ref="H150">INDEX('EV06'!$I$4:$I$291,MATCH(1,(H$135='EV06'!$D$4:$D$291) * ($D150='EV06'!$H$4:$H$291) * (H$136='EV06'!$F$4:$F$291),0))</f>
        <v>7.1790466451991685E-5</v>
      </c>
      <c r="I150" s="181" cm="1">
        <f t="array" ref="I150">INDEX('EV06'!$I$4:$I$291,MATCH(1,(I$135='EV06'!$D$4:$D$291) * ($D150='EV06'!$H$4:$H$291) * (I$136='EV06'!$F$4:$F$291),0))</f>
        <v>4.3983000000000002E-5</v>
      </c>
      <c r="J150" s="181" cm="1">
        <f t="array" ref="J150">INDEX('EV06'!$I$4:$I$291,MATCH(1,(J$135='EV06'!$D$4:$D$291) * ($D150='EV06'!$H$4:$H$291) * (J$136='EV06'!$F$4:$F$291),0))</f>
        <v>9.0598000000000002E-5</v>
      </c>
      <c r="K150" s="194"/>
      <c r="L150" s="190">
        <f t="shared" si="8"/>
        <v>4.5749445453474304E-5</v>
      </c>
      <c r="M150" s="190">
        <f t="shared" si="6"/>
        <v>4.5749445453474304E-5</v>
      </c>
      <c r="N150" s="190">
        <f t="shared" si="7"/>
        <v>4.5749445453474304E-5</v>
      </c>
      <c r="O150" s="194"/>
      <c r="P150" s="194"/>
    </row>
    <row r="151" spans="2:16">
      <c r="B151" s="194"/>
      <c r="C151" s="194"/>
      <c r="D151" s="180">
        <v>0.29166666666666669</v>
      </c>
      <c r="E151" s="181" cm="1">
        <f t="array" ref="E151">INDEX('EV06'!$I$4:$I$291,MATCH(1,(E$135='EV06'!$D$4:$D$291) * ($D151='EV06'!$H$4:$H$291) * (E$136='EV06'!$F$4:$F$291),0))</f>
        <v>2.4564000000000001E-5</v>
      </c>
      <c r="F151" s="181" cm="1">
        <f t="array" ref="F151">INDEX('EV06'!$I$4:$I$291,MATCH(1,(F$135='EV06'!$D$4:$D$291) * ($D151='EV06'!$H$4:$H$291) * (F$136='EV06'!$F$4:$F$291),0))</f>
        <v>5.5243925497428165E-5</v>
      </c>
      <c r="G151" s="181" cm="1">
        <f t="array" ref="G151">INDEX('EV06'!$I$4:$I$291,MATCH(1,(G$135='EV06'!$D$4:$D$291) * ($D151='EV06'!$H$4:$H$291) * (G$136='EV06'!$F$4:$F$291),0))</f>
        <v>2.4310400000000001E-4</v>
      </c>
      <c r="H151" s="181" cm="1">
        <f t="array" ref="H151">INDEX('EV06'!$I$4:$I$291,MATCH(1,(H$135='EV06'!$D$4:$D$291) * ($D151='EV06'!$H$4:$H$291) * (H$136='EV06'!$F$4:$F$291),0))</f>
        <v>1.0060593021463528E-4</v>
      </c>
      <c r="I151" s="181" cm="1">
        <f t="array" ref="I151">INDEX('EV06'!$I$4:$I$291,MATCH(1,(I$135='EV06'!$D$4:$D$291) * ($D151='EV06'!$H$4:$H$291) * (I$136='EV06'!$F$4:$F$291),0))</f>
        <v>6.1363000000000002E-5</v>
      </c>
      <c r="J151" s="181" cm="1">
        <f t="array" ref="J151">INDEX('EV06'!$I$4:$I$291,MATCH(1,(J$135='EV06'!$D$4:$D$291) * ($D151='EV06'!$H$4:$H$291) * (J$136='EV06'!$F$4:$F$291),0))</f>
        <v>8.1175999999999997E-5</v>
      </c>
      <c r="K151" s="194"/>
      <c r="L151" s="190">
        <f t="shared" si="8"/>
        <v>4.7573944123071125E-5</v>
      </c>
      <c r="M151" s="190">
        <f t="shared" si="6"/>
        <v>4.7573944123071125E-5</v>
      </c>
      <c r="N151" s="190">
        <f t="shared" si="7"/>
        <v>4.7573944123071125E-5</v>
      </c>
      <c r="O151" s="194"/>
      <c r="P151" s="194"/>
    </row>
    <row r="152" spans="2:16">
      <c r="B152" s="194"/>
      <c r="C152" s="194"/>
      <c r="D152" s="180">
        <v>0.3125</v>
      </c>
      <c r="E152" s="181" cm="1">
        <f t="array" ref="E152">INDEX('EV06'!$I$4:$I$291,MATCH(1,(E$135='EV06'!$D$4:$D$291) * ($D152='EV06'!$H$4:$H$291) * (E$136='EV06'!$F$4:$F$291),0))</f>
        <v>3.1427000000000003E-5</v>
      </c>
      <c r="F152" s="181" cm="1">
        <f t="array" ref="F152">INDEX('EV06'!$I$4:$I$291,MATCH(1,(F$135='EV06'!$D$4:$D$291) * ($D152='EV06'!$H$4:$H$291) * (F$136='EV06'!$F$4:$F$291),0))</f>
        <v>4.779037999380697E-5</v>
      </c>
      <c r="G152" s="181" cm="1">
        <f t="array" ref="G152">INDEX('EV06'!$I$4:$I$291,MATCH(1,(G$135='EV06'!$D$4:$D$291) * ($D152='EV06'!$H$4:$H$291) * (G$136='EV06'!$F$4:$F$291),0))</f>
        <v>3.3215399999999998E-4</v>
      </c>
      <c r="H152" s="181" cm="1">
        <f t="array" ref="H152">INDEX('EV06'!$I$4:$I$291,MATCH(1,(H$135='EV06'!$D$4:$D$291) * ($D152='EV06'!$H$4:$H$291) * (H$136='EV06'!$F$4:$F$291),0))</f>
        <v>1.5016685271193372E-4</v>
      </c>
      <c r="I152" s="181" cm="1">
        <f t="array" ref="I152">INDEX('EV06'!$I$4:$I$291,MATCH(1,(I$135='EV06'!$D$4:$D$291) * ($D152='EV06'!$H$4:$H$291) * (I$136='EV06'!$F$4:$F$291),0))</f>
        <v>7.8744000000000004E-5</v>
      </c>
      <c r="J152" s="181" cm="1">
        <f t="array" ref="J152">INDEX('EV06'!$I$4:$I$291,MATCH(1,(J$135='EV06'!$D$4:$D$291) * ($D152='EV06'!$H$4:$H$291) * (J$136='EV06'!$F$4:$F$291),0))</f>
        <v>7.1753000000000002E-5</v>
      </c>
      <c r="K152" s="194"/>
      <c r="L152" s="190">
        <f t="shared" si="8"/>
        <v>4.369953499535523E-5</v>
      </c>
      <c r="M152" s="190">
        <f t="shared" si="6"/>
        <v>4.369953499535523E-5</v>
      </c>
      <c r="N152" s="190">
        <f t="shared" si="7"/>
        <v>4.369953499535523E-5</v>
      </c>
      <c r="O152" s="194"/>
      <c r="P152" s="194"/>
    </row>
    <row r="153" spans="2:16">
      <c r="B153" s="194"/>
      <c r="C153" s="194"/>
      <c r="D153" s="180">
        <v>0.33333333333333331</v>
      </c>
      <c r="E153" s="181" cm="1">
        <f t="array" ref="E153">INDEX('EV06'!$I$4:$I$291,MATCH(1,(E$135='EV06'!$D$4:$D$291) * ($D153='EV06'!$H$4:$H$291) * (E$136='EV06'!$F$4:$F$291),0))</f>
        <v>3.8290000000000001E-5</v>
      </c>
      <c r="F153" s="181" cm="1">
        <f t="array" ref="F153">INDEX('EV06'!$I$4:$I$291,MATCH(1,(F$135='EV06'!$D$4:$D$291) * ($D153='EV06'!$H$4:$H$291) * (F$136='EV06'!$F$4:$F$291),0))</f>
        <v>3.5952395958643841E-5</v>
      </c>
      <c r="G153" s="181" cm="1">
        <f t="array" ref="G153">INDEX('EV06'!$I$4:$I$291,MATCH(1,(G$135='EV06'!$D$4:$D$291) * ($D153='EV06'!$H$4:$H$291) * (G$136='EV06'!$F$4:$F$291),0))</f>
        <v>4.2120500000000002E-4</v>
      </c>
      <c r="H153" s="181" cm="1">
        <f t="array" ref="H153">INDEX('EV06'!$I$4:$I$291,MATCH(1,(H$135='EV06'!$D$4:$D$291) * ($D153='EV06'!$H$4:$H$291) * (H$136='EV06'!$F$4:$F$291),0))</f>
        <v>1.9972777520923214E-4</v>
      </c>
      <c r="I153" s="181" cm="1">
        <f t="array" ref="I153">INDEX('EV06'!$I$4:$I$291,MATCH(1,(I$135='EV06'!$D$4:$D$291) * ($D153='EV06'!$H$4:$H$291) * (I$136='EV06'!$F$4:$F$291),0))</f>
        <v>9.7966000000000004E-5</v>
      </c>
      <c r="J153" s="181" cm="1">
        <f t="array" ref="J153">INDEX('EV06'!$I$4:$I$291,MATCH(1,(J$135='EV06'!$D$4:$D$291) * ($D153='EV06'!$H$4:$H$291) * (J$136='EV06'!$F$4:$F$291),0))</f>
        <v>6.4772999999999998E-5</v>
      </c>
      <c r="K153" s="194"/>
      <c r="L153" s="190">
        <f t="shared" si="8"/>
        <v>3.6536796968982877E-5</v>
      </c>
      <c r="M153" s="190">
        <f t="shared" si="6"/>
        <v>3.6536796968982877E-5</v>
      </c>
      <c r="N153" s="190">
        <f t="shared" si="7"/>
        <v>3.6536796968982877E-5</v>
      </c>
      <c r="O153" s="194"/>
      <c r="P153" s="194"/>
    </row>
    <row r="154" spans="2:16">
      <c r="B154" s="194"/>
      <c r="C154" s="194"/>
      <c r="D154" s="180">
        <v>0.35416666666666669</v>
      </c>
      <c r="E154" s="181" cm="1">
        <f t="array" ref="E154">INDEX('EV06'!$I$4:$I$291,MATCH(1,(E$135='EV06'!$D$4:$D$291) * ($D154='EV06'!$H$4:$H$291) * (E$136='EV06'!$F$4:$F$291),0))</f>
        <v>4.7519999999999999E-5</v>
      </c>
      <c r="F154" s="181" cm="1">
        <f t="array" ref="F154">INDEX('EV06'!$I$4:$I$291,MATCH(1,(F$135='EV06'!$D$4:$D$291) * ($D154='EV06'!$H$4:$H$291) * (F$136='EV06'!$F$4:$F$291),0))</f>
        <v>4.1652166049648194E-5</v>
      </c>
      <c r="G154" s="181" cm="1">
        <f t="array" ref="G154">INDEX('EV06'!$I$4:$I$291,MATCH(1,(G$135='EV06'!$D$4:$D$291) * ($D154='EV06'!$H$4:$H$291) * (G$136='EV06'!$F$4:$F$291),0))</f>
        <v>4.0128700000000001E-4</v>
      </c>
      <c r="H154" s="181" cm="1">
        <f t="array" ref="H154">INDEX('EV06'!$I$4:$I$291,MATCH(1,(H$135='EV06'!$D$4:$D$291) * ($D154='EV06'!$H$4:$H$291) * (H$136='EV06'!$F$4:$F$291),0))</f>
        <v>2.30457303868881E-4</v>
      </c>
      <c r="I154" s="181" cm="1">
        <f t="array" ref="I154">INDEX('EV06'!$I$4:$I$291,MATCH(1,(I$135='EV06'!$D$4:$D$291) * ($D154='EV06'!$H$4:$H$291) * (I$136='EV06'!$F$4:$F$291),0))</f>
        <v>1.17188E-4</v>
      </c>
      <c r="J154" s="181" cm="1">
        <f t="array" ref="J154">INDEX('EV06'!$I$4:$I$291,MATCH(1,(J$135='EV06'!$D$4:$D$291) * ($D154='EV06'!$H$4:$H$291) * (J$136='EV06'!$F$4:$F$291),0))</f>
        <v>5.7793E-5</v>
      </c>
      <c r="K154" s="194"/>
      <c r="L154" s="190">
        <f t="shared" si="8"/>
        <v>4.3119124537236147E-5</v>
      </c>
      <c r="M154" s="190">
        <f t="shared" si="6"/>
        <v>4.3119124537236147E-5</v>
      </c>
      <c r="N154" s="190">
        <f t="shared" si="7"/>
        <v>4.3119124537236147E-5</v>
      </c>
      <c r="O154" s="194"/>
      <c r="P154" s="194"/>
    </row>
    <row r="155" spans="2:16">
      <c r="B155" s="194"/>
      <c r="C155" s="194"/>
      <c r="D155" s="180">
        <v>0.375</v>
      </c>
      <c r="E155" s="181" cm="1">
        <f t="array" ref="E155">INDEX('EV06'!$I$4:$I$291,MATCH(1,(E$135='EV06'!$D$4:$D$291) * ($D155='EV06'!$H$4:$H$291) * (E$136='EV06'!$F$4:$F$291),0))</f>
        <v>5.6749999999999997E-5</v>
      </c>
      <c r="F155" s="181" cm="1">
        <f t="array" ref="F155">INDEX('EV06'!$I$4:$I$291,MATCH(1,(F$135='EV06'!$D$4:$D$291) * ($D155='EV06'!$H$4:$H$291) * (F$136='EV06'!$F$4:$F$291),0))</f>
        <v>4.1213722196494054E-5</v>
      </c>
      <c r="G155" s="181" cm="1">
        <f t="array" ref="G155">INDEX('EV06'!$I$4:$I$291,MATCH(1,(G$135='EV06'!$D$4:$D$291) * ($D155='EV06'!$H$4:$H$291) * (G$136='EV06'!$F$4:$F$291),0))</f>
        <v>3.81369E-4</v>
      </c>
      <c r="H155" s="181" cm="1">
        <f t="array" ref="H155">INDEX('EV06'!$I$4:$I$291,MATCH(1,(H$135='EV06'!$D$4:$D$291) * ($D155='EV06'!$H$4:$H$291) * (H$136='EV06'!$F$4:$F$291),0))</f>
        <v>2.6118683252852979E-4</v>
      </c>
      <c r="I155" s="181" cm="1">
        <f t="array" ref="I155">INDEX('EV06'!$I$4:$I$291,MATCH(1,(I$135='EV06'!$D$4:$D$291) * ($D155='EV06'!$H$4:$H$291) * (I$136='EV06'!$F$4:$F$291),0))</f>
        <v>1.34406E-4</v>
      </c>
      <c r="J155" s="181" cm="1">
        <f t="array" ref="J155">INDEX('EV06'!$I$4:$I$291,MATCH(1,(J$135='EV06'!$D$4:$D$291) * ($D155='EV06'!$H$4:$H$291) * (J$136='EV06'!$F$4:$F$291),0))</f>
        <v>5.2413000000000001E-5</v>
      </c>
      <c r="K155" s="194"/>
      <c r="L155" s="190">
        <f t="shared" si="8"/>
        <v>4.509779164737054E-5</v>
      </c>
      <c r="M155" s="190">
        <f t="shared" si="6"/>
        <v>4.509779164737054E-5</v>
      </c>
      <c r="N155" s="190">
        <f t="shared" si="7"/>
        <v>4.509779164737054E-5</v>
      </c>
      <c r="O155" s="194"/>
      <c r="P155" s="194"/>
    </row>
    <row r="156" spans="2:16">
      <c r="B156" s="194"/>
      <c r="C156" s="194"/>
      <c r="D156" s="180">
        <v>0.39583333333333331</v>
      </c>
      <c r="E156" s="181" cm="1">
        <f t="array" ref="E156">INDEX('EV06'!$I$4:$I$291,MATCH(1,(E$135='EV06'!$D$4:$D$291) * ($D156='EV06'!$H$4:$H$291) * (E$136='EV06'!$F$4:$F$291),0))</f>
        <v>6.0655000000000001E-5</v>
      </c>
      <c r="F156" s="181" cm="1">
        <f t="array" ref="F156">INDEX('EV06'!$I$4:$I$291,MATCH(1,(F$135='EV06'!$D$4:$D$291) * ($D156='EV06'!$H$4:$H$291) * (F$136='EV06'!$F$4:$F$291),0))</f>
        <v>4.2967497609110618E-5</v>
      </c>
      <c r="G156" s="181" cm="1">
        <f t="array" ref="G156">INDEX('EV06'!$I$4:$I$291,MATCH(1,(G$135='EV06'!$D$4:$D$291) * ($D156='EV06'!$H$4:$H$291) * (G$136='EV06'!$F$4:$F$291),0))</f>
        <v>3.1601099999999999E-4</v>
      </c>
      <c r="H156" s="181" cm="1">
        <f t="array" ref="H156">INDEX('EV06'!$I$4:$I$291,MATCH(1,(H$135='EV06'!$D$4:$D$291) * ($D156='EV06'!$H$4:$H$291) * (H$136='EV06'!$F$4:$F$291),0))</f>
        <v>2.5312391699185344E-4</v>
      </c>
      <c r="I156" s="181" cm="1">
        <f t="array" ref="I156">INDEX('EV06'!$I$4:$I$291,MATCH(1,(I$135='EV06'!$D$4:$D$291) * ($D156='EV06'!$H$4:$H$291) * (I$136='EV06'!$F$4:$F$291),0))</f>
        <v>1.51624E-4</v>
      </c>
      <c r="J156" s="181" cm="1">
        <f t="array" ref="J156">INDEX('EV06'!$I$4:$I$291,MATCH(1,(J$135='EV06'!$D$4:$D$291) * ($D156='EV06'!$H$4:$H$291) * (J$136='EV06'!$F$4:$F$291),0))</f>
        <v>4.7033000000000002E-5</v>
      </c>
      <c r="K156" s="194"/>
      <c r="L156" s="190">
        <f t="shared" si="8"/>
        <v>4.7389373206832967E-5</v>
      </c>
      <c r="M156" s="190">
        <f t="shared" si="6"/>
        <v>4.7389373206832967E-5</v>
      </c>
      <c r="N156" s="190">
        <f t="shared" si="7"/>
        <v>4.7389373206832967E-5</v>
      </c>
      <c r="O156" s="194"/>
      <c r="P156" s="194"/>
    </row>
    <row r="157" spans="2:16">
      <c r="B157" s="194"/>
      <c r="C157" s="194"/>
      <c r="D157" s="180">
        <v>0.41666666666666669</v>
      </c>
      <c r="E157" s="181" cm="1">
        <f t="array" ref="E157">INDEX('EV06'!$I$4:$I$291,MATCH(1,(E$135='EV06'!$D$4:$D$291) * ($D157='EV06'!$H$4:$H$291) * (E$136='EV06'!$F$4:$F$291),0))</f>
        <v>6.4560000000000005E-5</v>
      </c>
      <c r="F157" s="181" cm="1">
        <f t="array" ref="F157">INDEX('EV06'!$I$4:$I$291,MATCH(1,(F$135='EV06'!$D$4:$D$291) * ($D157='EV06'!$H$4:$H$291) * (F$136='EV06'!$F$4:$F$291),0))</f>
        <v>4.5598160728035861E-5</v>
      </c>
      <c r="G157" s="181" cm="1">
        <f t="array" ref="G157">INDEX('EV06'!$I$4:$I$291,MATCH(1,(G$135='EV06'!$D$4:$D$291) * ($D157='EV06'!$H$4:$H$291) * (G$136='EV06'!$F$4:$F$291),0))</f>
        <v>2.5065299999999999E-4</v>
      </c>
      <c r="H157" s="181" cm="1">
        <f t="array" ref="H157">INDEX('EV06'!$I$4:$I$291,MATCH(1,(H$135='EV06'!$D$4:$D$291) * ($D157='EV06'!$H$4:$H$291) * (H$136='EV06'!$F$4:$F$291),0))</f>
        <v>2.4506100145517699E-4</v>
      </c>
      <c r="I157" s="181" cm="1">
        <f t="array" ref="I157">INDEX('EV06'!$I$4:$I$291,MATCH(1,(I$135='EV06'!$D$4:$D$291) * ($D157='EV06'!$H$4:$H$291) * (I$136='EV06'!$F$4:$F$291),0))</f>
        <v>1.5789999999999999E-4</v>
      </c>
      <c r="J157" s="181" cm="1">
        <f t="array" ref="J157">INDEX('EV06'!$I$4:$I$291,MATCH(1,(J$135='EV06'!$D$4:$D$291) * ($D157='EV06'!$H$4:$H$291) * (J$136='EV06'!$F$4:$F$291),0))</f>
        <v>4.3441E-5</v>
      </c>
      <c r="K157" s="194"/>
      <c r="L157" s="190">
        <f t="shared" si="8"/>
        <v>5.0338620546026895E-5</v>
      </c>
      <c r="M157" s="190">
        <f t="shared" si="6"/>
        <v>5.0338620546026895E-5</v>
      </c>
      <c r="N157" s="190">
        <f t="shared" si="7"/>
        <v>5.0338620546026895E-5</v>
      </c>
      <c r="O157" s="194"/>
      <c r="P157" s="194"/>
    </row>
    <row r="158" spans="2:16">
      <c r="B158" s="194"/>
      <c r="C158" s="194"/>
      <c r="D158" s="180">
        <v>0.4375</v>
      </c>
      <c r="E158" s="181" cm="1">
        <f t="array" ref="E158">INDEX('EV06'!$I$4:$I$291,MATCH(1,(E$135='EV06'!$D$4:$D$291) * ($D158='EV06'!$H$4:$H$291) * (E$136='EV06'!$F$4:$F$291),0))</f>
        <v>6.9604000000000006E-5</v>
      </c>
      <c r="F158" s="181" cm="1">
        <f t="array" ref="F158">INDEX('EV06'!$I$4:$I$291,MATCH(1,(F$135='EV06'!$D$4:$D$291) * ($D158='EV06'!$H$4:$H$291) * (F$136='EV06'!$F$4:$F$291),0))</f>
        <v>4.8667267700115249E-5</v>
      </c>
      <c r="G158" s="181" cm="1">
        <f t="array" ref="G158">INDEX('EV06'!$I$4:$I$291,MATCH(1,(G$135='EV06'!$D$4:$D$291) * ($D158='EV06'!$H$4:$H$291) * (G$136='EV06'!$F$4:$F$291),0))</f>
        <v>2.1839900000000001E-4</v>
      </c>
      <c r="H158" s="181" cm="1">
        <f t="array" ref="H158">INDEX('EV06'!$I$4:$I$291,MATCH(1,(H$135='EV06'!$D$4:$D$291) * ($D158='EV06'!$H$4:$H$291) * (H$136='EV06'!$F$4:$F$291),0))</f>
        <v>2.3200357918773547E-4</v>
      </c>
      <c r="I158" s="181" cm="1">
        <f t="array" ref="I158">INDEX('EV06'!$I$4:$I$291,MATCH(1,(I$135='EV06'!$D$4:$D$291) * ($D158='EV06'!$H$4:$H$291) * (I$136='EV06'!$F$4:$F$291),0))</f>
        <v>1.6417600000000001E-4</v>
      </c>
      <c r="J158" s="181" cm="1">
        <f t="array" ref="J158">INDEX('EV06'!$I$4:$I$291,MATCH(1,(J$135='EV06'!$D$4:$D$291) * ($D158='EV06'!$H$4:$H$291) * (J$136='EV06'!$F$4:$F$291),0))</f>
        <v>3.9848999999999997E-5</v>
      </c>
      <c r="K158" s="194"/>
      <c r="L158" s="190">
        <f t="shared" si="8"/>
        <v>5.3901450775086445E-5</v>
      </c>
      <c r="M158" s="190">
        <f t="shared" si="6"/>
        <v>5.3901450775086445E-5</v>
      </c>
      <c r="N158" s="190">
        <f t="shared" si="7"/>
        <v>5.3901450775086445E-5</v>
      </c>
      <c r="O158" s="194"/>
      <c r="P158" s="194"/>
    </row>
    <row r="159" spans="2:16">
      <c r="B159" s="194"/>
      <c r="C159" s="194"/>
      <c r="D159" s="180">
        <v>0.45833333333333331</v>
      </c>
      <c r="E159" s="181" cm="1">
        <f t="array" ref="E159">INDEX('EV06'!$I$4:$I$291,MATCH(1,(E$135='EV06'!$D$4:$D$291) * ($D159='EV06'!$H$4:$H$291) * (E$136='EV06'!$F$4:$F$291),0))</f>
        <v>7.4648999999999996E-5</v>
      </c>
      <c r="F159" s="181" cm="1">
        <f t="array" ref="F159">INDEX('EV06'!$I$4:$I$291,MATCH(1,(F$135='EV06'!$D$4:$D$291) * ($D159='EV06'!$H$4:$H$291) * (F$136='EV06'!$F$4:$F$291),0))</f>
        <v>4.9105711553269388E-5</v>
      </c>
      <c r="G159" s="181" cm="1">
        <f t="array" ref="G159">INDEX('EV06'!$I$4:$I$291,MATCH(1,(G$135='EV06'!$D$4:$D$291) * ($D159='EV06'!$H$4:$H$291) * (G$136='EV06'!$F$4:$F$291),0))</f>
        <v>1.8614400000000001E-4</v>
      </c>
      <c r="H159" s="181" cm="1">
        <f t="array" ref="H159">INDEX('EV06'!$I$4:$I$291,MATCH(1,(H$135='EV06'!$D$4:$D$291) * ($D159='EV06'!$H$4:$H$291) * (H$136='EV06'!$F$4:$F$291),0))</f>
        <v>2.1894615692029387E-4</v>
      </c>
      <c r="I159" s="181" cm="1">
        <f t="array" ref="I159">INDEX('EV06'!$I$4:$I$291,MATCH(1,(I$135='EV06'!$D$4:$D$291) * ($D159='EV06'!$H$4:$H$291) * (I$136='EV06'!$F$4:$F$291),0))</f>
        <v>1.72996E-4</v>
      </c>
      <c r="J159" s="181" cm="1">
        <f t="array" ref="J159">INDEX('EV06'!$I$4:$I$291,MATCH(1,(J$135='EV06'!$D$4:$D$291) * ($D159='EV06'!$H$4:$H$291) * (J$136='EV06'!$F$4:$F$291),0))</f>
        <v>3.8006000000000002E-5</v>
      </c>
      <c r="K159" s="194"/>
      <c r="L159" s="190">
        <f t="shared" si="8"/>
        <v>5.5491533664952034E-5</v>
      </c>
      <c r="M159" s="190">
        <f t="shared" si="6"/>
        <v>5.5491533664952034E-5</v>
      </c>
      <c r="N159" s="190">
        <f t="shared" si="7"/>
        <v>5.5491533664952034E-5</v>
      </c>
      <c r="O159" s="194"/>
      <c r="P159" s="194"/>
    </row>
    <row r="160" spans="2:16">
      <c r="B160" s="194"/>
      <c r="C160" s="194"/>
      <c r="D160" s="180">
        <v>0.47916666666666669</v>
      </c>
      <c r="E160" s="181" cm="1">
        <f t="array" ref="E160">INDEX('EV06'!$I$4:$I$291,MATCH(1,(E$135='EV06'!$D$4:$D$291) * ($D160='EV06'!$H$4:$H$291) * (E$136='EV06'!$F$4:$F$291),0))</f>
        <v>8.0345000000000004E-5</v>
      </c>
      <c r="F160" s="181" cm="1">
        <f t="array" ref="F160">INDEX('EV06'!$I$4:$I$291,MATCH(1,(F$135='EV06'!$D$4:$D$291) * ($D160='EV06'!$H$4:$H$291) * (F$136='EV06'!$F$4:$F$291),0))</f>
        <v>5.2613262378502923E-5</v>
      </c>
      <c r="G160" s="181" cm="1">
        <f t="array" ref="G160">INDEX('EV06'!$I$4:$I$291,MATCH(1,(G$135='EV06'!$D$4:$D$291) * ($D160='EV06'!$H$4:$H$291) * (G$136='EV06'!$F$4:$F$291),0))</f>
        <v>1.7881900000000001E-4</v>
      </c>
      <c r="H160" s="181" cm="1">
        <f t="array" ref="H160">INDEX('EV06'!$I$4:$I$291,MATCH(1,(H$135='EV06'!$D$4:$D$291) * ($D160='EV06'!$H$4:$H$291) * (H$136='EV06'!$F$4:$F$291),0))</f>
        <v>2.1370240209453187E-4</v>
      </c>
      <c r="I160" s="181" cm="1">
        <f t="array" ref="I160">INDEX('EV06'!$I$4:$I$291,MATCH(1,(I$135='EV06'!$D$4:$D$291) * ($D160='EV06'!$H$4:$H$291) * (I$136='EV06'!$F$4:$F$291),0))</f>
        <v>1.8181499999999999E-4</v>
      </c>
      <c r="J160" s="181" cm="1">
        <f t="array" ref="J160">INDEX('EV06'!$I$4:$I$291,MATCH(1,(J$135='EV06'!$D$4:$D$291) * ($D160='EV06'!$H$4:$H$291) * (J$136='EV06'!$F$4:$F$291),0))</f>
        <v>3.6161999999999997E-5</v>
      </c>
      <c r="K160" s="194"/>
      <c r="L160" s="190">
        <f t="shared" si="8"/>
        <v>5.9546196783877193E-5</v>
      </c>
      <c r="M160" s="190">
        <f t="shared" si="6"/>
        <v>5.9546196783877193E-5</v>
      </c>
      <c r="N160" s="190">
        <f t="shared" si="7"/>
        <v>5.9546196783877193E-5</v>
      </c>
      <c r="O160" s="194"/>
      <c r="P160" s="194"/>
    </row>
    <row r="161" spans="2:16">
      <c r="B161" s="194"/>
      <c r="C161" s="194"/>
      <c r="D161" s="180">
        <v>0.5</v>
      </c>
      <c r="E161" s="181" cm="1">
        <f t="array" ref="E161">INDEX('EV06'!$I$4:$I$291,MATCH(1,(E$135='EV06'!$D$4:$D$291) * ($D161='EV06'!$H$4:$H$291) * (E$136='EV06'!$F$4:$F$291),0))</f>
        <v>8.6042000000000001E-5</v>
      </c>
      <c r="F161" s="181" cm="1">
        <f t="array" ref="F161">INDEX('EV06'!$I$4:$I$291,MATCH(1,(F$135='EV06'!$D$4:$D$291) * ($D161='EV06'!$H$4:$H$291) * (F$136='EV06'!$F$4:$F$291),0))</f>
        <v>5.3490150084811608E-5</v>
      </c>
      <c r="G161" s="181" cm="1">
        <f t="array" ref="G161">INDEX('EV06'!$I$4:$I$291,MATCH(1,(G$135='EV06'!$D$4:$D$291) * ($D161='EV06'!$H$4:$H$291) * (G$136='EV06'!$F$4:$F$291),0))</f>
        <v>1.7149299999999999E-4</v>
      </c>
      <c r="H161" s="181" cm="1">
        <f t="array" ref="H161">INDEX('EV06'!$I$4:$I$291,MATCH(1,(H$135='EV06'!$D$4:$D$291) * ($D161='EV06'!$H$4:$H$291) * (H$136='EV06'!$F$4:$F$291),0))</f>
        <v>2.084586472687699E-4</v>
      </c>
      <c r="I161" s="181" cm="1">
        <f t="array" ref="I161">INDEX('EV06'!$I$4:$I$291,MATCH(1,(I$135='EV06'!$D$4:$D$291) * ($D161='EV06'!$H$4:$H$291) * (I$136='EV06'!$F$4:$F$291),0))</f>
        <v>1.93241E-4</v>
      </c>
      <c r="J161" s="181" cm="1">
        <f t="array" ref="J161">INDEX('EV06'!$I$4:$I$291,MATCH(1,(J$135='EV06'!$D$4:$D$291) * ($D161='EV06'!$H$4:$H$291) * (J$136='EV06'!$F$4:$F$291),0))</f>
        <v>3.5043999999999999E-5</v>
      </c>
      <c r="K161" s="194"/>
      <c r="L161" s="190">
        <f t="shared" si="8"/>
        <v>6.1628112563608703E-5</v>
      </c>
      <c r="M161" s="190">
        <f t="shared" si="6"/>
        <v>6.1628112563608703E-5</v>
      </c>
      <c r="N161" s="190">
        <f t="shared" si="7"/>
        <v>6.1628112563608703E-5</v>
      </c>
      <c r="O161" s="194"/>
      <c r="P161" s="194"/>
    </row>
    <row r="162" spans="2:16">
      <c r="B162" s="194"/>
      <c r="C162" s="194"/>
      <c r="D162" s="180">
        <v>0.52083333333333337</v>
      </c>
      <c r="E162" s="181" cm="1">
        <f t="array" ref="E162">INDEX('EV06'!$I$4:$I$291,MATCH(1,(E$135='EV06'!$D$4:$D$291) * ($D162='EV06'!$H$4:$H$291) * (E$136='EV06'!$F$4:$F$291),0))</f>
        <v>9.0079000000000003E-5</v>
      </c>
      <c r="F162" s="181" cm="1">
        <f t="array" ref="F162">INDEX('EV06'!$I$4:$I$291,MATCH(1,(F$135='EV06'!$D$4:$D$291) * ($D162='EV06'!$H$4:$H$291) * (F$136='EV06'!$F$4:$F$291),0))</f>
        <v>5.5243925497428165E-5</v>
      </c>
      <c r="G162" s="181" cm="1">
        <f t="array" ref="G162">INDEX('EV06'!$I$4:$I$291,MATCH(1,(G$135='EV06'!$D$4:$D$291) * ($D162='EV06'!$H$4:$H$291) * (G$136='EV06'!$F$4:$F$291),0))</f>
        <v>1.71352E-4</v>
      </c>
      <c r="H162" s="181" cm="1">
        <f t="array" ref="H162">INDEX('EV06'!$I$4:$I$291,MATCH(1,(H$135='EV06'!$D$4:$D$291) * ($D162='EV06'!$H$4:$H$291) * (H$136='EV06'!$F$4:$F$291),0))</f>
        <v>2.0541197109321326E-4</v>
      </c>
      <c r="I162" s="181" cm="1">
        <f t="array" ref="I162">INDEX('EV06'!$I$4:$I$291,MATCH(1,(I$135='EV06'!$D$4:$D$291) * ($D162='EV06'!$H$4:$H$291) * (I$136='EV06'!$F$4:$F$291),0))</f>
        <v>2.04668E-4</v>
      </c>
      <c r="J162" s="181" cm="1">
        <f t="array" ref="J162">INDEX('EV06'!$I$4:$I$291,MATCH(1,(J$135='EV06'!$D$4:$D$291) * ($D162='EV06'!$H$4:$H$291) * (J$136='EV06'!$F$4:$F$291),0))</f>
        <v>3.3927000000000002E-5</v>
      </c>
      <c r="K162" s="194"/>
      <c r="L162" s="190">
        <f t="shared" si="8"/>
        <v>6.3952694123071128E-5</v>
      </c>
      <c r="M162" s="190">
        <f t="shared" si="6"/>
        <v>6.3952694123071128E-5</v>
      </c>
      <c r="N162" s="190">
        <f t="shared" si="7"/>
        <v>6.3952694123071128E-5</v>
      </c>
      <c r="O162" s="194"/>
      <c r="P162" s="194"/>
    </row>
    <row r="163" spans="2:16">
      <c r="B163" s="194"/>
      <c r="C163" s="194"/>
      <c r="D163" s="180">
        <v>0.54166666666666663</v>
      </c>
      <c r="E163" s="181" cm="1">
        <f t="array" ref="E163">INDEX('EV06'!$I$4:$I$291,MATCH(1,(E$135='EV06'!$D$4:$D$291) * ($D163='EV06'!$H$4:$H$291) * (E$136='EV06'!$F$4:$F$291),0))</f>
        <v>9.4115000000000003E-5</v>
      </c>
      <c r="F163" s="181" cm="1">
        <f t="array" ref="F163">INDEX('EV06'!$I$4:$I$291,MATCH(1,(F$135='EV06'!$D$4:$D$291) * ($D163='EV06'!$H$4:$H$291) * (F$136='EV06'!$F$4:$F$291),0))</f>
        <v>5.5243925497428165E-5</v>
      </c>
      <c r="G163" s="181" cm="1">
        <f t="array" ref="G163">INDEX('EV06'!$I$4:$I$291,MATCH(1,(G$135='EV06'!$D$4:$D$291) * ($D163='EV06'!$H$4:$H$291) * (G$136='EV06'!$F$4:$F$291),0))</f>
        <v>1.71211E-4</v>
      </c>
      <c r="H163" s="181" cm="1">
        <f t="array" ref="H163">INDEX('EV06'!$I$4:$I$291,MATCH(1,(H$135='EV06'!$D$4:$D$291) * ($D163='EV06'!$H$4:$H$291) * (H$136='EV06'!$F$4:$F$291),0))</f>
        <v>2.0236529491765663E-4</v>
      </c>
      <c r="I163" s="181" cm="1">
        <f t="array" ref="I163">INDEX('EV06'!$I$4:$I$291,MATCH(1,(I$135='EV06'!$D$4:$D$291) * ($D163='EV06'!$H$4:$H$291) * (I$136='EV06'!$F$4:$F$291),0))</f>
        <v>2.0990900000000001E-4</v>
      </c>
      <c r="J163" s="181" cm="1">
        <f t="array" ref="J163">INDEX('EV06'!$I$4:$I$291,MATCH(1,(J$135='EV06'!$D$4:$D$291) * ($D163='EV06'!$H$4:$H$291) * (J$136='EV06'!$F$4:$F$291),0))</f>
        <v>3.3578000000000003E-5</v>
      </c>
      <c r="K163" s="194"/>
      <c r="L163" s="190">
        <f t="shared" si="8"/>
        <v>6.4961694123071131E-5</v>
      </c>
      <c r="M163" s="190">
        <f t="shared" si="6"/>
        <v>6.4961694123071131E-5</v>
      </c>
      <c r="N163" s="190">
        <f t="shared" si="7"/>
        <v>6.4961694123071131E-5</v>
      </c>
      <c r="O163" s="194"/>
      <c r="P163" s="194"/>
    </row>
    <row r="164" spans="2:16">
      <c r="B164" s="194"/>
      <c r="C164" s="194"/>
      <c r="D164" s="180">
        <v>0.5625</v>
      </c>
      <c r="E164" s="181" cm="1">
        <f t="array" ref="E164">INDEX('EV06'!$I$4:$I$291,MATCH(1,(E$135='EV06'!$D$4:$D$291) * ($D164='EV06'!$H$4:$H$291) * (E$136='EV06'!$F$4:$F$291),0))</f>
        <v>9.6290000000000001E-5</v>
      </c>
      <c r="F164" s="181" cm="1">
        <f t="array" ref="F164">INDEX('EV06'!$I$4:$I$291,MATCH(1,(F$135='EV06'!$D$4:$D$291) * ($D164='EV06'!$H$4:$H$291) * (F$136='EV06'!$F$4:$F$291),0))</f>
        <v>5.8751476322661693E-5</v>
      </c>
      <c r="G164" s="181" cm="1">
        <f t="array" ref="G164">INDEX('EV06'!$I$4:$I$291,MATCH(1,(G$135='EV06'!$D$4:$D$291) * ($D164='EV06'!$H$4:$H$291) * (G$136='EV06'!$F$4:$F$291),0))</f>
        <v>1.59987E-4</v>
      </c>
      <c r="H164" s="181" cm="1">
        <f t="array" ref="H164">INDEX('EV06'!$I$4:$I$291,MATCH(1,(H$135='EV06'!$D$4:$D$291) * ($D164='EV06'!$H$4:$H$291) * (H$136='EV06'!$F$4:$F$291),0))</f>
        <v>1.9463967667384804E-4</v>
      </c>
      <c r="I164" s="181" cm="1">
        <f t="array" ref="I164">INDEX('EV06'!$I$4:$I$291,MATCH(1,(I$135='EV06'!$D$4:$D$291) * ($D164='EV06'!$H$4:$H$291) * (I$136='EV06'!$F$4:$F$291),0))</f>
        <v>2.1515E-4</v>
      </c>
      <c r="J164" s="181" cm="1">
        <f t="array" ref="J164">INDEX('EV06'!$I$4:$I$291,MATCH(1,(J$135='EV06'!$D$4:$D$291) * ($D164='EV06'!$H$4:$H$291) * (J$136='EV06'!$F$4:$F$291),0))</f>
        <v>3.3229000000000003E-5</v>
      </c>
      <c r="K164" s="194"/>
      <c r="L164" s="190">
        <f t="shared" si="8"/>
        <v>6.8136107241996275E-5</v>
      </c>
      <c r="M164" s="190">
        <f t="shared" si="6"/>
        <v>6.8136107241996275E-5</v>
      </c>
      <c r="N164" s="190">
        <f t="shared" si="7"/>
        <v>6.8136107241996275E-5</v>
      </c>
      <c r="O164" s="194"/>
      <c r="P164" s="194"/>
    </row>
    <row r="165" spans="2:16">
      <c r="B165" s="194"/>
      <c r="C165" s="194"/>
      <c r="D165" s="180">
        <v>0.58333333333333337</v>
      </c>
      <c r="E165" s="181" cm="1">
        <f t="array" ref="E165">INDEX('EV06'!$I$4:$I$291,MATCH(1,(E$135='EV06'!$D$4:$D$291) * ($D165='EV06'!$H$4:$H$291) * (E$136='EV06'!$F$4:$F$291),0))</f>
        <v>9.8465E-5</v>
      </c>
      <c r="F165" s="181" cm="1">
        <f t="array" ref="F165">INDEX('EV06'!$I$4:$I$291,MATCH(1,(F$135='EV06'!$D$4:$D$291) * ($D165='EV06'!$H$4:$H$291) * (F$136='EV06'!$F$4:$F$291),0))</f>
        <v>5.8751476322661693E-5</v>
      </c>
      <c r="G165" s="181" cm="1">
        <f t="array" ref="G165">INDEX('EV06'!$I$4:$I$291,MATCH(1,(G$135='EV06'!$D$4:$D$291) * ($D165='EV06'!$H$4:$H$291) * (G$136='EV06'!$F$4:$F$291),0))</f>
        <v>1.4876399999999999E-4</v>
      </c>
      <c r="H165" s="181" cm="1">
        <f t="array" ref="H165">INDEX('EV06'!$I$4:$I$291,MATCH(1,(H$135='EV06'!$D$4:$D$291) * ($D165='EV06'!$H$4:$H$291) * (H$136='EV06'!$F$4:$F$291),0))</f>
        <v>1.8691405843003936E-4</v>
      </c>
      <c r="I165" s="181" cm="1">
        <f t="array" ref="I165">INDEX('EV06'!$I$4:$I$291,MATCH(1,(I$135='EV06'!$D$4:$D$291) * ($D165='EV06'!$H$4:$H$291) * (I$136='EV06'!$F$4:$F$291),0))</f>
        <v>2.1227999999999999E-4</v>
      </c>
      <c r="J165" s="181" cm="1">
        <f t="array" ref="J165">INDEX('EV06'!$I$4:$I$291,MATCH(1,(J$135='EV06'!$D$4:$D$291) * ($D165='EV06'!$H$4:$H$291) * (J$136='EV06'!$F$4:$F$291),0))</f>
        <v>3.3868000000000002E-5</v>
      </c>
      <c r="K165" s="194"/>
      <c r="L165" s="190">
        <f t="shared" si="8"/>
        <v>6.8679857241996271E-5</v>
      </c>
      <c r="M165" s="190">
        <f t="shared" si="6"/>
        <v>6.8679857241996271E-5</v>
      </c>
      <c r="N165" s="190">
        <f t="shared" si="7"/>
        <v>6.8679857241996271E-5</v>
      </c>
      <c r="O165" s="194"/>
      <c r="P165" s="194"/>
    </row>
    <row r="166" spans="2:16">
      <c r="B166" s="194"/>
      <c r="C166" s="194"/>
      <c r="D166" s="180">
        <v>0.60416666666666663</v>
      </c>
      <c r="E166" s="181" cm="1">
        <f t="array" ref="E166">INDEX('EV06'!$I$4:$I$291,MATCH(1,(E$135='EV06'!$D$4:$D$291) * ($D166='EV06'!$H$4:$H$291) * (E$136='EV06'!$F$4:$F$291),0))</f>
        <v>1.0696699999999999E-4</v>
      </c>
      <c r="F166" s="181" cm="1">
        <f t="array" ref="F166">INDEX('EV06'!$I$4:$I$291,MATCH(1,(F$135='EV06'!$D$4:$D$291) * ($D166='EV06'!$H$4:$H$291) * (F$136='EV06'!$F$4:$F$291),0))</f>
        <v>5.5243925497428165E-5</v>
      </c>
      <c r="G166" s="181" cm="1">
        <f t="array" ref="G166">INDEX('EV06'!$I$4:$I$291,MATCH(1,(G$135='EV06'!$D$4:$D$291) * ($D166='EV06'!$H$4:$H$291) * (G$136='EV06'!$F$4:$F$291),0))</f>
        <v>1.3754199999999999E-4</v>
      </c>
      <c r="H166" s="181" cm="1">
        <f t="array" ref="H166">INDEX('EV06'!$I$4:$I$291,MATCH(1,(H$135='EV06'!$D$4:$D$291) * ($D166='EV06'!$H$4:$H$291) * (H$136='EV06'!$F$4:$F$291),0))</f>
        <v>1.7571008128843503E-4</v>
      </c>
      <c r="I166" s="181" cm="1">
        <f t="array" ref="I166">INDEX('EV06'!$I$4:$I$291,MATCH(1,(I$135='EV06'!$D$4:$D$291) * ($D166='EV06'!$H$4:$H$291) * (I$136='EV06'!$F$4:$F$291),0))</f>
        <v>2.0940999999999999E-4</v>
      </c>
      <c r="J166" s="181" cm="1">
        <f t="array" ref="J166">INDEX('EV06'!$I$4:$I$291,MATCH(1,(J$135='EV06'!$D$4:$D$291) * ($D166='EV06'!$H$4:$H$291) * (J$136='EV06'!$F$4:$F$291),0))</f>
        <v>3.4507E-5</v>
      </c>
      <c r="K166" s="194"/>
      <c r="L166" s="190">
        <f t="shared" si="8"/>
        <v>6.8174694123071116E-5</v>
      </c>
      <c r="M166" s="190">
        <f t="shared" si="6"/>
        <v>6.8174694123071116E-5</v>
      </c>
      <c r="N166" s="190">
        <f t="shared" si="7"/>
        <v>6.8174694123071116E-5</v>
      </c>
      <c r="O166" s="194"/>
      <c r="P166" s="194"/>
    </row>
    <row r="167" spans="2:16">
      <c r="B167" s="194"/>
      <c r="C167" s="194"/>
      <c r="D167" s="180">
        <v>0.625</v>
      </c>
      <c r="E167" s="181" cm="1">
        <f t="array" ref="E167">INDEX('EV06'!$I$4:$I$291,MATCH(1,(E$135='EV06'!$D$4:$D$291) * ($D167='EV06'!$H$4:$H$291) * (E$136='EV06'!$F$4:$F$291),0))</f>
        <v>1.15469E-4</v>
      </c>
      <c r="F167" s="181" cm="1">
        <f t="array" ref="F167">INDEX('EV06'!$I$4:$I$291,MATCH(1,(F$135='EV06'!$D$4:$D$291) * ($D167='EV06'!$H$4:$H$291) * (F$136='EV06'!$F$4:$F$291),0))</f>
        <v>5.5682369350582305E-5</v>
      </c>
      <c r="G167" s="181" cm="1">
        <f t="array" ref="G167">INDEX('EV06'!$I$4:$I$291,MATCH(1,(G$135='EV06'!$D$4:$D$291) * ($D167='EV06'!$H$4:$H$291) * (G$136='EV06'!$F$4:$F$291),0))</f>
        <v>1.2632100000000001E-4</v>
      </c>
      <c r="H167" s="181" cm="1">
        <f t="array" ref="H167">INDEX('EV06'!$I$4:$I$291,MATCH(1,(H$135='EV06'!$D$4:$D$291) * ($D167='EV06'!$H$4:$H$291) * (H$136='EV06'!$F$4:$F$291),0))</f>
        <v>1.645061041468307E-4</v>
      </c>
      <c r="I167" s="181" cm="1">
        <f t="array" ref="I167">INDEX('EV06'!$I$4:$I$291,MATCH(1,(I$135='EV06'!$D$4:$D$291) * ($D167='EV06'!$H$4:$H$291) * (I$136='EV06'!$F$4:$F$291),0))</f>
        <v>2.06422E-4</v>
      </c>
      <c r="J167" s="181" cm="1">
        <f t="array" ref="J167">INDEX('EV06'!$I$4:$I$291,MATCH(1,(J$135='EV06'!$D$4:$D$291) * ($D167='EV06'!$H$4:$H$291) * (J$136='EV06'!$F$4:$F$291),0))</f>
        <v>3.7996E-5</v>
      </c>
      <c r="K167" s="194"/>
      <c r="L167" s="190">
        <f t="shared" si="8"/>
        <v>7.0629027012936732E-5</v>
      </c>
      <c r="M167" s="190">
        <f t="shared" si="6"/>
        <v>7.0629027012936732E-5</v>
      </c>
      <c r="N167" s="190">
        <f t="shared" si="7"/>
        <v>7.0629027012936732E-5</v>
      </c>
      <c r="O167" s="194"/>
      <c r="P167" s="194"/>
    </row>
    <row r="168" spans="2:16">
      <c r="B168" s="194"/>
      <c r="C168" s="194"/>
      <c r="D168" s="180">
        <v>0.64583333333333337</v>
      </c>
      <c r="E168" s="181" cm="1">
        <f t="array" ref="E168">INDEX('EV06'!$I$4:$I$291,MATCH(1,(E$135='EV06'!$D$4:$D$291) * ($D168='EV06'!$H$4:$H$291) * (E$136='EV06'!$F$4:$F$291),0))</f>
        <v>1.3636599999999999E-4</v>
      </c>
      <c r="F168" s="181" cm="1">
        <f t="array" ref="F168">INDEX('EV06'!$I$4:$I$291,MATCH(1,(F$135='EV06'!$D$4:$D$291) * ($D168='EV06'!$H$4:$H$291) * (F$136='EV06'!$F$4:$F$291),0))</f>
        <v>5.831303246950756E-5</v>
      </c>
      <c r="G168" s="181" cm="1">
        <f t="array" ref="G168">INDEX('EV06'!$I$4:$I$291,MATCH(1,(G$135='EV06'!$D$4:$D$291) * ($D168='EV06'!$H$4:$H$291) * (G$136='EV06'!$F$4:$F$291),0))</f>
        <v>1.1637E-4</v>
      </c>
      <c r="H168" s="181" cm="1">
        <f t="array" ref="H168">INDEX('EV06'!$I$4:$I$291,MATCH(1,(H$135='EV06'!$D$4:$D$291) * ($D168='EV06'!$H$4:$H$291) * (H$136='EV06'!$F$4:$F$291),0))</f>
        <v>1.5630908093212129E-4</v>
      </c>
      <c r="I168" s="181" cm="1">
        <f t="array" ref="I168">INDEX('EV06'!$I$4:$I$291,MATCH(1,(I$135='EV06'!$D$4:$D$291) * ($D168='EV06'!$H$4:$H$291) * (I$136='EV06'!$F$4:$F$291),0))</f>
        <v>2.03434E-4</v>
      </c>
      <c r="J168" s="181" cm="1">
        <f t="array" ref="J168">INDEX('EV06'!$I$4:$I$291,MATCH(1,(J$135='EV06'!$D$4:$D$291) * ($D168='EV06'!$H$4:$H$291) * (J$136='EV06'!$F$4:$F$291),0))</f>
        <v>4.1485E-5</v>
      </c>
      <c r="K168" s="194"/>
      <c r="L168" s="190">
        <f t="shared" si="8"/>
        <v>7.7826274352130664E-5</v>
      </c>
      <c r="M168" s="190">
        <f t="shared" si="6"/>
        <v>7.7826274352130664E-5</v>
      </c>
      <c r="N168" s="190">
        <f t="shared" si="7"/>
        <v>7.7826274352130664E-5</v>
      </c>
      <c r="O168" s="194"/>
      <c r="P168" s="194"/>
    </row>
    <row r="169" spans="2:16">
      <c r="B169" s="194"/>
      <c r="C169" s="194"/>
      <c r="D169" s="180">
        <v>0.66666666666666663</v>
      </c>
      <c r="E169" s="181" cm="1">
        <f t="array" ref="E169">INDEX('EV06'!$I$4:$I$291,MATCH(1,(E$135='EV06'!$D$4:$D$291) * ($D169='EV06'!$H$4:$H$291) * (E$136='EV06'!$F$4:$F$291),0))</f>
        <v>1.5726299999999999E-4</v>
      </c>
      <c r="F169" s="181" cm="1">
        <f t="array" ref="F169">INDEX('EV06'!$I$4:$I$291,MATCH(1,(F$135='EV06'!$D$4:$D$291) * ($D169='EV06'!$H$4:$H$291) * (F$136='EV06'!$F$4:$F$291),0))</f>
        <v>6.9712572651516415E-5</v>
      </c>
      <c r="G169" s="181" cm="1">
        <f t="array" ref="G169">INDEX('EV06'!$I$4:$I$291,MATCH(1,(G$135='EV06'!$D$4:$D$291) * ($D169='EV06'!$H$4:$H$291) * (G$136='EV06'!$F$4:$F$291),0))</f>
        <v>1.0642E-4</v>
      </c>
      <c r="H169" s="181" cm="1">
        <f t="array" ref="H169">INDEX('EV06'!$I$4:$I$291,MATCH(1,(H$135='EV06'!$D$4:$D$291) * ($D169='EV06'!$H$4:$H$291) * (H$136='EV06'!$F$4:$F$291),0))</f>
        <v>1.481120577174119E-4</v>
      </c>
      <c r="I169" s="181" cm="1">
        <f t="array" ref="I169">INDEX('EV06'!$I$4:$I$291,MATCH(1,(I$135='EV06'!$D$4:$D$291) * ($D169='EV06'!$H$4:$H$291) * (I$136='EV06'!$F$4:$F$291),0))</f>
        <v>2.0120000000000001E-4</v>
      </c>
      <c r="J169" s="181" cm="1">
        <f t="array" ref="J169">INDEX('EV06'!$I$4:$I$291,MATCH(1,(J$135='EV06'!$D$4:$D$291) * ($D169='EV06'!$H$4:$H$291) * (J$136='EV06'!$F$4:$F$291),0))</f>
        <v>5.0856000000000002E-5</v>
      </c>
      <c r="K169" s="194"/>
      <c r="L169" s="190">
        <f t="shared" si="8"/>
        <v>9.1600179488637309E-5</v>
      </c>
      <c r="M169" s="190">
        <f t="shared" si="6"/>
        <v>9.1600179488637309E-5</v>
      </c>
      <c r="N169" s="190">
        <f t="shared" si="7"/>
        <v>9.1600179488637309E-5</v>
      </c>
      <c r="O169" s="194"/>
      <c r="P169" s="194"/>
    </row>
    <row r="170" spans="2:16">
      <c r="B170" s="194"/>
      <c r="C170" s="194"/>
      <c r="D170" s="180">
        <v>0.6875</v>
      </c>
      <c r="E170" s="181" cm="1">
        <f t="array" ref="E170">INDEX('EV06'!$I$4:$I$291,MATCH(1,(E$135='EV06'!$D$4:$D$291) * ($D170='EV06'!$H$4:$H$291) * (E$136='EV06'!$F$4:$F$291),0))</f>
        <v>1.8484600000000001E-4</v>
      </c>
      <c r="F170" s="181" cm="1">
        <f t="array" ref="F170">INDEX('EV06'!$I$4:$I$291,MATCH(1,(F$135='EV06'!$D$4:$D$291) * ($D170='EV06'!$H$4:$H$291) * (F$136='EV06'!$F$4:$F$291),0))</f>
        <v>7.5412342742521053E-5</v>
      </c>
      <c r="G170" s="181" cm="1">
        <f t="array" ref="G170">INDEX('EV06'!$I$4:$I$291,MATCH(1,(G$135='EV06'!$D$4:$D$291) * ($D170='EV06'!$H$4:$H$291) * (G$136='EV06'!$F$4:$F$291),0))</f>
        <v>9.6531000000000001E-5</v>
      </c>
      <c r="H170" s="181" cm="1">
        <f t="array" ref="H170">INDEX('EV06'!$I$4:$I$291,MATCH(1,(H$135='EV06'!$D$4:$D$291) * ($D170='EV06'!$H$4:$H$291) * (H$136='EV06'!$F$4:$F$291),0))</f>
        <v>1.4476832731491262E-4</v>
      </c>
      <c r="I170" s="181" cm="1">
        <f t="array" ref="I170">INDEX('EV06'!$I$4:$I$291,MATCH(1,(I$135='EV06'!$D$4:$D$291) * ($D170='EV06'!$H$4:$H$291) * (I$136='EV06'!$F$4:$F$291),0))</f>
        <v>1.9896700000000001E-4</v>
      </c>
      <c r="J170" s="181" cm="1">
        <f t="array" ref="J170">INDEX('EV06'!$I$4:$I$291,MATCH(1,(J$135='EV06'!$D$4:$D$291) * ($D170='EV06'!$H$4:$H$291) * (J$136='EV06'!$F$4:$F$291),0))</f>
        <v>6.0226999999999998E-5</v>
      </c>
      <c r="K170" s="194"/>
      <c r="L170" s="190">
        <f t="shared" si="8"/>
        <v>1.0277075705689079E-4</v>
      </c>
      <c r="M170" s="190">
        <f t="shared" si="6"/>
        <v>1.0277075705689079E-4</v>
      </c>
      <c r="N170" s="190">
        <f t="shared" si="7"/>
        <v>1.0277075705689079E-4</v>
      </c>
      <c r="O170" s="194"/>
      <c r="P170" s="194"/>
    </row>
    <row r="171" spans="2:16">
      <c r="B171" s="194"/>
      <c r="C171" s="194"/>
      <c r="D171" s="180">
        <v>0.70833333333333337</v>
      </c>
      <c r="E171" s="181" cm="1">
        <f t="array" ref="E171">INDEX('EV06'!$I$4:$I$291,MATCH(1,(E$135='EV06'!$D$4:$D$291) * ($D171='EV06'!$H$4:$H$291) * (E$136='EV06'!$F$4:$F$291),0))</f>
        <v>2.1242900000000001E-4</v>
      </c>
      <c r="F171" s="181" cm="1">
        <f t="array" ref="F171">INDEX('EV06'!$I$4:$I$291,MATCH(1,(F$135='EV06'!$D$4:$D$291) * ($D171='EV06'!$H$4:$H$291) * (F$136='EV06'!$F$4:$F$291),0))</f>
        <v>8.3304332099296387E-5</v>
      </c>
      <c r="G171" s="181" cm="1">
        <f t="array" ref="G171">INDEX('EV06'!$I$4:$I$291,MATCH(1,(G$135='EV06'!$D$4:$D$291) * ($D171='EV06'!$H$4:$H$291) * (G$136='EV06'!$F$4:$F$291),0))</f>
        <v>8.6642000000000002E-5</v>
      </c>
      <c r="H171" s="181" cm="1">
        <f t="array" ref="H171">INDEX('EV06'!$I$4:$I$291,MATCH(1,(H$135='EV06'!$D$4:$D$291) * ($D171='EV06'!$H$4:$H$291) * (H$136='EV06'!$F$4:$F$291),0))</f>
        <v>1.4142459691241334E-4</v>
      </c>
      <c r="I171" s="181" cm="1">
        <f t="array" ref="I171">INDEX('EV06'!$I$4:$I$291,MATCH(1,(I$135='EV06'!$D$4:$D$291) * ($D171='EV06'!$H$4:$H$291) * (I$136='EV06'!$F$4:$F$291),0))</f>
        <v>1.98185E-4</v>
      </c>
      <c r="J171" s="181" cm="1">
        <f t="array" ref="J171">INDEX('EV06'!$I$4:$I$291,MATCH(1,(J$135='EV06'!$D$4:$D$291) * ($D171='EV06'!$H$4:$H$291) * (J$136='EV06'!$F$4:$F$291),0))</f>
        <v>7.9237E-5</v>
      </c>
      <c r="K171" s="194"/>
      <c r="L171" s="190">
        <f t="shared" si="8"/>
        <v>1.1558549907447229E-4</v>
      </c>
      <c r="M171" s="190">
        <f t="shared" si="6"/>
        <v>1.1558549907447229E-4</v>
      </c>
      <c r="N171" s="190">
        <f t="shared" si="7"/>
        <v>1.1558549907447229E-4</v>
      </c>
      <c r="O171" s="194"/>
      <c r="P171" s="194"/>
    </row>
    <row r="172" spans="2:16">
      <c r="B172" s="194"/>
      <c r="C172" s="194"/>
      <c r="D172" s="180">
        <v>0.72916666666666663</v>
      </c>
      <c r="E172" s="181" cm="1">
        <f t="array" ref="E172">INDEX('EV06'!$I$4:$I$291,MATCH(1,(E$135='EV06'!$D$4:$D$291) * ($D172='EV06'!$H$4:$H$291) * (E$136='EV06'!$F$4:$F$291),0))</f>
        <v>2.3897999999999999E-4</v>
      </c>
      <c r="F172" s="181" cm="1">
        <f t="array" ref="F172">INDEX('EV06'!$I$4:$I$291,MATCH(1,(F$135='EV06'!$D$4:$D$291) * ($D172='EV06'!$H$4:$H$291) * (F$136='EV06'!$F$4:$F$291),0))</f>
        <v>9.2511653015534546E-5</v>
      </c>
      <c r="G172" s="181" cm="1">
        <f t="array" ref="G172">INDEX('EV06'!$I$4:$I$291,MATCH(1,(G$135='EV06'!$D$4:$D$291) * ($D172='EV06'!$H$4:$H$291) * (G$136='EV06'!$F$4:$F$291),0))</f>
        <v>7.7455999999999998E-5</v>
      </c>
      <c r="H172" s="181" cm="1">
        <f t="array" ref="H172">INDEX('EV06'!$I$4:$I$291,MATCH(1,(H$135='EV06'!$D$4:$D$291) * ($D172='EV06'!$H$4:$H$291) * (H$136='EV06'!$F$4:$F$291),0))</f>
        <v>1.400977769103943E-4</v>
      </c>
      <c r="I172" s="181" cm="1">
        <f t="array" ref="I172">INDEX('EV06'!$I$4:$I$291,MATCH(1,(I$135='EV06'!$D$4:$D$291) * ($D172='EV06'!$H$4:$H$291) * (I$136='EV06'!$F$4:$F$291),0))</f>
        <v>1.9740299999999999E-4</v>
      </c>
      <c r="J172" s="181" cm="1">
        <f t="array" ref="J172">INDEX('EV06'!$I$4:$I$291,MATCH(1,(J$135='EV06'!$D$4:$D$291) * ($D172='EV06'!$H$4:$H$291) * (J$136='EV06'!$F$4:$F$291),0))</f>
        <v>9.8245999999999994E-5</v>
      </c>
      <c r="K172" s="194"/>
      <c r="L172" s="190">
        <f t="shared" si="8"/>
        <v>1.2912873976165092E-4</v>
      </c>
      <c r="M172" s="190">
        <f t="shared" si="6"/>
        <v>1.2912873976165092E-4</v>
      </c>
      <c r="N172" s="190">
        <f t="shared" si="7"/>
        <v>1.2912873976165092E-4</v>
      </c>
      <c r="O172" s="194"/>
      <c r="P172" s="194"/>
    </row>
    <row r="173" spans="2:16">
      <c r="B173" s="194"/>
      <c r="C173" s="194"/>
      <c r="D173" s="180">
        <v>0.75</v>
      </c>
      <c r="E173" s="181" cm="1">
        <f t="array" ref="E173">INDEX('EV06'!$I$4:$I$291,MATCH(1,(E$135='EV06'!$D$4:$D$291) * ($D173='EV06'!$H$4:$H$291) * (E$136='EV06'!$F$4:$F$291),0))</f>
        <v>2.6553200000000002E-4</v>
      </c>
      <c r="F173" s="181" cm="1">
        <f t="array" ref="F173">INDEX('EV06'!$I$4:$I$291,MATCH(1,(F$135='EV06'!$D$4:$D$291) * ($D173='EV06'!$H$4:$H$291) * (F$136='EV06'!$F$4:$F$291),0))</f>
        <v>1.0084208622546443E-4</v>
      </c>
      <c r="G173" s="181" cm="1">
        <f t="array" ref="G173">INDEX('EV06'!$I$4:$I$291,MATCH(1,(G$135='EV06'!$D$4:$D$291) * ($D173='EV06'!$H$4:$H$291) * (G$136='EV06'!$F$4:$F$291),0))</f>
        <v>6.8269999999999995E-5</v>
      </c>
      <c r="H173" s="181" cm="1">
        <f t="array" ref="H173">INDEX('EV06'!$I$4:$I$291,MATCH(1,(H$135='EV06'!$D$4:$D$291) * ($D173='EV06'!$H$4:$H$291) * (H$136='EV06'!$F$4:$F$291),0))</f>
        <v>1.3877095690837527E-4</v>
      </c>
      <c r="I173" s="181" cm="1">
        <f t="array" ref="I173">INDEX('EV06'!$I$4:$I$291,MATCH(1,(I$135='EV06'!$D$4:$D$291) * ($D173='EV06'!$H$4:$H$291) * (I$136='EV06'!$F$4:$F$291),0))</f>
        <v>1.9522499999999999E-4</v>
      </c>
      <c r="J173" s="181" cm="1">
        <f t="array" ref="J173">INDEX('EV06'!$I$4:$I$291,MATCH(1,(J$135='EV06'!$D$4:$D$291) * ($D173='EV06'!$H$4:$H$291) * (J$136='EV06'!$F$4:$F$291),0))</f>
        <v>1.25807E-4</v>
      </c>
      <c r="K173" s="194"/>
      <c r="L173" s="190">
        <f t="shared" si="8"/>
        <v>1.420145646690983E-4</v>
      </c>
      <c r="M173" s="190">
        <f t="shared" si="6"/>
        <v>1.420145646690983E-4</v>
      </c>
      <c r="N173" s="190">
        <f t="shared" si="7"/>
        <v>1.420145646690983E-4</v>
      </c>
      <c r="O173" s="194"/>
      <c r="P173" s="194"/>
    </row>
    <row r="174" spans="2:16">
      <c r="B174" s="194"/>
      <c r="C174" s="194"/>
      <c r="D174" s="180">
        <v>0.77083333333333337</v>
      </c>
      <c r="E174" s="181" cm="1">
        <f t="array" ref="E174">INDEX('EV06'!$I$4:$I$291,MATCH(1,(E$135='EV06'!$D$4:$D$291) * ($D174='EV06'!$H$4:$H$291) * (E$136='EV06'!$F$4:$F$291),0))</f>
        <v>2.7015299999999997E-4</v>
      </c>
      <c r="F174" s="181" cm="1">
        <f t="array" ref="F174">INDEX('EV06'!$I$4:$I$291,MATCH(1,(F$135='EV06'!$D$4:$D$291) * ($D174='EV06'!$H$4:$H$291) * (F$136='EV06'!$F$4:$F$291),0))</f>
        <v>1.1180318255431915E-4</v>
      </c>
      <c r="G174" s="181" cm="1">
        <f t="array" ref="G174">INDEX('EV06'!$I$4:$I$291,MATCH(1,(G$135='EV06'!$D$4:$D$291) * ($D174='EV06'!$H$4:$H$291) * (G$136='EV06'!$F$4:$F$291),0))</f>
        <v>6.198E-5</v>
      </c>
      <c r="H174" s="181" cm="1">
        <f t="array" ref="H174">INDEX('EV06'!$I$4:$I$291,MATCH(1,(H$135='EV06'!$D$4:$D$291) * ($D174='EV06'!$H$4:$H$291) * (H$136='EV06'!$F$4:$F$291),0))</f>
        <v>1.2989825510290455E-4</v>
      </c>
      <c r="I174" s="181" cm="1">
        <f t="array" ref="I174">INDEX('EV06'!$I$4:$I$291,MATCH(1,(I$135='EV06'!$D$4:$D$291) * ($D174='EV06'!$H$4:$H$291) * (I$136='EV06'!$F$4:$F$291),0))</f>
        <v>1.9304599999999999E-4</v>
      </c>
      <c r="J174" s="181" cm="1">
        <f t="array" ref="J174">INDEX('EV06'!$I$4:$I$291,MATCH(1,(J$135='EV06'!$D$4:$D$291) * ($D174='EV06'!$H$4:$H$291) * (J$136='EV06'!$F$4:$F$291),0))</f>
        <v>1.53368E-4</v>
      </c>
      <c r="K174" s="194"/>
      <c r="L174" s="190">
        <f t="shared" si="8"/>
        <v>1.5139063691573936E-4</v>
      </c>
      <c r="M174" s="190">
        <f t="shared" si="6"/>
        <v>1.5139063691573936E-4</v>
      </c>
      <c r="N174" s="190">
        <f t="shared" si="7"/>
        <v>1.5139063691573936E-4</v>
      </c>
      <c r="O174" s="194"/>
      <c r="P174" s="194"/>
    </row>
    <row r="175" spans="2:16">
      <c r="B175" s="194"/>
      <c r="C175" s="194"/>
      <c r="D175" s="180">
        <v>0.79166666666666663</v>
      </c>
      <c r="E175" s="181" cm="1">
        <f t="array" ref="E175">INDEX('EV06'!$I$4:$I$291,MATCH(1,(E$135='EV06'!$D$4:$D$291) * ($D175='EV06'!$H$4:$H$291) * (E$136='EV06'!$F$4:$F$291),0))</f>
        <v>2.7477300000000002E-4</v>
      </c>
      <c r="F175" s="181" cm="1">
        <f t="array" ref="F175">INDEX('EV06'!$I$4:$I$291,MATCH(1,(F$135='EV06'!$D$4:$D$291) * ($D175='EV06'!$H$4:$H$291) * (F$136='EV06'!$F$4:$F$291),0))</f>
        <v>1.1794139649847793E-4</v>
      </c>
      <c r="G175" s="181" cm="1">
        <f t="array" ref="G175">INDEX('EV06'!$I$4:$I$291,MATCH(1,(G$135='EV06'!$D$4:$D$291) * ($D175='EV06'!$H$4:$H$291) * (G$136='EV06'!$F$4:$F$291),0))</f>
        <v>5.5689999999999997E-5</v>
      </c>
      <c r="H175" s="181" cm="1">
        <f t="array" ref="H175">INDEX('EV06'!$I$4:$I$291,MATCH(1,(H$135='EV06'!$D$4:$D$291) * ($D175='EV06'!$H$4:$H$291) * (H$136='EV06'!$F$4:$F$291),0))</f>
        <v>1.210255532974338E-4</v>
      </c>
      <c r="I175" s="181" cm="1">
        <f t="array" ref="I175">INDEX('EV06'!$I$4:$I$291,MATCH(1,(I$135='EV06'!$D$4:$D$291) * ($D175='EV06'!$H$4:$H$291) * (I$136='EV06'!$F$4:$F$291),0))</f>
        <v>1.7954000000000001E-4</v>
      </c>
      <c r="J175" s="181" cm="1">
        <f t="array" ref="J175">INDEX('EV06'!$I$4:$I$291,MATCH(1,(J$135='EV06'!$D$4:$D$291) * ($D175='EV06'!$H$4:$H$291) * (J$136='EV06'!$F$4:$F$291),0))</f>
        <v>1.6919E-4</v>
      </c>
      <c r="K175" s="194"/>
      <c r="L175" s="190">
        <f t="shared" si="8"/>
        <v>1.5714929737385846E-4</v>
      </c>
      <c r="M175" s="190">
        <f t="shared" si="6"/>
        <v>1.5714929737385846E-4</v>
      </c>
      <c r="N175" s="190">
        <f t="shared" si="7"/>
        <v>1.5714929737385846E-4</v>
      </c>
      <c r="O175" s="194"/>
      <c r="P175" s="194"/>
    </row>
    <row r="176" spans="2:16">
      <c r="B176" s="194"/>
      <c r="C176" s="194"/>
      <c r="D176" s="180">
        <v>0.8125</v>
      </c>
      <c r="E176" s="181" cm="1">
        <f t="array" ref="E176">INDEX('EV06'!$I$4:$I$291,MATCH(1,(E$135='EV06'!$D$4:$D$291) * ($D176='EV06'!$H$4:$H$291) * (E$136='EV06'!$F$4:$F$291),0))</f>
        <v>2.653E-4</v>
      </c>
      <c r="F176" s="181" cm="1">
        <f t="array" ref="F176">INDEX('EV06'!$I$4:$I$291,MATCH(1,(F$135='EV06'!$D$4:$D$291) * ($D176='EV06'!$H$4:$H$291) * (F$136='EV06'!$F$4:$F$291),0))</f>
        <v>1.2232583503001972E-4</v>
      </c>
      <c r="G176" s="181" cm="1">
        <f t="array" ref="G176">INDEX('EV06'!$I$4:$I$291,MATCH(1,(G$135='EV06'!$D$4:$D$291) * ($D176='EV06'!$H$4:$H$291) * (G$136='EV06'!$F$4:$F$291),0))</f>
        <v>5.0528000000000001E-5</v>
      </c>
      <c r="H176" s="181" cm="1">
        <f t="array" ref="H176">INDEX('EV06'!$I$4:$I$291,MATCH(1,(H$135='EV06'!$D$4:$D$291) * ($D176='EV06'!$H$4:$H$291) * (H$136='EV06'!$F$4:$F$291),0))</f>
        <v>1.0582363760704424E-4</v>
      </c>
      <c r="I176" s="181" cm="1">
        <f t="array" ref="I176">INDEX('EV06'!$I$4:$I$291,MATCH(1,(I$135='EV06'!$D$4:$D$291) * ($D176='EV06'!$H$4:$H$291) * (I$136='EV06'!$F$4:$F$291),0))</f>
        <v>1.6603399999999999E-4</v>
      </c>
      <c r="J176" s="181" cm="1">
        <f t="array" ref="J176">INDEX('EV06'!$I$4:$I$291,MATCH(1,(J$135='EV06'!$D$4:$D$291) * ($D176='EV06'!$H$4:$H$291) * (J$136='EV06'!$F$4:$F$291),0))</f>
        <v>1.85012E-4</v>
      </c>
      <c r="K176" s="194"/>
      <c r="L176" s="190">
        <f t="shared" si="8"/>
        <v>1.5806937627251479E-4</v>
      </c>
      <c r="M176" s="190">
        <f t="shared" si="6"/>
        <v>1.5806937627251479E-4</v>
      </c>
      <c r="N176" s="190">
        <f t="shared" si="7"/>
        <v>1.5806937627251479E-4</v>
      </c>
      <c r="O176" s="194"/>
      <c r="P176" s="194"/>
    </row>
    <row r="177" spans="2:33">
      <c r="B177" s="194"/>
      <c r="C177" s="194"/>
      <c r="D177" s="180">
        <v>0.83333333333333337</v>
      </c>
      <c r="E177" s="181" cm="1">
        <f t="array" ref="E177">INDEX('EV06'!$I$4:$I$291,MATCH(1,(E$135='EV06'!$D$4:$D$291) * ($D177='EV06'!$H$4:$H$291) * (E$136='EV06'!$F$4:$F$291),0))</f>
        <v>2.5582600000000001E-4</v>
      </c>
      <c r="F177" s="181" cm="1">
        <f t="array" ref="F177">INDEX('EV06'!$I$4:$I$291,MATCH(1,(F$135='EV06'!$D$4:$D$291) * ($D177='EV06'!$H$4:$H$291) * (F$136='EV06'!$F$4:$F$291),0))</f>
        <v>1.2671027356156154E-4</v>
      </c>
      <c r="G177" s="181" cm="1">
        <f t="array" ref="G177">INDEX('EV06'!$I$4:$I$291,MATCH(1,(G$135='EV06'!$D$4:$D$291) * ($D177='EV06'!$H$4:$H$291) * (G$136='EV06'!$F$4:$F$291),0))</f>
        <v>4.5367000000000001E-5</v>
      </c>
      <c r="H177" s="181" cm="1">
        <f t="array" ref="H177">INDEX('EV06'!$I$4:$I$291,MATCH(1,(H$135='EV06'!$D$4:$D$291) * ($D177='EV06'!$H$4:$H$291) * (H$136='EV06'!$F$4:$F$291),0))</f>
        <v>9.0621721916654696E-5</v>
      </c>
      <c r="I177" s="181" cm="1">
        <f t="array" ref="I177">INDEX('EV06'!$I$4:$I$291,MATCH(1,(I$135='EV06'!$D$4:$D$291) * ($D177='EV06'!$H$4:$H$291) * (I$136='EV06'!$F$4:$F$291),0))</f>
        <v>1.4787200000000001E-4</v>
      </c>
      <c r="J177" s="181" cm="1">
        <f t="array" ref="J177">INDEX('EV06'!$I$4:$I$291,MATCH(1,(J$135='EV06'!$D$4:$D$291) * ($D177='EV06'!$H$4:$H$291) * (J$136='EV06'!$F$4:$F$291),0))</f>
        <v>1.8919600000000001E-4</v>
      </c>
      <c r="K177" s="194"/>
      <c r="L177" s="190">
        <f t="shared" si="8"/>
        <v>1.5898920517117115E-4</v>
      </c>
      <c r="M177" s="190">
        <f t="shared" si="6"/>
        <v>1.5898920517117115E-4</v>
      </c>
      <c r="N177" s="190">
        <f t="shared" si="7"/>
        <v>1.5898920517117115E-4</v>
      </c>
      <c r="O177" s="194"/>
      <c r="P177" s="194"/>
    </row>
    <row r="178" spans="2:33">
      <c r="B178" s="194"/>
      <c r="C178" s="194"/>
      <c r="D178" s="180">
        <v>0.85416666666666663</v>
      </c>
      <c r="E178" s="181" cm="1">
        <f t="array" ref="E178">INDEX('EV06'!$I$4:$I$291,MATCH(1,(E$135='EV06'!$D$4:$D$291) * ($D178='EV06'!$H$4:$H$291) * (E$136='EV06'!$F$4:$F$291),0))</f>
        <v>2.41769E-4</v>
      </c>
      <c r="F178" s="181" cm="1">
        <f t="array" ref="F178">INDEX('EV06'!$I$4:$I$291,MATCH(1,(F$135='EV06'!$D$4:$D$291) * ($D178='EV06'!$H$4:$H$291) * (F$136='EV06'!$F$4:$F$291),0))</f>
        <v>1.4074047686249566E-4</v>
      </c>
      <c r="G178" s="181" cm="1">
        <f t="array" ref="G178">INDEX('EV06'!$I$4:$I$291,MATCH(1,(G$135='EV06'!$D$4:$D$291) * ($D178='EV06'!$H$4:$H$291) * (G$136='EV06'!$F$4:$F$291),0))</f>
        <v>4.2372E-5</v>
      </c>
      <c r="H178" s="181" cm="1">
        <f t="array" ref="H178">INDEX('EV06'!$I$4:$I$291,MATCH(1,(H$135='EV06'!$D$4:$D$291) * ($D178='EV06'!$H$4:$H$291) * (H$136='EV06'!$F$4:$F$291),0))</f>
        <v>7.6742817290091308E-5</v>
      </c>
      <c r="I178" s="181" cm="1">
        <f t="array" ref="I178">INDEX('EV06'!$I$4:$I$291,MATCH(1,(I$135='EV06'!$D$4:$D$291) * ($D178='EV06'!$H$4:$H$291) * (I$136='EV06'!$F$4:$F$291),0))</f>
        <v>1.2970899999999999E-4</v>
      </c>
      <c r="J178" s="181" cm="1">
        <f t="array" ref="J178">INDEX('EV06'!$I$4:$I$291,MATCH(1,(J$135='EV06'!$D$4:$D$291) * ($D178='EV06'!$H$4:$H$291) * (J$136='EV06'!$F$4:$F$291),0))</f>
        <v>1.9337900000000001E-4</v>
      </c>
      <c r="K178" s="194"/>
      <c r="L178" s="190">
        <f t="shared" si="8"/>
        <v>1.6599760764687173E-4</v>
      </c>
      <c r="M178" s="190">
        <f t="shared" si="6"/>
        <v>1.6599760764687173E-4</v>
      </c>
      <c r="N178" s="190">
        <f t="shared" si="7"/>
        <v>1.6599760764687173E-4</v>
      </c>
      <c r="O178" s="194"/>
      <c r="P178" s="194"/>
    </row>
    <row r="179" spans="2:33">
      <c r="B179" s="194"/>
      <c r="C179" s="194"/>
      <c r="D179" s="180">
        <v>0.875</v>
      </c>
      <c r="E179" s="181" cm="1">
        <f t="array" ref="E179">INDEX('EV06'!$I$4:$I$291,MATCH(1,(E$135='EV06'!$D$4:$D$291) * ($D179='EV06'!$H$4:$H$291) * (E$136='EV06'!$F$4:$F$291),0))</f>
        <v>2.2771099999999999E-4</v>
      </c>
      <c r="F179" s="181" cm="1">
        <f t="array" ref="F179">INDEX('EV06'!$I$4:$I$291,MATCH(1,(F$135='EV06'!$D$4:$D$291) * ($D179='EV06'!$H$4:$H$291) * (F$136='EV06'!$F$4:$F$291),0))</f>
        <v>1.4468647154088375E-4</v>
      </c>
      <c r="G179" s="181" cm="1">
        <f t="array" ref="G179">INDEX('EV06'!$I$4:$I$291,MATCH(1,(G$135='EV06'!$D$4:$D$291) * ($D179='EV06'!$H$4:$H$291) * (G$136='EV06'!$F$4:$F$291),0))</f>
        <v>3.9376999999999999E-5</v>
      </c>
      <c r="H179" s="181" cm="1">
        <f t="array" ref="H179">INDEX('EV06'!$I$4:$I$291,MATCH(1,(H$135='EV06'!$D$4:$D$291) * ($D179='EV06'!$H$4:$H$291) * (H$136='EV06'!$F$4:$F$291),0))</f>
        <v>6.2863912663527907E-5</v>
      </c>
      <c r="I179" s="181" cm="1">
        <f t="array" ref="I179">INDEX('EV06'!$I$4:$I$291,MATCH(1,(I$135='EV06'!$D$4:$D$291) * ($D179='EV06'!$H$4:$H$291) * (I$136='EV06'!$F$4:$F$291),0))</f>
        <v>1.11276E-4</v>
      </c>
      <c r="J179" s="181" cm="1">
        <f t="array" ref="J179">INDEX('EV06'!$I$4:$I$291,MATCH(1,(J$135='EV06'!$D$4:$D$291) * ($D179='EV06'!$H$4:$H$291) * (J$136='EV06'!$F$4:$F$291),0))</f>
        <v>1.9623500000000001E-4</v>
      </c>
      <c r="K179" s="194"/>
      <c r="L179" s="190">
        <f t="shared" si="8"/>
        <v>1.654426036556628E-4</v>
      </c>
      <c r="M179" s="190">
        <f t="shared" si="6"/>
        <v>1.654426036556628E-4</v>
      </c>
      <c r="N179" s="190">
        <f t="shared" si="7"/>
        <v>1.654426036556628E-4</v>
      </c>
      <c r="O179" s="194"/>
      <c r="P179" s="194"/>
    </row>
    <row r="180" spans="2:33">
      <c r="B180" s="194"/>
      <c r="C180" s="194"/>
      <c r="D180" s="180">
        <v>0.89583333333333337</v>
      </c>
      <c r="E180" s="181" cm="1">
        <f t="array" ref="E180">INDEX('EV06'!$I$4:$I$291,MATCH(1,(E$135='EV06'!$D$4:$D$291) * ($D180='EV06'!$H$4:$H$291) * (E$136='EV06'!$F$4:$F$291),0))</f>
        <v>2.1337400000000001E-4</v>
      </c>
      <c r="F180" s="181" cm="1">
        <f t="array" ref="F180">INDEX('EV06'!$I$4:$I$291,MATCH(1,(F$135='EV06'!$D$4:$D$291) * ($D180='EV06'!$H$4:$H$291) * (F$136='EV06'!$F$4:$F$291),0))</f>
        <v>1.4731713465980859E-4</v>
      </c>
      <c r="G180" s="181" cm="1">
        <f t="array" ref="G180">INDEX('EV06'!$I$4:$I$291,MATCH(1,(G$135='EV06'!$D$4:$D$291) * ($D180='EV06'!$H$4:$H$291) * (G$136='EV06'!$F$4:$F$291),0))</f>
        <v>3.7626999999999997E-5</v>
      </c>
      <c r="H180" s="181" cm="1">
        <f t="array" ref="H180">INDEX('EV06'!$I$4:$I$291,MATCH(1,(H$135='EV06'!$D$4:$D$291) * ($D180='EV06'!$H$4:$H$291) * (H$136='EV06'!$F$4:$F$291),0))</f>
        <v>5.4333557562524453E-5</v>
      </c>
      <c r="I180" s="181" cm="1">
        <f t="array" ref="I180">INDEX('EV06'!$I$4:$I$291,MATCH(1,(I$135='EV06'!$D$4:$D$291) * ($D180='EV06'!$H$4:$H$291) * (I$136='EV06'!$F$4:$F$291),0))</f>
        <v>9.2843000000000005E-5</v>
      </c>
      <c r="J180" s="181" cm="1">
        <f t="array" ref="J180">INDEX('EV06'!$I$4:$I$291,MATCH(1,(J$135='EV06'!$D$4:$D$291) * ($D180='EV06'!$H$4:$H$291) * (J$136='EV06'!$F$4:$F$291),0))</f>
        <v>1.9909100000000001E-4</v>
      </c>
      <c r="K180" s="194"/>
      <c r="L180" s="190">
        <f t="shared" si="8"/>
        <v>1.6383135099485644E-4</v>
      </c>
      <c r="M180" s="190">
        <f t="shared" si="6"/>
        <v>1.6383135099485644E-4</v>
      </c>
      <c r="N180" s="190">
        <f t="shared" si="7"/>
        <v>1.6383135099485644E-4</v>
      </c>
      <c r="O180" s="194"/>
      <c r="P180" s="194"/>
    </row>
    <row r="181" spans="2:33">
      <c r="B181" s="194"/>
      <c r="C181" s="194"/>
      <c r="D181" s="180">
        <v>0.91666666666666663</v>
      </c>
      <c r="E181" s="181" cm="1">
        <f t="array" ref="E181">INDEX('EV06'!$I$4:$I$291,MATCH(1,(E$135='EV06'!$D$4:$D$291) * ($D181='EV06'!$H$4:$H$291) * (E$136='EV06'!$F$4:$F$291),0))</f>
        <v>1.99037E-4</v>
      </c>
      <c r="F181" s="181" cm="1">
        <f t="array" ref="F181">INDEX('EV06'!$I$4:$I$291,MATCH(1,(F$135='EV06'!$D$4:$D$291) * ($D181='EV06'!$H$4:$H$291) * (F$136='EV06'!$F$4:$F$291),0))</f>
        <v>1.4907091007242555E-4</v>
      </c>
      <c r="G181" s="181" cm="1">
        <f t="array" ref="G181">INDEX('EV06'!$I$4:$I$291,MATCH(1,(G$135='EV06'!$D$4:$D$291) * ($D181='EV06'!$H$4:$H$291) * (G$136='EV06'!$F$4:$F$291),0))</f>
        <v>3.5877000000000002E-5</v>
      </c>
      <c r="H181" s="181" cm="1">
        <f t="array" ref="H181">INDEX('EV06'!$I$4:$I$291,MATCH(1,(H$135='EV06'!$D$4:$D$291) * ($D181='EV06'!$H$4:$H$291) * (H$136='EV06'!$F$4:$F$291),0))</f>
        <v>4.5803202461521013E-5</v>
      </c>
      <c r="I181" s="181" cm="1">
        <f t="array" ref="I181">INDEX('EV06'!$I$4:$I$291,MATCH(1,(I$135='EV06'!$D$4:$D$291) * ($D181='EV06'!$H$4:$H$291) * (I$136='EV06'!$F$4:$F$291),0))</f>
        <v>7.7174000000000003E-5</v>
      </c>
      <c r="J181" s="181" cm="1">
        <f t="array" ref="J181">INDEX('EV06'!$I$4:$I$291,MATCH(1,(J$135='EV06'!$D$4:$D$291) * ($D181='EV06'!$H$4:$H$291) * (J$136='EV06'!$F$4:$F$291),0))</f>
        <v>1.9829599999999999E-4</v>
      </c>
      <c r="K181" s="194"/>
      <c r="L181" s="190">
        <f t="shared" si="8"/>
        <v>1.6156243255431915E-4</v>
      </c>
      <c r="M181" s="190">
        <f t="shared" si="6"/>
        <v>1.6156243255431915E-4</v>
      </c>
      <c r="N181" s="190">
        <f t="shared" si="7"/>
        <v>1.6156243255431915E-4</v>
      </c>
      <c r="O181" s="194"/>
      <c r="P181" s="194"/>
    </row>
    <row r="182" spans="2:33">
      <c r="B182" s="194"/>
      <c r="C182" s="194"/>
      <c r="D182" s="180">
        <v>0.9375</v>
      </c>
      <c r="E182" s="181" cm="1">
        <f t="array" ref="E182">INDEX('EV06'!$I$4:$I$291,MATCH(1,(E$135='EV06'!$D$4:$D$291) * ($D182='EV06'!$H$4:$H$291) * (E$136='EV06'!$F$4:$F$291),0))</f>
        <v>1.7922399999999999E-4</v>
      </c>
      <c r="F182" s="181" cm="1">
        <f t="array" ref="F182">INDEX('EV06'!$I$4:$I$291,MATCH(1,(F$135='EV06'!$D$4:$D$291) * ($D182='EV06'!$H$4:$H$291) * (F$136='EV06'!$F$4:$F$291),0))</f>
        <v>1.5433223631027603E-4</v>
      </c>
      <c r="G182" s="181" cm="1">
        <f t="array" ref="G182">INDEX('EV06'!$I$4:$I$291,MATCH(1,(G$135='EV06'!$D$4:$D$291) * ($D182='EV06'!$H$4:$H$291) * (G$136='EV06'!$F$4:$F$291),0))</f>
        <v>3.2388000000000002E-5</v>
      </c>
      <c r="H182" s="181" cm="1">
        <f t="array" ref="H182">INDEX('EV06'!$I$4:$I$291,MATCH(1,(H$135='EV06'!$D$4:$D$291) * ($D182='EV06'!$H$4:$H$291) * (H$136='EV06'!$F$4:$F$291),0))</f>
        <v>4.1100458092796155E-5</v>
      </c>
      <c r="I182" s="181" cm="1">
        <f t="array" ref="I182">INDEX('EV06'!$I$4:$I$291,MATCH(1,(I$135='EV06'!$D$4:$D$291) * ($D182='EV06'!$H$4:$H$291) * (I$136='EV06'!$F$4:$F$291),0))</f>
        <v>6.1505000000000002E-5</v>
      </c>
      <c r="J182" s="181" cm="1">
        <f t="array" ref="J182">INDEX('EV06'!$I$4:$I$291,MATCH(1,(J$135='EV06'!$D$4:$D$291) * ($D182='EV06'!$H$4:$H$291) * (J$136='EV06'!$F$4:$F$291),0))</f>
        <v>1.9750099999999999E-4</v>
      </c>
      <c r="K182" s="194"/>
      <c r="L182" s="190">
        <f t="shared" si="8"/>
        <v>1.6055517723270702E-4</v>
      </c>
      <c r="M182" s="190">
        <f t="shared" si="6"/>
        <v>1.6055517723270702E-4</v>
      </c>
      <c r="N182" s="190">
        <f t="shared" si="7"/>
        <v>1.6055517723270702E-4</v>
      </c>
      <c r="O182" s="194"/>
      <c r="P182" s="194"/>
    </row>
    <row r="183" spans="2:33">
      <c r="B183" s="194"/>
      <c r="C183" s="194"/>
      <c r="D183" s="180">
        <v>0.95833333333333337</v>
      </c>
      <c r="E183" s="181" cm="1">
        <f t="array" ref="E183">INDEX('EV06'!$I$4:$I$291,MATCH(1,(E$135='EV06'!$D$4:$D$291) * ($D183='EV06'!$H$4:$H$291) * (E$136='EV06'!$F$4:$F$291),0))</f>
        <v>1.5941100000000001E-4</v>
      </c>
      <c r="F183" s="181" cm="1">
        <f t="array" ref="F183">INDEX('EV06'!$I$4:$I$291,MATCH(1,(F$135='EV06'!$D$4:$D$291) * ($D183='EV06'!$H$4:$H$291) * (F$136='EV06'!$F$4:$F$291),0))</f>
        <v>1.7230843428959783E-4</v>
      </c>
      <c r="G183" s="181" cm="1">
        <f t="array" ref="G183">INDEX('EV06'!$I$4:$I$291,MATCH(1,(G$135='EV06'!$D$4:$D$291) * ($D183='EV06'!$H$4:$H$291) * (G$136='EV06'!$F$4:$F$291),0))</f>
        <v>2.8898999999999999E-5</v>
      </c>
      <c r="H183" s="181" cm="1">
        <f t="array" ref="H183">INDEX('EV06'!$I$4:$I$291,MATCH(1,(H$135='EV06'!$D$4:$D$291) * ($D183='EV06'!$H$4:$H$291) * (H$136='EV06'!$F$4:$F$291),0))</f>
        <v>3.639771372407129E-5</v>
      </c>
      <c r="I183" s="181" cm="1">
        <f t="array" ref="I183">INDEX('EV06'!$I$4:$I$291,MATCH(1,(I$135='EV06'!$D$4:$D$291) * ($D183='EV06'!$H$4:$H$291) * (I$136='EV06'!$F$4:$F$291),0))</f>
        <v>5.1619000000000002E-5</v>
      </c>
      <c r="J183" s="181" cm="1">
        <f t="array" ref="J183">INDEX('EV06'!$I$4:$I$291,MATCH(1,(J$135='EV06'!$D$4:$D$291) * ($D183='EV06'!$H$4:$H$291) * (J$136='EV06'!$F$4:$F$291),0))</f>
        <v>1.97276E-4</v>
      </c>
      <c r="K183" s="194"/>
      <c r="L183" s="190">
        <f t="shared" si="8"/>
        <v>1.6908407571719839E-4</v>
      </c>
      <c r="M183" s="190">
        <f t="shared" si="6"/>
        <v>1.6908407571719839E-4</v>
      </c>
      <c r="N183" s="190">
        <f t="shared" si="7"/>
        <v>1.6908407571719839E-4</v>
      </c>
      <c r="O183" s="194"/>
      <c r="P183" s="194"/>
    </row>
    <row r="184" spans="2:33">
      <c r="B184" s="194"/>
      <c r="C184" s="194"/>
      <c r="D184" s="180">
        <v>0.97916666666666663</v>
      </c>
      <c r="E184" s="181" cm="1">
        <f t="array" ref="E184">INDEX('EV06'!$I$4:$I$291,MATCH(1,(E$135='EV06'!$D$4:$D$291) * ($D184='EV06'!$H$4:$H$291) * (E$136='EV06'!$F$4:$F$291),0))</f>
        <v>1.38126E-4</v>
      </c>
      <c r="F184" s="181" cm="1">
        <f t="array" ref="F184">INDEX('EV06'!$I$4:$I$291,MATCH(1,(F$135='EV06'!$D$4:$D$291) * ($D184='EV06'!$H$4:$H$291) * (F$136='EV06'!$F$4:$F$291),0))</f>
        <v>1.8677708144368606E-4</v>
      </c>
      <c r="G184" s="181" cm="1">
        <f t="array" ref="G184">INDEX('EV06'!$I$4:$I$291,MATCH(1,(G$135='EV06'!$D$4:$D$291) * ($D184='EV06'!$H$4:$H$291) * (G$136='EV06'!$F$4:$F$291),0))</f>
        <v>2.5502000000000001E-5</v>
      </c>
      <c r="H184" s="181" cm="1">
        <f t="array" ref="H184">INDEX('EV06'!$I$4:$I$291,MATCH(1,(H$135='EV06'!$D$4:$D$291) * ($D184='EV06'!$H$4:$H$291) * (H$136='EV06'!$F$4:$F$291),0))</f>
        <v>3.3232116660689521E-5</v>
      </c>
      <c r="I184" s="181" cm="1">
        <f t="array" ref="I184">INDEX('EV06'!$I$4:$I$291,MATCH(1,(I$135='EV06'!$D$4:$D$291) * ($D184='EV06'!$H$4:$H$291) * (I$136='EV06'!$F$4:$F$291),0))</f>
        <v>4.1732E-5</v>
      </c>
      <c r="J184" s="181" cm="1">
        <f t="array" ref="J184">INDEX('EV06'!$I$4:$I$291,MATCH(1,(J$135='EV06'!$D$4:$D$291) * ($D184='EV06'!$H$4:$H$291) * (J$136='EV06'!$F$4:$F$291),0))</f>
        <v>1.97052E-4</v>
      </c>
      <c r="K184" s="194"/>
      <c r="L184" s="190">
        <f t="shared" si="8"/>
        <v>1.7461431108276455E-4</v>
      </c>
      <c r="M184" s="190">
        <f t="shared" si="6"/>
        <v>1.7461431108276455E-4</v>
      </c>
      <c r="N184" s="190">
        <f t="shared" si="7"/>
        <v>1.7461431108276455E-4</v>
      </c>
      <c r="O184" s="194"/>
      <c r="P184" s="194"/>
    </row>
    <row r="185" spans="2:33">
      <c r="B185" s="194"/>
      <c r="C185" s="194"/>
      <c r="D185" s="194"/>
      <c r="E185" s="194"/>
      <c r="F185" s="194"/>
      <c r="G185" s="194"/>
      <c r="H185" s="194"/>
      <c r="I185" s="194"/>
      <c r="J185" s="194"/>
      <c r="K185" s="194"/>
      <c r="L185" s="194"/>
      <c r="M185" s="194"/>
      <c r="N185" s="194"/>
      <c r="O185" s="194"/>
      <c r="P185" s="194"/>
    </row>
    <row r="186" spans="2:33">
      <c r="B186" s="194"/>
      <c r="C186" s="194"/>
      <c r="D186" s="194"/>
      <c r="E186" s="194"/>
      <c r="F186" s="194"/>
      <c r="G186" s="194"/>
      <c r="H186" s="194"/>
      <c r="I186" s="194"/>
      <c r="J186" s="194"/>
      <c r="K186" s="194"/>
      <c r="L186" s="194"/>
      <c r="M186" s="194"/>
      <c r="N186" s="194"/>
      <c r="O186" s="194"/>
      <c r="P186" s="194"/>
    </row>
    <row r="188" spans="2:33" ht="34.9">
      <c r="B188" s="194"/>
      <c r="C188" s="197" t="s">
        <v>596</v>
      </c>
      <c r="D188" s="194"/>
      <c r="E188" s="194"/>
      <c r="F188" s="194"/>
      <c r="G188" s="194"/>
      <c r="H188" s="194"/>
      <c r="I188" s="194"/>
      <c r="J188" s="194"/>
      <c r="K188" s="194"/>
      <c r="L188" s="194"/>
      <c r="M188" s="194"/>
      <c r="N188" s="194"/>
      <c r="O188" s="194"/>
      <c r="P188" s="194"/>
      <c r="Q188" s="194"/>
      <c r="R188" s="194"/>
      <c r="S188" s="194"/>
      <c r="T188" s="194"/>
      <c r="U188" s="194"/>
      <c r="V188" s="194"/>
      <c r="W188" s="194"/>
      <c r="X188" s="194"/>
      <c r="Y188" s="194"/>
      <c r="Z188" s="194"/>
      <c r="AA188" s="194"/>
      <c r="AB188" s="194"/>
      <c r="AC188" s="194"/>
      <c r="AD188" s="194"/>
      <c r="AE188" s="194"/>
      <c r="AF188" s="194"/>
      <c r="AG188" s="194"/>
    </row>
    <row r="189" spans="2:33">
      <c r="B189" s="194"/>
      <c r="C189" s="194"/>
      <c r="D189" s="194"/>
      <c r="E189" s="194"/>
      <c r="F189" s="194"/>
      <c r="G189" s="194"/>
      <c r="H189" s="194"/>
      <c r="I189" s="194"/>
      <c r="J189" s="194"/>
      <c r="K189" s="194"/>
      <c r="L189" s="194"/>
      <c r="M189" s="194"/>
      <c r="N189" s="194"/>
      <c r="O189" s="194"/>
      <c r="P189" s="194"/>
      <c r="Q189" s="194"/>
      <c r="R189" s="194"/>
      <c r="S189" s="194"/>
      <c r="T189" s="194"/>
      <c r="U189" s="194"/>
      <c r="V189" s="194"/>
      <c r="W189" s="194"/>
      <c r="X189" s="194"/>
      <c r="Y189" s="194"/>
      <c r="Z189" s="194"/>
      <c r="AA189" s="194"/>
      <c r="AB189" s="194"/>
      <c r="AC189" s="194"/>
      <c r="AD189" s="194"/>
      <c r="AE189" s="194"/>
      <c r="AF189" s="194"/>
      <c r="AG189" s="194"/>
    </row>
    <row r="190" spans="2:33">
      <c r="B190" s="194"/>
      <c r="C190" s="194"/>
      <c r="D190" s="194"/>
      <c r="E190" s="168" t="s">
        <v>497</v>
      </c>
      <c r="F190" s="168" t="s">
        <v>597</v>
      </c>
      <c r="G190" s="168" t="s">
        <v>498</v>
      </c>
      <c r="H190" s="168" t="s">
        <v>482</v>
      </c>
      <c r="I190" s="168" t="s">
        <v>340</v>
      </c>
      <c r="J190" s="168" t="s">
        <v>587</v>
      </c>
      <c r="K190" s="168" t="s">
        <v>588</v>
      </c>
      <c r="L190" s="168" t="s">
        <v>589</v>
      </c>
      <c r="M190" s="194"/>
      <c r="N190" s="194"/>
      <c r="O190" s="194"/>
      <c r="P190" s="194"/>
      <c r="Q190" s="194"/>
      <c r="R190" s="168" t="s">
        <v>497</v>
      </c>
      <c r="S190" s="168" t="s">
        <v>597</v>
      </c>
      <c r="T190" s="168" t="s">
        <v>498</v>
      </c>
      <c r="U190" s="168" t="s">
        <v>482</v>
      </c>
      <c r="V190" s="168" t="s">
        <v>340</v>
      </c>
      <c r="W190" s="168" t="s">
        <v>587</v>
      </c>
      <c r="X190" s="168" t="s">
        <v>588</v>
      </c>
      <c r="Y190" s="168" t="s">
        <v>589</v>
      </c>
      <c r="Z190" s="194"/>
      <c r="AA190" s="194"/>
      <c r="AB190" s="194"/>
      <c r="AC190" s="194"/>
      <c r="AD190" s="194"/>
      <c r="AE190" s="194"/>
      <c r="AF190" s="194"/>
      <c r="AG190" s="194"/>
    </row>
    <row r="191" spans="2:33" ht="24">
      <c r="B191" s="194"/>
      <c r="C191" s="251" t="s">
        <v>598</v>
      </c>
      <c r="D191" s="194"/>
      <c r="E191" s="176" t="s">
        <v>599</v>
      </c>
      <c r="F191" s="116" t="s">
        <v>600</v>
      </c>
      <c r="G191" s="176"/>
      <c r="H191" s="116" t="s">
        <v>226</v>
      </c>
      <c r="I191" s="176" t="s">
        <v>601</v>
      </c>
      <c r="J191" s="183" t="str">
        <f>IF(SUM(EV_number_BB1,EV_number_BB2)&gt;EV08_domestic_Default,"N","Y")</f>
        <v>Y</v>
      </c>
      <c r="K191" s="183" t="str">
        <f>IF(SUM(EV_number_BB1,EV_number_BB2)&gt;EV08_domestic_lower,"N","Y")</f>
        <v>Y</v>
      </c>
      <c r="L191" s="184" t="str">
        <f>IF(SUM(EV_number_BB1,EV_number_BB2)&gt;EV08_domestic_upper,"N","Y")</f>
        <v>Y</v>
      </c>
      <c r="M191" s="194"/>
      <c r="N191" s="251" t="s">
        <v>602</v>
      </c>
      <c r="O191" s="194"/>
      <c r="P191" s="194"/>
      <c r="Q191" s="194"/>
      <c r="R191" s="176" t="s">
        <v>603</v>
      </c>
      <c r="S191" s="116" t="s">
        <v>604</v>
      </c>
      <c r="T191" s="176" t="s">
        <v>501</v>
      </c>
      <c r="U191" s="116" t="s">
        <v>226</v>
      </c>
      <c r="V191" s="176" t="s">
        <v>601</v>
      </c>
      <c r="W191" s="226">
        <f>J202/EV09_domestic_Default</f>
        <v>772.83596852590165</v>
      </c>
      <c r="X191" s="226">
        <f>K202/EV09_domestic_lower</f>
        <v>672.06322475409831</v>
      </c>
      <c r="Y191" s="226">
        <f>L202/EV09_domestic_upper</f>
        <v>888.88328770491808</v>
      </c>
      <c r="Z191" s="194"/>
      <c r="AA191" s="194"/>
      <c r="AB191" s="194"/>
      <c r="AC191" s="194"/>
      <c r="AD191" s="194"/>
      <c r="AE191" s="194"/>
      <c r="AF191" s="194"/>
      <c r="AG191" s="194"/>
    </row>
    <row r="192" spans="2:33">
      <c r="B192" s="194"/>
      <c r="C192" s="194"/>
      <c r="D192" s="194"/>
      <c r="E192" s="176" t="s">
        <v>599</v>
      </c>
      <c r="F192" s="176" t="s">
        <v>605</v>
      </c>
      <c r="G192" s="176"/>
      <c r="H192" s="116" t="s">
        <v>245</v>
      </c>
      <c r="I192" s="176" t="s">
        <v>601</v>
      </c>
      <c r="J192" s="182" t="str">
        <f>IF(SUM(EV_number_BB1,EV_number_BB2)&gt;EV08_work_Default,"N","Y")</f>
        <v>Y</v>
      </c>
      <c r="K192" s="182" t="str">
        <f>IF(SUM(EV_number_BB1,EV_number_BB2)&gt;EV08_work_lower,"N","Y")</f>
        <v>Y</v>
      </c>
      <c r="L192" s="185" t="str">
        <f>IF(SUM(EV_number_BB1,EV_number_BB2)&gt;EV08_work_upper,"N","Y")</f>
        <v>Y</v>
      </c>
      <c r="M192" s="194"/>
      <c r="N192" s="194"/>
      <c r="O192" s="194"/>
      <c r="P192" s="194"/>
      <c r="Q192" s="194"/>
      <c r="R192" s="176" t="s">
        <v>603</v>
      </c>
      <c r="S192" s="116" t="s">
        <v>606</v>
      </c>
      <c r="T192" s="176" t="s">
        <v>501</v>
      </c>
      <c r="U192" s="116" t="s">
        <v>245</v>
      </c>
      <c r="V192" s="176" t="s">
        <v>601</v>
      </c>
      <c r="W192" s="226">
        <f>J203/EV09_work_Default</f>
        <v>41.918246111816103</v>
      </c>
      <c r="X192" s="226">
        <f>K203/EV09_work_lower</f>
        <v>32.869613195402302</v>
      </c>
      <c r="Y192" s="226">
        <f>L203/EV09_work_upper</f>
        <v>51.153469425287355</v>
      </c>
      <c r="Z192" s="194"/>
      <c r="AA192" s="194"/>
      <c r="AB192" s="194"/>
      <c r="AC192" s="194"/>
      <c r="AD192" s="194"/>
      <c r="AE192" s="194"/>
      <c r="AF192" s="194"/>
      <c r="AG192" s="194"/>
    </row>
    <row r="193" spans="2:33">
      <c r="B193" s="194"/>
      <c r="C193" s="194"/>
      <c r="D193" s="194"/>
      <c r="E193" s="176" t="s">
        <v>599</v>
      </c>
      <c r="F193" s="176" t="s">
        <v>607</v>
      </c>
      <c r="G193" s="176"/>
      <c r="H193" s="116" t="s">
        <v>265</v>
      </c>
      <c r="I193" s="176" t="s">
        <v>601</v>
      </c>
      <c r="J193" s="182" t="str">
        <f>IF(SUM(EV_number_BB1,EV_number_BB2)&gt;EV08_slowfast_Default,"N","Y")</f>
        <v>Y</v>
      </c>
      <c r="K193" s="182" t="str">
        <f>IF(SUM(EV_number_BB1,EV_number_BB2)&gt;EV08_slowfast_lower,"N","Y")</f>
        <v>Y</v>
      </c>
      <c r="L193" s="185" t="str">
        <f>IF(SUM(EV_number_BB1,EV_number_BB2)&gt;EV08_slowfast_upper,"N","Y")</f>
        <v>Y</v>
      </c>
      <c r="M193" s="194"/>
      <c r="N193" s="194"/>
      <c r="O193" s="194"/>
      <c r="P193" s="194"/>
      <c r="Q193" s="194"/>
      <c r="R193" s="176" t="s">
        <v>603</v>
      </c>
      <c r="S193" s="116" t="s">
        <v>608</v>
      </c>
      <c r="T193" s="176" t="s">
        <v>501</v>
      </c>
      <c r="U193" s="116" t="s">
        <v>265</v>
      </c>
      <c r="V193" s="176" t="s">
        <v>601</v>
      </c>
      <c r="W193" s="226">
        <f>J204/EV09_slowfast_Default</f>
        <v>12.111785740893472</v>
      </c>
      <c r="X193" s="226">
        <f>K204/EV09_slowfast_lower</f>
        <v>2.1496524054982817</v>
      </c>
      <c r="Y193" s="226">
        <f>L204/EV09_slowfast_upper</f>
        <v>24.759525085910653</v>
      </c>
      <c r="Z193" s="194"/>
      <c r="AA193" s="194"/>
      <c r="AB193" s="194"/>
      <c r="AC193" s="194"/>
      <c r="AD193" s="194"/>
      <c r="AE193" s="194"/>
      <c r="AF193" s="194"/>
      <c r="AG193" s="194"/>
    </row>
    <row r="194" spans="2:33">
      <c r="B194" s="194"/>
      <c r="C194" s="194"/>
      <c r="D194" s="194"/>
      <c r="E194" s="176" t="s">
        <v>599</v>
      </c>
      <c r="F194" s="176" t="s">
        <v>609</v>
      </c>
      <c r="G194" s="176"/>
      <c r="H194" s="116" t="s">
        <v>279</v>
      </c>
      <c r="I194" s="176" t="s">
        <v>601</v>
      </c>
      <c r="J194" s="182" t="str">
        <f>IF(SUM(EV_number_BB1,EV_number_BB2,EV_Number_BB3,EV_number_BB4)&gt;EV08_rapid_Default,"N","Y")</f>
        <v>Y</v>
      </c>
      <c r="K194" s="182" t="str">
        <f>IF(SUM(EV_number_BB1,EV_number_BB2,EV_Number_BB3,EV_number_BB4)&gt;EV08_rapid_lower,"N","Y")</f>
        <v>Y</v>
      </c>
      <c r="L194" s="185" t="str">
        <f>IF(SUM(EV_number_BB1,EV_number_BB2,EV_Number_BB3,EV_number_BB4)&gt;EV08_rapid_upper,"N","Y")</f>
        <v>Y</v>
      </c>
      <c r="M194" s="194"/>
      <c r="N194" s="194"/>
      <c r="O194" s="194"/>
      <c r="P194" s="194"/>
      <c r="Q194" s="194"/>
      <c r="R194" s="176" t="s">
        <v>603</v>
      </c>
      <c r="S194" s="116" t="s">
        <v>610</v>
      </c>
      <c r="T194" s="176" t="s">
        <v>501</v>
      </c>
      <c r="U194" s="116" t="s">
        <v>279</v>
      </c>
      <c r="V194" s="176" t="s">
        <v>601</v>
      </c>
      <c r="W194" s="226">
        <f>J205/EV09_rapid_Default</f>
        <v>66.495620425531925</v>
      </c>
      <c r="X194" s="226">
        <f>K205/EV09_rapid_lower</f>
        <v>51.588924425531914</v>
      </c>
      <c r="Y194" s="226">
        <f>L205/EV09_rapid_upper</f>
        <v>81.402316425531907</v>
      </c>
      <c r="Z194" s="194"/>
      <c r="AA194" s="194"/>
      <c r="AB194" s="194"/>
      <c r="AC194" s="194"/>
      <c r="AD194" s="194"/>
      <c r="AE194" s="194"/>
      <c r="AF194" s="194"/>
      <c r="AG194" s="194"/>
    </row>
    <row r="195" spans="2:33">
      <c r="B195" s="194"/>
      <c r="C195" s="194"/>
      <c r="D195" s="194"/>
      <c r="E195" s="176" t="s">
        <v>599</v>
      </c>
      <c r="F195" s="176" t="s">
        <v>289</v>
      </c>
      <c r="G195" s="176"/>
      <c r="H195" s="116" t="s">
        <v>289</v>
      </c>
      <c r="I195" s="176" t="s">
        <v>601</v>
      </c>
      <c r="J195" s="182" t="str">
        <f>IF(SUM(EV_Number_BB3,EV_number_BB4)&gt;EV08_depot_Default,"N","Y")</f>
        <v>Y</v>
      </c>
      <c r="K195" s="182" t="str">
        <f>IF(SUM(EV_Number_BB3,EV_number_BB4)&gt;EV08_depot_lower,"N","Y")</f>
        <v>Y</v>
      </c>
      <c r="L195" s="185" t="str">
        <f>IF(SUM(EV_Number_BB3,EV_number_BB4)&gt;EV08_depot_upper,"N","Y")</f>
        <v>Y</v>
      </c>
      <c r="M195" s="194"/>
      <c r="N195" s="194"/>
      <c r="O195" s="194"/>
      <c r="P195" s="194"/>
      <c r="Q195" s="194"/>
      <c r="R195" s="176" t="s">
        <v>603</v>
      </c>
      <c r="S195" s="116" t="s">
        <v>611</v>
      </c>
      <c r="T195" s="176" t="s">
        <v>501</v>
      </c>
      <c r="U195" s="116" t="s">
        <v>289</v>
      </c>
      <c r="V195" s="176" t="s">
        <v>601</v>
      </c>
      <c r="W195" s="226">
        <f>J206/EV09_depot_Default</f>
        <v>406.80306382978728</v>
      </c>
      <c r="X195" s="226">
        <f>K206/EV09_depot_lower</f>
        <v>406.80306382978728</v>
      </c>
      <c r="Y195" s="226">
        <f>L206/EV09_depot_upper</f>
        <v>406.80306382978728</v>
      </c>
      <c r="Z195" s="194"/>
      <c r="AA195" s="194"/>
      <c r="AB195" s="194"/>
      <c r="AC195" s="194"/>
      <c r="AD195" s="194"/>
      <c r="AE195" s="194"/>
      <c r="AF195" s="194"/>
      <c r="AG195" s="194"/>
    </row>
    <row r="196" spans="2:33">
      <c r="B196" s="194"/>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E196" s="194"/>
      <c r="AF196" s="194"/>
      <c r="AG196" s="194"/>
    </row>
    <row r="197" spans="2:33" ht="24">
      <c r="B197" s="194"/>
      <c r="C197" s="251" t="s">
        <v>612</v>
      </c>
      <c r="D197" s="194"/>
      <c r="E197" s="116" t="s">
        <v>613</v>
      </c>
      <c r="F197" s="116" t="s">
        <v>614</v>
      </c>
      <c r="G197" s="116" t="s">
        <v>225</v>
      </c>
      <c r="H197" s="116" t="s">
        <v>501</v>
      </c>
      <c r="I197" s="116" t="s">
        <v>138</v>
      </c>
      <c r="J197" s="186">
        <f>EV_number_BB1*EV01_BB1_Default*EV03_BB1_Default</f>
        <v>250219.54</v>
      </c>
      <c r="K197" s="186">
        <f>EV_number_BB1*EV01_BB1_lower*EV03_BB1_lower</f>
        <v>250219.54</v>
      </c>
      <c r="L197" s="187">
        <f>EV_number_BB1*EV01_BB1_upper*EV03_BB1_upper</f>
        <v>250219.54</v>
      </c>
      <c r="M197" s="194"/>
      <c r="N197" s="251" t="s">
        <v>615</v>
      </c>
      <c r="O197" s="194"/>
      <c r="P197" s="194"/>
      <c r="Q197" s="194"/>
      <c r="R197" s="176" t="s">
        <v>582</v>
      </c>
      <c r="S197" s="116" t="s">
        <v>616</v>
      </c>
      <c r="T197" s="176" t="s">
        <v>501</v>
      </c>
      <c r="U197" s="116" t="s">
        <v>226</v>
      </c>
      <c r="V197" s="176" t="s">
        <v>601</v>
      </c>
      <c r="W197" s="226">
        <f>W191/EV10_domestic_Default</f>
        <v>110.4051383608431</v>
      </c>
      <c r="X197" s="226">
        <f>X191/EV10_domestic_upper</f>
        <v>96.009032107728331</v>
      </c>
      <c r="Y197" s="226">
        <f>Y191/EV10_domestic_lower</f>
        <v>126.9833268149883</v>
      </c>
      <c r="Z197" s="194"/>
      <c r="AA197" s="194"/>
      <c r="AB197" s="194"/>
      <c r="AC197" s="194"/>
      <c r="AD197" s="194"/>
      <c r="AE197" s="194"/>
      <c r="AF197" s="194"/>
      <c r="AG197" s="194"/>
    </row>
    <row r="198" spans="2:33">
      <c r="B198" s="194"/>
      <c r="C198" s="194"/>
      <c r="D198" s="194"/>
      <c r="E198" s="116" t="s">
        <v>613</v>
      </c>
      <c r="F198" s="116" t="s">
        <v>617</v>
      </c>
      <c r="G198" s="116" t="s">
        <v>244</v>
      </c>
      <c r="H198" s="116" t="s">
        <v>501</v>
      </c>
      <c r="I198" s="116" t="s">
        <v>138</v>
      </c>
      <c r="J198" s="186">
        <f>EV_number_BB2*EV01_BB2_Default*EV02_BB2_Default*EV03_BB2_Default</f>
        <v>13941.383039999999</v>
      </c>
      <c r="K198" s="186">
        <f>EV_number_BB2*EV01_BB2_lower*EV02_BB2_lower*EV03_BB2_lower</f>
        <v>8936.7839999999997</v>
      </c>
      <c r="L198" s="187">
        <f>EV_number_BB2*EV01_BB2_upper*EV02_BB2_upper*EV03_BB2_upper</f>
        <v>22341.96</v>
      </c>
      <c r="M198" s="194"/>
      <c r="N198" s="194"/>
      <c r="O198" s="194"/>
      <c r="P198" s="194"/>
      <c r="Q198" s="194"/>
      <c r="R198" s="176" t="s">
        <v>582</v>
      </c>
      <c r="S198" s="116" t="s">
        <v>618</v>
      </c>
      <c r="T198" s="176" t="s">
        <v>501</v>
      </c>
      <c r="U198" s="116" t="s">
        <v>245</v>
      </c>
      <c r="V198" s="176" t="s">
        <v>601</v>
      </c>
      <c r="W198" s="226">
        <f>W192/EV10_work_Default</f>
        <v>5.988320873116586</v>
      </c>
      <c r="X198" s="226">
        <f>X192/EV10_work_upper</f>
        <v>1.494073327063741</v>
      </c>
      <c r="Y198" s="226">
        <f>Y192/EV10_work_lower</f>
        <v>7.3076384893267647</v>
      </c>
      <c r="Z198" s="194"/>
      <c r="AA198" s="194"/>
      <c r="AB198" s="194"/>
      <c r="AC198" s="194"/>
      <c r="AD198" s="194"/>
      <c r="AE198" s="194"/>
      <c r="AF198" s="194"/>
      <c r="AG198" s="194"/>
    </row>
    <row r="199" spans="2:33">
      <c r="B199" s="194"/>
      <c r="C199" s="194"/>
      <c r="D199" s="194"/>
      <c r="E199" s="116" t="s">
        <v>613</v>
      </c>
      <c r="F199" s="116" t="s">
        <v>619</v>
      </c>
      <c r="G199" s="116" t="s">
        <v>263</v>
      </c>
      <c r="H199" s="116" t="s">
        <v>501</v>
      </c>
      <c r="I199" s="116" t="s">
        <v>138</v>
      </c>
      <c r="J199" s="186">
        <f>EV_Number_BB3*EV01_BB3_Default*EV03_BB3_Default</f>
        <v>531104</v>
      </c>
      <c r="K199" s="186">
        <f>EV_Number_BB3*EV01_BB3_lower*EV03_BB3_lower</f>
        <v>531104</v>
      </c>
      <c r="L199" s="187">
        <f>EV_Number_BB3*EV01_BB3_upper*EV03_BB3_upper</f>
        <v>531104</v>
      </c>
      <c r="M199" s="194"/>
      <c r="N199" s="194"/>
      <c r="O199" s="194"/>
      <c r="P199" s="194"/>
      <c r="Q199" s="194"/>
      <c r="R199" s="176" t="s">
        <v>582</v>
      </c>
      <c r="S199" s="116" t="s">
        <v>620</v>
      </c>
      <c r="T199" s="176" t="s">
        <v>501</v>
      </c>
      <c r="U199" s="116" t="s">
        <v>265</v>
      </c>
      <c r="V199" s="176" t="s">
        <v>601</v>
      </c>
      <c r="W199" s="226">
        <f>W193/EV10_slowfast_Default</f>
        <v>0.55053571549515778</v>
      </c>
      <c r="X199" s="226">
        <f>X193/EV10_slowfast_upper</f>
        <v>9.7711472977194624E-2</v>
      </c>
      <c r="Y199" s="226">
        <f>Y193/EV10_slowfast_lower</f>
        <v>3.5370750122729504</v>
      </c>
      <c r="Z199" s="194"/>
      <c r="AA199" s="194"/>
      <c r="AB199" s="194"/>
      <c r="AC199" s="194"/>
      <c r="AD199" s="194"/>
      <c r="AE199" s="194"/>
      <c r="AF199" s="194"/>
      <c r="AG199" s="194"/>
    </row>
    <row r="200" spans="2:33">
      <c r="B200" s="194"/>
      <c r="C200" s="194"/>
      <c r="D200" s="194"/>
      <c r="E200" s="116" t="s">
        <v>613</v>
      </c>
      <c r="F200" s="176" t="s">
        <v>621</v>
      </c>
      <c r="G200" s="116" t="s">
        <v>277</v>
      </c>
      <c r="H200" s="116" t="s">
        <v>501</v>
      </c>
      <c r="I200" s="116" t="s">
        <v>138</v>
      </c>
      <c r="J200" s="186">
        <f>EV_number_BB4*EV01_BB4_Default*EV02_BB4_Default*EV03_BB4_Default</f>
        <v>0</v>
      </c>
      <c r="K200" s="186">
        <f>EV_number_BB4*EV01_BB4_lower*EV02_BB4_lower*EV03_BB4_lower</f>
        <v>0</v>
      </c>
      <c r="L200" s="187">
        <f>EV_number_BB4*EV01_BB4_upper*EV02_BB4_upper*EV03_BB4_upper</f>
        <v>0</v>
      </c>
      <c r="M200" s="194"/>
      <c r="N200" s="194"/>
      <c r="O200" s="194"/>
      <c r="P200" s="194"/>
      <c r="Q200" s="194"/>
      <c r="R200" s="176" t="s">
        <v>582</v>
      </c>
      <c r="S200" s="116" t="s">
        <v>622</v>
      </c>
      <c r="T200" s="176" t="s">
        <v>501</v>
      </c>
      <c r="U200" s="116" t="s">
        <v>279</v>
      </c>
      <c r="V200" s="176" t="s">
        <v>601</v>
      </c>
      <c r="W200" s="226">
        <f>W194/EV10_rapid_Default</f>
        <v>1.3299124085106384</v>
      </c>
      <c r="X200" s="226">
        <f>X194/EV10_rapid_upper</f>
        <v>0.34392616283687943</v>
      </c>
      <c r="Y200" s="226">
        <f>Y194/EV10_rapid_lower</f>
        <v>1.6280463285106381</v>
      </c>
      <c r="Z200" s="194"/>
      <c r="AA200" s="194"/>
      <c r="AB200" s="194"/>
      <c r="AC200" s="194"/>
      <c r="AD200" s="194"/>
      <c r="AE200" s="194"/>
      <c r="AF200" s="194"/>
      <c r="AG200" s="194"/>
    </row>
    <row r="201" spans="2:33">
      <c r="B201" s="194"/>
      <c r="C201" s="194"/>
      <c r="D201" s="194"/>
      <c r="E201" s="194"/>
      <c r="F201" s="194"/>
      <c r="G201" s="194"/>
      <c r="H201" s="194"/>
      <c r="I201" s="194"/>
      <c r="J201" s="194"/>
      <c r="K201" s="194"/>
      <c r="L201" s="194"/>
      <c r="M201" s="194"/>
      <c r="N201" s="194"/>
      <c r="O201" s="194"/>
      <c r="P201" s="194"/>
      <c r="Q201" s="194"/>
      <c r="R201" s="176" t="s">
        <v>582</v>
      </c>
      <c r="S201" s="116" t="s">
        <v>623</v>
      </c>
      <c r="T201" s="176" t="s">
        <v>501</v>
      </c>
      <c r="U201" s="116" t="s">
        <v>289</v>
      </c>
      <c r="V201" s="176" t="s">
        <v>601</v>
      </c>
      <c r="W201" s="226">
        <f>W195/EV10_depot_Default</f>
        <v>2.7120204255319154</v>
      </c>
      <c r="X201" s="226">
        <f>X195/EV10_depot_upper</f>
        <v>0.40680306382978726</v>
      </c>
      <c r="Y201" s="226">
        <f>Y195/EV10_depot_lower</f>
        <v>8.1360612765957452</v>
      </c>
      <c r="Z201" s="194"/>
      <c r="AA201" s="194"/>
      <c r="AB201" s="194"/>
      <c r="AC201" s="194"/>
      <c r="AD201" s="194"/>
      <c r="AE201" s="194"/>
      <c r="AF201" s="194"/>
      <c r="AG201" s="194"/>
    </row>
    <row r="202" spans="2:33" ht="24">
      <c r="B202" s="194"/>
      <c r="C202" s="251" t="s">
        <v>624</v>
      </c>
      <c r="D202" s="194"/>
      <c r="E202" s="116" t="s">
        <v>613</v>
      </c>
      <c r="F202" s="116" t="s">
        <v>600</v>
      </c>
      <c r="G202" s="116" t="s">
        <v>501</v>
      </c>
      <c r="H202" s="116" t="s">
        <v>226</v>
      </c>
      <c r="I202" s="116" t="s">
        <v>138</v>
      </c>
      <c r="J202" s="186">
        <f>SUM( J$197*INDEX(EV04_BB1_Default,MATCH($H202,EV_charger_type,0)),
J$198*INDEX(EV04_BB2_Default,MATCH($H202,EV_charger_type,0)),
J$199*INDEX(EV04_BB3_Default,MATCH($H202,EV_charger_type,0)),
J$200*INDEX(EV04_BB4_Default,MATCH($H202,EV_charger_type,0)))</f>
        <v>188571.97632032001</v>
      </c>
      <c r="K202" s="186">
        <f>SUM( K$197*INDEX(EV04_BB1_lower,MATCH($H202,EV_charger_type,0)),
K$198*INDEX(EV04_BB2_lower,MATCH($H202,EV_charger_type,0)),
K$199*INDEX(EV04_BB3_lower,MATCH($H202,EV_charger_type,0)),
K$200*INDEX(EV04_BB4_lower,MATCH($H202,EV_charger_type,0)))</f>
        <v>163983.42684</v>
      </c>
      <c r="L202" s="187">
        <f>SUM( L$197*INDEX(EV04_BB1_upper,MATCH($H202,EV_charger_type,0)),
L$198*INDEX(EV04_BB2_upper,MATCH($H202,EV_charger_type,0)),
L$199*INDEX(EV04_BB3_upper,MATCH($H202,EV_charger_type,0)),
L$200*INDEX(EV04_BB4_upper,MATCH($H202,EV_charger_type,0)))</f>
        <v>216887.52220000001</v>
      </c>
      <c r="M202" s="194"/>
      <c r="N202" s="194"/>
      <c r="O202" s="194"/>
      <c r="P202" s="194"/>
      <c r="Q202" s="194"/>
      <c r="R202" s="194"/>
      <c r="S202" s="194"/>
      <c r="T202" s="194"/>
      <c r="U202" s="194"/>
      <c r="V202" s="194"/>
      <c r="W202" s="194"/>
      <c r="X202" s="194"/>
      <c r="Y202" s="194"/>
      <c r="Z202" s="194"/>
      <c r="AA202" s="194"/>
      <c r="AB202" s="194"/>
      <c r="AC202" s="194"/>
      <c r="AD202" s="194"/>
      <c r="AE202" s="194"/>
      <c r="AF202" s="194"/>
      <c r="AG202" s="194"/>
    </row>
    <row r="203" spans="2:33" ht="24">
      <c r="B203" s="194"/>
      <c r="C203" s="194"/>
      <c r="D203" s="194"/>
      <c r="E203" s="116" t="s">
        <v>613</v>
      </c>
      <c r="F203" s="176" t="s">
        <v>605</v>
      </c>
      <c r="G203" s="116" t="s">
        <v>501</v>
      </c>
      <c r="H203" s="116" t="s">
        <v>245</v>
      </c>
      <c r="I203" s="116" t="s">
        <v>138</v>
      </c>
      <c r="J203" s="186">
        <f>SUM( J$197*INDEX(EV04_BB1_Default,MATCH($H203,EV_charger_type,0)),
J$198*INDEX(EV04_BB2_Default,MATCH($H203,EV_charger_type,0)),
J$199*INDEX(EV04_BB3_Default,MATCH($H203,EV_charger_type,0)),
J$200*INDEX(EV04_BB4_Default,MATCH($H203,EV_charger_type,0)))</f>
        <v>36468.874117280007</v>
      </c>
      <c r="K203" s="186">
        <f>SUM( K$197*INDEX(EV04_BB1_lower,MATCH($H203,EV_charger_type,0)),
K$198*INDEX(EV04_BB2_lower,MATCH($H203,EV_charger_type,0)),
K$199*INDEX(EV04_BB3_lower,MATCH($H203,EV_charger_type,0)),
K$200*INDEX(EV04_BB4_lower,MATCH($H203,EV_charger_type,0)))</f>
        <v>28596.563480000001</v>
      </c>
      <c r="L203" s="187">
        <f>SUM( L$197*INDEX(EV04_BB1_upper,MATCH($H203,EV_charger_type,0)),
L$198*INDEX(EV04_BB2_upper,MATCH($H203,EV_charger_type,0)),
L$199*INDEX(EV04_BB3_upper,MATCH($H203,EV_charger_type,0)),
L$200*INDEX(EV04_BB4_upper,MATCH($H203,EV_charger_type,0)))</f>
        <v>44503.518400000001</v>
      </c>
      <c r="M203" s="194"/>
      <c r="N203" s="251" t="s">
        <v>625</v>
      </c>
      <c r="O203" s="194"/>
      <c r="P203" s="194"/>
      <c r="Q203" s="194"/>
      <c r="R203" s="176" t="s">
        <v>626</v>
      </c>
      <c r="S203" s="116" t="s">
        <v>627</v>
      </c>
      <c r="T203" s="176" t="s">
        <v>501</v>
      </c>
      <c r="U203" s="116" t="s">
        <v>226</v>
      </c>
      <c r="V203" s="176" t="s">
        <v>601</v>
      </c>
      <c r="W203" s="227">
        <f>_xlfn.CEILING.MATH(W197)</f>
        <v>111</v>
      </c>
      <c r="X203" s="227">
        <f t="shared" ref="X203:Y203" si="9">_xlfn.CEILING.MATH(X197)</f>
        <v>97</v>
      </c>
      <c r="Y203" s="227">
        <f t="shared" si="9"/>
        <v>127</v>
      </c>
      <c r="Z203" s="194"/>
      <c r="AA203" s="194"/>
      <c r="AB203" s="194"/>
      <c r="AC203" s="194"/>
      <c r="AD203" s="194"/>
      <c r="AE203" s="194"/>
      <c r="AF203" s="194"/>
      <c r="AG203" s="194"/>
    </row>
    <row r="204" spans="2:33">
      <c r="B204" s="194"/>
      <c r="C204" s="194"/>
      <c r="D204" s="194"/>
      <c r="E204" s="116" t="s">
        <v>613</v>
      </c>
      <c r="F204" s="176" t="s">
        <v>607</v>
      </c>
      <c r="G204" s="116" t="s">
        <v>501</v>
      </c>
      <c r="H204" s="116" t="s">
        <v>265</v>
      </c>
      <c r="I204" s="116" t="s">
        <v>138</v>
      </c>
      <c r="J204" s="186">
        <f>SUM( J$197*INDEX(EV04_BB1_Default,MATCH($H204,EV_charger_type,0)),
J$198*INDEX(EV04_BB2_Default,MATCH($H204,EV_charger_type,0)),
J$199*INDEX(EV04_BB3_Default,MATCH($H204,EV_charger_type,0)),
J$200*INDEX(EV04_BB4_Default,MATCH($H204,EV_charger_type,0)))</f>
        <v>14098.118602400002</v>
      </c>
      <c r="K204" s="186">
        <f>SUM( K$197*INDEX(EV04_BB1_lower,MATCH($H204,EV_charger_type,0)),
K$198*INDEX(EV04_BB2_lower,MATCH($H204,EV_charger_type,0)),
K$199*INDEX(EV04_BB3_lower,MATCH($H204,EV_charger_type,0)),
K$200*INDEX(EV04_BB4_lower,MATCH($H204,EV_charger_type,0)))</f>
        <v>2502.1954000000001</v>
      </c>
      <c r="L204" s="187">
        <f>SUM( L$197*INDEX(EV04_BB1_upper,MATCH($H204,EV_charger_type,0)),
L$198*INDEX(EV04_BB2_upper,MATCH($H204,EV_charger_type,0)),
L$199*INDEX(EV04_BB3_upper,MATCH($H204,EV_charger_type,0)),
L$200*INDEX(EV04_BB4_upper,MATCH($H204,EV_charger_type,0)))</f>
        <v>28820.087200000002</v>
      </c>
      <c r="M204" s="194"/>
      <c r="N204" s="194" t="s">
        <v>628</v>
      </c>
      <c r="O204" s="194"/>
      <c r="P204" s="194"/>
      <c r="Q204" s="194"/>
      <c r="R204" s="176" t="s">
        <v>626</v>
      </c>
      <c r="S204" s="116" t="s">
        <v>629</v>
      </c>
      <c r="T204" s="176" t="s">
        <v>501</v>
      </c>
      <c r="U204" s="116" t="s">
        <v>245</v>
      </c>
      <c r="V204" s="176" t="s">
        <v>601</v>
      </c>
      <c r="W204" s="227">
        <f t="shared" ref="W204:Y207" si="10">_xlfn.CEILING.MATH(W198)</f>
        <v>6</v>
      </c>
      <c r="X204" s="227">
        <f t="shared" si="10"/>
        <v>2</v>
      </c>
      <c r="Y204" s="227">
        <f t="shared" si="10"/>
        <v>8</v>
      </c>
      <c r="Z204" s="194"/>
      <c r="AA204" s="194"/>
      <c r="AB204" s="194"/>
      <c r="AC204" s="194"/>
      <c r="AD204" s="194"/>
      <c r="AE204" s="194"/>
      <c r="AF204" s="194"/>
      <c r="AG204" s="194"/>
    </row>
    <row r="205" spans="2:33">
      <c r="B205" s="194"/>
      <c r="C205" s="194"/>
      <c r="D205" s="194"/>
      <c r="E205" s="116" t="s">
        <v>613</v>
      </c>
      <c r="F205" s="176" t="s">
        <v>609</v>
      </c>
      <c r="G205" s="116" t="s">
        <v>501</v>
      </c>
      <c r="H205" s="116" t="s">
        <v>279</v>
      </c>
      <c r="I205" s="116" t="s">
        <v>138</v>
      </c>
      <c r="J205" s="186">
        <f>SUM( J$197*INDEX(EV04_BB1_Default,MATCH($H205,EV_charger_type,0)),
J$198*INDEX(EV04_BB2_Default,MATCH($H205,EV_charger_type,0)),
J$199*INDEX(EV04_BB3_Default,MATCH($H205,EV_charger_type,0)),
J$200*INDEX(EV04_BB4_Default,MATCH($H205,EV_charger_type,0)))</f>
        <v>78132.354000000007</v>
      </c>
      <c r="K205" s="186">
        <f>SUM( K$197*INDEX(EV04_BB1_lower,MATCH($H205,EV_charger_type,0)),
K$198*INDEX(EV04_BB2_lower,MATCH($H205,EV_charger_type,0)),
K$199*INDEX(EV04_BB3_lower,MATCH($H205,EV_charger_type,0)),
K$200*INDEX(EV04_BB4_lower,MATCH($H205,EV_charger_type,0)))</f>
        <v>60616.986199999999</v>
      </c>
      <c r="L205" s="187">
        <f>SUM( L$197*INDEX(EV04_BB1_upper,MATCH($H205,EV_charger_type,0)),
L$198*INDEX(EV04_BB2_upper,MATCH($H205,EV_charger_type,0)),
L$199*INDEX(EV04_BB3_upper,MATCH($H205,EV_charger_type,0)),
L$200*INDEX(EV04_BB4_upper,MATCH($H205,EV_charger_type,0)))</f>
        <v>95647.721799999999</v>
      </c>
      <c r="M205" s="194"/>
      <c r="N205" s="194"/>
      <c r="O205" s="194"/>
      <c r="P205" s="194"/>
      <c r="Q205" s="194"/>
      <c r="R205" s="176" t="s">
        <v>626</v>
      </c>
      <c r="S205" s="116" t="s">
        <v>630</v>
      </c>
      <c r="T205" s="176" t="s">
        <v>501</v>
      </c>
      <c r="U205" s="116" t="s">
        <v>265</v>
      </c>
      <c r="V205" s="176" t="s">
        <v>601</v>
      </c>
      <c r="W205" s="227">
        <f t="shared" si="10"/>
        <v>1</v>
      </c>
      <c r="X205" s="227">
        <f>_xlfn.CEILING.MATH(X199)</f>
        <v>1</v>
      </c>
      <c r="Y205" s="227">
        <f t="shared" si="10"/>
        <v>4</v>
      </c>
      <c r="Z205" s="194"/>
      <c r="AA205" s="194"/>
      <c r="AB205" s="194"/>
      <c r="AC205" s="194"/>
      <c r="AD205" s="194"/>
      <c r="AE205" s="194"/>
      <c r="AF205" s="194"/>
      <c r="AG205" s="194"/>
    </row>
    <row r="206" spans="2:33">
      <c r="B206" s="194"/>
      <c r="C206" s="194"/>
      <c r="D206" s="194"/>
      <c r="E206" s="116" t="s">
        <v>613</v>
      </c>
      <c r="F206" s="176" t="s">
        <v>289</v>
      </c>
      <c r="G206" s="116" t="s">
        <v>501</v>
      </c>
      <c r="H206" s="116" t="s">
        <v>289</v>
      </c>
      <c r="I206" s="116" t="s">
        <v>138</v>
      </c>
      <c r="J206" s="188">
        <f>SUM( J$197*INDEX(EV04_BB1_Default,MATCH($H206,EV_charger_type,0)),
J$198*INDEX(EV04_BB2_Default,MATCH($H206,EV_charger_type,0)),
J$199*INDEX(EV04_BB3_Default,MATCH($H206,EV_charger_type,0)),
J$200*INDEX(EV04_BB4_Default,MATCH($H206,EV_charger_type,0)))</f>
        <v>477993.60000000003</v>
      </c>
      <c r="K206" s="188">
        <f>SUM( K$197*INDEX(EV04_BB1_lower,MATCH($H206,EV_charger_type,0)),
K$198*INDEX(EV04_BB2_lower,MATCH($H206,EV_charger_type,0)),
K$199*INDEX(EV04_BB3_lower,MATCH($H206,EV_charger_type,0)),
K$200*INDEX(EV04_BB4_lower,MATCH($H206,EV_charger_type,0)))</f>
        <v>477993.60000000003</v>
      </c>
      <c r="L206" s="189">
        <f>SUM( L$197*INDEX(EV04_BB1_upper,MATCH($H206,EV_charger_type,0)),
L$198*INDEX(EV04_BB2_upper,MATCH($H206,EV_charger_type,0)),
L$199*INDEX(EV04_BB3_upper,MATCH($H206,EV_charger_type,0)),
L$200*INDEX(EV04_BB4_upper,MATCH($H206,EV_charger_type,0)))</f>
        <v>477993.60000000003</v>
      </c>
      <c r="M206" s="194"/>
      <c r="N206" s="194"/>
      <c r="O206" s="194"/>
      <c r="P206" s="194"/>
      <c r="Q206" s="194"/>
      <c r="R206" s="176" t="s">
        <v>626</v>
      </c>
      <c r="S206" s="116" t="s">
        <v>631</v>
      </c>
      <c r="T206" s="176" t="s">
        <v>501</v>
      </c>
      <c r="U206" s="116" t="s">
        <v>279</v>
      </c>
      <c r="V206" s="176" t="s">
        <v>601</v>
      </c>
      <c r="W206" s="227">
        <f t="shared" si="10"/>
        <v>2</v>
      </c>
      <c r="X206" s="227">
        <f t="shared" si="10"/>
        <v>1</v>
      </c>
      <c r="Y206" s="227">
        <f t="shared" si="10"/>
        <v>2</v>
      </c>
      <c r="Z206" s="194"/>
      <c r="AA206" s="194"/>
      <c r="AB206" s="194"/>
      <c r="AC206" s="194"/>
      <c r="AD206" s="194"/>
      <c r="AE206" s="194"/>
      <c r="AF206" s="194"/>
      <c r="AG206" s="194"/>
    </row>
    <row r="207" spans="2:33">
      <c r="B207" s="194"/>
      <c r="C207" s="194"/>
      <c r="D207" s="194"/>
      <c r="E207" s="194"/>
      <c r="F207" s="194"/>
      <c r="G207" s="194"/>
      <c r="H207" s="194"/>
      <c r="I207" s="194"/>
      <c r="J207" s="194"/>
      <c r="K207" s="194"/>
      <c r="L207" s="194"/>
      <c r="M207" s="194"/>
      <c r="N207" s="194"/>
      <c r="O207" s="194"/>
      <c r="P207" s="194"/>
      <c r="Q207" s="194"/>
      <c r="R207" s="176" t="s">
        <v>626</v>
      </c>
      <c r="S207" s="116" t="s">
        <v>632</v>
      </c>
      <c r="T207" s="176" t="s">
        <v>501</v>
      </c>
      <c r="U207" s="116" t="s">
        <v>289</v>
      </c>
      <c r="V207" s="176" t="s">
        <v>601</v>
      </c>
      <c r="W207" s="227">
        <f t="shared" si="10"/>
        <v>3</v>
      </c>
      <c r="X207" s="227">
        <f>_xlfn.CEILING.MATH(X201)</f>
        <v>1</v>
      </c>
      <c r="Y207" s="227">
        <f t="shared" si="10"/>
        <v>9</v>
      </c>
      <c r="Z207" s="194"/>
      <c r="AA207" s="194"/>
      <c r="AB207" s="194"/>
      <c r="AC207" s="194"/>
      <c r="AD207" s="194"/>
      <c r="AE207" s="194"/>
      <c r="AF207" s="194"/>
      <c r="AG207" s="194"/>
    </row>
    <row r="208" spans="2:33" ht="23.1" customHeight="1">
      <c r="B208" s="194"/>
      <c r="C208" s="387" t="s">
        <v>633</v>
      </c>
      <c r="D208" s="194"/>
      <c r="E208" s="196" t="s">
        <v>634</v>
      </c>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c r="AG208" s="194"/>
    </row>
    <row r="209" spans="2:33" ht="21.6" customHeight="1">
      <c r="B209" s="194"/>
      <c r="C209" s="387"/>
      <c r="D209" s="194"/>
      <c r="E209" s="116" t="s">
        <v>613</v>
      </c>
      <c r="F209" s="116" t="s">
        <v>600</v>
      </c>
      <c r="G209" s="116" t="s">
        <v>575</v>
      </c>
      <c r="H209" s="116" t="s">
        <v>226</v>
      </c>
      <c r="I209" s="116" t="s">
        <v>138</v>
      </c>
      <c r="J209" s="186">
        <f>SUM( J$197*INDEX(EV04_BB1_Default,MATCH($H209,EV_charger_type,0)),
J$198*INDEX(EV04_BB2_Default,MATCH($H209,EV_charger_type,0)))</f>
        <v>188571.97632032001</v>
      </c>
      <c r="K209" s="186">
        <f>SUM( K$197*INDEX(EV04_BB1_lower,MATCH($H209,EV_charger_type,0)),
K$198*INDEX(EV04_BB2_lower,MATCH($H209,EV_charger_type,0)))</f>
        <v>163983.42684</v>
      </c>
      <c r="L209" s="186">
        <f>SUM( L$197*INDEX(EV04_BB1_upper,MATCH($H209,EV_charger_type,0)),
L$198*INDEX(EV04_BB2_upper,MATCH($H209,EV_charger_type,0)))</f>
        <v>216887.52220000001</v>
      </c>
      <c r="M209" s="194"/>
      <c r="N209" s="194"/>
      <c r="O209" s="194"/>
      <c r="P209" s="194"/>
      <c r="Q209" s="194"/>
      <c r="R209" s="194"/>
      <c r="S209" s="194"/>
      <c r="T209" s="194"/>
      <c r="U209" s="194"/>
      <c r="V209" s="194"/>
      <c r="W209" s="194"/>
      <c r="X209" s="194"/>
      <c r="Y209" s="194"/>
      <c r="Z209" s="194"/>
      <c r="AA209" s="194"/>
      <c r="AB209" s="194"/>
      <c r="AC209" s="194"/>
      <c r="AD209" s="194"/>
      <c r="AE209" s="194"/>
      <c r="AF209" s="194"/>
      <c r="AG209" s="194"/>
    </row>
    <row r="210" spans="2:33" ht="21.6" customHeight="1">
      <c r="B210" s="194"/>
      <c r="C210" s="387"/>
      <c r="D210" s="194"/>
      <c r="E210" s="116" t="s">
        <v>613</v>
      </c>
      <c r="F210" s="176" t="s">
        <v>605</v>
      </c>
      <c r="G210" s="116" t="s">
        <v>575</v>
      </c>
      <c r="H210" s="116" t="s">
        <v>245</v>
      </c>
      <c r="I210" s="116" t="s">
        <v>138</v>
      </c>
      <c r="J210" s="186">
        <f>SUM( J$197*INDEX(EV04_BB1_Default,MATCH($H210,EV_charger_type,0)),
J$198*INDEX(EV04_BB2_Default,MATCH($H210,EV_charger_type,0)))</f>
        <v>36468.874117280007</v>
      </c>
      <c r="K210" s="186">
        <f>SUM( K$197*INDEX(EV04_BB1_lower,MATCH($H210,EV_charger_type,0)),
K$198*INDEX(EV04_BB2_lower,MATCH($H210,EV_charger_type,0)))</f>
        <v>28596.563480000001</v>
      </c>
      <c r="L210" s="186">
        <f>SUM( L$197*INDEX(EV04_BB1_upper,MATCH($H210,EV_charger_type,0)),
L$198*INDEX(EV04_BB2_upper,MATCH($H210,EV_charger_type,0)))</f>
        <v>44503.518400000001</v>
      </c>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row>
    <row r="211" spans="2:33">
      <c r="B211" s="194"/>
      <c r="C211" s="387"/>
      <c r="D211" s="194"/>
      <c r="E211" s="116" t="s">
        <v>613</v>
      </c>
      <c r="F211" s="176" t="s">
        <v>607</v>
      </c>
      <c r="G211" s="116" t="s">
        <v>575</v>
      </c>
      <c r="H211" s="116" t="s">
        <v>265</v>
      </c>
      <c r="I211" s="116" t="s">
        <v>138</v>
      </c>
      <c r="J211" s="186">
        <f>SUM( J$197*INDEX(EV04_BB1_Default,MATCH($H211,EV_charger_type,0)),
J$198*INDEX(EV04_BB2_Default,MATCH($H211,EV_charger_type,0)))</f>
        <v>14098.118602400002</v>
      </c>
      <c r="K211" s="186">
        <f>SUM( K$197*INDEX(EV04_BB1_lower,MATCH($H211,EV_charger_type,0)),
K$198*INDEX(EV04_BB2_lower,MATCH($H211,EV_charger_type,0)))</f>
        <v>2502.1954000000001</v>
      </c>
      <c r="L211" s="186">
        <f>SUM( L$197*INDEX(EV04_BB1_upper,MATCH($H211,EV_charger_type,0)),
L$198*INDEX(EV04_BB2_upper,MATCH($H211,EV_charger_type,0)))</f>
        <v>28820.087200000002</v>
      </c>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row>
    <row r="212" spans="2:33">
      <c r="B212" s="194"/>
      <c r="C212" s="194"/>
      <c r="D212" s="194"/>
      <c r="E212" s="116" t="s">
        <v>613</v>
      </c>
      <c r="F212" s="176" t="s">
        <v>609</v>
      </c>
      <c r="G212" s="116" t="s">
        <v>575</v>
      </c>
      <c r="H212" s="116" t="s">
        <v>279</v>
      </c>
      <c r="I212" s="116" t="s">
        <v>138</v>
      </c>
      <c r="J212" s="186">
        <f>SUM( J$197*INDEX(EV04_BB1_Default,MATCH($H212,EV_charger_type,0)),
J$198*INDEX(EV04_BB2_Default,MATCH($H212,EV_charger_type,0)))</f>
        <v>25021.954000000002</v>
      </c>
      <c r="K212" s="186">
        <f>SUM( K$197*INDEX(EV04_BB1_lower,MATCH($H212,EV_charger_type,0)),
K$198*INDEX(EV04_BB2_lower,MATCH($H212,EV_charger_type,0)))</f>
        <v>7506.5861999999997</v>
      </c>
      <c r="L212" s="186">
        <f>SUM( L$197*INDEX(EV04_BB1_upper,MATCH($H212,EV_charger_type,0)),
L$198*INDEX(EV04_BB2_upper,MATCH($H212,EV_charger_type,0)))</f>
        <v>42537.321800000005</v>
      </c>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row>
    <row r="213" spans="2:33">
      <c r="B213" s="194"/>
      <c r="C213" s="194"/>
      <c r="D213" s="194"/>
      <c r="E213" s="116" t="s">
        <v>613</v>
      </c>
      <c r="F213" s="176" t="s">
        <v>289</v>
      </c>
      <c r="G213" s="116" t="s">
        <v>575</v>
      </c>
      <c r="H213" s="116" t="s">
        <v>289</v>
      </c>
      <c r="I213" s="116" t="s">
        <v>138</v>
      </c>
      <c r="J213" s="186">
        <f>SUM( J$197*INDEX(EV04_BB1_Default,MATCH($H213,EV_charger_type,0)),
J$198*INDEX(EV04_BB2_Default,MATCH($H213,EV_charger_type,0)))</f>
        <v>0</v>
      </c>
      <c r="K213" s="186">
        <f>SUM( K$197*INDEX(EV04_BB1_lower,MATCH($H213,EV_charger_type,0)),
K$198*INDEX(EV04_BB2_lower,MATCH($H213,EV_charger_type,0)))</f>
        <v>0</v>
      </c>
      <c r="L213" s="186">
        <f>SUM( L$197*INDEX(EV04_BB1_upper,MATCH($H213,EV_charger_type,0)),
L$198*INDEX(EV04_BB2_upper,MATCH($H213,EV_charger_type,0)))</f>
        <v>0</v>
      </c>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row>
    <row r="214" spans="2:33">
      <c r="B214" s="194"/>
      <c r="C214" s="387" t="s">
        <v>635</v>
      </c>
      <c r="D214" s="194"/>
      <c r="E214" s="196" t="s">
        <v>636</v>
      </c>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c r="AC214" s="194"/>
      <c r="AD214" s="194"/>
      <c r="AE214" s="194"/>
      <c r="AF214" s="194"/>
      <c r="AG214" s="194"/>
    </row>
    <row r="215" spans="2:33">
      <c r="B215" s="194"/>
      <c r="C215" s="387"/>
      <c r="D215" s="194"/>
      <c r="E215" s="116" t="s">
        <v>613</v>
      </c>
      <c r="F215" s="116" t="s">
        <v>600</v>
      </c>
      <c r="G215" s="116" t="s">
        <v>580</v>
      </c>
      <c r="H215" s="116" t="s">
        <v>226</v>
      </c>
      <c r="I215" s="116" t="s">
        <v>138</v>
      </c>
      <c r="J215" s="186">
        <f>SUM(J$199*INDEX(EV04_BB3_Default,MATCH($H215,EV_charger_type,0)),
J$200*INDEX(EV04_BB4_Default,MATCH($H215,EV_charger_type,0)))</f>
        <v>0</v>
      </c>
      <c r="K215" s="186">
        <f>SUM(K$199*INDEX(EV04_BB3_lower,MATCH($H215,EV_charger_type,0)),
K$200*INDEX(EV04_BB4_lower,MATCH($H215,EV_charger_type,0)))</f>
        <v>0</v>
      </c>
      <c r="L215" s="186">
        <f>SUM(L$199*INDEX(EV04_BB3_upper,MATCH($H215,EV_charger_type,0)),
L$200*INDEX(EV04_BB4_upper,MATCH($H215,EV_charger_type,0)))</f>
        <v>0</v>
      </c>
      <c r="M215" s="194"/>
      <c r="N215" s="194"/>
      <c r="O215" s="194"/>
      <c r="P215" s="194"/>
      <c r="Q215" s="194"/>
      <c r="R215" s="194"/>
      <c r="S215" s="194"/>
      <c r="T215" s="194"/>
      <c r="U215" s="194"/>
      <c r="V215" s="194"/>
      <c r="W215" s="194"/>
      <c r="X215" s="194"/>
      <c r="Y215" s="194"/>
      <c r="Z215" s="194"/>
      <c r="AA215" s="194"/>
      <c r="AB215" s="194"/>
      <c r="AC215" s="194"/>
      <c r="AD215" s="194"/>
      <c r="AE215" s="194"/>
      <c r="AF215" s="194"/>
      <c r="AG215" s="194"/>
    </row>
    <row r="216" spans="2:33">
      <c r="B216" s="194"/>
      <c r="C216" s="387"/>
      <c r="D216" s="194"/>
      <c r="E216" s="116" t="s">
        <v>613</v>
      </c>
      <c r="F216" s="176" t="s">
        <v>605</v>
      </c>
      <c r="G216" s="116" t="s">
        <v>580</v>
      </c>
      <c r="H216" s="116" t="s">
        <v>245</v>
      </c>
      <c r="I216" s="116" t="s">
        <v>138</v>
      </c>
      <c r="J216" s="186">
        <f>SUM(J$199*INDEX(EV04_BB3_Default,MATCH($H216,EV_charger_type,0)),
J$200*INDEX(EV04_BB4_Default,MATCH($H216,EV_charger_type,0)))</f>
        <v>0</v>
      </c>
      <c r="K216" s="186">
        <f>SUM(K$199*INDEX(EV04_BB3_lower,MATCH($H216,EV_charger_type,0)),
K$200*INDEX(EV04_BB4_lower,MATCH($H216,EV_charger_type,0)))</f>
        <v>0</v>
      </c>
      <c r="L216" s="186">
        <f>SUM(L$199*INDEX(EV04_BB3_upper,MATCH($H216,EV_charger_type,0)),
L$200*INDEX(EV04_BB4_upper,MATCH($H216,EV_charger_type,0)))</f>
        <v>0</v>
      </c>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row>
    <row r="217" spans="2:33">
      <c r="B217" s="194"/>
      <c r="C217" s="387"/>
      <c r="D217" s="194"/>
      <c r="E217" s="116" t="s">
        <v>613</v>
      </c>
      <c r="F217" s="176" t="s">
        <v>607</v>
      </c>
      <c r="G217" s="116" t="s">
        <v>580</v>
      </c>
      <c r="H217" s="116" t="s">
        <v>265</v>
      </c>
      <c r="I217" s="116" t="s">
        <v>138</v>
      </c>
      <c r="J217" s="186">
        <f>SUM(J$199*INDEX(EV04_BB3_Default,MATCH($H217,EV_charger_type,0)),
J$200*INDEX(EV04_BB4_Default,MATCH($H217,EV_charger_type,0)))</f>
        <v>0</v>
      </c>
      <c r="K217" s="186">
        <f>SUM(K$199*INDEX(EV04_BB3_lower,MATCH($H217,EV_charger_type,0)),
K$200*INDEX(EV04_BB4_lower,MATCH($H217,EV_charger_type,0)))</f>
        <v>0</v>
      </c>
      <c r="L217" s="186">
        <f>SUM(L$199*INDEX(EV04_BB3_upper,MATCH($H217,EV_charger_type,0)),
L$200*INDEX(EV04_BB4_upper,MATCH($H217,EV_charger_type,0)))</f>
        <v>0</v>
      </c>
      <c r="M217" s="194"/>
      <c r="N217" s="194"/>
      <c r="O217" s="194"/>
      <c r="P217" s="194"/>
      <c r="Q217" s="194"/>
      <c r="R217" s="194"/>
      <c r="S217" s="194"/>
      <c r="T217" s="194"/>
      <c r="U217" s="194"/>
      <c r="V217" s="194"/>
      <c r="W217" s="194"/>
      <c r="X217" s="194"/>
      <c r="Y217" s="194"/>
      <c r="Z217" s="194"/>
      <c r="AA217" s="194"/>
      <c r="AB217" s="194"/>
      <c r="AC217" s="194"/>
      <c r="AD217" s="194"/>
      <c r="AE217" s="194"/>
      <c r="AF217" s="194"/>
      <c r="AG217" s="194"/>
    </row>
    <row r="218" spans="2:33">
      <c r="B218" s="194"/>
      <c r="C218" s="194"/>
      <c r="D218" s="194"/>
      <c r="E218" s="116" t="s">
        <v>613</v>
      </c>
      <c r="F218" s="176" t="s">
        <v>609</v>
      </c>
      <c r="G218" s="116" t="s">
        <v>580</v>
      </c>
      <c r="H218" s="116" t="s">
        <v>279</v>
      </c>
      <c r="I218" s="116" t="s">
        <v>138</v>
      </c>
      <c r="J218" s="186">
        <f>SUM(J$199*INDEX(EV04_BB3_Default,MATCH($H218,EV_charger_type,0)),
J$200*INDEX(EV04_BB4_Default,MATCH($H218,EV_charger_type,0)))</f>
        <v>53110.400000000001</v>
      </c>
      <c r="K218" s="186">
        <f>SUM(K$199*INDEX(EV04_BB3_lower,MATCH($H218,EV_charger_type,0)),
K$200*INDEX(EV04_BB4_lower,MATCH($H218,EV_charger_type,0)))</f>
        <v>53110.400000000001</v>
      </c>
      <c r="L218" s="186">
        <f>SUM(L$199*INDEX(EV04_BB3_upper,MATCH($H218,EV_charger_type,0)),
L$200*INDEX(EV04_BB4_upper,MATCH($H218,EV_charger_type,0)))</f>
        <v>53110.400000000001</v>
      </c>
      <c r="M218" s="194"/>
      <c r="N218" s="194"/>
      <c r="O218" s="194"/>
      <c r="P218" s="194"/>
      <c r="Q218" s="194"/>
      <c r="R218" s="194"/>
      <c r="S218" s="194"/>
      <c r="T218" s="194"/>
      <c r="U218" s="194"/>
      <c r="V218" s="194"/>
      <c r="W218" s="194"/>
      <c r="X218" s="194"/>
      <c r="Y218" s="194"/>
      <c r="Z218" s="194"/>
      <c r="AA218" s="194"/>
      <c r="AB218" s="194"/>
      <c r="AC218" s="194"/>
      <c r="AD218" s="194"/>
      <c r="AE218" s="194"/>
      <c r="AF218" s="194"/>
      <c r="AG218" s="194"/>
    </row>
    <row r="219" spans="2:33">
      <c r="B219" s="194"/>
      <c r="C219" s="194"/>
      <c r="D219" s="194"/>
      <c r="E219" s="116" t="s">
        <v>613</v>
      </c>
      <c r="F219" s="176" t="s">
        <v>289</v>
      </c>
      <c r="G219" s="116" t="s">
        <v>580</v>
      </c>
      <c r="H219" s="116" t="s">
        <v>289</v>
      </c>
      <c r="I219" s="116" t="s">
        <v>138</v>
      </c>
      <c r="J219" s="186">
        <f>SUM(J$199*INDEX(EV04_BB3_Default,MATCH($H219,EV_charger_type,0)),
J$200*INDEX(EV04_BB4_Default,MATCH($H219,EV_charger_type,0)))</f>
        <v>477993.60000000003</v>
      </c>
      <c r="K219" s="186">
        <f>SUM(K$199*INDEX(EV04_BB3_lower,MATCH($H219,EV_charger_type,0)),
K$200*INDEX(EV04_BB4_lower,MATCH($H219,EV_charger_type,0)))</f>
        <v>477993.60000000003</v>
      </c>
      <c r="L219" s="186">
        <f>SUM(L$199*INDEX(EV04_BB3_upper,MATCH($H219,EV_charger_type,0)),
L$200*INDEX(EV04_BB4_upper,MATCH($H219,EV_charger_type,0)))</f>
        <v>477993.60000000003</v>
      </c>
      <c r="M219" s="194"/>
      <c r="N219" s="194"/>
      <c r="O219" s="194"/>
      <c r="P219" s="194"/>
      <c r="Q219" s="194"/>
      <c r="R219" s="194"/>
      <c r="S219" s="194"/>
      <c r="T219" s="194"/>
      <c r="U219" s="194"/>
      <c r="V219" s="194"/>
      <c r="W219" s="194"/>
      <c r="X219" s="194"/>
      <c r="Y219" s="194"/>
      <c r="Z219" s="194"/>
      <c r="AA219" s="194"/>
      <c r="AB219" s="194"/>
      <c r="AC219" s="194"/>
      <c r="AD219" s="194"/>
      <c r="AE219" s="194"/>
      <c r="AF219" s="194"/>
      <c r="AG219" s="194"/>
    </row>
    <row r="220" spans="2:33">
      <c r="B220" s="194"/>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c r="AC220" s="194"/>
      <c r="AD220" s="194"/>
      <c r="AE220" s="194"/>
      <c r="AF220" s="194"/>
      <c r="AG220" s="194"/>
    </row>
    <row r="221" spans="2:33">
      <c r="B221" s="194"/>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c r="AC221" s="194"/>
      <c r="AD221" s="194"/>
      <c r="AE221" s="194"/>
      <c r="AF221" s="194"/>
      <c r="AG221" s="194"/>
    </row>
    <row r="222" spans="2:33" ht="24">
      <c r="B222" s="194"/>
      <c r="C222" s="251" t="s">
        <v>637</v>
      </c>
      <c r="D222" s="194"/>
      <c r="E222" s="194"/>
      <c r="F222" s="194"/>
      <c r="G222" s="194"/>
      <c r="H222" s="194"/>
      <c r="I222" s="194"/>
      <c r="J222" s="194"/>
      <c r="K222" s="194"/>
      <c r="L222" s="251"/>
      <c r="M222" s="194"/>
      <c r="N222" s="194"/>
      <c r="O222" s="194"/>
      <c r="P222" s="194"/>
      <c r="Q222" s="194"/>
      <c r="R222" s="194"/>
      <c r="S222" s="194"/>
      <c r="T222" s="194"/>
      <c r="U222" s="251"/>
      <c r="V222" s="194"/>
      <c r="W222" s="194"/>
      <c r="X222" s="194"/>
      <c r="Y222" s="194"/>
      <c r="Z222" s="194"/>
      <c r="AA222" s="194"/>
      <c r="AB222" s="194"/>
      <c r="AC222" s="194"/>
      <c r="AD222" s="194"/>
      <c r="AE222" s="194"/>
      <c r="AF222" s="194"/>
      <c r="AG222" s="194"/>
    </row>
    <row r="223" spans="2:33" ht="24">
      <c r="B223" s="194"/>
      <c r="C223" s="254" t="s">
        <v>638</v>
      </c>
      <c r="D223" s="194"/>
      <c r="E223" s="194"/>
      <c r="F223" s="194"/>
      <c r="G223" s="194"/>
      <c r="H223" s="194"/>
      <c r="I223" s="194"/>
      <c r="J223" s="194"/>
      <c r="K223" s="194"/>
      <c r="L223" s="194"/>
      <c r="M223" s="254" t="s">
        <v>639</v>
      </c>
      <c r="N223" s="194"/>
      <c r="O223" s="194"/>
      <c r="P223" s="194"/>
      <c r="Q223" s="194"/>
      <c r="R223" s="194"/>
      <c r="S223" s="194"/>
      <c r="T223" s="194"/>
      <c r="U223" s="251"/>
      <c r="V223" s="194"/>
      <c r="W223" s="254" t="s">
        <v>640</v>
      </c>
      <c r="X223" s="194"/>
      <c r="Y223" s="194"/>
      <c r="Z223" s="194"/>
      <c r="AA223" s="194"/>
      <c r="AB223" s="194"/>
      <c r="AC223" s="194"/>
      <c r="AD223" s="194"/>
      <c r="AE223" s="194"/>
      <c r="AF223" s="194"/>
      <c r="AG223" s="194"/>
    </row>
    <row r="224" spans="2:33">
      <c r="B224" s="194"/>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c r="AC224" s="194"/>
      <c r="AD224" s="194"/>
      <c r="AE224" s="194"/>
      <c r="AF224" s="194"/>
      <c r="AG224" s="194"/>
    </row>
    <row r="225" spans="2:33">
      <c r="B225" s="194"/>
      <c r="C225" s="194"/>
      <c r="D225" s="194"/>
      <c r="E225" s="168" t="s">
        <v>226</v>
      </c>
      <c r="F225" s="168" t="s">
        <v>245</v>
      </c>
      <c r="G225" s="168" t="s">
        <v>265</v>
      </c>
      <c r="H225" s="168" t="s">
        <v>279</v>
      </c>
      <c r="I225" s="168" t="s">
        <v>289</v>
      </c>
      <c r="J225" s="168" t="s">
        <v>641</v>
      </c>
      <c r="K225" s="168" t="s">
        <v>642</v>
      </c>
      <c r="L225" s="194"/>
      <c r="M225" s="194"/>
      <c r="N225" s="194"/>
      <c r="O225" s="168" t="s">
        <v>226</v>
      </c>
      <c r="P225" s="168" t="s">
        <v>245</v>
      </c>
      <c r="Q225" s="168" t="s">
        <v>265</v>
      </c>
      <c r="R225" s="168" t="s">
        <v>279</v>
      </c>
      <c r="S225" s="168" t="s">
        <v>289</v>
      </c>
      <c r="T225" s="168" t="s">
        <v>641</v>
      </c>
      <c r="U225" s="168" t="s">
        <v>642</v>
      </c>
      <c r="V225" s="194"/>
      <c r="W225" s="194"/>
      <c r="X225" s="194"/>
      <c r="Y225" s="168" t="s">
        <v>226</v>
      </c>
      <c r="Z225" s="168" t="s">
        <v>245</v>
      </c>
      <c r="AA225" s="168" t="s">
        <v>265</v>
      </c>
      <c r="AB225" s="168" t="s">
        <v>279</v>
      </c>
      <c r="AC225" s="168" t="s">
        <v>289</v>
      </c>
      <c r="AD225" s="168" t="s">
        <v>641</v>
      </c>
      <c r="AE225" s="168" t="s">
        <v>642</v>
      </c>
      <c r="AF225" s="194"/>
      <c r="AG225" s="194"/>
    </row>
    <row r="226" spans="2:33">
      <c r="B226" s="194"/>
      <c r="C226" s="168" t="s">
        <v>497</v>
      </c>
      <c r="D226" s="168" t="s">
        <v>340</v>
      </c>
      <c r="E226" s="172" t="s">
        <v>593</v>
      </c>
      <c r="F226" s="172" t="s">
        <v>593</v>
      </c>
      <c r="G226" s="172" t="s">
        <v>593</v>
      </c>
      <c r="H226" s="172" t="s">
        <v>593</v>
      </c>
      <c r="I226" s="172" t="s">
        <v>593</v>
      </c>
      <c r="J226" s="172" t="s">
        <v>593</v>
      </c>
      <c r="K226" s="172" t="s">
        <v>593</v>
      </c>
      <c r="L226" s="194"/>
      <c r="M226" s="168" t="s">
        <v>497</v>
      </c>
      <c r="N226" s="168" t="s">
        <v>340</v>
      </c>
      <c r="O226" s="172" t="s">
        <v>588</v>
      </c>
      <c r="P226" s="172" t="s">
        <v>588</v>
      </c>
      <c r="Q226" s="172" t="s">
        <v>588</v>
      </c>
      <c r="R226" s="172" t="s">
        <v>588</v>
      </c>
      <c r="S226" s="172" t="s">
        <v>588</v>
      </c>
      <c r="T226" s="172" t="s">
        <v>588</v>
      </c>
      <c r="U226" s="172" t="s">
        <v>588</v>
      </c>
      <c r="V226" s="194"/>
      <c r="W226" s="168" t="s">
        <v>497</v>
      </c>
      <c r="X226" s="168" t="s">
        <v>340</v>
      </c>
      <c r="Y226" s="172" t="s">
        <v>589</v>
      </c>
      <c r="Z226" s="172" t="s">
        <v>589</v>
      </c>
      <c r="AA226" s="172" t="s">
        <v>589</v>
      </c>
      <c r="AB226" s="172" t="s">
        <v>589</v>
      </c>
      <c r="AC226" s="172" t="s">
        <v>589</v>
      </c>
      <c r="AD226" s="172" t="s">
        <v>589</v>
      </c>
      <c r="AE226" s="172" t="s">
        <v>589</v>
      </c>
      <c r="AF226" s="194"/>
      <c r="AG226" s="194"/>
    </row>
    <row r="227" spans="2:33">
      <c r="B227" s="194"/>
      <c r="C227" s="2" t="s">
        <v>569</v>
      </c>
      <c r="D227" s="2" t="s">
        <v>136</v>
      </c>
      <c r="E227" s="255">
        <f>MAX(E232:E279)</f>
        <v>84.089137775059271</v>
      </c>
      <c r="F227" s="192">
        <f t="shared" ref="F227:J227" si="11">MAX(F232:F279)</f>
        <v>23.855434406349541</v>
      </c>
      <c r="G227" s="192">
        <f t="shared" si="11"/>
        <v>5.3760746958637036</v>
      </c>
      <c r="H227" s="192">
        <f t="shared" si="11"/>
        <v>33.4354399906059</v>
      </c>
      <c r="I227" s="192">
        <f t="shared" si="11"/>
        <v>549.66855677045771</v>
      </c>
      <c r="J227" s="192">
        <f t="shared" si="11"/>
        <v>627.58956000965691</v>
      </c>
      <c r="K227" s="192">
        <f>MAX(K232:K279)</f>
        <v>5.2299130000804741</v>
      </c>
      <c r="L227" s="194"/>
      <c r="M227" s="2" t="s">
        <v>569</v>
      </c>
      <c r="N227" s="2" t="s">
        <v>136</v>
      </c>
      <c r="O227" s="192">
        <f>MAX(O232:O279)</f>
        <v>73.124465477054144</v>
      </c>
      <c r="P227" s="192">
        <f t="shared" ref="P227:U227" si="12">MAX(P232:P279)</f>
        <v>18.705909103481549</v>
      </c>
      <c r="Q227" s="192">
        <f t="shared" si="12"/>
        <v>0.95416911670444815</v>
      </c>
      <c r="R227" s="192">
        <f t="shared" si="12"/>
        <v>25.940029971469773</v>
      </c>
      <c r="S227" s="192">
        <f t="shared" si="12"/>
        <v>549.66855677045771</v>
      </c>
      <c r="T227" s="192">
        <f t="shared" si="12"/>
        <v>615.11987151463632</v>
      </c>
      <c r="U227" s="192">
        <f t="shared" si="12"/>
        <v>5.1259989292886363</v>
      </c>
      <c r="V227" s="194"/>
      <c r="W227" s="2" t="s">
        <v>569</v>
      </c>
      <c r="X227" s="2" t="s">
        <v>136</v>
      </c>
      <c r="Y227" s="192">
        <f>MAX(Y232:Y279)</f>
        <v>96.715774484894979</v>
      </c>
      <c r="Z227" s="192">
        <f t="shared" ref="Z227:AE227" si="13">MAX(Z232:Z279)</f>
        <v>29.111147238294617</v>
      </c>
      <c r="AA227" s="192">
        <f t="shared" si="13"/>
        <v>10.990043841887477</v>
      </c>
      <c r="AB227" s="192">
        <f t="shared" si="13"/>
        <v>40.930850009742031</v>
      </c>
      <c r="AC227" s="192">
        <f t="shared" si="13"/>
        <v>549.66855677045771</v>
      </c>
      <c r="AD227" s="192">
        <f t="shared" si="13"/>
        <v>641.50738197977614</v>
      </c>
      <c r="AE227" s="192">
        <f t="shared" si="13"/>
        <v>5.3458948498314678</v>
      </c>
      <c r="AF227" s="194"/>
      <c r="AG227" s="194"/>
    </row>
    <row r="228" spans="2:33">
      <c r="B228" s="194"/>
      <c r="C228" s="2" t="s">
        <v>643</v>
      </c>
      <c r="D228" s="2" t="s">
        <v>594</v>
      </c>
      <c r="E228" s="256">
        <f t="shared" ref="E228:K228" si="14">INDEX(times,MATCH(E227,E$232:E$279,0))</f>
        <v>2.0833333333333332E-2</v>
      </c>
      <c r="F228" s="193">
        <f t="shared" si="14"/>
        <v>0.33333333333333331</v>
      </c>
      <c r="G228" s="193">
        <f t="shared" si="14"/>
        <v>0.375</v>
      </c>
      <c r="H228" s="193">
        <f t="shared" si="14"/>
        <v>0.5625</v>
      </c>
      <c r="I228" s="193">
        <f t="shared" si="14"/>
        <v>0.89583333333333337</v>
      </c>
      <c r="J228" s="193">
        <f t="shared" si="14"/>
        <v>0.89583333333333337</v>
      </c>
      <c r="K228" s="193">
        <f t="shared" si="14"/>
        <v>0.89583333333333337</v>
      </c>
      <c r="L228" s="194"/>
      <c r="M228" s="2" t="s">
        <v>643</v>
      </c>
      <c r="N228" s="2" t="s">
        <v>594</v>
      </c>
      <c r="O228" s="193">
        <f t="shared" ref="O228:U228" si="15">INDEX(times,MATCH(O227,O$232:O$279,0))</f>
        <v>2.0833333333333332E-2</v>
      </c>
      <c r="P228" s="193">
        <f t="shared" si="15"/>
        <v>0.33333333333333331</v>
      </c>
      <c r="Q228" s="193">
        <f t="shared" si="15"/>
        <v>0.375</v>
      </c>
      <c r="R228" s="193">
        <f t="shared" si="15"/>
        <v>0.5625</v>
      </c>
      <c r="S228" s="193">
        <f t="shared" si="15"/>
        <v>0.89583333333333337</v>
      </c>
      <c r="T228" s="193">
        <f t="shared" si="15"/>
        <v>0.89583333333333337</v>
      </c>
      <c r="U228" s="193">
        <f t="shared" si="15"/>
        <v>0.89583333333333337</v>
      </c>
      <c r="V228" s="194"/>
      <c r="W228" s="2" t="s">
        <v>643</v>
      </c>
      <c r="X228" s="2" t="s">
        <v>594</v>
      </c>
      <c r="Y228" s="193">
        <f t="shared" ref="Y228:AE228" si="16">INDEX(times,MATCH(Y227,Y$232:Y$279,0))</f>
        <v>2.0833333333333332E-2</v>
      </c>
      <c r="Z228" s="193">
        <f t="shared" si="16"/>
        <v>0.33333333333333331</v>
      </c>
      <c r="AA228" s="193">
        <f t="shared" si="16"/>
        <v>0.375</v>
      </c>
      <c r="AB228" s="193">
        <f t="shared" si="16"/>
        <v>0.5625</v>
      </c>
      <c r="AC228" s="193">
        <f t="shared" si="16"/>
        <v>0.89583333333333337</v>
      </c>
      <c r="AD228" s="193">
        <f t="shared" si="16"/>
        <v>0.89583333333333337</v>
      </c>
      <c r="AE228" s="193">
        <f t="shared" si="16"/>
        <v>0.89583333333333337</v>
      </c>
      <c r="AF228" s="194"/>
      <c r="AG228" s="194"/>
    </row>
    <row r="229" spans="2:33">
      <c r="B229" s="194"/>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c r="AC229" s="194"/>
      <c r="AD229" s="194"/>
      <c r="AE229" s="194"/>
      <c r="AF229" s="194"/>
      <c r="AG229" s="194"/>
    </row>
    <row r="230" spans="2:33">
      <c r="B230" s="194"/>
      <c r="C230" s="194"/>
      <c r="D230" s="176" t="s">
        <v>644</v>
      </c>
      <c r="E230" s="168" t="s">
        <v>226</v>
      </c>
      <c r="F230" s="168" t="s">
        <v>245</v>
      </c>
      <c r="G230" s="168" t="s">
        <v>265</v>
      </c>
      <c r="H230" s="168" t="s">
        <v>279</v>
      </c>
      <c r="I230" s="168" t="s">
        <v>289</v>
      </c>
      <c r="J230" s="168" t="s">
        <v>641</v>
      </c>
      <c r="K230" s="168" t="s">
        <v>642</v>
      </c>
      <c r="L230" s="194"/>
      <c r="M230" s="194"/>
      <c r="N230" s="176" t="s">
        <v>644</v>
      </c>
      <c r="O230" s="168" t="s">
        <v>226</v>
      </c>
      <c r="P230" s="168" t="s">
        <v>245</v>
      </c>
      <c r="Q230" s="168" t="s">
        <v>265</v>
      </c>
      <c r="R230" s="168" t="s">
        <v>279</v>
      </c>
      <c r="S230" s="168" t="s">
        <v>289</v>
      </c>
      <c r="T230" s="168" t="s">
        <v>641</v>
      </c>
      <c r="U230" s="168" t="s">
        <v>642</v>
      </c>
      <c r="V230" s="194"/>
      <c r="W230" s="194"/>
      <c r="X230" s="176" t="s">
        <v>644</v>
      </c>
      <c r="Y230" s="168" t="s">
        <v>226</v>
      </c>
      <c r="Z230" s="168" t="s">
        <v>245</v>
      </c>
      <c r="AA230" s="168" t="s">
        <v>265</v>
      </c>
      <c r="AB230" s="168" t="s">
        <v>279</v>
      </c>
      <c r="AC230" s="168" t="s">
        <v>289</v>
      </c>
      <c r="AD230" s="168" t="s">
        <v>641</v>
      </c>
      <c r="AE230" s="168" t="s">
        <v>642</v>
      </c>
      <c r="AF230" s="194"/>
      <c r="AG230" s="194"/>
    </row>
    <row r="231" spans="2:33">
      <c r="B231" s="194"/>
      <c r="C231" s="194"/>
      <c r="D231" s="260" t="s">
        <v>594</v>
      </c>
      <c r="E231" s="172" t="s">
        <v>593</v>
      </c>
      <c r="F231" s="172" t="s">
        <v>593</v>
      </c>
      <c r="G231" s="172" t="s">
        <v>593</v>
      </c>
      <c r="H231" s="172" t="s">
        <v>593</v>
      </c>
      <c r="I231" s="172" t="s">
        <v>593</v>
      </c>
      <c r="J231" s="172" t="s">
        <v>593</v>
      </c>
      <c r="K231" s="172" t="s">
        <v>593</v>
      </c>
      <c r="L231" s="194"/>
      <c r="M231" s="194"/>
      <c r="N231" s="168" t="s">
        <v>594</v>
      </c>
      <c r="O231" s="172" t="s">
        <v>588</v>
      </c>
      <c r="P231" s="172" t="s">
        <v>588</v>
      </c>
      <c r="Q231" s="172" t="s">
        <v>588</v>
      </c>
      <c r="R231" s="172" t="s">
        <v>588</v>
      </c>
      <c r="S231" s="172" t="s">
        <v>588</v>
      </c>
      <c r="T231" s="172" t="s">
        <v>588</v>
      </c>
      <c r="U231" s="172" t="s">
        <v>588</v>
      </c>
      <c r="V231" s="194"/>
      <c r="W231" s="194"/>
      <c r="X231" s="168" t="s">
        <v>594</v>
      </c>
      <c r="Y231" s="172" t="s">
        <v>589</v>
      </c>
      <c r="Z231" s="172" t="s">
        <v>589</v>
      </c>
      <c r="AA231" s="172" t="s">
        <v>589</v>
      </c>
      <c r="AB231" s="172" t="s">
        <v>589</v>
      </c>
      <c r="AC231" s="172" t="s">
        <v>589</v>
      </c>
      <c r="AD231" s="172" t="s">
        <v>589</v>
      </c>
      <c r="AE231" s="172" t="s">
        <v>589</v>
      </c>
      <c r="AF231" s="194"/>
      <c r="AG231" s="194"/>
    </row>
    <row r="232" spans="2:33">
      <c r="B232" s="194"/>
      <c r="C232" s="194">
        <v>1</v>
      </c>
      <c r="D232" s="180">
        <v>0</v>
      </c>
      <c r="E232" s="258" cm="1">
        <f t="array" ref="E232">INDEX($J$202:$J$206,MATCH(E$230,EV_charger_type,0))*INDEX(EV06_domestic_Default,$C232)*EV07_domestic_Default</f>
        <v>76.519944273583064</v>
      </c>
      <c r="F232" s="258" cm="1">
        <f t="array" ref="F232">INDEX($J$202:$J$206,MATCH(F$230,EV_charger_type,0))*INDEX(EV06_work,$C232)*EV07_work_Default</f>
        <v>1.2519423500489228</v>
      </c>
      <c r="G232" s="258" cm="1">
        <f t="array" ref="G232">INDEX($J$202:$J$206,MATCH(G$230,EV_charger_type,0))*INDEX(EV06_slowfast,$C232)*EV07_slowfast_Default</f>
        <v>0.61886678449657373</v>
      </c>
      <c r="H232" s="258" cm="1">
        <f t="array" ref="H232">INDEX($J$202:$J$206,MATCH(H$230,EV_charger_type,0))*INDEX(EV06_rapid,$C232)*EV07_rapid_Default</f>
        <v>5.2870420818982264</v>
      </c>
      <c r="I232" s="258" cm="1">
        <f t="array" ref="I232">INDEX($J$202:$J$206,MATCH(I$230,EV_charger_type,0))*INDEX(EV06_depot,$C232)*EV07_depot_Default</f>
        <v>519.16071084917758</v>
      </c>
      <c r="J232" s="259">
        <f>SUM(E232:I232)</f>
        <v>602.8385063392044</v>
      </c>
      <c r="K232" s="259">
        <f>IFERROR(J232/(SUM(EV_number_BB1,EV_number_BB2,EV_Number_BB3,EV_number_BB4)),0)</f>
        <v>5.0236542194933698</v>
      </c>
      <c r="L232" s="194"/>
      <c r="M232" s="194"/>
      <c r="N232" s="180">
        <v>0</v>
      </c>
      <c r="O232" s="191" cm="1">
        <f t="array" ref="O232">INDEX($K$202:$K$206,MATCH(O$230,EV_charger_type,0))*INDEX(EV06_domestic_lower,$C232)*EV07_domestic_lower</f>
        <v>66.54224518638533</v>
      </c>
      <c r="P232" s="191" cm="1">
        <f t="array" ref="P232">INDEX($K$202:$K$206,MATCH(P$230,EV_charger_type,0))*INDEX(EV06_work,$C232)*EV07_work_lower</f>
        <v>0.98169328648154608</v>
      </c>
      <c r="Q232" s="191" cm="1">
        <f t="array" ref="Q232">INDEX($K$202:$K$206,MATCH(Q$230,EV_charger_type,0))*INDEX(EV06_slowfast,$C232)*EV07_slowfast_lower</f>
        <v>0.10983916826437422</v>
      </c>
      <c r="R232" s="191" cm="1">
        <f t="array" ref="R232">INDEX($K$202:$K$206,MATCH(R$230,EV_charger_type,0))*INDEX(EV06_rapid,$C232)*EV07_rapid_lower</f>
        <v>4.1018162196577874</v>
      </c>
      <c r="S232" s="191" cm="1">
        <f t="array" ref="S232">INDEX($K$202:$K$206,MATCH(S$230,EV_charger_type,0))*INDEX(EV06_depot,$C232)*EV07_depot_lower</f>
        <v>519.16071084917758</v>
      </c>
      <c r="T232" s="192">
        <f>SUM(O232:S232)</f>
        <v>590.89630470996667</v>
      </c>
      <c r="U232" s="192">
        <f t="shared" ref="U232:U279" si="17">IFERROR(T232/(SUM(EV_number_BB1,EV_number_BB2,EV_Number_BB3,EV_number_BB4)),0)</f>
        <v>4.9241358725830553</v>
      </c>
      <c r="V232" s="194"/>
      <c r="W232" s="194"/>
      <c r="X232" s="180">
        <v>0</v>
      </c>
      <c r="Y232" s="191" cm="1">
        <f t="array" ref="Y232">INDEX($L$202:$L$206,MATCH(Y$230,EV_charger_type,0))*INDEX(EV06_domestic_upper,$C232)*EV07_domestic_upper</f>
        <v>88.010007829520447</v>
      </c>
      <c r="Z232" s="191" cm="1">
        <f t="array" ref="Z232">INDEX($L$202:$L$206,MATCH(Z$230,EV_charger_type,0))*INDEX(EV06_work,$C232)*EV07_work_upper</f>
        <v>1.527764175882296</v>
      </c>
      <c r="AA232" s="191" cm="1">
        <f t="array" ref="AA232">INDEX($L$202:$L$206,MATCH(AA$230,EV_charger_type,0))*INDEX(EV06_slowfast,$C232)*EV07_slowfast_upper</f>
        <v>1.2651187862285806</v>
      </c>
      <c r="AB232" s="191" cm="1">
        <f t="array" ref="AB232">INDEX($L$202:$L$206,MATCH(AB$230,EV_charger_type,0))*INDEX(EV06_rapid,$C232)*EV07_rapid_upper</f>
        <v>6.4722679441386637</v>
      </c>
      <c r="AC232" s="191" cm="1">
        <f t="array" ref="AC232">INDEX($L$202:$L$206,MATCH(AC$230,EV_charger_type,0))*INDEX(EV06_depot,$C232)*EV07_depot_upper</f>
        <v>519.16071084917758</v>
      </c>
      <c r="AD232" s="192">
        <f>SUM(Y232:AC232)</f>
        <v>616.43586958494757</v>
      </c>
      <c r="AE232" s="192">
        <f t="shared" ref="AE232:AE279" si="18">IFERROR(AD232/(SUM(EV_number_BB1,EV_number_BB2,EV_Number_BB3,EV_number_BB4)),0)</f>
        <v>5.1369655798745635</v>
      </c>
      <c r="AF232" s="194"/>
      <c r="AG232" s="194"/>
    </row>
    <row r="233" spans="2:33">
      <c r="B233" s="194"/>
      <c r="C233" s="194">
        <v>2</v>
      </c>
      <c r="D233" s="180">
        <v>2.0833333333333332E-2</v>
      </c>
      <c r="E233" s="191" cm="1">
        <f t="array" ref="E233">INDEX($J$202:$J$206,MATCH(E$230,EV_charger_type,0))*INDEX(EV06_domestic_Default,$C233)*EV07_domestic_Default</f>
        <v>84.089137775059271</v>
      </c>
      <c r="F233" s="191" cm="1">
        <f t="array" ref="F233">INDEX($J$202:$J$206,MATCH(F$230,EV_charger_type,0))*INDEX(EV06_work,$C233)*EV07_work_Default</f>
        <v>1.08565857987278</v>
      </c>
      <c r="G233" s="191" cm="1">
        <f t="array" ref="G233">INDEX($J$202:$J$206,MATCH(G$230,EV_charger_type,0))*INDEX(EV06_slowfast,$C233)*EV07_slowfast_Default</f>
        <v>0.56206560179612908</v>
      </c>
      <c r="H233" s="191" cm="1">
        <f t="array" ref="H233">INDEX($J$202:$J$206,MATCH(H$230,EV_charger_type,0))*INDEX(EV06_rapid,$C233)*EV07_rapid_Default</f>
        <v>4.0888675881609666</v>
      </c>
      <c r="I233" s="191" cm="1">
        <f t="array" ref="I233">INDEX($J$202:$J$206,MATCH(I$230,EV_charger_type,0))*INDEX(EV06_depot,$C233)*EV07_depot_Default</f>
        <v>494.28232174540796</v>
      </c>
      <c r="J233" s="192">
        <f t="shared" ref="J233:J279" si="19">SUM(E233:I233)</f>
        <v>584.10805129029711</v>
      </c>
      <c r="K233" s="192">
        <f t="shared" ref="K233:K279" si="20">IFERROR(J233/(SUM(EV_number_BB1,EV_number_BB2,EV_Number_BB3,EV_number_BB4)),0)</f>
        <v>4.8675670940858096</v>
      </c>
      <c r="L233" s="194"/>
      <c r="M233" s="194"/>
      <c r="N233" s="180">
        <v>2.0833333333333332E-2</v>
      </c>
      <c r="O233" s="191" cm="1">
        <f t="array" ref="O233">INDEX($K$202:$K$206,MATCH(O$230,EV_charger_type,0))*INDEX(EV06_domestic_lower,$C233)*EV07_domestic_lower</f>
        <v>73.124465477054144</v>
      </c>
      <c r="P233" s="191" cm="1">
        <f t="array" ref="P233">INDEX($K$202:$K$206,MATCH(P$230,EV_charger_type,0))*INDEX(EV06_work,$C233)*EV07_work_lower</f>
        <v>0.85130416686563026</v>
      </c>
      <c r="Q233" s="191" cm="1">
        <f t="array" ref="Q233">INDEX($K$202:$K$206,MATCH(Q$230,EV_charger_type,0))*INDEX(EV06_slowfast,$C233)*EV07_slowfast_lower</f>
        <v>9.9757847339508612E-2</v>
      </c>
      <c r="R233" s="191" cm="1">
        <f t="array" ref="R233">INDEX($K$202:$K$206,MATCH(R$230,EV_charger_type,0))*INDEX(EV06_rapid,$C233)*EV07_rapid_lower</f>
        <v>3.17224321905341</v>
      </c>
      <c r="S233" s="191" cm="1">
        <f t="array" ref="S233">INDEX($K$202:$K$206,MATCH(S$230,EV_charger_type,0))*INDEX(EV06_depot,$C233)*EV07_depot_lower</f>
        <v>494.28232174540796</v>
      </c>
      <c r="T233" s="192">
        <f t="shared" ref="T233:T279" si="21">SUM(O233:S233)</f>
        <v>571.53009245572071</v>
      </c>
      <c r="U233" s="192">
        <f t="shared" si="17"/>
        <v>4.762750770464339</v>
      </c>
      <c r="V233" s="194"/>
      <c r="W233" s="194"/>
      <c r="X233" s="180">
        <v>2.0833333333333332E-2</v>
      </c>
      <c r="Y233" s="191" cm="1">
        <f t="array" ref="Y233">INDEX($L$202:$L$206,MATCH(Y$230,EV_charger_type,0))*INDEX(EV06_domestic_upper,$C233)*EV07_domestic_upper</f>
        <v>96.715774484894979</v>
      </c>
      <c r="Z233" s="191" cm="1">
        <f t="array" ref="Z233">INDEX($L$202:$L$206,MATCH(Z$230,EV_charger_type,0))*INDEX(EV06_work,$C233)*EV07_work_upper</f>
        <v>1.3248455773575087</v>
      </c>
      <c r="AA233" s="191" cm="1">
        <f t="array" ref="AA233">INDEX($L$202:$L$206,MATCH(AA$230,EV_charger_type,0))*INDEX(EV06_slowfast,$C233)*EV07_slowfast_upper</f>
        <v>1.1490029352659374</v>
      </c>
      <c r="AB233" s="191" cm="1">
        <f t="array" ref="AB233">INDEX($L$202:$L$206,MATCH(AB$230,EV_charger_type,0))*INDEX(EV06_rapid,$C233)*EV07_rapid_upper</f>
        <v>5.0054919572685224</v>
      </c>
      <c r="AC233" s="191" cm="1">
        <f t="array" ref="AC233">INDEX($L$202:$L$206,MATCH(AC$230,EV_charger_type,0))*INDEX(EV06_depot,$C233)*EV07_depot_upper</f>
        <v>494.28232174540796</v>
      </c>
      <c r="AD233" s="192">
        <f>SUM(Y233:AC233)</f>
        <v>598.47743670019486</v>
      </c>
      <c r="AE233" s="192">
        <f t="shared" si="18"/>
        <v>4.9873119725016242</v>
      </c>
      <c r="AF233" s="194"/>
      <c r="AG233" s="194"/>
    </row>
    <row r="234" spans="2:33">
      <c r="B234" s="194"/>
      <c r="C234" s="194">
        <v>3</v>
      </c>
      <c r="D234" s="180">
        <v>4.1666666666666664E-2</v>
      </c>
      <c r="E234" s="191" cm="1">
        <f t="array" ref="E234">INDEX($J$202:$J$206,MATCH(E$230,EV_charger_type,0))*INDEX(EV06_domestic_Default,$C234)*EV07_domestic_Default</f>
        <v>81.320028046230689</v>
      </c>
      <c r="F234" s="191" cm="1">
        <f t="array" ref="F234">INDEX($J$202:$J$206,MATCH(F$230,EV_charger_type,0))*INDEX(EV06_work,$C234)*EV07_work_Default</f>
        <v>0.9193748096966371</v>
      </c>
      <c r="G234" s="191" cm="1">
        <f t="array" ref="G234">INDEX($J$202:$J$206,MATCH(G$230,EV_charger_type,0))*INDEX(EV06_slowfast,$C234)*EV07_slowfast_Default</f>
        <v>0.50526441909568409</v>
      </c>
      <c r="H234" s="191" cm="1">
        <f t="array" ref="H234">INDEX($J$202:$J$206,MATCH(H$230,EV_charger_type,0))*INDEX(EV06_rapid,$C234)*EV07_rapid_Default</f>
        <v>3.3461858883463922</v>
      </c>
      <c r="I234" s="191" cm="1">
        <f t="array" ref="I234">INDEX($J$202:$J$206,MATCH(I$230,EV_charger_type,0))*INDEX(EV06_depot,$C234)*EV07_depot_Default</f>
        <v>495.52472271052801</v>
      </c>
      <c r="J234" s="192">
        <f t="shared" si="19"/>
        <v>581.61557587389746</v>
      </c>
      <c r="K234" s="192">
        <f t="shared" si="20"/>
        <v>4.846796465615812</v>
      </c>
      <c r="L234" s="194"/>
      <c r="M234" s="194"/>
      <c r="N234" s="180">
        <v>4.1666666666666664E-2</v>
      </c>
      <c r="O234" s="191" cm="1">
        <f t="array" ref="O234">INDEX($K$202:$K$206,MATCH(O$230,EV_charger_type,0))*INDEX(EV06_domestic_lower,$C234)*EV07_domestic_lower</f>
        <v>70.716429503257302</v>
      </c>
      <c r="P234" s="191" cm="1">
        <f t="array" ref="P234">INDEX($K$202:$K$206,MATCH(P$230,EV_charger_type,0))*INDEX(EV06_work,$C234)*EV07_work_lower</f>
        <v>0.72091504724971445</v>
      </c>
      <c r="Q234" s="191" cm="1">
        <f t="array" ref="Q234">INDEX($K$202:$K$206,MATCH(Q$230,EV_charger_type,0))*INDEX(EV06_slowfast,$C234)*EV07_slowfast_lower</f>
        <v>8.9676526414642951E-2</v>
      </c>
      <c r="R234" s="191" cm="1">
        <f t="array" ref="R234">INDEX($K$202:$K$206,MATCH(R$230,EV_charger_type,0))*INDEX(EV06_rapid,$C234)*EV07_rapid_lower</f>
        <v>2.5960526393013574</v>
      </c>
      <c r="S234" s="191" cm="1">
        <f t="array" ref="S234">INDEX($K$202:$K$206,MATCH(S$230,EV_charger_type,0))*INDEX(EV06_depot,$C234)*EV07_depot_lower</f>
        <v>495.52472271052801</v>
      </c>
      <c r="T234" s="192">
        <f t="shared" si="21"/>
        <v>569.64779642675103</v>
      </c>
      <c r="U234" s="192">
        <f t="shared" si="17"/>
        <v>4.7470649702229251</v>
      </c>
      <c r="V234" s="194"/>
      <c r="W234" s="194"/>
      <c r="X234" s="180">
        <v>4.1666666666666664E-2</v>
      </c>
      <c r="Y234" s="191" cm="1">
        <f t="array" ref="Y234">INDEX($L$202:$L$206,MATCH(Y$230,EV_charger_type,0))*INDEX(EV06_domestic_upper,$C234)*EV07_domestic_upper</f>
        <v>93.530861437341429</v>
      </c>
      <c r="Z234" s="191" cm="1">
        <f t="array" ref="Z234">INDEX($L$202:$L$206,MATCH(Z$230,EV_charger_type,0))*INDEX(EV06_work,$C234)*EV07_work_upper</f>
        <v>1.1219269788327215</v>
      </c>
      <c r="AA234" s="191" cm="1">
        <f t="array" ref="AA234">INDEX($L$202:$L$206,MATCH(AA$230,EV_charger_type,0))*INDEX(EV06_slowfast,$C234)*EV07_slowfast_upper</f>
        <v>1.0328870843032936</v>
      </c>
      <c r="AB234" s="191" cm="1">
        <f t="array" ref="AB234">INDEX($L$202:$L$206,MATCH(AB$230,EV_charger_type,0))*INDEX(EV06_rapid,$C234)*EV07_rapid_upper</f>
        <v>4.0963191373914265</v>
      </c>
      <c r="AC234" s="191" cm="1">
        <f t="array" ref="AC234">INDEX($L$202:$L$206,MATCH(AC$230,EV_charger_type,0))*INDEX(EV06_depot,$C234)*EV07_depot_upper</f>
        <v>495.52472271052801</v>
      </c>
      <c r="AD234" s="192">
        <f t="shared" ref="AD234:AD279" si="22">SUM(Y234:AC234)</f>
        <v>595.30671734839689</v>
      </c>
      <c r="AE234" s="192">
        <f t="shared" si="18"/>
        <v>4.9608893112366408</v>
      </c>
      <c r="AF234" s="194"/>
      <c r="AG234" s="194"/>
    </row>
    <row r="235" spans="2:33">
      <c r="B235" s="194"/>
      <c r="C235" s="194">
        <v>4</v>
      </c>
      <c r="D235" s="180">
        <v>6.25E-2</v>
      </c>
      <c r="E235" s="191" cm="1">
        <f t="array" ref="E235">INDEX($J$202:$J$206,MATCH(E$230,EV_charger_type,0))*INDEX(EV06_domestic_Default,$C235)*EV07_domestic_Default</f>
        <v>75.682099458587643</v>
      </c>
      <c r="F235" s="191" cm="1">
        <f t="array" ref="F235">INDEX($J$202:$J$206,MATCH(F$230,EV_charger_type,0))*INDEX(EV06_work,$C235)*EV07_work_Default</f>
        <v>0.82892685977453229</v>
      </c>
      <c r="G235" s="191" cm="1">
        <f t="array" ref="G235">INDEX($J$202:$J$206,MATCH(G$230,EV_charger_type,0))*INDEX(EV06_slowfast,$C235)*EV07_slowfast_Default</f>
        <v>0.4505440854586828</v>
      </c>
      <c r="H235" s="191" cm="1">
        <f t="array" ref="H235">INDEX($J$202:$J$206,MATCH(H$230,EV_charger_type,0))*INDEX(EV06_rapid,$C235)*EV07_rapid_Default</f>
        <v>2.6036595937839242</v>
      </c>
      <c r="I235" s="191" cm="1">
        <f t="array" ref="I235">INDEX($J$202:$J$206,MATCH(I$230,EV_charger_type,0))*INDEX(EV06_depot,$C235)*EV07_depot_Default</f>
        <v>496.76712367564801</v>
      </c>
      <c r="J235" s="192">
        <f t="shared" si="19"/>
        <v>576.33235367325278</v>
      </c>
      <c r="K235" s="192">
        <f t="shared" si="20"/>
        <v>4.8027696139437728</v>
      </c>
      <c r="L235" s="194"/>
      <c r="M235" s="194"/>
      <c r="N235" s="180">
        <v>6.25E-2</v>
      </c>
      <c r="O235" s="191" cm="1">
        <f t="array" ref="O235">INDEX($K$202:$K$206,MATCH(O$230,EV_charger_type,0))*INDEX(EV06_domestic_lower,$C235)*EV07_domestic_lower</f>
        <v>65.813649842559215</v>
      </c>
      <c r="P235" s="191" cm="1">
        <f t="array" ref="P235">INDEX($K$202:$K$206,MATCH(P$230,EV_charger_type,0))*INDEX(EV06_work,$C235)*EV07_work_lower</f>
        <v>0.64999153770386386</v>
      </c>
      <c r="Q235" s="191" cm="1">
        <f t="array" ref="Q235">INDEX($K$202:$K$206,MATCH(Q$230,EV_charger_type,0))*INDEX(EV06_slowfast,$C235)*EV07_slowfast_lower</f>
        <v>7.9964523630834547E-2</v>
      </c>
      <c r="R235" s="191" cm="1">
        <f t="array" ref="R235">INDEX($K$202:$K$206,MATCH(R$230,EV_charger_type,0))*INDEX(EV06_rapid,$C235)*EV07_rapid_lower</f>
        <v>2.0199826267348571</v>
      </c>
      <c r="S235" s="191" cm="1">
        <f t="array" ref="S235">INDEX($K$202:$K$206,MATCH(S$230,EV_charger_type,0))*INDEX(EV06_depot,$C235)*EV07_depot_lower</f>
        <v>496.76712367564801</v>
      </c>
      <c r="T235" s="192">
        <f t="shared" si="21"/>
        <v>565.33071220627676</v>
      </c>
      <c r="U235" s="192">
        <f t="shared" si="17"/>
        <v>4.7110892683856394</v>
      </c>
      <c r="V235" s="194"/>
      <c r="W235" s="194"/>
      <c r="X235" s="180">
        <v>6.25E-2</v>
      </c>
      <c r="Y235" s="191" cm="1">
        <f t="array" ref="Y235">INDEX($L$202:$L$206,MATCH(Y$230,EV_charger_type,0))*INDEX(EV06_domestic_upper,$C235)*EV07_domestic_upper</f>
        <v>87.046354112470794</v>
      </c>
      <c r="Z235" s="191" cm="1">
        <f t="array" ref="Z235">INDEX($L$202:$L$206,MATCH(Z$230,EV_charger_type,0))*INDEX(EV06_work,$C235)*EV07_work_upper</f>
        <v>1.0115519782046272</v>
      </c>
      <c r="AA235" s="191" cm="1">
        <f t="array" ref="AA235">INDEX($L$202:$L$206,MATCH(AA$230,EV_charger_type,0))*INDEX(EV06_slowfast,$C235)*EV07_slowfast_upper</f>
        <v>0.92102501025583861</v>
      </c>
      <c r="AB235" s="191" cm="1">
        <f t="array" ref="AB235">INDEX($L$202:$L$206,MATCH(AB$230,EV_charger_type,0))*INDEX(EV06_rapid,$C235)*EV07_rapid_upper</f>
        <v>3.1873365608329904</v>
      </c>
      <c r="AC235" s="191" cm="1">
        <f t="array" ref="AC235">INDEX($L$202:$L$206,MATCH(AC$230,EV_charger_type,0))*INDEX(EV06_depot,$C235)*EV07_depot_upper</f>
        <v>496.76712367564801</v>
      </c>
      <c r="AD235" s="192">
        <f t="shared" si="22"/>
        <v>588.93339133741222</v>
      </c>
      <c r="AE235" s="192">
        <f t="shared" si="18"/>
        <v>4.9077782611451015</v>
      </c>
      <c r="AF235" s="194"/>
      <c r="AG235" s="194"/>
    </row>
    <row r="236" spans="2:33">
      <c r="B236" s="194"/>
      <c r="C236" s="194">
        <v>5</v>
      </c>
      <c r="D236" s="180">
        <v>8.3333333333333329E-2</v>
      </c>
      <c r="E236" s="191" cm="1">
        <f t="array" ref="E236">INDEX($J$202:$J$206,MATCH(E$230,EV_charger_type,0))*INDEX(EV06_domestic_Default,$C236)*EV07_domestic_Default</f>
        <v>75.001763871235426</v>
      </c>
      <c r="F236" s="191" cm="1">
        <f t="array" ref="F236">INDEX($J$202:$J$206,MATCH(F$230,EV_charger_type,0))*INDEX(EV06_work,$C236)*EV07_work_Default</f>
        <v>0.73853554601393157</v>
      </c>
      <c r="G236" s="191" cm="1">
        <f t="array" ref="G236">INDEX($J$202:$J$206,MATCH(G$230,EV_charger_type,0))*INDEX(EV06_slowfast,$C236)*EV07_slowfast_Default</f>
        <v>0.39582375182168161</v>
      </c>
      <c r="H236" s="191" cm="1">
        <f t="array" ref="H236">INDEX($J$202:$J$206,MATCH(H$230,EV_charger_type,0))*INDEX(EV06_rapid,$C236)*EV07_rapid_Default</f>
        <v>2.1546938204496904</v>
      </c>
      <c r="I236" s="191" cm="1">
        <f t="array" ref="I236">INDEX($J$202:$J$206,MATCH(I$230,EV_charger_type,0))*INDEX(EV06_depot,$C236)*EV07_depot_Default</f>
        <v>498.10339493591039</v>
      </c>
      <c r="J236" s="192">
        <f t="shared" si="19"/>
        <v>576.39421192543114</v>
      </c>
      <c r="K236" s="192">
        <f t="shared" si="20"/>
        <v>4.8032850993785932</v>
      </c>
      <c r="L236" s="194"/>
      <c r="M236" s="194"/>
      <c r="N236" s="180">
        <v>8.3333333333333329E-2</v>
      </c>
      <c r="O236" s="191" cm="1">
        <f t="array" ref="O236">INDEX($K$202:$K$206,MATCH(O$230,EV_charger_type,0))*INDEX(EV06_domestic_lower,$C236)*EV07_domestic_lower</f>
        <v>65.222025555683672</v>
      </c>
      <c r="P236" s="191" cm="1">
        <f t="array" ref="P236">INDEX($K$202:$K$206,MATCH(P$230,EV_charger_type,0))*INDEX(EV06_work,$C236)*EV07_work_lower</f>
        <v>0.57911243862109762</v>
      </c>
      <c r="Q236" s="191" cm="1">
        <f t="array" ref="Q236">INDEX($K$202:$K$206,MATCH(Q$230,EV_charger_type,0))*INDEX(EV06_slowfast,$C236)*EV07_slowfast_lower</f>
        <v>7.0252520847026156E-2</v>
      </c>
      <c r="R236" s="191" cm="1">
        <f t="array" ref="R236">INDEX($K$202:$K$206,MATCH(R$230,EV_charger_type,0))*INDEX(EV06_rapid,$C236)*EV07_rapid_lower</f>
        <v>1.6716640276757071</v>
      </c>
      <c r="S236" s="191" cm="1">
        <f t="array" ref="S236">INDEX($K$202:$K$206,MATCH(S$230,EV_charger_type,0))*INDEX(EV06_depot,$C236)*EV07_depot_lower</f>
        <v>498.10339493591039</v>
      </c>
      <c r="T236" s="192">
        <f t="shared" si="21"/>
        <v>565.64644947873785</v>
      </c>
      <c r="U236" s="192">
        <f t="shared" si="17"/>
        <v>4.7137204123228154</v>
      </c>
      <c r="V236" s="194"/>
      <c r="W236" s="194"/>
      <c r="X236" s="180">
        <v>8.3333333333333329E-2</v>
      </c>
      <c r="Y236" s="191" cm="1">
        <f t="array" ref="Y236">INDEX($L$202:$L$206,MATCH(Y$230,EV_charger_type,0))*INDEX(EV06_domestic_upper,$C236)*EV07_domestic_upper</f>
        <v>86.263860856131075</v>
      </c>
      <c r="Z236" s="191" cm="1">
        <f t="array" ref="Z236">INDEX($L$202:$L$206,MATCH(Z$230,EV_charger_type,0))*INDEX(EV06_work,$C236)*EV07_work_upper</f>
        <v>0.90124609154060809</v>
      </c>
      <c r="AA236" s="191" cm="1">
        <f t="array" ref="AA236">INDEX($L$202:$L$206,MATCH(AA$230,EV_charger_type,0))*INDEX(EV06_slowfast,$C236)*EV07_slowfast_upper</f>
        <v>0.80916293620838387</v>
      </c>
      <c r="AB236" s="191" cm="1">
        <f t="array" ref="AB236">INDEX($L$202:$L$206,MATCH(AB$230,EV_charger_type,0))*INDEX(EV06_rapid,$C236)*EV07_rapid_upper</f>
        <v>2.637723613223673</v>
      </c>
      <c r="AC236" s="191" cm="1">
        <f t="array" ref="AC236">INDEX($L$202:$L$206,MATCH(AC$230,EV_charger_type,0))*INDEX(EV06_depot,$C236)*EV07_depot_upper</f>
        <v>498.10339493591039</v>
      </c>
      <c r="AD236" s="192">
        <f t="shared" si="22"/>
        <v>588.71538843301414</v>
      </c>
      <c r="AE236" s="192">
        <f t="shared" si="18"/>
        <v>4.9059615702751183</v>
      </c>
      <c r="AF236" s="194"/>
      <c r="AG236" s="194"/>
    </row>
    <row r="237" spans="2:33">
      <c r="B237" s="194"/>
      <c r="C237" s="194">
        <v>6</v>
      </c>
      <c r="D237" s="180">
        <v>0.10416666666666667</v>
      </c>
      <c r="E237" s="191" cm="1">
        <f t="array" ref="E237">INDEX($J$202:$J$206,MATCH(E$230,EV_charger_type,0))*INDEX(EV06_domestic_Default,$C237)*EV07_domestic_Default</f>
        <v>70.863622335499372</v>
      </c>
      <c r="F237" s="191" cm="1">
        <f t="array" ref="F237">INDEX($J$202:$J$206,MATCH(F$230,EV_charger_type,0))*INDEX(EV06_work,$C237)*EV07_work_Default</f>
        <v>0.70959446748531807</v>
      </c>
      <c r="G237" s="191" cm="1">
        <f t="array" ref="G237">INDEX($J$202:$J$206,MATCH(G$230,EV_charger_type,0))*INDEX(EV06_slowfast,$C237)*EV07_slowfast_Default</f>
        <v>0.3548324684638734</v>
      </c>
      <c r="H237" s="191" cm="1">
        <f t="array" ref="H237">INDEX($J$202:$J$206,MATCH(H$230,EV_charger_type,0))*INDEX(EV06_rapid,$C237)*EV07_rapid_Default</f>
        <v>1.7057280471154561</v>
      </c>
      <c r="I237" s="191" cm="1">
        <f t="array" ref="I237">INDEX($J$202:$J$206,MATCH(I$230,EV_charger_type,0))*INDEX(EV06_depot,$C237)*EV07_depot_Default</f>
        <v>499.43966619617282</v>
      </c>
      <c r="J237" s="192">
        <f t="shared" si="19"/>
        <v>573.07344351473682</v>
      </c>
      <c r="K237" s="192">
        <f t="shared" si="20"/>
        <v>4.7756120292894737</v>
      </c>
      <c r="L237" s="194"/>
      <c r="M237" s="194"/>
      <c r="N237" s="180">
        <v>0.10416666666666667</v>
      </c>
      <c r="O237" s="191" cm="1">
        <f t="array" ref="O237">INDEX($K$202:$K$206,MATCH(O$230,EV_charger_type,0))*INDEX(EV06_domestic_lower,$C237)*EV07_domestic_lower</f>
        <v>61.623470547561737</v>
      </c>
      <c r="P237" s="191" cm="1">
        <f t="array" ref="P237">INDEX($K$202:$K$206,MATCH(P$230,EV_charger_type,0))*INDEX(EV06_work,$C237)*EV07_work_lower</f>
        <v>0.55641869198494875</v>
      </c>
      <c r="Q237" s="191" cm="1">
        <f t="array" ref="Q237">INDEX($K$202:$K$206,MATCH(Q$230,EV_charger_type,0))*INDEX(EV06_slowfast,$C237)*EV07_slowfast_lower</f>
        <v>6.2977209612196314E-2</v>
      </c>
      <c r="R237" s="191" cm="1">
        <f t="array" ref="R237">INDEX($K$202:$K$206,MATCH(R$230,EV_charger_type,0))*INDEX(EV06_rapid,$C237)*EV07_rapid_lower</f>
        <v>1.3233454286165569</v>
      </c>
      <c r="S237" s="191" cm="1">
        <f t="array" ref="S237">INDEX($K$202:$K$206,MATCH(S$230,EV_charger_type,0))*INDEX(EV06_depot,$C237)*EV07_depot_lower</f>
        <v>499.43966619617282</v>
      </c>
      <c r="T237" s="192">
        <f t="shared" si="21"/>
        <v>563.00587807394822</v>
      </c>
      <c r="U237" s="192">
        <f t="shared" si="17"/>
        <v>4.691715650616235</v>
      </c>
      <c r="V237" s="194"/>
      <c r="W237" s="194"/>
      <c r="X237" s="180">
        <v>0.10416666666666667</v>
      </c>
      <c r="Y237" s="191" cm="1">
        <f t="array" ref="Y237">INDEX($L$202:$L$206,MATCH(Y$230,EV_charger_type,0))*INDEX(EV06_domestic_upper,$C237)*EV07_domestic_upper</f>
        <v>81.504345249877218</v>
      </c>
      <c r="Z237" s="191" cm="1">
        <f t="array" ref="Z237">INDEX($L$202:$L$206,MATCH(Z$230,EV_charger_type,0))*INDEX(EV06_work,$C237)*EV07_work_upper</f>
        <v>0.86592885589818069</v>
      </c>
      <c r="AA237" s="191" cm="1">
        <f t="array" ref="AA237">INDEX($L$202:$L$206,MATCH(AA$230,EV_charger_type,0))*INDEX(EV06_slowfast,$C237)*EV07_slowfast_upper</f>
        <v>0.72536648122531755</v>
      </c>
      <c r="AB237" s="191" cm="1">
        <f t="array" ref="AB237">INDEX($L$202:$L$206,MATCH(AB$230,EV_charger_type,0))*INDEX(EV06_rapid,$C237)*EV07_rapid_upper</f>
        <v>2.0881106656143555</v>
      </c>
      <c r="AC237" s="191" cm="1">
        <f t="array" ref="AC237">INDEX($L$202:$L$206,MATCH(AC$230,EV_charger_type,0))*INDEX(EV06_depot,$C237)*EV07_depot_upper</f>
        <v>499.43966619617282</v>
      </c>
      <c r="AD237" s="192">
        <f t="shared" si="22"/>
        <v>584.6234174487879</v>
      </c>
      <c r="AE237" s="192">
        <f t="shared" si="18"/>
        <v>4.8718618120732327</v>
      </c>
      <c r="AF237" s="194"/>
      <c r="AG237" s="194"/>
    </row>
    <row r="238" spans="2:33">
      <c r="B238" s="194"/>
      <c r="C238" s="194">
        <v>7</v>
      </c>
      <c r="D238" s="180">
        <v>0.125</v>
      </c>
      <c r="E238" s="191" cm="1">
        <f t="array" ref="E238">INDEX($J$202:$J$206,MATCH(E$230,EV_charger_type,0))*INDEX(EV06_domestic_Default,$C238)*EV07_domestic_Default</f>
        <v>65.395394872855931</v>
      </c>
      <c r="F238" s="191" cm="1">
        <f t="array" ref="F238">INDEX($J$202:$J$206,MATCH(F$230,EV_charger_type,0))*INDEX(EV06_work,$C238)*EV07_work_Default</f>
        <v>0.68059675279520049</v>
      </c>
      <c r="G238" s="191" cm="1">
        <f t="array" ref="G238">INDEX($J$202:$J$206,MATCH(G$230,EV_charger_type,0))*INDEX(EV06_slowfast,$C238)*EV07_slowfast_Default</f>
        <v>0.31384118510606523</v>
      </c>
      <c r="H238" s="191" cm="1">
        <f t="array" ref="H238">INDEX($J$202:$J$206,MATCH(H$230,EV_charger_type,0))*INDEX(EV06_rapid,$C238)*EV07_rapid_Default</f>
        <v>1.5063431086634582</v>
      </c>
      <c r="I238" s="191" cm="1">
        <f t="array" ref="I238">INDEX($J$202:$J$206,MATCH(I$230,EV_charger_type,0))*INDEX(EV06_depot,$C238)*EV07_depot_Default</f>
        <v>486.18462834385923</v>
      </c>
      <c r="J238" s="192">
        <f t="shared" si="19"/>
        <v>554.0808042632799</v>
      </c>
      <c r="K238" s="192">
        <f t="shared" si="20"/>
        <v>4.6173400355273326</v>
      </c>
      <c r="L238" s="194"/>
      <c r="M238" s="194"/>
      <c r="N238" s="180">
        <v>0.125</v>
      </c>
      <c r="O238" s="191" cm="1">
        <f t="array" ref="O238">INDEX($K$202:$K$206,MATCH(O$230,EV_charger_type,0))*INDEX(EV06_domestic_lower,$C238)*EV07_domestic_lower</f>
        <v>56.86826409768247</v>
      </c>
      <c r="P238" s="191" cm="1">
        <f t="array" ref="P238">INDEX($K$202:$K$206,MATCH(P$230,EV_charger_type,0))*INDEX(EV06_work,$C238)*EV07_work_lower</f>
        <v>0.53368053488571554</v>
      </c>
      <c r="Q238" s="191" cm="1">
        <f t="array" ref="Q238">INDEX($K$202:$K$206,MATCH(Q$230,EV_charger_type,0))*INDEX(EV06_slowfast,$C238)*EV07_slowfast_lower</f>
        <v>5.5701898377366485E-2</v>
      </c>
      <c r="R238" s="191" cm="1">
        <f t="array" ref="R238">INDEX($K$202:$K$206,MATCH(R$230,EV_charger_type,0))*INDEX(EV06_rapid,$C238)*EV07_rapid_lower</f>
        <v>1.1686577295535976</v>
      </c>
      <c r="S238" s="191" cm="1">
        <f t="array" ref="S238">INDEX($K$202:$K$206,MATCH(S$230,EV_charger_type,0))*INDEX(EV06_depot,$C238)*EV07_depot_lower</f>
        <v>486.18462834385923</v>
      </c>
      <c r="T238" s="192">
        <f t="shared" si="21"/>
        <v>544.81093260435841</v>
      </c>
      <c r="U238" s="192">
        <f t="shared" si="17"/>
        <v>4.5400911050363204</v>
      </c>
      <c r="V238" s="194"/>
      <c r="W238" s="194"/>
      <c r="X238" s="180">
        <v>0.125</v>
      </c>
      <c r="Y238" s="191" cm="1">
        <f t="array" ref="Y238">INDEX($L$202:$L$206,MATCH(Y$230,EV_charger_type,0))*INDEX(EV06_domestic_upper,$C238)*EV07_domestic_upper</f>
        <v>75.215020991090611</v>
      </c>
      <c r="Z238" s="191" cm="1">
        <f t="array" ref="Z238">INDEX($L$202:$L$206,MATCH(Z$230,EV_charger_type,0))*INDEX(EV06_work,$C238)*EV07_work_upper</f>
        <v>0.83054250629167847</v>
      </c>
      <c r="AA238" s="191" cm="1">
        <f t="array" ref="AA238">INDEX($L$202:$L$206,MATCH(AA$230,EV_charger_type,0))*INDEX(EV06_slowfast,$C238)*EV07_slowfast_upper</f>
        <v>0.64157002624225135</v>
      </c>
      <c r="AB238" s="191" cm="1">
        <f t="array" ref="AB238">INDEX($L$202:$L$206,MATCH(AB$230,EV_charger_type,0))*INDEX(EV06_rapid,$C238)*EV07_rapid_upper</f>
        <v>1.8440284877733188</v>
      </c>
      <c r="AC238" s="191" cm="1">
        <f t="array" ref="AC238">INDEX($L$202:$L$206,MATCH(AC$230,EV_charger_type,0))*INDEX(EV06_depot,$C238)*EV07_depot_upper</f>
        <v>486.18462834385923</v>
      </c>
      <c r="AD238" s="192">
        <f t="shared" si="22"/>
        <v>564.71579035525713</v>
      </c>
      <c r="AE238" s="192">
        <f t="shared" si="18"/>
        <v>4.7059649196271431</v>
      </c>
      <c r="AF238" s="194"/>
      <c r="AG238" s="194"/>
    </row>
    <row r="239" spans="2:33">
      <c r="B239" s="194"/>
      <c r="C239" s="194">
        <v>8</v>
      </c>
      <c r="D239" s="180">
        <v>0.14583333333333334</v>
      </c>
      <c r="E239" s="191" cm="1">
        <f t="array" ref="E239">INDEX($J$202:$J$206,MATCH(E$230,EV_charger_type,0))*INDEX(EV06_domestic_Default,$C239)*EV07_domestic_Default</f>
        <v>57.38359229264632</v>
      </c>
      <c r="F239" s="191" cm="1">
        <f t="array" ref="F239">INDEX($J$202:$J$206,MATCH(F$230,EV_charger_type,0))*INDEX(EV06_work,$C239)*EV07_work_Default</f>
        <v>0.70007959235262329</v>
      </c>
      <c r="G239" s="191" cm="1">
        <f t="array" ref="G239">INDEX($J$202:$J$206,MATCH(G$230,EV_charger_type,0))*INDEX(EV06_slowfast,$C239)*EV07_slowfast_Default</f>
        <v>0.30362674209069346</v>
      </c>
      <c r="H239" s="191" cm="1">
        <f t="array" ref="H239">INDEX($J$202:$J$206,MATCH(H$230,EV_charger_type,0))*INDEX(EV06_rapid,$C239)*EV07_rapid_Default</f>
        <v>1.3069581702114603</v>
      </c>
      <c r="I239" s="191" cm="1">
        <f t="array" ref="I239">INDEX($J$202:$J$206,MATCH(I$230,EV_charger_type,0))*INDEX(EV06_depot,$C239)*EV07_depot_Default</f>
        <v>472.93235138257921</v>
      </c>
      <c r="J239" s="192">
        <f t="shared" si="19"/>
        <v>532.62660817988035</v>
      </c>
      <c r="K239" s="192">
        <f t="shared" si="20"/>
        <v>4.4385550681656696</v>
      </c>
      <c r="L239" s="194"/>
      <c r="M239" s="194"/>
      <c r="N239" s="180">
        <v>0.14583333333333334</v>
      </c>
      <c r="O239" s="191" cm="1">
        <f t="array" ref="O239">INDEX($K$202:$K$206,MATCH(O$230,EV_charger_type,0))*INDEX(EV06_domestic_lower,$C239)*EV07_domestic_lower</f>
        <v>49.90114805051001</v>
      </c>
      <c r="P239" s="191" cm="1">
        <f t="array" ref="P239">INDEX($K$202:$K$206,MATCH(P$230,EV_charger_type,0))*INDEX(EV06_work,$C239)*EV07_work_lower</f>
        <v>0.54895773418676286</v>
      </c>
      <c r="Q239" s="191" cm="1">
        <f t="array" ref="Q239">INDEX($K$202:$K$206,MATCH(Q$230,EV_charger_type,0))*INDEX(EV06_slowfast,$C239)*EV07_slowfast_lower</f>
        <v>5.3888994610031583E-2</v>
      </c>
      <c r="R239" s="191" cm="1">
        <f t="array" ref="R239">INDEX($K$202:$K$206,MATCH(R$230,EV_charger_type,0))*INDEX(EV06_rapid,$C239)*EV07_rapid_lower</f>
        <v>1.0139700304906381</v>
      </c>
      <c r="S239" s="191" cm="1">
        <f t="array" ref="S239">INDEX($K$202:$K$206,MATCH(S$230,EV_charger_type,0))*INDEX(EV06_depot,$C239)*EV07_depot_lower</f>
        <v>472.93235138257921</v>
      </c>
      <c r="T239" s="192">
        <f t="shared" si="21"/>
        <v>524.4503161923767</v>
      </c>
      <c r="U239" s="192">
        <f t="shared" si="17"/>
        <v>4.370419301603139</v>
      </c>
      <c r="V239" s="194"/>
      <c r="W239" s="194"/>
      <c r="X239" s="180">
        <v>0.14583333333333334</v>
      </c>
      <c r="Y239" s="191" cm="1">
        <f t="array" ref="Y239">INDEX($L$202:$L$206,MATCH(Y$230,EV_charger_type,0))*INDEX(EV06_domestic_upper,$C239)*EV07_domestic_upper</f>
        <v>66.000184068421163</v>
      </c>
      <c r="Z239" s="191" cm="1">
        <f t="array" ref="Z239">INDEX($L$202:$L$206,MATCH(Z$230,EV_charger_type,0))*INDEX(EV06_work,$C239)*EV07_work_upper</f>
        <v>0.85431770993354728</v>
      </c>
      <c r="AA239" s="191" cm="1">
        <f t="array" ref="AA239">INDEX($L$202:$L$206,MATCH(AA$230,EV_charger_type,0))*INDEX(EV06_slowfast,$C239)*EV07_slowfast_upper</f>
        <v>0.6206891451328862</v>
      </c>
      <c r="AB239" s="191" cm="1">
        <f t="array" ref="AB239">INDEX($L$202:$L$206,MATCH(AB$230,EV_charger_type,0))*INDEX(EV06_rapid,$C239)*EV07_rapid_upper</f>
        <v>1.5999463099322822</v>
      </c>
      <c r="AC239" s="191" cm="1">
        <f t="array" ref="AC239">INDEX($L$202:$L$206,MATCH(AC$230,EV_charger_type,0))*INDEX(EV06_depot,$C239)*EV07_depot_upper</f>
        <v>472.93235138257921</v>
      </c>
      <c r="AD239" s="192">
        <f t="shared" si="22"/>
        <v>542.00748861599914</v>
      </c>
      <c r="AE239" s="192">
        <f t="shared" si="18"/>
        <v>4.5167290717999924</v>
      </c>
      <c r="AF239" s="194"/>
      <c r="AG239" s="194"/>
    </row>
    <row r="240" spans="2:33">
      <c r="B240" s="194"/>
      <c r="C240" s="194">
        <v>9</v>
      </c>
      <c r="D240" s="180">
        <v>0.16666666666666666</v>
      </c>
      <c r="E240" s="191" cm="1">
        <f t="array" ref="E240">INDEX($J$202:$J$206,MATCH(E$230,EV_charger_type,0))*INDEX(EV06_domestic_Default,$C240)*EV07_domestic_Default</f>
        <v>48.767205200205964</v>
      </c>
      <c r="F240" s="191" cm="1">
        <f t="array" ref="F240">INDEX($J$202:$J$206,MATCH(F$230,EV_charger_type,0))*INDEX(EV06_work,$C240)*EV07_work_Default</f>
        <v>0.7195057957485419</v>
      </c>
      <c r="G240" s="191" cm="1">
        <f t="array" ref="G240">INDEX($J$202:$J$206,MATCH(G$230,EV_charger_type,0))*INDEX(EV06_slowfast,$C240)*EV07_slowfast_Default</f>
        <v>0.29341229907532179</v>
      </c>
      <c r="H240" s="191" cm="1">
        <f t="array" ref="H240">INDEX($J$202:$J$206,MATCH(H$230,EV_charger_type,0))*INDEX(EV06_rapid,$C240)*EV07_rapid_Default</f>
        <v>1.3548229878601081</v>
      </c>
      <c r="I240" s="191" cm="1">
        <f t="array" ref="I240">INDEX($J$202:$J$206,MATCH(I$230,EV_charger_type,0))*INDEX(EV06_depot,$C240)*EV07_depot_Default</f>
        <v>437.44385803668479</v>
      </c>
      <c r="J240" s="192">
        <f t="shared" si="19"/>
        <v>488.57880431957472</v>
      </c>
      <c r="K240" s="192">
        <f t="shared" si="20"/>
        <v>4.0714900359964563</v>
      </c>
      <c r="L240" s="194"/>
      <c r="M240" s="194"/>
      <c r="N240" s="180">
        <v>0.16666666666666666</v>
      </c>
      <c r="O240" s="191" cm="1">
        <f t="array" ref="O240">INDEX($K$202:$K$206,MATCH(O$230,EV_charger_type,0))*INDEX(EV06_domestic_lower,$C240)*EV07_domestic_lower</f>
        <v>42.408281347993203</v>
      </c>
      <c r="P240" s="191" cm="1">
        <f t="array" ref="P240">INDEX($K$202:$K$206,MATCH(P$230,EV_charger_type,0))*INDEX(EV06_work,$C240)*EV07_work_lower</f>
        <v>0.56419052302472583</v>
      </c>
      <c r="Q240" s="191" cm="1">
        <f t="array" ref="Q240">INDEX($K$202:$K$206,MATCH(Q$230,EV_charger_type,0))*INDEX(EV06_slowfast,$C240)*EV07_slowfast_lower</f>
        <v>5.2076090842696682E-2</v>
      </c>
      <c r="R240" s="191" cm="1">
        <f t="array" ref="R240">INDEX($K$202:$K$206,MATCH(R$230,EV_charger_type,0))*INDEX(EV06_rapid,$C240)*EV07_rapid_lower</f>
        <v>1.0511047236405926</v>
      </c>
      <c r="S240" s="191" cm="1">
        <f t="array" ref="S240">INDEX($K$202:$K$206,MATCH(S$230,EV_charger_type,0))*INDEX(EV06_depot,$C240)*EV07_depot_lower</f>
        <v>437.44385803668479</v>
      </c>
      <c r="T240" s="192">
        <f t="shared" si="21"/>
        <v>481.519510722186</v>
      </c>
      <c r="U240" s="192">
        <f t="shared" si="17"/>
        <v>4.0126625893515504</v>
      </c>
      <c r="V240" s="194"/>
      <c r="W240" s="194"/>
      <c r="X240" s="180">
        <v>0.16666666666666666</v>
      </c>
      <c r="Y240" s="191" cm="1">
        <f t="array" ref="Y240">INDEX($L$202:$L$206,MATCH(Y$230,EV_charger_type,0))*INDEX(EV06_domestic_upper,$C240)*EV07_domestic_upper</f>
        <v>56.089979576418521</v>
      </c>
      <c r="Z240" s="191" cm="1">
        <f t="array" ref="Z240">INDEX($L$202:$L$206,MATCH(Z$230,EV_charger_type,0))*INDEX(EV06_work,$C240)*EV07_work_upper</f>
        <v>0.8780237996113408</v>
      </c>
      <c r="AA240" s="191" cm="1">
        <f t="array" ref="AA240">INDEX($L$202:$L$206,MATCH(AA$230,EV_charger_type,0))*INDEX(EV06_slowfast,$C240)*EV07_slowfast_upper</f>
        <v>0.59980826402352105</v>
      </c>
      <c r="AB240" s="191" cm="1">
        <f t="array" ref="AB240">INDEX($L$202:$L$206,MATCH(AB$230,EV_charger_type,0))*INDEX(EV06_rapid,$C240)*EV07_rapid_upper</f>
        <v>1.6585412520796237</v>
      </c>
      <c r="AC240" s="191" cm="1">
        <f t="array" ref="AC240">INDEX($L$202:$L$206,MATCH(AC$230,EV_charger_type,0))*INDEX(EV06_depot,$C240)*EV07_depot_upper</f>
        <v>437.44385803668479</v>
      </c>
      <c r="AD240" s="192">
        <f t="shared" si="22"/>
        <v>496.67021092881782</v>
      </c>
      <c r="AE240" s="192">
        <f t="shared" si="18"/>
        <v>4.1389184244068149</v>
      </c>
      <c r="AF240" s="194"/>
      <c r="AG240" s="194"/>
    </row>
    <row r="241" spans="2:33">
      <c r="B241" s="194"/>
      <c r="C241" s="194">
        <v>10</v>
      </c>
      <c r="D241" s="180">
        <v>0.1875</v>
      </c>
      <c r="E241" s="191" cm="1">
        <f t="array" ref="E241">INDEX($J$202:$J$206,MATCH(E$230,EV_charger_type,0))*INDEX(EV06_domestic_Default,$C241)*EV07_domestic_Default</f>
        <v>38.876349372729209</v>
      </c>
      <c r="F241" s="191" cm="1">
        <f t="array" ref="F241">INDEX($J$202:$J$206,MATCH(F$230,EV_charger_type,0))*INDEX(EV06_work,$C241)*EV07_work_Default</f>
        <v>0.94350181449739912</v>
      </c>
      <c r="G241" s="191" cm="1">
        <f t="array" ref="G241">INDEX($J$202:$J$206,MATCH(G$230,EV_charger_type,0))*INDEX(EV06_slowfast,$C241)*EV07_slowfast_Default</f>
        <v>0.35884689724362645</v>
      </c>
      <c r="H241" s="191" cm="1">
        <f t="array" ref="H241">INDEX($J$202:$J$206,MATCH(H$230,EV_charger_type,0))*INDEX(EV06_rapid,$C241)*EV07_rapid_Default</f>
        <v>1.4028432107608622</v>
      </c>
      <c r="I241" s="191" cm="1">
        <f t="array" ref="I241">INDEX($J$202:$J$206,MATCH(I$230,EV_charger_type,0))*INDEX(EV06_depot,$C241)*EV07_depot_Default</f>
        <v>401.95536469079042</v>
      </c>
      <c r="J241" s="192">
        <f t="shared" si="19"/>
        <v>443.53690598602151</v>
      </c>
      <c r="K241" s="192">
        <f t="shared" si="20"/>
        <v>3.6961408832168461</v>
      </c>
      <c r="L241" s="194"/>
      <c r="M241" s="194"/>
      <c r="N241" s="180">
        <v>0.1875</v>
      </c>
      <c r="O241" s="191" cm="1">
        <f t="array" ref="O241">INDEX($K$202:$K$206,MATCH(O$230,EV_charger_type,0))*INDEX(EV06_domestic_lower,$C241)*EV07_domestic_lower</f>
        <v>33.807128278382791</v>
      </c>
      <c r="P241" s="191" cm="1">
        <f t="array" ref="P241">INDEX($K$202:$K$206,MATCH(P$230,EV_charger_type,0))*INDEX(EV06_work,$C241)*EV07_work_lower</f>
        <v>0.73983390452368603</v>
      </c>
      <c r="Q241" s="191" cm="1">
        <f t="array" ref="Q241">INDEX($K$202:$K$206,MATCH(Q$230,EV_charger_type,0))*INDEX(EV06_slowfast,$C241)*EV07_slowfast_lower</f>
        <v>6.3689707890130773E-2</v>
      </c>
      <c r="R241" s="191" cm="1">
        <f t="array" ref="R241">INDEX($K$202:$K$206,MATCH(R$230,EV_charger_type,0))*INDEX(EV06_rapid,$C241)*EV07_rapid_lower</f>
        <v>1.0883599839760987</v>
      </c>
      <c r="S241" s="191" cm="1">
        <f t="array" ref="S241">INDEX($K$202:$K$206,MATCH(S$230,EV_charger_type,0))*INDEX(EV06_depot,$C241)*EV07_depot_lower</f>
        <v>401.95536469079042</v>
      </c>
      <c r="T241" s="192">
        <f t="shared" si="21"/>
        <v>437.6543765655631</v>
      </c>
      <c r="U241" s="192">
        <f t="shared" si="17"/>
        <v>3.647119804713026</v>
      </c>
      <c r="V241" s="194"/>
      <c r="W241" s="194"/>
      <c r="X241" s="180">
        <v>0.1875</v>
      </c>
      <c r="Y241" s="191" cm="1">
        <f t="array" ref="Y241">INDEX($L$202:$L$206,MATCH(Y$230,EV_charger_type,0))*INDEX(EV06_domestic_upper,$C241)*EV07_domestic_upper</f>
        <v>44.71393497679631</v>
      </c>
      <c r="Z241" s="191" cm="1">
        <f t="array" ref="Z241">INDEX($L$202:$L$206,MATCH(Z$230,EV_charger_type,0))*INDEX(EV06_work,$C241)*EV07_work_upper</f>
        <v>1.1513695275287568</v>
      </c>
      <c r="AA241" s="191" cm="1">
        <f t="array" ref="AA241">INDEX($L$202:$L$206,MATCH(AA$230,EV_charger_type,0))*INDEX(EV06_slowfast,$C241)*EV07_slowfast_upper</f>
        <v>0.73357297960666745</v>
      </c>
      <c r="AB241" s="191" cm="1">
        <f t="array" ref="AB241">INDEX($L$202:$L$206,MATCH(AB$230,EV_charger_type,0))*INDEX(EV06_rapid,$C241)*EV07_rapid_upper</f>
        <v>1.7173264375456256</v>
      </c>
      <c r="AC241" s="191" cm="1">
        <f t="array" ref="AC241">INDEX($L$202:$L$206,MATCH(AC$230,EV_charger_type,0))*INDEX(EV06_depot,$C241)*EV07_depot_upper</f>
        <v>401.95536469079042</v>
      </c>
      <c r="AD241" s="192">
        <f t="shared" si="22"/>
        <v>450.2715686122678</v>
      </c>
      <c r="AE241" s="192">
        <f t="shared" si="18"/>
        <v>3.7522630717688985</v>
      </c>
      <c r="AF241" s="194"/>
      <c r="AG241" s="194"/>
    </row>
    <row r="242" spans="2:33">
      <c r="B242" s="194"/>
      <c r="C242" s="194">
        <v>11</v>
      </c>
      <c r="D242" s="180">
        <v>0.20833333333333334</v>
      </c>
      <c r="E242" s="191" cm="1">
        <f t="array" ref="E242">INDEX($J$202:$J$206,MATCH(E$230,EV_charger_type,0))*INDEX(EV06_domestic_Default,$C242)*EV07_domestic_Default</f>
        <v>30.255121020936709</v>
      </c>
      <c r="F242" s="191" cm="1">
        <f t="array" ref="F242">INDEX($J$202:$J$206,MATCH(F$230,EV_charger_type,0))*INDEX(EV06_work,$C242)*EV07_work_Default</f>
        <v>1.1674411970847522</v>
      </c>
      <c r="G242" s="191" cm="1">
        <f t="array" ref="G242">INDEX($J$202:$J$206,MATCH(G$230,EV_charger_type,0))*INDEX(EV06_slowfast,$C242)*EV07_slowfast_Default</f>
        <v>0.42428149541193111</v>
      </c>
      <c r="H242" s="191" cm="1">
        <f t="array" ref="H242">INDEX($J$202:$J$206,MATCH(H$230,EV_charger_type,0))*INDEX(EV06_rapid,$C242)*EV07_rapid_Default</f>
        <v>2.0081466677137323</v>
      </c>
      <c r="I242" s="191" cm="1">
        <f t="array" ref="I242">INDEX($J$202:$J$206,MATCH(I$230,EV_charger_type,0))*INDEX(EV06_depot,$C242)*EV07_depot_Default</f>
        <v>356.64914282941442</v>
      </c>
      <c r="J242" s="192">
        <f t="shared" si="19"/>
        <v>390.50413321056152</v>
      </c>
      <c r="K242" s="192">
        <f t="shared" si="20"/>
        <v>3.2542011100880126</v>
      </c>
      <c r="L242" s="194"/>
      <c r="M242" s="194"/>
      <c r="N242" s="180">
        <v>0.20833333333333334</v>
      </c>
      <c r="O242" s="191" cm="1">
        <f t="array" ref="O242">INDEX($K$202:$K$206,MATCH(O$230,EV_charger_type,0))*INDEX(EV06_domestic_lower,$C242)*EV07_domestic_lower</f>
        <v>26.310051584995243</v>
      </c>
      <c r="P242" s="191" cm="1">
        <f t="array" ref="P242">INDEX($K$202:$K$206,MATCH(P$230,EV_charger_type,0))*INDEX(EV06_work,$C242)*EV07_work_lower</f>
        <v>0.91543287555956177</v>
      </c>
      <c r="Q242" s="191" cm="1">
        <f t="array" ref="Q242">INDEX($K$202:$K$206,MATCH(Q$230,EV_charger_type,0))*INDEX(EV06_slowfast,$C242)*EV07_slowfast_lower</f>
        <v>7.5303324937564864E-2</v>
      </c>
      <c r="R242" s="191" cm="1">
        <f t="array" ref="R242">INDEX($K$202:$K$206,MATCH(R$230,EV_charger_type,0))*INDEX(EV06_rapid,$C242)*EV07_rapid_lower</f>
        <v>1.5579691717003594</v>
      </c>
      <c r="S242" s="191" cm="1">
        <f t="array" ref="S242">INDEX($K$202:$K$206,MATCH(S$230,EV_charger_type,0))*INDEX(EV06_depot,$C242)*EV07_depot_lower</f>
        <v>356.64914282941442</v>
      </c>
      <c r="T242" s="192">
        <f t="shared" si="21"/>
        <v>385.50789978660714</v>
      </c>
      <c r="U242" s="192">
        <f t="shared" si="17"/>
        <v>3.2125658315550596</v>
      </c>
      <c r="V242" s="194"/>
      <c r="W242" s="194"/>
      <c r="X242" s="180">
        <v>0.20833333333333334</v>
      </c>
      <c r="Y242" s="191" cm="1">
        <f t="array" ref="Y242">INDEX($L$202:$L$206,MATCH(Y$230,EV_charger_type,0))*INDEX(EV06_domestic_upper,$C242)*EV07_domestic_upper</f>
        <v>34.798162272773503</v>
      </c>
      <c r="Z242" s="191" cm="1">
        <f t="array" ref="Z242">INDEX($L$202:$L$206,MATCH(Z$230,EV_charger_type,0))*INDEX(EV06_work,$C242)*EV07_work_upper</f>
        <v>1.4246461414820977</v>
      </c>
      <c r="AA242" s="191" cm="1">
        <f t="array" ref="AA242">INDEX($L$202:$L$206,MATCH(AA$230,EV_charger_type,0))*INDEX(EV06_slowfast,$C242)*EV07_slowfast_upper</f>
        <v>0.86733769518981374</v>
      </c>
      <c r="AB242" s="191" cm="1">
        <f t="array" ref="AB242">INDEX($L$202:$L$206,MATCH(AB$230,EV_charger_type,0))*INDEX(EV06_rapid,$C242)*EV07_rapid_upper</f>
        <v>2.4583241637271045</v>
      </c>
      <c r="AC242" s="191" cm="1">
        <f t="array" ref="AC242">INDEX($L$202:$L$206,MATCH(AC$230,EV_charger_type,0))*INDEX(EV06_depot,$C242)*EV07_depot_upper</f>
        <v>356.64914282941442</v>
      </c>
      <c r="AD242" s="192">
        <f t="shared" si="22"/>
        <v>396.19761310258696</v>
      </c>
      <c r="AE242" s="192">
        <f t="shared" si="18"/>
        <v>3.3016467758548913</v>
      </c>
      <c r="AF242" s="194"/>
      <c r="AG242" s="194"/>
    </row>
    <row r="243" spans="2:33">
      <c r="B243" s="194"/>
      <c r="C243" s="194">
        <v>12</v>
      </c>
      <c r="D243" s="180">
        <v>0.22916666666666666</v>
      </c>
      <c r="E243" s="191" cm="1">
        <f t="array" ref="E243">INDEX($J$202:$J$206,MATCH(E$230,EV_charger_type,0))*INDEX(EV06_domestic_Default,$C243)*EV07_domestic_Default</f>
        <v>24.714914500806248</v>
      </c>
      <c r="F243" s="191" cm="1">
        <f t="array" ref="F243">INDEX($J$202:$J$206,MATCH(F$230,EV_charger_type,0))*INDEX(EV06_work,$C243)*EV07_work_Default</f>
        <v>2.7418132145767209</v>
      </c>
      <c r="G243" s="191" cm="1">
        <f t="array" ref="G243">INDEX($J$202:$J$206,MATCH(G$230,EV_charger_type,0))*INDEX(EV06_slowfast,$C243)*EV07_slowfast_Default</f>
        <v>0.65442342764857431</v>
      </c>
      <c r="H243" s="191" cm="1">
        <f t="array" ref="H243">INDEX($J$202:$J$206,MATCH(H$230,EV_charger_type,0))*INDEX(EV06_rapid,$C243)*EV07_rapid_Default</f>
        <v>2.6134501246666022</v>
      </c>
      <c r="I243" s="191" cm="1">
        <f t="array" ref="I243">INDEX($J$202:$J$206,MATCH(I$230,EV_charger_type,0))*INDEX(EV06_depot,$C243)*EV07_depot_Default</f>
        <v>311.34568185907204</v>
      </c>
      <c r="J243" s="192">
        <f t="shared" si="19"/>
        <v>342.07028312677016</v>
      </c>
      <c r="K243" s="192">
        <f t="shared" si="20"/>
        <v>2.8505856927230848</v>
      </c>
      <c r="L243" s="194"/>
      <c r="M243" s="194"/>
      <c r="N243" s="180">
        <v>0.22916666666666666</v>
      </c>
      <c r="O243" s="191" cm="1">
        <f t="array" ref="O243">INDEX($K$202:$K$206,MATCH(O$230,EV_charger_type,0))*INDEX(EV06_domestic_lower,$C243)*EV07_domestic_lower</f>
        <v>21.492251674848116</v>
      </c>
      <c r="P243" s="191" cm="1">
        <f t="array" ref="P243">INDEX($K$202:$K$206,MATCH(P$230,EV_charger_type,0))*INDEX(EV06_work,$C243)*EV07_work_lower</f>
        <v>2.1499549283808248</v>
      </c>
      <c r="Q243" s="191" cm="1">
        <f t="array" ref="Q243">INDEX($K$202:$K$206,MATCH(Q$230,EV_charger_type,0))*INDEX(EV06_slowfast,$C243)*EV07_slowfast_lower</f>
        <v>0.11614991592110281</v>
      </c>
      <c r="R243" s="191" cm="1">
        <f t="array" ref="R243">INDEX($K$202:$K$206,MATCH(R$230,EV_charger_type,0))*INDEX(EV06_rapid,$C243)*EV07_rapid_lower</f>
        <v>2.0275783594246204</v>
      </c>
      <c r="S243" s="191" cm="1">
        <f t="array" ref="S243">INDEX($K$202:$K$206,MATCH(S$230,EV_charger_type,0))*INDEX(EV06_depot,$C243)*EV07_depot_lower</f>
        <v>311.34568185907204</v>
      </c>
      <c r="T243" s="192">
        <f t="shared" si="21"/>
        <v>337.13161673764671</v>
      </c>
      <c r="U243" s="192">
        <f t="shared" si="17"/>
        <v>2.8094301394803893</v>
      </c>
      <c r="V243" s="194"/>
      <c r="W243" s="194"/>
      <c r="X243" s="180">
        <v>0.22916666666666666</v>
      </c>
      <c r="Y243" s="191" cm="1">
        <f t="array" ref="Y243">INDEX($L$202:$L$206,MATCH(Y$230,EV_charger_type,0))*INDEX(EV06_domestic_upper,$C243)*EV07_domestic_upper</f>
        <v>28.426050742339807</v>
      </c>
      <c r="Z243" s="191" cm="1">
        <f t="array" ref="Z243">INDEX($L$202:$L$206,MATCH(Z$230,EV_charger_type,0))*INDEX(EV06_work,$C243)*EV07_work_upper</f>
        <v>3.3458761148445073</v>
      </c>
      <c r="AA243" s="191" cm="1">
        <f t="array" ref="AA243">INDEX($L$202:$L$206,MATCH(AA$230,EV_charger_type,0))*INDEX(EV06_slowfast,$C243)*EV07_slowfast_upper</f>
        <v>1.3378054747917971</v>
      </c>
      <c r="AB243" s="191" cm="1">
        <f t="array" ref="AB243">INDEX($L$202:$L$206,MATCH(AB$230,EV_charger_type,0))*INDEX(EV06_rapid,$C243)*EV07_rapid_upper</f>
        <v>3.1993218899085831</v>
      </c>
      <c r="AC243" s="191" cm="1">
        <f t="array" ref="AC243">INDEX($L$202:$L$206,MATCH(AC$230,EV_charger_type,0))*INDEX(EV06_depot,$C243)*EV07_depot_upper</f>
        <v>311.34568185907204</v>
      </c>
      <c r="AD243" s="192">
        <f t="shared" si="22"/>
        <v>347.65473608095675</v>
      </c>
      <c r="AE243" s="192">
        <f t="shared" si="18"/>
        <v>2.8971228006746395</v>
      </c>
      <c r="AF243" s="194"/>
      <c r="AG243" s="194"/>
    </row>
    <row r="244" spans="2:33">
      <c r="B244" s="194"/>
      <c r="C244" s="194">
        <v>13</v>
      </c>
      <c r="D244" s="180">
        <v>0.25</v>
      </c>
      <c r="E244" s="191" cm="1">
        <f t="array" ref="E244">INDEX($J$202:$J$206,MATCH(E$230,EV_charger_type,0))*INDEX(EV06_domestic_Default,$C244)*EV07_domestic_Default</f>
        <v>20.988553446205923</v>
      </c>
      <c r="F244" s="191" cm="1">
        <f t="array" ref="F244">INDEX($J$202:$J$206,MATCH(F$230,EV_charger_type,0))*INDEX(EV06_work,$C244)*EV07_work_Default</f>
        <v>4.3161852320686886</v>
      </c>
      <c r="G244" s="191" cm="1">
        <f t="array" ref="G244">INDEX($J$202:$J$206,MATCH(G$230,EV_charger_type,0))*INDEX(EV06_slowfast,$C244)*EV07_slowfast_Default</f>
        <v>0.88456535988521734</v>
      </c>
      <c r="H244" s="191" cm="1">
        <f t="array" ref="H244">INDEX($J$202:$J$206,MATCH(H$230,EV_charger_type,0))*INDEX(EV06_rapid,$C244)*EV07_rapid_Default</f>
        <v>4.724319664022401</v>
      </c>
      <c r="I244" s="191" cm="1">
        <f t="array" ref="I244">INDEX($J$202:$J$206,MATCH(I$230,EV_charger_type,0))*INDEX(EV06_depot,$C244)*EV07_depot_Default</f>
        <v>280.73844386058244</v>
      </c>
      <c r="J244" s="192">
        <f t="shared" si="19"/>
        <v>311.65206756276467</v>
      </c>
      <c r="K244" s="192">
        <f t="shared" si="20"/>
        <v>2.597100563023039</v>
      </c>
      <c r="L244" s="194"/>
      <c r="M244" s="194"/>
      <c r="N244" s="180">
        <v>0.25</v>
      </c>
      <c r="O244" s="191" cm="1">
        <f t="array" ref="O244">INDEX($K$202:$K$206,MATCH(O$230,EV_charger_type,0))*INDEX(EV06_domestic_lower,$C244)*EV07_domestic_lower</f>
        <v>18.251783672654135</v>
      </c>
      <c r="P244" s="191" cm="1">
        <f t="array" ref="P244">INDEX($K$202:$K$206,MATCH(P$230,EV_charger_type,0))*INDEX(EV06_work,$C244)*EV07_work_lower</f>
        <v>3.3844769812020878</v>
      </c>
      <c r="Q244" s="191" cm="1">
        <f t="array" ref="Q244">INDEX($K$202:$K$206,MATCH(Q$230,EV_charger_type,0))*INDEX(EV06_slowfast,$C244)*EV07_slowfast_lower</f>
        <v>0.15699650690464073</v>
      </c>
      <c r="R244" s="191" cm="1">
        <f t="array" ref="R244">INDEX($K$202:$K$206,MATCH(R$230,EV_charger_type,0))*INDEX(EV06_rapid,$C244)*EV07_rapid_lower</f>
        <v>3.6652424407747204</v>
      </c>
      <c r="S244" s="191" cm="1">
        <f t="array" ref="S244">INDEX($K$202:$K$206,MATCH(S$230,EV_charger_type,0))*INDEX(EV06_depot,$C244)*EV07_depot_lower</f>
        <v>280.73844386058244</v>
      </c>
      <c r="T244" s="192">
        <f t="shared" si="21"/>
        <v>306.19694346211804</v>
      </c>
      <c r="U244" s="192">
        <f t="shared" si="17"/>
        <v>2.5516411955176506</v>
      </c>
      <c r="V244" s="194"/>
      <c r="W244" s="194"/>
      <c r="X244" s="180">
        <v>0.25</v>
      </c>
      <c r="Y244" s="191" cm="1">
        <f t="array" ref="Y244">INDEX($L$202:$L$206,MATCH(Y$230,EV_charger_type,0))*INDEX(EV06_domestic_upper,$C244)*EV07_domestic_upper</f>
        <v>24.140147652572203</v>
      </c>
      <c r="Z244" s="191" cm="1">
        <f t="array" ref="Z244">INDEX($L$202:$L$206,MATCH(Z$230,EV_charger_type,0))*INDEX(EV06_work,$C244)*EV07_work_upper</f>
        <v>5.2671060882069174</v>
      </c>
      <c r="AA244" s="191" cm="1">
        <f t="array" ref="AA244">INDEX($L$202:$L$206,MATCH(AA$230,EV_charger_type,0))*INDEX(EV06_slowfast,$C244)*EV07_slowfast_upper</f>
        <v>1.8082732543937807</v>
      </c>
      <c r="AB244" s="191" cm="1">
        <f t="array" ref="AB244">INDEX($L$202:$L$206,MATCH(AB$230,EV_charger_type,0))*INDEX(EV06_rapid,$C244)*EV07_rapid_upper</f>
        <v>5.7833968872700803</v>
      </c>
      <c r="AC244" s="191" cm="1">
        <f t="array" ref="AC244">INDEX($L$202:$L$206,MATCH(AC$230,EV_charger_type,0))*INDEX(EV06_depot,$C244)*EV07_depot_upper</f>
        <v>280.73844386058244</v>
      </c>
      <c r="AD244" s="192">
        <f t="shared" si="22"/>
        <v>317.7373677430254</v>
      </c>
      <c r="AE244" s="192">
        <f t="shared" si="18"/>
        <v>2.6478113978585451</v>
      </c>
      <c r="AF244" s="194"/>
      <c r="AG244" s="194"/>
    </row>
    <row r="245" spans="2:33">
      <c r="B245" s="194"/>
      <c r="C245" s="194">
        <v>14</v>
      </c>
      <c r="D245" s="180">
        <v>0.27083333333333331</v>
      </c>
      <c r="E245" s="191" cm="1">
        <f t="array" ref="E245">INDEX($J$202:$J$206,MATCH(E$230,EV_charger_type,0))*INDEX(EV06_domestic_Default,$C245)*EV07_domestic_Default</f>
        <v>16.822773522204638</v>
      </c>
      <c r="F245" s="191" cm="1">
        <f t="array" ref="F245">INDEX($J$202:$J$206,MATCH(F$230,EV_charger_type,0))*INDEX(EV06_work,$C245)*EV07_work_Default</f>
        <v>9.0423596372658182</v>
      </c>
      <c r="G245" s="191" cm="1">
        <f t="array" ref="G245">INDEX($J$202:$J$206,MATCH(G$230,EV_charger_type,0))*INDEX(EV06_slowfast,$C245)*EV07_slowfast_Default</f>
        <v>1.4776813454202238</v>
      </c>
      <c r="H245" s="191" cm="1">
        <f t="array" ref="H245">INDEX($J$202:$J$206,MATCH(H$230,EV_charger_type,0))*INDEX(EV06_rapid,$C245)*EV07_rapid_Default</f>
        <v>6.8351892033781994</v>
      </c>
      <c r="I245" s="191" cm="1">
        <f t="array" ref="I245">INDEX($J$202:$J$206,MATCH(I$230,EV_charger_type,0))*INDEX(EV06_depot,$C245)*EV07_depot_Default</f>
        <v>250.1312058620928</v>
      </c>
      <c r="J245" s="192">
        <f t="shared" si="19"/>
        <v>284.30920957036165</v>
      </c>
      <c r="K245" s="192">
        <f t="shared" si="20"/>
        <v>2.3692434130863469</v>
      </c>
      <c r="L245" s="194"/>
      <c r="M245" s="194"/>
      <c r="N245" s="180">
        <v>0.27083333333333331</v>
      </c>
      <c r="O245" s="191" cm="1">
        <f t="array" ref="O245">INDEX($K$202:$K$206,MATCH(O$230,EV_charger_type,0))*INDEX(EV06_domestic_lower,$C245)*EV07_domestic_lower</f>
        <v>14.629194140906229</v>
      </c>
      <c r="P245" s="191" cm="1">
        <f t="array" ref="P245">INDEX($K$202:$K$206,MATCH(P$230,EV_charger_type,0))*INDEX(EV06_work,$C245)*EV07_work_lower</f>
        <v>7.0904413046724377</v>
      </c>
      <c r="Q245" s="191" cm="1">
        <f t="array" ref="Q245">INDEX($K$202:$K$206,MATCH(Q$230,EV_charger_type,0))*INDEX(EV06_slowfast,$C245)*EV07_slowfast_lower</f>
        <v>0.26226531138324072</v>
      </c>
      <c r="R245" s="191" cm="1">
        <f t="array" ref="R245">INDEX($K$202:$K$206,MATCH(R$230,EV_charger_type,0))*INDEX(EV06_rapid,$C245)*EV07_rapid_lower</f>
        <v>5.3029065221248199</v>
      </c>
      <c r="S245" s="191" cm="1">
        <f t="array" ref="S245">INDEX($K$202:$K$206,MATCH(S$230,EV_charger_type,0))*INDEX(EV06_depot,$C245)*EV07_depot_lower</f>
        <v>250.1312058620928</v>
      </c>
      <c r="T245" s="192">
        <f t="shared" si="21"/>
        <v>277.41601314117952</v>
      </c>
      <c r="U245" s="192">
        <f t="shared" si="17"/>
        <v>2.3118001095098295</v>
      </c>
      <c r="V245" s="194"/>
      <c r="W245" s="194"/>
      <c r="X245" s="180">
        <v>0.27083333333333331</v>
      </c>
      <c r="Y245" s="191" cm="1">
        <f t="array" ref="Y245">INDEX($L$202:$L$206,MATCH(Y$230,EV_charger_type,0))*INDEX(EV06_domestic_upper,$C245)*EV07_domestic_upper</f>
        <v>19.348843539534787</v>
      </c>
      <c r="Z245" s="191" cm="1">
        <f t="array" ref="Z245">INDEX($L$202:$L$206,MATCH(Z$230,EV_charger_type,0))*INDEX(EV06_work,$C245)*EV07_work_upper</f>
        <v>11.034528162354206</v>
      </c>
      <c r="AA245" s="191" cm="1">
        <f t="array" ref="AA245">INDEX($L$202:$L$206,MATCH(AA$230,EV_charger_type,0))*INDEX(EV06_slowfast,$C245)*EV07_slowfast_upper</f>
        <v>3.0207509547816094</v>
      </c>
      <c r="AB245" s="191" cm="1">
        <f t="array" ref="AB245">INDEX($L$202:$L$206,MATCH(AB$230,EV_charger_type,0))*INDEX(EV06_rapid,$C245)*EV07_rapid_upper</f>
        <v>8.367471884631577</v>
      </c>
      <c r="AC245" s="191" cm="1">
        <f t="array" ref="AC245">INDEX($L$202:$L$206,MATCH(AC$230,EV_charger_type,0))*INDEX(EV06_depot,$C245)*EV07_depot_upper</f>
        <v>250.1312058620928</v>
      </c>
      <c r="AD245" s="192">
        <f t="shared" si="22"/>
        <v>291.90280040339496</v>
      </c>
      <c r="AE245" s="192">
        <f t="shared" si="18"/>
        <v>2.4325233366949579</v>
      </c>
      <c r="AF245" s="194"/>
      <c r="AG245" s="194"/>
    </row>
    <row r="246" spans="2:33">
      <c r="B246" s="194"/>
      <c r="C246" s="194">
        <v>15</v>
      </c>
      <c r="D246" s="180">
        <v>0.29166666666666669</v>
      </c>
      <c r="E246" s="191" cm="1">
        <f t="array" ref="E246">INDEX($J$202:$J$206,MATCH(E$230,EV_charger_type,0))*INDEX(EV06_domestic_Default,$C246)*EV07_domestic_Default</f>
        <v>17.493669696047991</v>
      </c>
      <c r="F246" s="191" cm="1">
        <f t="array" ref="F246">INDEX($J$202:$J$206,MATCH(F$230,EV_charger_type,0))*INDEX(EV06_work,$C246)*EV07_work_Default</f>
        <v>13.768477406301441</v>
      </c>
      <c r="G246" s="191" cm="1">
        <f t="array" ref="G246">INDEX($J$202:$J$206,MATCH(G$230,EV_charger_type,0))*INDEX(EV06_slowfast,$C246)*EV07_slowfast_Default</f>
        <v>2.070797330955231</v>
      </c>
      <c r="H246" s="191" cm="1">
        <f t="array" ref="H246">INDEX($J$202:$J$206,MATCH(H$230,EV_charger_type,0))*INDEX(EV06_rapid,$C246)*EV07_rapid_Default</f>
        <v>9.5361324849804792</v>
      </c>
      <c r="I246" s="191" cm="1">
        <f t="array" ref="I246">INDEX($J$202:$J$206,MATCH(I$230,EV_charger_type,0))*INDEX(EV06_depot,$C246)*EV07_depot_Default</f>
        <v>224.11809054351357</v>
      </c>
      <c r="J246" s="192">
        <f t="shared" si="19"/>
        <v>266.98716746179872</v>
      </c>
      <c r="K246" s="192">
        <f t="shared" si="20"/>
        <v>2.2248930621816561</v>
      </c>
      <c r="L246" s="194"/>
      <c r="M246" s="194"/>
      <c r="N246" s="180">
        <v>0.29166666666666669</v>
      </c>
      <c r="O246" s="191" cm="1">
        <f t="array" ref="O246">INDEX($K$202:$K$206,MATCH(O$230,EV_charger_type,0))*INDEX(EV06_domestic_lower,$C246)*EV07_domestic_lower</f>
        <v>15.212609851911969</v>
      </c>
      <c r="P246" s="191" cm="1">
        <f t="array" ref="P246">INDEX($K$202:$K$206,MATCH(P$230,EV_charger_type,0))*INDEX(EV06_work,$C246)*EV07_work_lower</f>
        <v>10.796361217679703</v>
      </c>
      <c r="Q246" s="191" cm="1">
        <f t="array" ref="Q246">INDEX($K$202:$K$206,MATCH(Q$230,EV_charger_type,0))*INDEX(EV06_slowfast,$C246)*EV07_slowfast_lower</f>
        <v>0.36753411586184087</v>
      </c>
      <c r="R246" s="191" cm="1">
        <f t="array" ref="R246">INDEX($K$202:$K$206,MATCH(R$230,EV_charger_type,0))*INDEX(EV06_rapid,$C246)*EV07_rapid_lower</f>
        <v>7.3983642070151037</v>
      </c>
      <c r="S246" s="191" cm="1">
        <f t="array" ref="S246">INDEX($K$202:$K$206,MATCH(S$230,EV_charger_type,0))*INDEX(EV06_depot,$C246)*EV07_depot_lower</f>
        <v>224.11809054351357</v>
      </c>
      <c r="T246" s="192">
        <f t="shared" si="21"/>
        <v>257.89295993598216</v>
      </c>
      <c r="U246" s="192">
        <f t="shared" si="17"/>
        <v>2.1491079994665179</v>
      </c>
      <c r="V246" s="194"/>
      <c r="W246" s="194"/>
      <c r="X246" s="180">
        <v>0.29166666666666669</v>
      </c>
      <c r="Y246" s="191" cm="1">
        <f t="array" ref="Y246">INDEX($L$202:$L$206,MATCH(Y$230,EV_charger_type,0))*INDEX(EV06_domestic_upper,$C246)*EV07_domestic_upper</f>
        <v>20.120479981161591</v>
      </c>
      <c r="Z246" s="191" cm="1">
        <f t="array" ref="Z246">INDEX($L$202:$L$206,MATCH(Z$230,EV_charger_type,0))*INDEX(EV06_work,$C246)*EV07_work_upper</f>
        <v>16.80188112253742</v>
      </c>
      <c r="AA246" s="191" cm="1">
        <f t="array" ref="AA246">INDEX($L$202:$L$206,MATCH(AA$230,EV_charger_type,0))*INDEX(EV06_slowfast,$C246)*EV07_slowfast_upper</f>
        <v>4.2332286551694391</v>
      </c>
      <c r="AB246" s="191" cm="1">
        <f t="array" ref="AB246">INDEX($L$202:$L$206,MATCH(AB$230,EV_charger_type,0))*INDEX(EV06_rapid,$C246)*EV07_rapid_upper</f>
        <v>11.673900762945854</v>
      </c>
      <c r="AC246" s="191" cm="1">
        <f t="array" ref="AC246">INDEX($L$202:$L$206,MATCH(AC$230,EV_charger_type,0))*INDEX(EV06_depot,$C246)*EV07_depot_upper</f>
        <v>224.11809054351357</v>
      </c>
      <c r="AD246" s="192">
        <f t="shared" si="22"/>
        <v>276.94758106532788</v>
      </c>
      <c r="AE246" s="192">
        <f t="shared" si="18"/>
        <v>2.3078965088777323</v>
      </c>
      <c r="AF246" s="194"/>
      <c r="AG246" s="194"/>
    </row>
    <row r="247" spans="2:33">
      <c r="B247" s="194"/>
      <c r="C247" s="194">
        <v>16</v>
      </c>
      <c r="D247" s="180">
        <v>0.3125</v>
      </c>
      <c r="E247" s="191" cm="1">
        <f t="array" ref="E247">INDEX($J$202:$J$206,MATCH(E$230,EV_charger_type,0))*INDEX(EV06_domestic_Default,$C247)*EV07_domestic_Default</f>
        <v>16.068989972788589</v>
      </c>
      <c r="F247" s="191" cm="1">
        <f t="array" ref="F247">INDEX($J$202:$J$206,MATCH(F$230,EV_charger_type,0))*INDEX(EV06_work,$C247)*EV07_work_Default</f>
        <v>18.811927588244739</v>
      </c>
      <c r="G247" s="191" cm="1">
        <f t="array" ref="G247">INDEX($J$202:$J$206,MATCH(G$230,EV_charger_type,0))*INDEX(EV06_slowfast,$C247)*EV07_slowfast_Default</f>
        <v>3.0909223455356818</v>
      </c>
      <c r="H247" s="191" cm="1">
        <f t="array" ref="H247">INDEX($J$202:$J$206,MATCH(H$230,EV_charger_type,0))*INDEX(EV06_rapid,$C247)*EV07_rapid_Default</f>
        <v>12.237231171834866</v>
      </c>
      <c r="I247" s="191" cm="1">
        <f t="array" ref="I247">INDEX($J$202:$J$206,MATCH(I$230,EV_charger_type,0))*INDEX(EV06_depot,$C247)*EV07_depot_Default</f>
        <v>198.1022143339008</v>
      </c>
      <c r="J247" s="192">
        <f t="shared" si="19"/>
        <v>248.31128541230467</v>
      </c>
      <c r="K247" s="192">
        <f t="shared" si="20"/>
        <v>2.0692607117692057</v>
      </c>
      <c r="L247" s="194"/>
      <c r="M247" s="194"/>
      <c r="N247" s="180">
        <v>0.3125</v>
      </c>
      <c r="O247" s="191" cm="1">
        <f t="array" ref="O247">INDEX($K$202:$K$206,MATCH(O$230,EV_charger_type,0))*INDEX(EV06_domestic_lower,$C247)*EV07_domestic_lower</f>
        <v>13.973699024713065</v>
      </c>
      <c r="P247" s="191" cm="1">
        <f t="array" ref="P247">INDEX($K$202:$K$206,MATCH(P$230,EV_charger_type,0))*INDEX(EV06_work,$C247)*EV07_work_lower</f>
        <v>14.751112955349083</v>
      </c>
      <c r="Q247" s="191" cm="1">
        <f t="array" ref="Q247">INDEX($K$202:$K$206,MATCH(Q$230,EV_charger_type,0))*INDEX(EV06_slowfast,$C247)*EV07_slowfast_lower</f>
        <v>0.54859033980888605</v>
      </c>
      <c r="R247" s="191" cm="1">
        <f t="array" ref="R247">INDEX($K$202:$K$206,MATCH(R$230,EV_charger_type,0))*INDEX(EV06_rapid,$C247)*EV07_rapid_lower</f>
        <v>9.49394245909094</v>
      </c>
      <c r="S247" s="191" cm="1">
        <f t="array" ref="S247">INDEX($K$202:$K$206,MATCH(S$230,EV_charger_type,0))*INDEX(EV06_depot,$C247)*EV07_depot_lower</f>
        <v>198.1022143339008</v>
      </c>
      <c r="T247" s="192">
        <f t="shared" si="21"/>
        <v>236.86955911286279</v>
      </c>
      <c r="U247" s="192">
        <f t="shared" si="17"/>
        <v>1.9739129926071899</v>
      </c>
      <c r="V247" s="194"/>
      <c r="W247" s="194"/>
      <c r="X247" s="180">
        <v>0.3125</v>
      </c>
      <c r="Y247" s="191" cm="1">
        <f t="array" ref="Y247">INDEX($L$202:$L$206,MATCH(Y$230,EV_charger_type,0))*INDEX(EV06_domestic_upper,$C247)*EV07_domestic_upper</f>
        <v>18.481873539547831</v>
      </c>
      <c r="Z247" s="191" cm="1">
        <f t="array" ref="Z247">INDEX($L$202:$L$206,MATCH(Z$230,EV_charger_type,0))*INDEX(EV06_work,$C247)*EV07_work_upper</f>
        <v>22.956479623433978</v>
      </c>
      <c r="AA247" s="191" cm="1">
        <f t="array" ref="AA247">INDEX($L$202:$L$206,MATCH(AA$230,EV_charger_type,0))*INDEX(EV06_slowfast,$C247)*EV07_slowfast_upper</f>
        <v>6.3186198129729299</v>
      </c>
      <c r="AB247" s="191" cm="1">
        <f t="array" ref="AB247">INDEX($L$202:$L$206,MATCH(AB$230,EV_charger_type,0))*INDEX(EV06_rapid,$C247)*EV07_rapid_upper</f>
        <v>14.98051988457879</v>
      </c>
      <c r="AC247" s="191" cm="1">
        <f t="array" ref="AC247">INDEX($L$202:$L$206,MATCH(AC$230,EV_charger_type,0))*INDEX(EV06_depot,$C247)*EV07_depot_upper</f>
        <v>198.1022143339008</v>
      </c>
      <c r="AD247" s="192">
        <f t="shared" si="22"/>
        <v>260.83970719443431</v>
      </c>
      <c r="AE247" s="192">
        <f t="shared" si="18"/>
        <v>2.1736642266202861</v>
      </c>
      <c r="AF247" s="194"/>
      <c r="AG247" s="194"/>
    </row>
    <row r="248" spans="2:33">
      <c r="B248" s="194"/>
      <c r="C248" s="194">
        <v>17</v>
      </c>
      <c r="D248" s="180">
        <v>0.33333333333333331</v>
      </c>
      <c r="E248" s="191" cm="1">
        <f t="array" ref="E248">INDEX($J$202:$J$206,MATCH(E$230,EV_charger_type,0))*INDEX(EV06_domestic_Default,$C248)*EV07_domestic_Default</f>
        <v>13.435141225067991</v>
      </c>
      <c r="F248" s="191" cm="1">
        <f t="array" ref="F248">INDEX($J$202:$J$206,MATCH(F$230,EV_charger_type,0))*INDEX(EV06_work,$C248)*EV07_work_Default</f>
        <v>23.855434406349541</v>
      </c>
      <c r="G248" s="191" cm="1">
        <f t="array" ref="G248">INDEX($J$202:$J$206,MATCH(G$230,EV_charger_type,0))*INDEX(EV06_slowfast,$C248)*EV07_slowfast_Default</f>
        <v>4.1110473601161326</v>
      </c>
      <c r="H248" s="191" cm="1">
        <f t="array" ref="H248">INDEX($J$202:$J$206,MATCH(H$230,EV_charger_type,0))*INDEX(EV06_rapid,$C248)*EV07_rapid_Default</f>
        <v>15.224430927816398</v>
      </c>
      <c r="I248" s="191" cm="1">
        <f t="array" ref="I248">INDEX($J$202:$J$206,MATCH(I$230,EV_charger_type,0))*INDEX(EV06_depot,$C248)*EV07_depot_Default</f>
        <v>178.83119491937279</v>
      </c>
      <c r="J248" s="192">
        <f t="shared" si="19"/>
        <v>235.45724883872285</v>
      </c>
      <c r="K248" s="192">
        <f t="shared" si="20"/>
        <v>1.9621437403226905</v>
      </c>
      <c r="L248" s="194"/>
      <c r="M248" s="194"/>
      <c r="N248" s="180">
        <v>0.33333333333333331</v>
      </c>
      <c r="O248" s="191" cm="1">
        <f t="array" ref="O248">INDEX($K$202:$K$206,MATCH(O$230,EV_charger_type,0))*INDEX(EV06_domestic_lower,$C248)*EV07_domestic_lower</f>
        <v>11.683286886825718</v>
      </c>
      <c r="P248" s="191" cm="1">
        <f t="array" ref="P248">INDEX($K$202:$K$206,MATCH(P$230,EV_charger_type,0))*INDEX(EV06_work,$C248)*EV07_work_lower</f>
        <v>18.705909103481549</v>
      </c>
      <c r="Q248" s="191" cm="1">
        <f t="array" ref="Q248">INDEX($K$202:$K$206,MATCH(Q$230,EV_charger_type,0))*INDEX(EV06_slowfast,$C248)*EV07_slowfast_lower</f>
        <v>0.72964656375593107</v>
      </c>
      <c r="R248" s="191" cm="1">
        <f t="array" ref="R248">INDEX($K$202:$K$206,MATCH(R$230,EV_charger_type,0))*INDEX(EV06_rapid,$C248)*EV07_rapid_lower</f>
        <v>11.81148489976764</v>
      </c>
      <c r="S248" s="191" cm="1">
        <f t="array" ref="S248">INDEX($K$202:$K$206,MATCH(S$230,EV_charger_type,0))*INDEX(EV06_depot,$C248)*EV07_depot_lower</f>
        <v>178.83119491937279</v>
      </c>
      <c r="T248" s="192">
        <f t="shared" si="21"/>
        <v>221.76152237320363</v>
      </c>
      <c r="U248" s="192">
        <f t="shared" si="17"/>
        <v>1.8480126864433637</v>
      </c>
      <c r="V248" s="194"/>
      <c r="W248" s="194"/>
      <c r="X248" s="180">
        <v>0.33333333333333331</v>
      </c>
      <c r="Y248" s="191" cm="1">
        <f t="array" ref="Y248">INDEX($L$202:$L$206,MATCH(Y$230,EV_charger_type,0))*INDEX(EV06_domestic_upper,$C248)*EV07_domestic_upper</f>
        <v>15.452531959267976</v>
      </c>
      <c r="Z248" s="191" cm="1">
        <f t="array" ref="Z248">INDEX($L$202:$L$206,MATCH(Z$230,EV_charger_type,0))*INDEX(EV06_work,$C248)*EV07_work_upper</f>
        <v>29.111147238294617</v>
      </c>
      <c r="AA248" s="191" cm="1">
        <f t="array" ref="AA248">INDEX($L$202:$L$206,MATCH(AA$230,EV_charger_type,0))*INDEX(EV06_slowfast,$C248)*EV07_slowfast_upper</f>
        <v>8.4040109707764206</v>
      </c>
      <c r="AB248" s="191" cm="1">
        <f t="array" ref="AB248">INDEX($L$202:$L$206,MATCH(AB$230,EV_charger_type,0))*INDEX(EV06_rapid,$C248)*EV07_rapid_upper</f>
        <v>18.637376955865154</v>
      </c>
      <c r="AC248" s="191" cm="1">
        <f t="array" ref="AC248">INDEX($L$202:$L$206,MATCH(AC$230,EV_charger_type,0))*INDEX(EV06_depot,$C248)*EV07_depot_upper</f>
        <v>178.83119491937279</v>
      </c>
      <c r="AD248" s="192">
        <f t="shared" si="22"/>
        <v>250.43626204357696</v>
      </c>
      <c r="AE248" s="192">
        <f t="shared" si="18"/>
        <v>2.0869688503631414</v>
      </c>
      <c r="AF248" s="194"/>
      <c r="AG248" s="194"/>
    </row>
    <row r="249" spans="2:33">
      <c r="B249" s="194"/>
      <c r="C249" s="194">
        <v>18</v>
      </c>
      <c r="D249" s="180">
        <v>0.35416666666666669</v>
      </c>
      <c r="E249" s="191" cm="1">
        <f t="array" ref="E249">INDEX($J$202:$J$206,MATCH(E$230,EV_charger_type,0))*INDEX(EV06_domestic_Default,$C249)*EV07_domestic_Default</f>
        <v>15.855564135817819</v>
      </c>
      <c r="F249" s="191" cm="1">
        <f t="array" ref="F249">INDEX($J$202:$J$206,MATCH(F$230,EV_charger_type,0))*INDEX(EV06_work,$C249)*EV07_work_Default</f>
        <v>22.727355341510165</v>
      </c>
      <c r="G249" s="191" cm="1">
        <f t="array" ref="G249">INDEX($J$202:$J$206,MATCH(G$230,EV_charger_type,0))*INDEX(EV06_slowfast,$C249)*EV07_slowfast_Default</f>
        <v>4.7435610279899185</v>
      </c>
      <c r="H249" s="191" cm="1">
        <f t="array" ref="H249">INDEX($J$202:$J$206,MATCH(H$230,EV_charger_type,0))*INDEX(EV06_rapid,$C249)*EV07_rapid_Default</f>
        <v>18.211630683797932</v>
      </c>
      <c r="I249" s="191" cm="1">
        <f t="array" ref="I249">INDEX($J$202:$J$206,MATCH(I$230,EV_charger_type,0))*INDEX(EV06_depot,$C249)*EV07_depot_Default</f>
        <v>159.56017550484481</v>
      </c>
      <c r="J249" s="192">
        <f t="shared" si="19"/>
        <v>221.09828669396063</v>
      </c>
      <c r="K249" s="192">
        <f t="shared" si="20"/>
        <v>1.842485722449672</v>
      </c>
      <c r="L249" s="194"/>
      <c r="M249" s="194"/>
      <c r="N249" s="180">
        <v>0.35416666666666669</v>
      </c>
      <c r="O249" s="191" cm="1">
        <f t="array" ref="O249">INDEX($K$202:$K$206,MATCH(O$230,EV_charger_type,0))*INDEX(EV06_domestic_lower,$C249)*EV07_domestic_lower</f>
        <v>13.788102517715588</v>
      </c>
      <c r="P249" s="191" cm="1">
        <f t="array" ref="P249">INDEX($K$202:$K$206,MATCH(P$230,EV_charger_type,0))*INDEX(EV06_work,$C249)*EV07_work_lower</f>
        <v>17.821341499765673</v>
      </c>
      <c r="Q249" s="191" cm="1">
        <f t="array" ref="Q249">INDEX($K$202:$K$206,MATCH(Q$230,EV_charger_type,0))*INDEX(EV06_slowfast,$C249)*EV07_slowfast_lower</f>
        <v>0.84190784023018983</v>
      </c>
      <c r="R249" s="191" cm="1">
        <f t="array" ref="R249">INDEX($K$202:$K$206,MATCH(R$230,EV_charger_type,0))*INDEX(EV06_rapid,$C249)*EV07_rapid_lower</f>
        <v>14.129027340444338</v>
      </c>
      <c r="S249" s="191" cm="1">
        <f t="array" ref="S249">INDEX($K$202:$K$206,MATCH(S$230,EV_charger_type,0))*INDEX(EV06_depot,$C249)*EV07_depot_lower</f>
        <v>159.56017550484481</v>
      </c>
      <c r="T249" s="192">
        <f t="shared" si="21"/>
        <v>206.14055470300059</v>
      </c>
      <c r="U249" s="192">
        <f t="shared" si="17"/>
        <v>1.7178379558583383</v>
      </c>
      <c r="V249" s="194"/>
      <c r="W249" s="194"/>
      <c r="X249" s="180">
        <v>0.35416666666666669</v>
      </c>
      <c r="Y249" s="191" cm="1">
        <f t="array" ref="Y249">INDEX($L$202:$L$206,MATCH(Y$230,EV_charger_type,0))*INDEX(EV06_domestic_upper,$C249)*EV07_domestic_upper</f>
        <v>18.236400156613023</v>
      </c>
      <c r="Z249" s="191" cm="1">
        <f t="array" ref="Z249">INDEX($L$202:$L$206,MATCH(Z$230,EV_charger_type,0))*INDEX(EV06_work,$C249)*EV07_work_upper</f>
        <v>27.734535301844783</v>
      </c>
      <c r="AA249" s="191" cm="1">
        <f t="array" ref="AA249">INDEX($L$202:$L$206,MATCH(AA$230,EV_charger_type,0))*INDEX(EV06_slowfast,$C249)*EV07_slowfast_upper</f>
        <v>9.6970274063319515</v>
      </c>
      <c r="AB249" s="191" cm="1">
        <f t="array" ref="AB249">INDEX($L$202:$L$206,MATCH(AB$230,EV_charger_type,0))*INDEX(EV06_rapid,$C249)*EV07_rapid_upper</f>
        <v>22.294234027151518</v>
      </c>
      <c r="AC249" s="191" cm="1">
        <f t="array" ref="AC249">INDEX($L$202:$L$206,MATCH(AC$230,EV_charger_type,0))*INDEX(EV06_depot,$C249)*EV07_depot_upper</f>
        <v>159.56017550484481</v>
      </c>
      <c r="AD249" s="192">
        <f t="shared" si="22"/>
        <v>237.52237239678607</v>
      </c>
      <c r="AE249" s="192">
        <f t="shared" si="18"/>
        <v>1.9793531033065506</v>
      </c>
      <c r="AF249" s="194"/>
      <c r="AG249" s="194"/>
    </row>
    <row r="250" spans="2:33">
      <c r="B250" s="194"/>
      <c r="C250" s="194">
        <v>19</v>
      </c>
      <c r="D250" s="180">
        <v>0.375</v>
      </c>
      <c r="E250" s="191" cm="1">
        <f t="array" ref="E250">INDEX($J$202:$J$206,MATCH(E$230,EV_charger_type,0))*INDEX(EV06_domestic_Default,$C250)*EV07_domestic_Default</f>
        <v>16.583150412322031</v>
      </c>
      <c r="F250" s="191" cm="1">
        <f t="array" ref="F250">INDEX($J$202:$J$206,MATCH(F$230,EV_charger_type,0))*INDEX(EV06_work,$C250)*EV07_work_Default</f>
        <v>21.599276276670782</v>
      </c>
      <c r="G250" s="191" cm="1">
        <f t="array" ref="G250">INDEX($J$202:$J$206,MATCH(G$230,EV_charger_type,0))*INDEX(EV06_slowfast,$C250)*EV07_slowfast_Default</f>
        <v>5.3760746958637036</v>
      </c>
      <c r="H250" s="191" cm="1">
        <f t="array" ref="H250">INDEX($J$202:$J$206,MATCH(H$230,EV_charger_type,0))*INDEX(EV06_rapid,$C250)*EV07_rapid_Default</f>
        <v>20.887398314559039</v>
      </c>
      <c r="I250" s="191" cm="1">
        <f t="array" ref="I250">INDEX($J$202:$J$206,MATCH(I$230,EV_charger_type,0))*INDEX(EV06_depot,$C250)*EV07_depot_Default</f>
        <v>144.7065817440768</v>
      </c>
      <c r="J250" s="192">
        <f t="shared" si="19"/>
        <v>209.15248144349235</v>
      </c>
      <c r="K250" s="192">
        <f t="shared" si="20"/>
        <v>1.7429373453624362</v>
      </c>
      <c r="L250" s="194"/>
      <c r="M250" s="194"/>
      <c r="N250" s="180">
        <v>0.375</v>
      </c>
      <c r="O250" s="191" cm="1">
        <f t="array" ref="O250">INDEX($K$202:$K$206,MATCH(O$230,EV_charger_type,0))*INDEX(EV06_domestic_lower,$C250)*EV07_domestic_lower</f>
        <v>14.420816313641692</v>
      </c>
      <c r="P250" s="191" cm="1">
        <f t="array" ref="P250">INDEX($K$202:$K$206,MATCH(P$230,EV_charger_type,0))*INDEX(EV06_work,$C250)*EV07_work_lower</f>
        <v>16.9367738960498</v>
      </c>
      <c r="Q250" s="191" cm="1">
        <f t="array" ref="Q250">INDEX($K$202:$K$206,MATCH(Q$230,EV_charger_type,0))*INDEX(EV06_slowfast,$C250)*EV07_slowfast_lower</f>
        <v>0.95416911670444815</v>
      </c>
      <c r="R250" s="191" cm="1">
        <f t="array" ref="R250">INDEX($K$202:$K$206,MATCH(R$230,EV_charger_type,0))*INDEX(EV06_rapid,$C250)*EV07_rapid_lower</f>
        <v>16.204953141275233</v>
      </c>
      <c r="S250" s="191" cm="1">
        <f t="array" ref="S250">INDEX($K$202:$K$206,MATCH(S$230,EV_charger_type,0))*INDEX(EV06_depot,$C250)*EV07_depot_lower</f>
        <v>144.7065817440768</v>
      </c>
      <c r="T250" s="192">
        <f t="shared" si="21"/>
        <v>193.22329421174797</v>
      </c>
      <c r="U250" s="192">
        <f t="shared" si="17"/>
        <v>1.6101941184312332</v>
      </c>
      <c r="V250" s="194"/>
      <c r="W250" s="194"/>
      <c r="X250" s="180">
        <v>0.375</v>
      </c>
      <c r="Y250" s="191" cm="1">
        <f t="array" ref="Y250">INDEX($L$202:$L$206,MATCH(Y$230,EV_charger_type,0))*INDEX(EV06_domestic_upper,$C250)*EV07_domestic_upper</f>
        <v>19.073239159825604</v>
      </c>
      <c r="Z250" s="191" cm="1">
        <f t="array" ref="Z250">INDEX($L$202:$L$206,MATCH(Z$230,EV_charger_type,0))*INDEX(EV06_work,$C250)*EV07_work_upper</f>
        <v>26.357923365394949</v>
      </c>
      <c r="AA250" s="191" cm="1">
        <f t="array" ref="AA250">INDEX($L$202:$L$206,MATCH(AA$230,EV_charger_type,0))*INDEX(EV06_slowfast,$C250)*EV07_slowfast_upper</f>
        <v>10.990043841887477</v>
      </c>
      <c r="AB250" s="191" cm="1">
        <f t="array" ref="AB250">INDEX($L$202:$L$206,MATCH(AB$230,EV_charger_type,0))*INDEX(EV06_rapid,$C250)*EV07_rapid_upper</f>
        <v>25.569843487842842</v>
      </c>
      <c r="AC250" s="191" cm="1">
        <f t="array" ref="AC250">INDEX($L$202:$L$206,MATCH(AC$230,EV_charger_type,0))*INDEX(EV06_depot,$C250)*EV07_depot_upper</f>
        <v>144.7065817440768</v>
      </c>
      <c r="AD250" s="192">
        <f t="shared" si="22"/>
        <v>226.69763159902766</v>
      </c>
      <c r="AE250" s="192">
        <f t="shared" si="18"/>
        <v>1.8891469299918973</v>
      </c>
      <c r="AF250" s="194"/>
      <c r="AG250" s="194"/>
    </row>
    <row r="251" spans="2:33">
      <c r="B251" s="194"/>
      <c r="C251" s="194">
        <v>20</v>
      </c>
      <c r="D251" s="180">
        <v>0.39583333333333331</v>
      </c>
      <c r="E251" s="191" cm="1">
        <f t="array" ref="E251">INDEX($J$202:$J$206,MATCH(E$230,EV_charger_type,0))*INDEX(EV06_domestic_Default,$C251)*EV07_domestic_Default</f>
        <v>17.42580013627774</v>
      </c>
      <c r="F251" s="191" cm="1">
        <f t="array" ref="F251">INDEX($J$202:$J$206,MATCH(F$230,EV_charger_type,0))*INDEX(EV06_work,$C251)*EV07_work_Default</f>
        <v>17.897650033083472</v>
      </c>
      <c r="G251" s="191" cm="1">
        <f t="array" ref="G251">INDEX($J$202:$J$206,MATCH(G$230,EV_charger_type,0))*INDEX(EV06_slowfast,$C251)*EV07_slowfast_Default</f>
        <v>5.2101136641685963</v>
      </c>
      <c r="H251" s="191" cm="1">
        <f t="array" ref="H251">INDEX($J$202:$J$206,MATCH(H$230,EV_charger_type,0))*INDEX(EV06_rapid,$C251)*EV07_rapid_Default</f>
        <v>23.563165945320147</v>
      </c>
      <c r="I251" s="191" cm="1">
        <f t="array" ref="I251">INDEX($J$202:$J$206,MATCH(I$230,EV_charger_type,0))*INDEX(EV06_depot,$C251)*EV07_depot_Default</f>
        <v>129.85298798330882</v>
      </c>
      <c r="J251" s="192">
        <f t="shared" si="19"/>
        <v>193.94971776215877</v>
      </c>
      <c r="K251" s="192">
        <f t="shared" si="20"/>
        <v>1.6162476480179897</v>
      </c>
      <c r="L251" s="194"/>
      <c r="M251" s="194"/>
      <c r="N251" s="180">
        <v>0.39583333333333331</v>
      </c>
      <c r="O251" s="191" cm="1">
        <f t="array" ref="O251">INDEX($K$202:$K$206,MATCH(O$230,EV_charger_type,0))*INDEX(EV06_domestic_lower,$C251)*EV07_domestic_lower</f>
        <v>15.153590037799491</v>
      </c>
      <c r="P251" s="191" cm="1">
        <f t="array" ref="P251">INDEX($K$202:$K$206,MATCH(P$230,EV_charger_type,0))*INDEX(EV06_work,$C251)*EV07_work_lower</f>
        <v>14.034194849776968</v>
      </c>
      <c r="Q251" s="191" cm="1">
        <f t="array" ref="Q251">INDEX($K$202:$K$206,MATCH(Q$230,EV_charger_type,0))*INDEX(EV06_slowfast,$C251)*EV07_slowfast_lower</f>
        <v>0.92471363106141635</v>
      </c>
      <c r="R251" s="191" cm="1">
        <f t="array" ref="R251">INDEX($K$202:$K$206,MATCH(R$230,EV_charger_type,0))*INDEX(EV06_rapid,$C251)*EV07_rapid_lower</f>
        <v>18.280878942106124</v>
      </c>
      <c r="S251" s="191" cm="1">
        <f t="array" ref="S251">INDEX($K$202:$K$206,MATCH(S$230,EV_charger_type,0))*INDEX(EV06_depot,$C251)*EV07_depot_lower</f>
        <v>129.85298798330882</v>
      </c>
      <c r="T251" s="192">
        <f t="shared" si="21"/>
        <v>178.24636544405283</v>
      </c>
      <c r="U251" s="192">
        <f t="shared" si="17"/>
        <v>1.4853863787004402</v>
      </c>
      <c r="V251" s="194"/>
      <c r="W251" s="194"/>
      <c r="X251" s="180">
        <v>0.39583333333333331</v>
      </c>
      <c r="Y251" s="191" cm="1">
        <f t="array" ref="Y251">INDEX($L$202:$L$206,MATCH(Y$230,EV_charger_type,0))*INDEX(EV06_domestic_upper,$C251)*EV07_domestic_upper</f>
        <v>20.042419280210087</v>
      </c>
      <c r="Z251" s="191" cm="1">
        <f t="array" ref="Z251">INDEX($L$202:$L$206,MATCH(Z$230,EV_charger_type,0))*INDEX(EV06_work,$C251)*EV07_work_upper</f>
        <v>21.840772901368023</v>
      </c>
      <c r="AA251" s="191" cm="1">
        <f t="array" ref="AA251">INDEX($L$202:$L$206,MATCH(AA$230,EV_charger_type,0))*INDEX(EV06_slowfast,$C251)*EV07_slowfast_upper</f>
        <v>10.650777905761737</v>
      </c>
      <c r="AB251" s="191" cm="1">
        <f t="array" ref="AB251">INDEX($L$202:$L$206,MATCH(AB$230,EV_charger_type,0))*INDEX(EV06_rapid,$C251)*EV07_rapid_upper</f>
        <v>28.845452948534163</v>
      </c>
      <c r="AC251" s="191" cm="1">
        <f t="array" ref="AC251">INDEX($L$202:$L$206,MATCH(AC$230,EV_charger_type,0))*INDEX(EV06_depot,$C251)*EV07_depot_upper</f>
        <v>129.85298798330882</v>
      </c>
      <c r="AD251" s="192">
        <f t="shared" si="22"/>
        <v>211.23241101918285</v>
      </c>
      <c r="AE251" s="192">
        <f t="shared" si="18"/>
        <v>1.7602700918265237</v>
      </c>
      <c r="AF251" s="194"/>
      <c r="AG251" s="194"/>
    </row>
    <row r="252" spans="2:33">
      <c r="B252" s="194"/>
      <c r="C252" s="194">
        <v>21</v>
      </c>
      <c r="D252" s="180">
        <v>0.41666666666666669</v>
      </c>
      <c r="E252" s="191" cm="1">
        <f t="array" ref="E252">INDEX($J$202:$J$206,MATCH(E$230,EV_charger_type,0))*INDEX(EV06_domestic_Default,$C252)*EV07_domestic_Default</f>
        <v>18.510283665125769</v>
      </c>
      <c r="F252" s="191" cm="1">
        <f t="array" ref="F252">INDEX($J$202:$J$206,MATCH(F$230,EV_charger_type,0))*INDEX(EV06_work,$C252)*EV07_work_Default</f>
        <v>14.196023789496161</v>
      </c>
      <c r="G252" s="191" cm="1">
        <f t="array" ref="G252">INDEX($J$202:$J$206,MATCH(G$230,EV_charger_type,0))*INDEX(EV06_slowfast,$C252)*EV07_slowfast_Default</f>
        <v>5.0441526324734864</v>
      </c>
      <c r="H252" s="191" cm="1">
        <f t="array" ref="H252">INDEX($J$202:$J$206,MATCH(H$230,EV_charger_type,0))*INDEX(EV06_rapid,$C252)*EV07_rapid_Default</f>
        <v>24.5384893075374</v>
      </c>
      <c r="I252" s="191" cm="1">
        <f t="array" ref="I252">INDEX($J$202:$J$206,MATCH(I$230,EV_charger_type,0))*INDEX(EV06_depot,$C252)*EV07_depot_Default</f>
        <v>119.93586739061762</v>
      </c>
      <c r="J252" s="192">
        <f t="shared" si="19"/>
        <v>182.22481678525043</v>
      </c>
      <c r="K252" s="192">
        <f t="shared" si="20"/>
        <v>1.5185401398770868</v>
      </c>
      <c r="L252" s="194"/>
      <c r="M252" s="194"/>
      <c r="N252" s="180">
        <v>0.41666666666666669</v>
      </c>
      <c r="O252" s="191" cm="1">
        <f t="array" ref="O252">INDEX($K$202:$K$206,MATCH(O$230,EV_charger_type,0))*INDEX(EV06_domestic_lower,$C252)*EV07_domestic_lower</f>
        <v>16.096664024095048</v>
      </c>
      <c r="P252" s="191" cm="1">
        <f t="array" ref="P252">INDEX($K$202:$K$206,MATCH(P$230,EV_charger_type,0))*INDEX(EV06_work,$C252)*EV07_work_lower</f>
        <v>11.131615803504138</v>
      </c>
      <c r="Q252" s="191" cm="1">
        <f t="array" ref="Q252">INDEX($K$202:$K$206,MATCH(Q$230,EV_charger_type,0))*INDEX(EV06_slowfast,$C252)*EV07_slowfast_lower</f>
        <v>0.89525814541838433</v>
      </c>
      <c r="R252" s="191" cm="1">
        <f t="array" ref="R252">INDEX($K$202:$K$206,MATCH(R$230,EV_charger_type,0))*INDEX(EV06_rapid,$C252)*EV07_rapid_lower</f>
        <v>19.037558598629222</v>
      </c>
      <c r="S252" s="191" cm="1">
        <f t="array" ref="S252">INDEX($K$202:$K$206,MATCH(S$230,EV_charger_type,0))*INDEX(EV06_depot,$C252)*EV07_depot_lower</f>
        <v>119.93586739061762</v>
      </c>
      <c r="T252" s="192">
        <f t="shared" si="21"/>
        <v>167.0969639622644</v>
      </c>
      <c r="U252" s="192">
        <f t="shared" si="17"/>
        <v>1.3924746996855366</v>
      </c>
      <c r="V252" s="194"/>
      <c r="W252" s="194"/>
      <c r="X252" s="180">
        <v>0.41666666666666669</v>
      </c>
      <c r="Y252" s="191" cm="1">
        <f t="array" ref="Y252">INDEX($L$202:$L$206,MATCH(Y$230,EV_charger_type,0))*INDEX(EV06_domestic_upper,$C252)*EV07_domestic_upper</f>
        <v>21.289746428327881</v>
      </c>
      <c r="Z252" s="191" cm="1">
        <f t="array" ref="Z252">INDEX($L$202:$L$206,MATCH(Z$230,EV_charger_type,0))*INDEX(EV06_work,$C252)*EV07_work_upper</f>
        <v>17.323622437341104</v>
      </c>
      <c r="AA252" s="191" cm="1">
        <f t="array" ref="AA252">INDEX($L$202:$L$206,MATCH(AA$230,EV_charger_type,0))*INDEX(EV06_slowfast,$C252)*EV07_slowfast_upper</f>
        <v>10.31151196963599</v>
      </c>
      <c r="AB252" s="191" cm="1">
        <f t="array" ref="AB252">INDEX($L$202:$L$206,MATCH(AB$230,EV_charger_type,0))*INDEX(EV06_rapid,$C252)*EV07_rapid_upper</f>
        <v>30.039420016445579</v>
      </c>
      <c r="AC252" s="191" cm="1">
        <f t="array" ref="AC252">INDEX($L$202:$L$206,MATCH(AC$230,EV_charger_type,0))*INDEX(EV06_depot,$C252)*EV07_depot_upper</f>
        <v>119.93586739061762</v>
      </c>
      <c r="AD252" s="192">
        <f t="shared" si="22"/>
        <v>198.90016824236818</v>
      </c>
      <c r="AE252" s="192">
        <f t="shared" si="18"/>
        <v>1.6575014020197349</v>
      </c>
      <c r="AF252" s="194"/>
      <c r="AG252" s="194"/>
    </row>
    <row r="253" spans="2:33">
      <c r="B253" s="194"/>
      <c r="C253" s="194">
        <v>22</v>
      </c>
      <c r="D253" s="180">
        <v>0.4375</v>
      </c>
      <c r="E253" s="191" cm="1">
        <f t="array" ref="E253">INDEX($J$202:$J$206,MATCH(E$230,EV_charger_type,0))*INDEX(EV06_domestic_Default,$C253)*EV07_domestic_Default</f>
        <v>19.820391043421466</v>
      </c>
      <c r="F253" s="191" cm="1">
        <f t="array" ref="F253">INDEX($J$202:$J$206,MATCH(F$230,EV_charger_type,0))*INDEX(EV06_work,$C253)*EV07_work_Default</f>
        <v>12.369281036341766</v>
      </c>
      <c r="G253" s="191" cm="1">
        <f t="array" ref="G253">INDEX($J$202:$J$206,MATCH(G$230,EV_charger_type,0))*INDEX(EV06_slowfast,$C253)*EV07_slowfast_Default</f>
        <v>4.775388404332193</v>
      </c>
      <c r="H253" s="191" cm="1">
        <f t="array" ref="H253">INDEX($J$202:$J$206,MATCH(H$230,EV_charger_type,0))*INDEX(EV06_rapid,$C253)*EV07_rapid_Default</f>
        <v>25.51381266975466</v>
      </c>
      <c r="I253" s="191" cm="1">
        <f t="array" ref="I253">INDEX($J$202:$J$206,MATCH(I$230,EV_charger_type,0))*INDEX(EV06_depot,$C253)*EV07_depot_Default</f>
        <v>110.01874679792641</v>
      </c>
      <c r="J253" s="192">
        <f t="shared" si="19"/>
        <v>172.4976199517765</v>
      </c>
      <c r="K253" s="192">
        <f t="shared" si="20"/>
        <v>1.4374801662648042</v>
      </c>
      <c r="L253" s="194"/>
      <c r="M253" s="194"/>
      <c r="N253" s="180">
        <v>0.4375</v>
      </c>
      <c r="O253" s="191" cm="1">
        <f t="array" ref="O253">INDEX($K$202:$K$206,MATCH(O$230,EV_charger_type,0))*INDEX(EV06_domestic_lower,$C253)*EV07_domestic_lower</f>
        <v>17.235941989005187</v>
      </c>
      <c r="P253" s="191" cm="1">
        <f t="array" ref="P253">INDEX($K$202:$K$206,MATCH(P$230,EV_charger_type,0))*INDEX(EV06_work,$C253)*EV07_work_lower</f>
        <v>9.6992007271786118</v>
      </c>
      <c r="Q253" s="191" cm="1">
        <f t="array" ref="Q253">INDEX($K$202:$K$206,MATCH(Q$230,EV_charger_type,0))*INDEX(EV06_slowfast,$C253)*EV07_slowfast_lower</f>
        <v>0.84755670139554762</v>
      </c>
      <c r="R253" s="191" cm="1">
        <f t="array" ref="R253">INDEX($K$202:$K$206,MATCH(R$230,EV_charger_type,0))*INDEX(EV06_rapid,$C253)*EV07_rapid_lower</f>
        <v>19.794238255152319</v>
      </c>
      <c r="S253" s="191" cm="1">
        <f t="array" ref="S253">INDEX($K$202:$K$206,MATCH(S$230,EV_charger_type,0))*INDEX(EV06_depot,$C253)*EV07_depot_lower</f>
        <v>110.01874679792641</v>
      </c>
      <c r="T253" s="192">
        <f t="shared" si="21"/>
        <v>157.59568447065806</v>
      </c>
      <c r="U253" s="192">
        <f t="shared" si="17"/>
        <v>1.3132973705888171</v>
      </c>
      <c r="V253" s="194"/>
      <c r="W253" s="194"/>
      <c r="X253" s="180">
        <v>0.4375</v>
      </c>
      <c r="Y253" s="191" cm="1">
        <f t="array" ref="Y253">INDEX($L$202:$L$206,MATCH(Y$230,EV_charger_type,0))*INDEX(EV06_domestic_upper,$C253)*EV07_domestic_upper</f>
        <v>22.796576598107848</v>
      </c>
      <c r="Z253" s="191" cm="1">
        <f t="array" ref="Z253">INDEX($L$202:$L$206,MATCH(Z$230,EV_charger_type,0))*INDEX(EV06_work,$C253)*EV07_work_upper</f>
        <v>15.094420640059605</v>
      </c>
      <c r="AA253" s="191" cm="1">
        <f t="array" ref="AA253">INDEX($L$202:$L$206,MATCH(AA$230,EV_charger_type,0))*INDEX(EV06_slowfast,$C253)*EV07_slowfast_upper</f>
        <v>9.7620905390378567</v>
      </c>
      <c r="AB253" s="191" cm="1">
        <f t="array" ref="AB253">INDEX($L$202:$L$206,MATCH(AB$230,EV_charger_type,0))*INDEX(EV06_rapid,$C253)*EV07_rapid_upper</f>
        <v>31.233387084356998</v>
      </c>
      <c r="AC253" s="191" cm="1">
        <f t="array" ref="AC253">INDEX($L$202:$L$206,MATCH(AC$230,EV_charger_type,0))*INDEX(EV06_depot,$C253)*EV07_depot_upper</f>
        <v>110.01874679792641</v>
      </c>
      <c r="AD253" s="192">
        <f t="shared" si="22"/>
        <v>188.90522165948872</v>
      </c>
      <c r="AE253" s="192">
        <f t="shared" si="18"/>
        <v>1.5742101804957394</v>
      </c>
      <c r="AF253" s="194"/>
      <c r="AG253" s="194"/>
    </row>
    <row r="254" spans="2:33">
      <c r="B254" s="194"/>
      <c r="C254" s="194">
        <v>23</v>
      </c>
      <c r="D254" s="180">
        <v>0.45833333333333331</v>
      </c>
      <c r="E254" s="191" cm="1">
        <f t="array" ref="E254">INDEX($J$202:$J$206,MATCH(E$230,EV_charger_type,0))*INDEX(EV06_domestic_Default,$C254)*EV07_domestic_Default</f>
        <v>20.405088935878872</v>
      </c>
      <c r="F254" s="191" cm="1">
        <f t="array" ref="F254">INDEX($J$202:$J$206,MATCH(F$230,EV_charger_type,0))*INDEX(EV06_work,$C254)*EV07_work_Default</f>
        <v>10.542481647025864</v>
      </c>
      <c r="G254" s="191" cm="1">
        <f t="array" ref="G254">INDEX($J$202:$J$206,MATCH(G$230,EV_charger_type,0))*INDEX(EV06_slowfast,$C254)*EV07_slowfast_Default</f>
        <v>4.5066241761908978</v>
      </c>
      <c r="H254" s="191" cm="1">
        <f t="array" ref="H254">INDEX($J$202:$J$206,MATCH(H$230,EV_charger_type,0))*INDEX(EV06_rapid,$C254)*EV07_rapid_Default</f>
        <v>26.884486993329578</v>
      </c>
      <c r="I254" s="191" cm="1">
        <f t="array" ref="I254">INDEX($J$202:$J$206,MATCH(I$230,EV_charger_type,0))*INDEX(EV06_depot,$C254)*EV07_depot_Default</f>
        <v>104.9304246230016</v>
      </c>
      <c r="J254" s="192">
        <f t="shared" si="19"/>
        <v>167.26910637542682</v>
      </c>
      <c r="K254" s="192">
        <f t="shared" si="20"/>
        <v>1.3939092197952234</v>
      </c>
      <c r="L254" s="194"/>
      <c r="M254" s="194"/>
      <c r="N254" s="180">
        <v>0.45833333333333331</v>
      </c>
      <c r="O254" s="191" cm="1">
        <f t="array" ref="O254">INDEX($K$202:$K$206,MATCH(O$230,EV_charger_type,0))*INDEX(EV06_domestic_lower,$C254)*EV07_domestic_lower</f>
        <v>17.744399109422815</v>
      </c>
      <c r="P254" s="191" cm="1">
        <f t="array" ref="P254">INDEX($K$202:$K$206,MATCH(P$230,EV_charger_type,0))*INDEX(EV06_work,$C254)*EV07_work_lower</f>
        <v>8.2667412403899991</v>
      </c>
      <c r="Q254" s="191" cm="1">
        <f t="array" ref="Q254">INDEX($K$202:$K$206,MATCH(Q$230,EV_charger_type,0))*INDEX(EV06_slowfast,$C254)*EV07_slowfast_lower</f>
        <v>0.79985525737271079</v>
      </c>
      <c r="R254" s="191" cm="1">
        <f t="array" ref="R254">INDEX($K$202:$K$206,MATCH(R$230,EV_charger_type,0))*INDEX(EV06_rapid,$C254)*EV07_rapid_lower</f>
        <v>20.857640831719191</v>
      </c>
      <c r="S254" s="191" cm="1">
        <f t="array" ref="S254">INDEX($K$202:$K$206,MATCH(S$230,EV_charger_type,0))*INDEX(EV06_depot,$C254)*EV07_depot_lower</f>
        <v>104.9304246230016</v>
      </c>
      <c r="T254" s="192">
        <f t="shared" si="21"/>
        <v>152.5990610619063</v>
      </c>
      <c r="U254" s="192">
        <f t="shared" si="17"/>
        <v>1.2716588421825525</v>
      </c>
      <c r="V254" s="194"/>
      <c r="W254" s="194"/>
      <c r="X254" s="180">
        <v>0.45833333333333331</v>
      </c>
      <c r="Y254" s="191" cm="1">
        <f t="array" ref="Y254">INDEX($L$202:$L$206,MATCH(Y$230,EV_charger_type,0))*INDEX(EV06_domestic_upper,$C254)*EV07_domestic_upper</f>
        <v>23.469071417355199</v>
      </c>
      <c r="Z254" s="191" cm="1">
        <f t="array" ref="Z254">INDEX($L$202:$L$206,MATCH(Z$230,EV_charger_type,0))*INDEX(EV06_work,$C254)*EV07_work_upper</f>
        <v>12.865149728814028</v>
      </c>
      <c r="AA254" s="191" cm="1">
        <f t="array" ref="AA254">INDEX($L$202:$L$206,MATCH(AA$230,EV_charger_type,0))*INDEX(EV06_slowfast,$C254)*EV07_slowfast_upper</f>
        <v>9.2126691084397194</v>
      </c>
      <c r="AB254" s="191" cm="1">
        <f t="array" ref="AB254">INDEX($L$202:$L$206,MATCH(AB$230,EV_charger_type,0))*INDEX(EV06_rapid,$C254)*EV07_rapid_upper</f>
        <v>32.91133315493996</v>
      </c>
      <c r="AC254" s="191" cm="1">
        <f t="array" ref="AC254">INDEX($L$202:$L$206,MATCH(AC$230,EV_charger_type,0))*INDEX(EV06_depot,$C254)*EV07_depot_upper</f>
        <v>104.9304246230016</v>
      </c>
      <c r="AD254" s="192">
        <f t="shared" si="22"/>
        <v>183.38864803255052</v>
      </c>
      <c r="AE254" s="192">
        <f t="shared" si="18"/>
        <v>1.5282387336045877</v>
      </c>
      <c r="AF254" s="194"/>
      <c r="AG254" s="194"/>
    </row>
    <row r="255" spans="2:33">
      <c r="B255" s="194"/>
      <c r="C255" s="194">
        <v>24</v>
      </c>
      <c r="D255" s="180">
        <v>0.47916666666666669</v>
      </c>
      <c r="E255" s="191" cm="1">
        <f t="array" ref="E255">INDEX($J$202:$J$206,MATCH(E$230,EV_charger_type,0))*INDEX(EV06_domestic_Default,$C255)*EV07_domestic_Default</f>
        <v>21.896050819294093</v>
      </c>
      <c r="F255" s="191" cm="1">
        <f t="array" ref="F255">INDEX($J$202:$J$206,MATCH(F$230,EV_charger_type,0))*INDEX(EV06_work,$C255)*EV07_work_Default</f>
        <v>10.127621764008069</v>
      </c>
      <c r="G255" s="191" cm="1">
        <f t="array" ref="G255">INDEX($J$202:$J$206,MATCH(G$230,EV_charger_type,0))*INDEX(EV06_slowfast,$C255)*EV07_slowfast_Default</f>
        <v>4.3986906431058683</v>
      </c>
      <c r="H255" s="191" cm="1">
        <f t="array" ref="H255">INDEX($J$202:$J$206,MATCH(H$230,EV_charger_type,0))*INDEX(EV06_rapid,$C255)*EV07_rapid_Default</f>
        <v>28.255005911652393</v>
      </c>
      <c r="I255" s="191" cm="1">
        <f t="array" ref="I255">INDEX($J$202:$J$206,MATCH(I$230,EV_charger_type,0))*INDEX(EV06_depot,$C255)*EV07_depot_Default</f>
        <v>99.839341557043198</v>
      </c>
      <c r="J255" s="192">
        <f t="shared" si="19"/>
        <v>164.5167106951036</v>
      </c>
      <c r="K255" s="192">
        <f t="shared" si="20"/>
        <v>1.3709725891258633</v>
      </c>
      <c r="L255" s="194"/>
      <c r="M255" s="194"/>
      <c r="N255" s="180">
        <v>0.47916666666666669</v>
      </c>
      <c r="O255" s="191" cm="1">
        <f t="array" ref="O255">INDEX($K$202:$K$206,MATCH(O$230,EV_charger_type,0))*INDEX(EV06_domestic_lower,$C255)*EV07_domestic_lower</f>
        <v>19.040949337622877</v>
      </c>
      <c r="P255" s="191" cm="1">
        <f t="array" ref="P255">INDEX($K$202:$K$206,MATCH(P$230,EV_charger_type,0))*INDEX(EV06_work,$C255)*EV07_work_lower</f>
        <v>7.9414345982964765</v>
      </c>
      <c r="Q255" s="191" cm="1">
        <f t="array" ref="Q255">INDEX($K$202:$K$206,MATCH(Q$230,EV_charger_type,0))*INDEX(EV06_slowfast,$C255)*EV07_slowfast_lower</f>
        <v>0.78069874453523658</v>
      </c>
      <c r="R255" s="191" cm="1">
        <f t="array" ref="R255">INDEX($K$202:$K$206,MATCH(R$230,EV_charger_type,0))*INDEX(EV06_rapid,$C255)*EV07_rapid_lower</f>
        <v>21.920922841100516</v>
      </c>
      <c r="S255" s="191" cm="1">
        <f t="array" ref="S255">INDEX($K$202:$K$206,MATCH(S$230,EV_charger_type,0))*INDEX(EV06_depot,$C255)*EV07_depot_lower</f>
        <v>99.839341557043198</v>
      </c>
      <c r="T255" s="192">
        <f t="shared" si="21"/>
        <v>149.52334707859831</v>
      </c>
      <c r="U255" s="192">
        <f t="shared" si="17"/>
        <v>1.2460278923216526</v>
      </c>
      <c r="V255" s="194"/>
      <c r="W255" s="194"/>
      <c r="X255" s="180">
        <v>0.47916666666666669</v>
      </c>
      <c r="Y255" s="191" cm="1">
        <f t="array" ref="Y255">INDEX($L$202:$L$206,MATCH(Y$230,EV_charger_type,0))*INDEX(EV06_domestic_upper,$C255)*EV07_domestic_upper</f>
        <v>25.183912799933033</v>
      </c>
      <c r="Z255" s="191" cm="1">
        <f t="array" ref="Z255">INDEX($L$202:$L$206,MATCH(Z$230,EV_charger_type,0))*INDEX(EV06_work,$C255)*EV07_work_upper</f>
        <v>12.35888994196319</v>
      </c>
      <c r="AA255" s="191" cm="1">
        <f t="array" ref="AA255">INDEX($L$202:$L$206,MATCH(AA$230,EV_charger_type,0))*INDEX(EV06_slowfast,$C255)*EV07_slowfast_upper</f>
        <v>8.9920259202922512</v>
      </c>
      <c r="AB255" s="191" cm="1">
        <f t="array" ref="AB255">INDEX($L$202:$L$206,MATCH(AB$230,EV_charger_type,0))*INDEX(EV06_rapid,$C255)*EV07_rapid_upper</f>
        <v>34.589088982204267</v>
      </c>
      <c r="AC255" s="191" cm="1">
        <f t="array" ref="AC255">INDEX($L$202:$L$206,MATCH(AC$230,EV_charger_type,0))*INDEX(EV06_depot,$C255)*EV07_depot_upper</f>
        <v>99.839341557043198</v>
      </c>
      <c r="AD255" s="192">
        <f t="shared" si="22"/>
        <v>180.96325920143596</v>
      </c>
      <c r="AE255" s="192">
        <f t="shared" si="18"/>
        <v>1.5080271600119663</v>
      </c>
      <c r="AF255" s="194"/>
      <c r="AG255" s="194"/>
    </row>
    <row r="256" spans="2:33">
      <c r="B256" s="194"/>
      <c r="C256" s="194">
        <v>25</v>
      </c>
      <c r="D256" s="180">
        <v>0.5</v>
      </c>
      <c r="E256" s="191" cm="1">
        <f t="array" ref="E256">INDEX($J$202:$J$206,MATCH(E$230,EV_charger_type,0))*INDEX(EV06_domestic_Default,$C256)*EV07_domestic_Default</f>
        <v>22.661603216871132</v>
      </c>
      <c r="F256" s="191" cm="1">
        <f t="array" ref="F256">INDEX($J$202:$J$206,MATCH(F$230,EV_charger_type,0))*INDEX(EV06_work,$C256)*EV07_work_Default</f>
        <v>9.7127052448287685</v>
      </c>
      <c r="G256" s="191" cm="1">
        <f t="array" ref="G256">INDEX($J$202:$J$206,MATCH(G$230,EV_charger_type,0))*INDEX(EV06_slowfast,$C256)*EV07_slowfast_Default</f>
        <v>4.2907571100208388</v>
      </c>
      <c r="H256" s="191" cm="1">
        <f t="array" ref="H256">INDEX($J$202:$J$206,MATCH(H$230,EV_charger_type,0))*INDEX(EV06_rapid,$C256)*EV07_rapid_Default</f>
        <v>30.030666322215549</v>
      </c>
      <c r="I256" s="191" cm="1">
        <f t="array" ref="I256">INDEX($J$202:$J$206,MATCH(I$230,EV_charger_type,0))*INDEX(EV06_depot,$C256)*EV07_depot_Default</f>
        <v>96.752665381478408</v>
      </c>
      <c r="J256" s="192">
        <f t="shared" si="19"/>
        <v>163.44839727541469</v>
      </c>
      <c r="K256" s="192">
        <f t="shared" si="20"/>
        <v>1.3620699772951224</v>
      </c>
      <c r="L256" s="194"/>
      <c r="M256" s="194"/>
      <c r="N256" s="180">
        <v>0.5</v>
      </c>
      <c r="O256" s="191" cm="1">
        <f t="array" ref="O256">INDEX($K$202:$K$206,MATCH(O$230,EV_charger_type,0))*INDEX(EV06_domestic_lower,$C256)*EV07_domestic_lower</f>
        <v>19.706678721330533</v>
      </c>
      <c r="P256" s="191" cm="1">
        <f t="array" ref="P256">INDEX($K$202:$K$206,MATCH(P$230,EV_charger_type,0))*INDEX(EV06_work,$C256)*EV07_work_lower</f>
        <v>7.616083545739869</v>
      </c>
      <c r="Q256" s="191" cm="1">
        <f t="array" ref="Q256">INDEX($K$202:$K$206,MATCH(Q$230,EV_charger_type,0))*INDEX(EV06_slowfast,$C256)*EV07_slowfast_lower</f>
        <v>0.76154223169776236</v>
      </c>
      <c r="R256" s="191" cm="1">
        <f t="array" ref="R256">INDEX($K$202:$K$206,MATCH(R$230,EV_charger_type,0))*INDEX(EV06_rapid,$C256)*EV07_rapid_lower</f>
        <v>23.298523503215385</v>
      </c>
      <c r="S256" s="191" cm="1">
        <f t="array" ref="S256">INDEX($K$202:$K$206,MATCH(S$230,EV_charger_type,0))*INDEX(EV06_depot,$C256)*EV07_depot_lower</f>
        <v>96.752665381478408</v>
      </c>
      <c r="T256" s="192">
        <f t="shared" si="21"/>
        <v>148.13549338346195</v>
      </c>
      <c r="U256" s="192">
        <f t="shared" si="17"/>
        <v>1.2344624448621828</v>
      </c>
      <c r="V256" s="194"/>
      <c r="W256" s="194"/>
      <c r="X256" s="180">
        <v>0.5</v>
      </c>
      <c r="Y256" s="191" cm="1">
        <f t="array" ref="Y256">INDEX($L$202:$L$206,MATCH(Y$230,EV_charger_type,0))*INDEX(EV06_domestic_upper,$C256)*EV07_domestic_upper</f>
        <v>26.064418831978376</v>
      </c>
      <c r="Z256" s="191" cm="1">
        <f t="array" ref="Z256">INDEX($L$202:$L$206,MATCH(Z$230,EV_charger_type,0))*INDEX(EV06_work,$C256)*EV07_work_upper</f>
        <v>11.852561041148274</v>
      </c>
      <c r="AA256" s="191" cm="1">
        <f t="array" ref="AA256">INDEX($L$202:$L$206,MATCH(AA$230,EV_charger_type,0))*INDEX(EV06_slowfast,$C256)*EV07_slowfast_upper</f>
        <v>8.7713827321447866</v>
      </c>
      <c r="AB256" s="191" cm="1">
        <f t="array" ref="AB256">INDEX($L$202:$L$206,MATCH(AB$230,EV_charger_type,0))*INDEX(EV06_rapid,$C256)*EV07_rapid_upper</f>
        <v>36.762809141215712</v>
      </c>
      <c r="AC256" s="191" cm="1">
        <f t="array" ref="AC256">INDEX($L$202:$L$206,MATCH(AC$230,EV_charger_type,0))*INDEX(EV06_depot,$C256)*EV07_depot_upper</f>
        <v>96.752665381478408</v>
      </c>
      <c r="AD256" s="192">
        <f t="shared" si="22"/>
        <v>180.20383712796556</v>
      </c>
      <c r="AE256" s="192">
        <f t="shared" si="18"/>
        <v>1.5016986427330463</v>
      </c>
      <c r="AF256" s="194"/>
      <c r="AG256" s="194"/>
    </row>
    <row r="257" spans="2:33">
      <c r="B257" s="194"/>
      <c r="C257" s="194">
        <v>26</v>
      </c>
      <c r="D257" s="180">
        <v>0.52083333333333337</v>
      </c>
      <c r="E257" s="191" cm="1">
        <f t="array" ref="E257">INDEX($J$202:$J$206,MATCH(E$230,EV_charger_type,0))*INDEX(EV06_domestic_Default,$C257)*EV07_domestic_Default</f>
        <v>23.516387547503054</v>
      </c>
      <c r="F257" s="191" cm="1">
        <f t="array" ref="F257">INDEX($J$202:$J$206,MATCH(F$230,EV_charger_type,0))*INDEX(EV06_work,$C257)*EV07_work_Default</f>
        <v>9.7047195460566869</v>
      </c>
      <c r="G257" s="191" cm="1">
        <f t="array" ref="G257">INDEX($J$202:$J$206,MATCH(G$230,EV_charger_type,0))*INDEX(EV06_slowfast,$C257)*EV07_slowfast_Default</f>
        <v>4.2280466030043264</v>
      </c>
      <c r="H257" s="191" cm="1">
        <f t="array" ref="H257">INDEX($J$202:$J$206,MATCH(H$230,EV_charger_type,0))*INDEX(EV06_rapid,$C257)*EV07_rapid_Default</f>
        <v>31.806482138030812</v>
      </c>
      <c r="I257" s="191" cm="1">
        <f t="array" ref="I257">INDEX($J$202:$J$206,MATCH(I$230,EV_charger_type,0))*INDEX(EV06_depot,$C257)*EV07_depot_Default</f>
        <v>93.668750096947207</v>
      </c>
      <c r="J257" s="192">
        <f t="shared" si="19"/>
        <v>162.92438593154208</v>
      </c>
      <c r="K257" s="192">
        <f t="shared" si="20"/>
        <v>1.3577032160961839</v>
      </c>
      <c r="L257" s="194"/>
      <c r="M257" s="194"/>
      <c r="N257" s="180">
        <v>0.52083333333333337</v>
      </c>
      <c r="O257" s="191" cm="1">
        <f t="array" ref="O257">INDEX($K$202:$K$206,MATCH(O$230,EV_charger_type,0))*INDEX(EV06_domestic_lower,$C257)*EV07_domestic_lower</f>
        <v>20.450004779005489</v>
      </c>
      <c r="P257" s="191" cm="1">
        <f t="array" ref="P257">INDEX($K$202:$K$206,MATCH(P$230,EV_charger_type,0))*INDEX(EV06_work,$C257)*EV07_work_lower</f>
        <v>7.6098216704449628</v>
      </c>
      <c r="Q257" s="191" cm="1">
        <f t="array" ref="Q257">INDEX($K$202:$K$206,MATCH(Q$230,EV_charger_type,0))*INDEX(EV06_slowfast,$C257)*EV07_slowfast_lower</f>
        <v>0.75041209819458199</v>
      </c>
      <c r="R257" s="191" cm="1">
        <f t="array" ref="R257">INDEX($K$202:$K$206,MATCH(R$230,EV_charger_type,0))*INDEX(EV06_rapid,$C257)*EV07_rapid_lower</f>
        <v>24.676244732515801</v>
      </c>
      <c r="S257" s="191" cm="1">
        <f t="array" ref="S257">INDEX($K$202:$K$206,MATCH(S$230,EV_charger_type,0))*INDEX(EV06_depot,$C257)*EV07_depot_lower</f>
        <v>93.668750096947207</v>
      </c>
      <c r="T257" s="192">
        <f t="shared" si="21"/>
        <v>147.15523337710803</v>
      </c>
      <c r="U257" s="192">
        <f t="shared" si="17"/>
        <v>1.2262936114759002</v>
      </c>
      <c r="V257" s="194"/>
      <c r="W257" s="194"/>
      <c r="X257" s="180">
        <v>0.52083333333333337</v>
      </c>
      <c r="Y257" s="191" cm="1">
        <f t="array" ref="Y257">INDEX($L$202:$L$206,MATCH(Y$230,EV_charger_type,0))*INDEX(EV06_domestic_upper,$C257)*EV07_domestic_upper</f>
        <v>27.047555664416429</v>
      </c>
      <c r="Z257" s="191" cm="1">
        <f t="array" ref="Z257">INDEX($L$202:$L$206,MATCH(Z$230,EV_charger_type,0))*INDEX(EV06_work,$C257)*EV07_work_upper</f>
        <v>11.842815972213669</v>
      </c>
      <c r="AA257" s="191" cm="1">
        <f t="array" ref="AA257">INDEX($L$202:$L$206,MATCH(AA$230,EV_charger_type,0))*INDEX(EV06_slowfast,$C257)*EV07_slowfast_upper</f>
        <v>8.643186741492217</v>
      </c>
      <c r="AB257" s="191" cm="1">
        <f t="array" ref="AB257">INDEX($L$202:$L$206,MATCH(AB$230,EV_charger_type,0))*INDEX(EV06_rapid,$C257)*EV07_rapid_upper</f>
        <v>38.936719543545813</v>
      </c>
      <c r="AC257" s="191" cm="1">
        <f t="array" ref="AC257">INDEX($L$202:$L$206,MATCH(AC$230,EV_charger_type,0))*INDEX(EV06_depot,$C257)*EV07_depot_upper</f>
        <v>93.668750096947207</v>
      </c>
      <c r="AD257" s="192">
        <f t="shared" si="22"/>
        <v>180.13902801861533</v>
      </c>
      <c r="AE257" s="192">
        <f t="shared" si="18"/>
        <v>1.5011585668217944</v>
      </c>
      <c r="AF257" s="194"/>
      <c r="AG257" s="194"/>
    </row>
    <row r="258" spans="2:33">
      <c r="B258" s="194"/>
      <c r="C258" s="194">
        <v>27</v>
      </c>
      <c r="D258" s="180">
        <v>0.54166666666666663</v>
      </c>
      <c r="E258" s="191" cm="1">
        <f t="array" ref="E258">INDEX($J$202:$J$206,MATCH(E$230,EV_charger_type,0))*INDEX(EV06_domestic_Default,$C258)*EV07_domestic_Default</f>
        <v>23.8874123395121</v>
      </c>
      <c r="F258" s="191" cm="1">
        <f t="array" ref="F258">INDEX($J$202:$J$206,MATCH(F$230,EV_charger_type,0))*INDEX(EV06_work,$C258)*EV07_work_Default</f>
        <v>9.6967338472846016</v>
      </c>
      <c r="G258" s="191" cm="1">
        <f t="array" ref="G258">INDEX($J$202:$J$206,MATCH(G$230,EV_charger_type,0))*INDEX(EV06_slowfast,$C258)*EV07_slowfast_Default</f>
        <v>4.165336095987815</v>
      </c>
      <c r="H258" s="191" cm="1">
        <f t="array" ref="H258">INDEX($J$202:$J$206,MATCH(H$230,EV_charger_type,0))*INDEX(EV06_rapid,$C258)*EV07_rapid_Default</f>
        <v>32.620961064318365</v>
      </c>
      <c r="I258" s="191" cm="1">
        <f t="array" ref="I258">INDEX($J$202:$J$206,MATCH(I$230,EV_charger_type,0))*INDEX(EV06_depot,$C258)*EV07_depot_Default</f>
        <v>92.705199126220805</v>
      </c>
      <c r="J258" s="192">
        <f t="shared" si="19"/>
        <v>163.07564247332368</v>
      </c>
      <c r="K258" s="192">
        <f t="shared" si="20"/>
        <v>1.3589636872776973</v>
      </c>
      <c r="L258" s="194"/>
      <c r="M258" s="194"/>
      <c r="N258" s="180">
        <v>0.54166666666666663</v>
      </c>
      <c r="O258" s="191" cm="1">
        <f t="array" ref="O258">INDEX($K$202:$K$206,MATCH(O$230,EV_charger_type,0))*INDEX(EV06_domestic_lower,$C258)*EV07_domestic_lower</f>
        <v>20.772650370484531</v>
      </c>
      <c r="P258" s="191" cm="1">
        <f t="array" ref="P258">INDEX($K$202:$K$206,MATCH(P$230,EV_charger_type,0))*INDEX(EV06_work,$C258)*EV07_work_lower</f>
        <v>7.6035597951500558</v>
      </c>
      <c r="Q258" s="191" cm="1">
        <f t="array" ref="Q258">INDEX($K$202:$K$206,MATCH(Q$230,EV_charger_type,0))*INDEX(EV06_slowfast,$C258)*EV07_slowfast_lower</f>
        <v>0.73928196469140151</v>
      </c>
      <c r="R258" s="191" cm="1">
        <f t="array" ref="R258">INDEX($K$202:$K$206,MATCH(R$230,EV_charger_type,0))*INDEX(EV06_rapid,$C258)*EV07_rapid_lower</f>
        <v>25.308137351992787</v>
      </c>
      <c r="S258" s="191" cm="1">
        <f t="array" ref="S258">INDEX($K$202:$K$206,MATCH(S$230,EV_charger_type,0))*INDEX(EV06_depot,$C258)*EV07_depot_lower</f>
        <v>92.705199126220805</v>
      </c>
      <c r="T258" s="192">
        <f t="shared" si="21"/>
        <v>147.12882860853958</v>
      </c>
      <c r="U258" s="192">
        <f t="shared" si="17"/>
        <v>1.2260735717378297</v>
      </c>
      <c r="V258" s="194"/>
      <c r="W258" s="194"/>
      <c r="X258" s="180">
        <v>0.54166666666666663</v>
      </c>
      <c r="Y258" s="191" cm="1">
        <f t="array" ref="Y258">INDEX($L$202:$L$206,MATCH(Y$230,EV_charger_type,0))*INDEX(EV06_domestic_upper,$C258)*EV07_domestic_upper</f>
        <v>27.474292708721038</v>
      </c>
      <c r="Z258" s="191" cm="1">
        <f t="array" ref="Z258">INDEX($L$202:$L$206,MATCH(Z$230,EV_charger_type,0))*INDEX(EV06_work,$C258)*EV07_work_upper</f>
        <v>11.833070903279067</v>
      </c>
      <c r="AA258" s="191" cm="1">
        <f t="array" ref="AA258">INDEX($L$202:$L$206,MATCH(AA$230,EV_charger_type,0))*INDEX(EV06_slowfast,$C258)*EV07_slowfast_upper</f>
        <v>8.5149907508396492</v>
      </c>
      <c r="AB258" s="191" cm="1">
        <f t="array" ref="AB258">INDEX($L$202:$L$206,MATCH(AB$230,EV_charger_type,0))*INDEX(EV06_rapid,$C258)*EV07_rapid_upper</f>
        <v>39.933784776643925</v>
      </c>
      <c r="AC258" s="191" cm="1">
        <f t="array" ref="AC258">INDEX($L$202:$L$206,MATCH(AC$230,EV_charger_type,0))*INDEX(EV06_depot,$C258)*EV07_depot_upper</f>
        <v>92.705199126220805</v>
      </c>
      <c r="AD258" s="192">
        <f t="shared" si="22"/>
        <v>180.46133826570448</v>
      </c>
      <c r="AE258" s="192">
        <f t="shared" si="18"/>
        <v>1.5038444855475375</v>
      </c>
      <c r="AF258" s="194"/>
      <c r="AG258" s="194"/>
    </row>
    <row r="259" spans="2:33">
      <c r="B259" s="194"/>
      <c r="C259" s="194">
        <v>28</v>
      </c>
      <c r="D259" s="180">
        <v>0.5625</v>
      </c>
      <c r="E259" s="191" cm="1">
        <f t="array" ref="E259">INDEX($J$202:$J$206,MATCH(E$230,EV_charger_type,0))*INDEX(EV06_domestic_Default,$C259)*EV07_domestic_Default</f>
        <v>25.054692782723187</v>
      </c>
      <c r="F259" s="191" cm="1">
        <f t="array" ref="F259">INDEX($J$202:$J$206,MATCH(F$230,EV_charger_type,0))*INDEX(EV06_work,$C259)*EV07_work_Default</f>
        <v>9.061049570562183</v>
      </c>
      <c r="G259" s="191" cm="1">
        <f t="array" ref="G259">INDEX($J$202:$J$206,MATCH(G$230,EV_charger_type,0))*INDEX(EV06_slowfast,$C259)*EV07_slowfast_Default</f>
        <v>4.0063177398618199</v>
      </c>
      <c r="H259" s="191" cm="1">
        <f t="array" ref="H259">INDEX($J$202:$J$206,MATCH(H$230,EV_charger_type,0))*INDEX(EV06_rapid,$C259)*EV07_rapid_Default</f>
        <v>33.4354399906059</v>
      </c>
      <c r="I259" s="191" cm="1">
        <f t="array" ref="I259">INDEX($J$202:$J$206,MATCH(I$230,EV_charger_type,0))*INDEX(EV06_depot,$C259)*EV07_depot_Default</f>
        <v>91.741648155494403</v>
      </c>
      <c r="J259" s="192">
        <f t="shared" si="19"/>
        <v>163.2991482392475</v>
      </c>
      <c r="K259" s="192">
        <f t="shared" si="20"/>
        <v>1.3608262353270626</v>
      </c>
      <c r="L259" s="194"/>
      <c r="M259" s="194"/>
      <c r="N259" s="180">
        <v>0.5625</v>
      </c>
      <c r="O259" s="191" cm="1">
        <f t="array" ref="O259">INDEX($K$202:$K$206,MATCH(O$230,EV_charger_type,0))*INDEX(EV06_domestic_lower,$C259)*EV07_domestic_lower</f>
        <v>21.787725096306566</v>
      </c>
      <c r="P259" s="191" cm="1">
        <f t="array" ref="P259">INDEX($K$202:$K$206,MATCH(P$230,EV_charger_type,0))*INDEX(EV06_work,$C259)*EV07_work_lower</f>
        <v>7.1050967574903012</v>
      </c>
      <c r="Q259" s="191" cm="1">
        <f t="array" ref="Q259">INDEX($K$202:$K$206,MATCH(Q$230,EV_charger_type,0))*INDEX(EV06_slowfast,$C259)*EV07_slowfast_lower</f>
        <v>0.71105869530095323</v>
      </c>
      <c r="R259" s="191" cm="1">
        <f t="array" ref="R259">INDEX($K$202:$K$206,MATCH(R$230,EV_charger_type,0))*INDEX(EV06_rapid,$C259)*EV07_rapid_lower</f>
        <v>25.940029971469773</v>
      </c>
      <c r="S259" s="191" cm="1">
        <f t="array" ref="S259">INDEX($K$202:$K$206,MATCH(S$230,EV_charger_type,0))*INDEX(EV06_depot,$C259)*EV07_depot_lower</f>
        <v>91.741648155494403</v>
      </c>
      <c r="T259" s="192">
        <f t="shared" si="21"/>
        <v>147.28555867606201</v>
      </c>
      <c r="U259" s="192">
        <f t="shared" si="17"/>
        <v>1.2273796556338501</v>
      </c>
      <c r="V259" s="194"/>
      <c r="W259" s="194"/>
      <c r="X259" s="180">
        <v>0.5625</v>
      </c>
      <c r="Y259" s="191" cm="1">
        <f t="array" ref="Y259">INDEX($L$202:$L$206,MATCH(Y$230,EV_charger_type,0))*INDEX(EV06_domestic_upper,$C259)*EV07_domestic_upper</f>
        <v>28.816849370536595</v>
      </c>
      <c r="Z259" s="191" cm="1">
        <f t="array" ref="Z259">INDEX($L$202:$L$206,MATCH(Z$230,EV_charger_type,0))*INDEX(EV06_work,$C259)*EV07_work_upper</f>
        <v>11.057335770499021</v>
      </c>
      <c r="AA259" s="191" cm="1">
        <f t="array" ref="AA259">INDEX($L$202:$L$206,MATCH(AA$230,EV_charger_type,0))*INDEX(EV06_slowfast,$C259)*EV07_slowfast_upper</f>
        <v>8.1899173833073551</v>
      </c>
      <c r="AB259" s="191" cm="1">
        <f t="array" ref="AB259">INDEX($L$202:$L$206,MATCH(AB$230,EV_charger_type,0))*INDEX(EV06_rapid,$C259)*EV07_rapid_upper</f>
        <v>40.930850009742031</v>
      </c>
      <c r="AC259" s="191" cm="1">
        <f t="array" ref="AC259">INDEX($L$202:$L$206,MATCH(AC$230,EV_charger_type,0))*INDEX(EV06_depot,$C259)*EV07_depot_upper</f>
        <v>91.741648155494403</v>
      </c>
      <c r="AD259" s="192">
        <f t="shared" si="22"/>
        <v>180.7366006895794</v>
      </c>
      <c r="AE259" s="192">
        <f t="shared" si="18"/>
        <v>1.5061383390798284</v>
      </c>
      <c r="AF259" s="194"/>
      <c r="AG259" s="194"/>
    </row>
    <row r="260" spans="2:33">
      <c r="B260" s="194"/>
      <c r="C260" s="194">
        <v>29</v>
      </c>
      <c r="D260" s="180">
        <v>0.58333333333333337</v>
      </c>
      <c r="E260" s="191" cm="1">
        <f t="array" ref="E260">INDEX($J$202:$J$206,MATCH(E$230,EV_charger_type,0))*INDEX(EV06_domestic_Default,$C260)*EV07_domestic_Default</f>
        <v>25.254638006365326</v>
      </c>
      <c r="F260" s="191" cm="1">
        <f t="array" ref="F260">INDEX($J$202:$J$206,MATCH(F$230,EV_charger_type,0))*INDEX(EV06_work,$C260)*EV07_work_Default</f>
        <v>8.4254219300012654</v>
      </c>
      <c r="G260" s="191" cm="1">
        <f t="array" ref="G260">INDEX($J$202:$J$206,MATCH(G$230,EV_charger_type,0))*INDEX(EV06_slowfast,$C260)*EV07_slowfast_Default</f>
        <v>3.8472993837358236</v>
      </c>
      <c r="H260" s="191" cm="1">
        <f t="array" ref="H260">INDEX($J$202:$J$206,MATCH(H$230,EV_charger_type,0))*INDEX(EV06_rapid,$C260)*EV07_rapid_Default</f>
        <v>32.989426917061685</v>
      </c>
      <c r="I260" s="191" cm="1">
        <f t="array" ref="I260">INDEX($J$202:$J$206,MATCH(I$230,EV_charger_type,0))*INDEX(EV06_depot,$C260)*EV07_depot_Default</f>
        <v>93.505857525964799</v>
      </c>
      <c r="J260" s="192">
        <f t="shared" si="19"/>
        <v>164.02264376312888</v>
      </c>
      <c r="K260" s="192">
        <f t="shared" si="20"/>
        <v>1.3668553646927406</v>
      </c>
      <c r="L260" s="194"/>
      <c r="M260" s="194"/>
      <c r="N260" s="180">
        <v>0.58333333333333337</v>
      </c>
      <c r="O260" s="191" cm="1">
        <f t="array" ref="O260">INDEX($K$202:$K$206,MATCH(O$230,EV_charger_type,0))*INDEX(EV06_domestic_lower,$C260)*EV07_domestic_lower</f>
        <v>21.961598773577851</v>
      </c>
      <c r="P260" s="191" cm="1">
        <f t="array" ref="P260">INDEX($K$202:$K$206,MATCH(P$230,EV_charger_type,0))*INDEX(EV06_work,$C260)*EV07_work_lower</f>
        <v>6.6066781302936306</v>
      </c>
      <c r="Q260" s="191" cm="1">
        <f t="array" ref="Q260">INDEX($K$202:$K$206,MATCH(Q$230,EV_charger_type,0))*INDEX(EV06_slowfast,$C260)*EV07_slowfast_lower</f>
        <v>0.68283542591050461</v>
      </c>
      <c r="R260" s="191" cm="1">
        <f t="array" ref="R260">INDEX($K$202:$K$206,MATCH(R$230,EV_charger_type,0))*INDEX(EV06_rapid,$C260)*EV07_rapid_lower</f>
        <v>25.594002148936102</v>
      </c>
      <c r="S260" s="191" cm="1">
        <f t="array" ref="S260">INDEX($K$202:$K$206,MATCH(S$230,EV_charger_type,0))*INDEX(EV06_depot,$C260)*EV07_depot_lower</f>
        <v>93.505857525964799</v>
      </c>
      <c r="T260" s="192">
        <f t="shared" si="21"/>
        <v>148.35097200468289</v>
      </c>
      <c r="U260" s="192">
        <f t="shared" si="17"/>
        <v>1.236258100039024</v>
      </c>
      <c r="V260" s="194"/>
      <c r="W260" s="194"/>
      <c r="X260" s="180">
        <v>0.58333333333333337</v>
      </c>
      <c r="Y260" s="191" cm="1">
        <f t="array" ref="Y260">INDEX($L$202:$L$206,MATCH(Y$230,EV_charger_type,0))*INDEX(EV06_domestic_upper,$C260)*EV07_domestic_upper</f>
        <v>29.046817921419279</v>
      </c>
      <c r="Z260" s="191" cm="1">
        <f t="array" ref="Z260">INDEX($L$202:$L$206,MATCH(Z$230,EV_charger_type,0))*INDEX(EV06_work,$C260)*EV07_work_upper</f>
        <v>10.281669751683053</v>
      </c>
      <c r="AA260" s="191" cm="1">
        <f t="array" ref="AA260">INDEX($L$202:$L$206,MATCH(AA$230,EV_charger_type,0))*INDEX(EV06_slowfast,$C260)*EV07_slowfast_upper</f>
        <v>7.8648440157750601</v>
      </c>
      <c r="AB260" s="191" cm="1">
        <f t="array" ref="AB260">INDEX($L$202:$L$206,MATCH(AB$230,EV_charger_type,0))*INDEX(EV06_rapid,$C260)*EV07_rapid_upper</f>
        <v>40.384851685187257</v>
      </c>
      <c r="AC260" s="191" cm="1">
        <f t="array" ref="AC260">INDEX($L$202:$L$206,MATCH(AC$230,EV_charger_type,0))*INDEX(EV06_depot,$C260)*EV07_depot_upper</f>
        <v>93.505857525964799</v>
      </c>
      <c r="AD260" s="192">
        <f t="shared" si="22"/>
        <v>181.08404090002944</v>
      </c>
      <c r="AE260" s="192">
        <f t="shared" si="18"/>
        <v>1.5090336741669119</v>
      </c>
      <c r="AF260" s="194"/>
      <c r="AG260" s="194"/>
    </row>
    <row r="261" spans="2:33">
      <c r="B261" s="194"/>
      <c r="C261" s="194">
        <v>30</v>
      </c>
      <c r="D261" s="180">
        <v>0.60416666666666663</v>
      </c>
      <c r="E261" s="191" cm="1">
        <f t="array" ref="E261">INDEX($J$202:$J$206,MATCH(E$230,EV_charger_type,0))*INDEX(EV06_domestic_Default,$C261)*EV07_domestic_Default</f>
        <v>25.068881771350611</v>
      </c>
      <c r="F261" s="191" cm="1">
        <f t="array" ref="F261">INDEX($J$202:$J$206,MATCH(F$230,EV_charger_type,0))*INDEX(EV06_work,$C261)*EV07_work_Default</f>
        <v>7.7898509256018524</v>
      </c>
      <c r="G261" s="191" cm="1">
        <f t="array" ref="G261">INDEX($J$202:$J$206,MATCH(G$230,EV_charger_type,0))*INDEX(EV06_slowfast,$C261)*EV07_slowfast_Default</f>
        <v>3.6166850858368851</v>
      </c>
      <c r="H261" s="191" cm="1">
        <f t="array" ref="H261">INDEX($J$202:$J$206,MATCH(H$230,EV_charger_type,0))*INDEX(EV06_rapid,$C261)*EV07_rapid_Default</f>
        <v>32.543413843517463</v>
      </c>
      <c r="I261" s="191" cm="1">
        <f t="array" ref="I261">INDEX($J$202:$J$206,MATCH(I$230,EV_charger_type,0))*INDEX(EV06_depot,$C261)*EV07_depot_Default</f>
        <v>95.27006689643521</v>
      </c>
      <c r="J261" s="192">
        <f t="shared" si="19"/>
        <v>164.28889852274204</v>
      </c>
      <c r="K261" s="192">
        <f t="shared" si="20"/>
        <v>1.3690741543561837</v>
      </c>
      <c r="L261" s="194"/>
      <c r="M261" s="194"/>
      <c r="N261" s="180">
        <v>0.60416666666666663</v>
      </c>
      <c r="O261" s="191" cm="1">
        <f t="array" ref="O261">INDEX($K$202:$K$206,MATCH(O$230,EV_charger_type,0))*INDEX(EV06_domestic_lower,$C261)*EV07_domestic_lower</f>
        <v>21.800063933836519</v>
      </c>
      <c r="P261" s="191" cm="1">
        <f t="array" ref="P261">INDEX($K$202:$K$206,MATCH(P$230,EV_charger_type,0))*INDEX(EV06_work,$C261)*EV07_work_lower</f>
        <v>6.1083039135600465</v>
      </c>
      <c r="Q261" s="191" cm="1">
        <f t="array" ref="Q261">INDEX($K$202:$K$206,MATCH(Q$230,EV_charger_type,0))*INDEX(EV06_slowfast,$C261)*EV07_slowfast_lower</f>
        <v>0.64190499741498042</v>
      </c>
      <c r="R261" s="191" cm="1">
        <f t="array" ref="R261">INDEX($K$202:$K$206,MATCH(R$230,EV_charger_type,0))*INDEX(EV06_rapid,$C261)*EV07_rapid_lower</f>
        <v>25.247974326402439</v>
      </c>
      <c r="S261" s="191" cm="1">
        <f t="array" ref="S261">INDEX($K$202:$K$206,MATCH(S$230,EV_charger_type,0))*INDEX(EV06_depot,$C261)*EV07_depot_lower</f>
        <v>95.27006689643521</v>
      </c>
      <c r="T261" s="192">
        <f t="shared" si="21"/>
        <v>149.0683140676492</v>
      </c>
      <c r="U261" s="192">
        <f t="shared" si="17"/>
        <v>1.2422359505637433</v>
      </c>
      <c r="V261" s="194"/>
      <c r="W261" s="194"/>
      <c r="X261" s="180">
        <v>0.60416666666666663</v>
      </c>
      <c r="Y261" s="191" cm="1">
        <f t="array" ref="Y261">INDEX($L$202:$L$206,MATCH(Y$230,EV_charger_type,0))*INDEX(EV06_domestic_upper,$C261)*EV07_domestic_upper</f>
        <v>28.833168945936801</v>
      </c>
      <c r="Z261" s="191" cm="1">
        <f t="array" ref="Z261">INDEX($L$202:$L$206,MATCH(Z$230,EV_charger_type,0))*INDEX(EV06_work,$C261)*EV07_work_upper</f>
        <v>9.5060728468311577</v>
      </c>
      <c r="AA261" s="191" cm="1">
        <f t="array" ref="AA261">INDEX($L$202:$L$206,MATCH(AA$230,EV_charger_type,0))*INDEX(EV06_slowfast,$C261)*EV07_slowfast_upper</f>
        <v>7.393410602391608</v>
      </c>
      <c r="AB261" s="191" cm="1">
        <f t="array" ref="AB261">INDEX($L$202:$L$206,MATCH(AB$230,EV_charger_type,0))*INDEX(EV06_rapid,$C261)*EV07_rapid_upper</f>
        <v>39.838853360632484</v>
      </c>
      <c r="AC261" s="191" cm="1">
        <f t="array" ref="AC261">INDEX($L$202:$L$206,MATCH(AC$230,EV_charger_type,0))*INDEX(EV06_depot,$C261)*EV07_depot_upper</f>
        <v>95.27006689643521</v>
      </c>
      <c r="AD261" s="192">
        <f t="shared" si="22"/>
        <v>180.84157265222726</v>
      </c>
      <c r="AE261" s="192">
        <f t="shared" si="18"/>
        <v>1.5070131054352272</v>
      </c>
      <c r="AF261" s="194"/>
      <c r="AG261" s="194"/>
    </row>
    <row r="262" spans="2:33">
      <c r="B262" s="194"/>
      <c r="C262" s="194">
        <v>31</v>
      </c>
      <c r="D262" s="180">
        <v>0.625</v>
      </c>
      <c r="E262" s="191" cm="1">
        <f t="array" ref="E262">INDEX($J$202:$J$206,MATCH(E$230,EV_charger_type,0))*INDEX(EV06_domestic_Default,$C262)*EV07_domestic_Default</f>
        <v>25.971377658350956</v>
      </c>
      <c r="F262" s="191" cm="1">
        <f t="array" ref="F262">INDEX($J$202:$J$206,MATCH(F$230,EV_charger_type,0))*INDEX(EV06_work,$C262)*EV07_work_Default</f>
        <v>7.1543365573639459</v>
      </c>
      <c r="G262" s="191" cm="1">
        <f t="array" ref="G262">INDEX($J$202:$J$206,MATCH(G$230,EV_charger_type,0))*INDEX(EV06_slowfast,$C262)*EV07_slowfast_Default</f>
        <v>3.3860707879379475</v>
      </c>
      <c r="H262" s="191" cm="1">
        <f t="array" ref="H262">INDEX($J$202:$J$206,MATCH(H$230,EV_charger_type,0))*INDEX(EV06_rapid,$C262)*EV07_rapid_Default</f>
        <v>32.079062950224731</v>
      </c>
      <c r="I262" s="191" cm="1">
        <f t="array" ref="I262">INDEX($J$202:$J$206,MATCH(I$230,EV_charger_type,0))*INDEX(EV06_depot,$C262)*EV07_depot_Default</f>
        <v>104.90281571266561</v>
      </c>
      <c r="J262" s="192">
        <f t="shared" si="19"/>
        <v>173.4936636665432</v>
      </c>
      <c r="K262" s="192">
        <f t="shared" si="20"/>
        <v>1.4457805305545266</v>
      </c>
      <c r="L262" s="194"/>
      <c r="M262" s="194"/>
      <c r="N262" s="180">
        <v>0.625</v>
      </c>
      <c r="O262" s="191" cm="1">
        <f t="array" ref="O262">INDEX($K$202:$K$206,MATCH(O$230,EV_charger_type,0))*INDEX(EV06_domestic_lower,$C262)*EV07_domestic_lower</f>
        <v>22.584880273714774</v>
      </c>
      <c r="P262" s="191" cm="1">
        <f t="array" ref="P262">INDEX($K$202:$K$206,MATCH(P$230,EV_charger_type,0))*INDEX(EV06_work,$C262)*EV07_work_lower</f>
        <v>5.6099741072895455</v>
      </c>
      <c r="Q262" s="191" cm="1">
        <f t="array" ref="Q262">INDEX($K$202:$K$206,MATCH(Q$230,EV_charger_type,0))*INDEX(EV06_slowfast,$C262)*EV07_slowfast_lower</f>
        <v>0.60097456891945622</v>
      </c>
      <c r="R262" s="191" cm="1">
        <f t="array" ref="R262">INDEX($K$202:$K$206,MATCH(R$230,EV_charger_type,0))*INDEX(EV06_rapid,$C262)*EV07_rapid_lower</f>
        <v>24.887719575973662</v>
      </c>
      <c r="S262" s="191" cm="1">
        <f t="array" ref="S262">INDEX($K$202:$K$206,MATCH(S$230,EV_charger_type,0))*INDEX(EV06_depot,$C262)*EV07_depot_lower</f>
        <v>104.90281571266561</v>
      </c>
      <c r="T262" s="192">
        <f t="shared" si="21"/>
        <v>158.58636423856305</v>
      </c>
      <c r="U262" s="192">
        <f t="shared" si="17"/>
        <v>1.3215530353213587</v>
      </c>
      <c r="V262" s="194"/>
      <c r="W262" s="194"/>
      <c r="X262" s="180">
        <v>0.625</v>
      </c>
      <c r="Y262" s="191" cm="1">
        <f t="array" ref="Y262">INDEX($L$202:$L$206,MATCH(Y$230,EV_charger_type,0))*INDEX(EV06_domestic_upper,$C262)*EV07_domestic_upper</f>
        <v>29.871181595253795</v>
      </c>
      <c r="Z262" s="191" cm="1">
        <f t="array" ref="Z262">INDEX($L$202:$L$206,MATCH(Z$230,EV_charger_type,0))*INDEX(EV06_work,$C262)*EV07_work_upper</f>
        <v>8.73054505594334</v>
      </c>
      <c r="AA262" s="191" cm="1">
        <f t="array" ref="AA262">INDEX($L$202:$L$206,MATCH(AA$230,EV_charger_type,0))*INDEX(EV06_slowfast,$C262)*EV07_slowfast_upper</f>
        <v>6.9219771890081558</v>
      </c>
      <c r="AB262" s="191" cm="1">
        <f t="array" ref="AB262">INDEX($L$202:$L$206,MATCH(AB$230,EV_charger_type,0))*INDEX(EV06_rapid,$C262)*EV07_rapid_upper</f>
        <v>39.2704063244758</v>
      </c>
      <c r="AC262" s="191" cm="1">
        <f t="array" ref="AC262">INDEX($L$202:$L$206,MATCH(AC$230,EV_charger_type,0))*INDEX(EV06_depot,$C262)*EV07_depot_upper</f>
        <v>104.90281571266561</v>
      </c>
      <c r="AD262" s="192">
        <f t="shared" si="22"/>
        <v>189.6969258773467</v>
      </c>
      <c r="AE262" s="192">
        <f t="shared" si="18"/>
        <v>1.5808077156445559</v>
      </c>
      <c r="AF262" s="194"/>
      <c r="AG262" s="194"/>
    </row>
    <row r="263" spans="2:33">
      <c r="B263" s="194"/>
      <c r="C263" s="194">
        <v>32</v>
      </c>
      <c r="D263" s="180">
        <v>0.64583333333333337</v>
      </c>
      <c r="E263" s="191" cm="1">
        <f t="array" ref="E263">INDEX($J$202:$J$206,MATCH(E$230,EV_charger_type,0))*INDEX(EV06_domestic_Default,$C263)*EV07_domestic_Default</f>
        <v>28.617916010245988</v>
      </c>
      <c r="F263" s="191" cm="1">
        <f t="array" ref="F263">INDEX($J$202:$J$206,MATCH(F$230,EV_charger_type,0))*INDEX(EV06_work,$C263)*EV07_work_Default</f>
        <v>6.5907501142362896</v>
      </c>
      <c r="G263" s="191" cm="1">
        <f t="array" ref="G263">INDEX($J$202:$J$206,MATCH(G$230,EV_charger_type,0))*INDEX(EV06_slowfast,$C263)*EV07_slowfast_Default</f>
        <v>3.2173493839552525</v>
      </c>
      <c r="H263" s="191" cm="1">
        <f t="array" ref="H263">INDEX($J$202:$J$206,MATCH(H$230,EV_charger_type,0))*INDEX(EV06_rapid,$C263)*EV07_rapid_Default</f>
        <v>31.614712056932007</v>
      </c>
      <c r="I263" s="191" cm="1">
        <f t="array" ref="I263">INDEX($J$202:$J$206,MATCH(I$230,EV_charger_type,0))*INDEX(EV06_depot,$C263)*EV07_depot_Default</f>
        <v>114.53556452889599</v>
      </c>
      <c r="J263" s="192">
        <f t="shared" si="19"/>
        <v>184.57629209426551</v>
      </c>
      <c r="K263" s="192">
        <f t="shared" si="20"/>
        <v>1.5381357674522127</v>
      </c>
      <c r="L263" s="194"/>
      <c r="M263" s="194"/>
      <c r="N263" s="180">
        <v>0.64583333333333337</v>
      </c>
      <c r="O263" s="191" cm="1">
        <f t="array" ref="O263">INDEX($K$202:$K$206,MATCH(O$230,EV_charger_type,0))*INDEX(EV06_domestic_lower,$C263)*EV07_domestic_lower</f>
        <v>24.886327374582155</v>
      </c>
      <c r="P263" s="191" cm="1">
        <f t="array" ref="P263">INDEX($K$202:$K$206,MATCH(P$230,EV_charger_type,0))*INDEX(EV06_work,$C263)*EV07_work_lower</f>
        <v>5.1680455891362831</v>
      </c>
      <c r="Q263" s="191" cm="1">
        <f t="array" ref="Q263">INDEX($K$202:$K$206,MATCH(Q$230,EV_charger_type,0))*INDEX(EV06_slowfast,$C263)*EV07_slowfast_lower</f>
        <v>0.57102916039840912</v>
      </c>
      <c r="R263" s="191" cm="1">
        <f t="array" ref="R263">INDEX($K$202:$K$206,MATCH(R$230,EV_charger_type,0))*INDEX(EV06_rapid,$C263)*EV07_rapid_lower</f>
        <v>24.527464825544882</v>
      </c>
      <c r="S263" s="191" cm="1">
        <f t="array" ref="S263">INDEX($K$202:$K$206,MATCH(S$230,EV_charger_type,0))*INDEX(EV06_depot,$C263)*EV07_depot_lower</f>
        <v>114.53556452889599</v>
      </c>
      <c r="T263" s="192">
        <f t="shared" si="21"/>
        <v>169.68843147855773</v>
      </c>
      <c r="U263" s="192">
        <f t="shared" si="17"/>
        <v>1.4140702623213144</v>
      </c>
      <c r="V263" s="194"/>
      <c r="W263" s="194"/>
      <c r="X263" s="180">
        <v>0.64583333333333337</v>
      </c>
      <c r="Y263" s="191" cm="1">
        <f t="array" ref="Y263">INDEX($L$202:$L$206,MATCH(Y$230,EV_charger_type,0))*INDEX(EV06_domestic_upper,$C263)*EV07_domestic_upper</f>
        <v>32.915118222267509</v>
      </c>
      <c r="Z263" s="191" cm="1">
        <f t="array" ref="Z263">INDEX($L$202:$L$206,MATCH(Z$230,EV_charger_type,0))*INDEX(EV06_work,$C263)*EV07_work_upper</f>
        <v>8.0427919994310244</v>
      </c>
      <c r="AA263" s="191" cm="1">
        <f t="array" ref="AA263">INDEX($L$202:$L$206,MATCH(AA$230,EV_charger_type,0))*INDEX(EV06_slowfast,$C263)*EV07_slowfast_upper</f>
        <v>6.5770683602187647</v>
      </c>
      <c r="AB263" s="191" cm="1">
        <f t="array" ref="AB263">INDEX($L$202:$L$206,MATCH(AB$230,EV_charger_type,0))*INDEX(EV06_rapid,$C263)*EV07_rapid_upper</f>
        <v>38.701959288319131</v>
      </c>
      <c r="AC263" s="191" cm="1">
        <f t="array" ref="AC263">INDEX($L$202:$L$206,MATCH(AC$230,EV_charger_type,0))*INDEX(EV06_depot,$C263)*EV07_depot_upper</f>
        <v>114.53556452889599</v>
      </c>
      <c r="AD263" s="192">
        <f t="shared" si="22"/>
        <v>200.77250239913241</v>
      </c>
      <c r="AE263" s="192">
        <f t="shared" si="18"/>
        <v>1.6731041866594367</v>
      </c>
      <c r="AF263" s="194"/>
      <c r="AG263" s="194"/>
    </row>
    <row r="264" spans="2:33">
      <c r="B264" s="194"/>
      <c r="C264" s="194">
        <v>33</v>
      </c>
      <c r="D264" s="180">
        <v>0.66666666666666663</v>
      </c>
      <c r="E264" s="191" cm="1">
        <f t="array" ref="E264">INDEX($J$202:$J$206,MATCH(E$230,EV_charger_type,0))*INDEX(EV06_domestic_Default,$C264)*EV07_domestic_Default</f>
        <v>33.682792411063339</v>
      </c>
      <c r="F264" s="191" cm="1">
        <f t="array" ref="F264">INDEX($J$202:$J$206,MATCH(F$230,EV_charger_type,0))*INDEX(EV06_work,$C264)*EV07_work_Default</f>
        <v>6.0272203072701371</v>
      </c>
      <c r="G264" s="191" cm="1">
        <f t="array" ref="G264">INDEX($J$202:$J$206,MATCH(G$230,EV_charger_type,0))*INDEX(EV06_slowfast,$C264)*EV07_slowfast_Default</f>
        <v>3.0486279799725571</v>
      </c>
      <c r="H264" s="191" cm="1">
        <f t="array" ref="H264">INDEX($J$202:$J$206,MATCH(H$230,EV_charger_type,0))*INDEX(EV06_rapid,$C264)*EV07_rapid_Default</f>
        <v>31.267536723727204</v>
      </c>
      <c r="I264" s="191" cm="1">
        <f t="array" ref="I264">INDEX($J$202:$J$206,MATCH(I$230,EV_charger_type,0))*INDEX(EV06_depot,$C264)*EV07_depot_Default</f>
        <v>140.4078744047616</v>
      </c>
      <c r="J264" s="192">
        <f t="shared" si="19"/>
        <v>214.43405182679484</v>
      </c>
      <c r="K264" s="192">
        <f t="shared" si="20"/>
        <v>1.7869504318899569</v>
      </c>
      <c r="L264" s="194"/>
      <c r="M264" s="194"/>
      <c r="N264" s="180">
        <v>0.66666666666666663</v>
      </c>
      <c r="O264" s="191" cm="1">
        <f t="array" ref="O264">INDEX($K$202:$K$206,MATCH(O$230,EV_charger_type,0))*INDEX(EV06_domestic_lower,$C264)*EV07_domestic_lower</f>
        <v>29.290777096826361</v>
      </c>
      <c r="P264" s="191" cm="1">
        <f t="array" ref="P264">INDEX($K$202:$K$206,MATCH(P$230,EV_charger_type,0))*INDEX(EV06_work,$C264)*EV07_work_lower</f>
        <v>4.7261614814461046</v>
      </c>
      <c r="Q264" s="191" cm="1">
        <f t="array" ref="Q264">INDEX($K$202:$K$206,MATCH(Q$230,EV_charger_type,0))*INDEX(EV06_slowfast,$C264)*EV07_slowfast_lower</f>
        <v>0.54108375187736213</v>
      </c>
      <c r="R264" s="191" cm="1">
        <f t="array" ref="R264">INDEX($K$202:$K$206,MATCH(R$230,EV_charger_type,0))*INDEX(EV06_rapid,$C264)*EV07_rapid_lower</f>
        <v>24.258117733022161</v>
      </c>
      <c r="S264" s="191" cm="1">
        <f t="array" ref="S264">INDEX($K$202:$K$206,MATCH(S$230,EV_charger_type,0))*INDEX(EV06_depot,$C264)*EV07_depot_lower</f>
        <v>140.4078744047616</v>
      </c>
      <c r="T264" s="192">
        <f t="shared" si="21"/>
        <v>199.22401446793359</v>
      </c>
      <c r="U264" s="192">
        <f t="shared" si="17"/>
        <v>1.6602001205661132</v>
      </c>
      <c r="V264" s="194"/>
      <c r="W264" s="194"/>
      <c r="X264" s="180">
        <v>0.66666666666666663</v>
      </c>
      <c r="Y264" s="191" cm="1">
        <f t="array" ref="Y264">INDEX($L$202:$L$206,MATCH(Y$230,EV_charger_type,0))*INDEX(EV06_domestic_upper,$C264)*EV07_domestic_upper</f>
        <v>38.740525126613328</v>
      </c>
      <c r="Z264" s="191" cm="1">
        <f t="array" ref="Z264">INDEX($L$202:$L$206,MATCH(Z$230,EV_charger_type,0))*INDEX(EV06_work,$C264)*EV07_work_upper</f>
        <v>7.3551080568827842</v>
      </c>
      <c r="AA264" s="191" cm="1">
        <f t="array" ref="AA264">INDEX($L$202:$L$206,MATCH(AA$230,EV_charger_type,0))*INDEX(EV06_slowfast,$C264)*EV07_slowfast_upper</f>
        <v>6.2321595314293772</v>
      </c>
      <c r="AB264" s="191" cm="1">
        <f t="array" ref="AB264">INDEX($L$202:$L$206,MATCH(AB$230,EV_charger_type,0))*INDEX(EV06_rapid,$C264)*EV07_rapid_upper</f>
        <v>38.276955714432248</v>
      </c>
      <c r="AC264" s="191" cm="1">
        <f t="array" ref="AC264">INDEX($L$202:$L$206,MATCH(AC$230,EV_charger_type,0))*INDEX(EV06_depot,$C264)*EV07_depot_upper</f>
        <v>140.4078744047616</v>
      </c>
      <c r="AD264" s="192">
        <f t="shared" si="22"/>
        <v>231.01262283411933</v>
      </c>
      <c r="AE264" s="192">
        <f t="shared" si="18"/>
        <v>1.9251051902843277</v>
      </c>
      <c r="AF264" s="194"/>
      <c r="AG264" s="194"/>
    </row>
    <row r="265" spans="2:33">
      <c r="B265" s="194"/>
      <c r="C265" s="194">
        <v>34</v>
      </c>
      <c r="D265" s="180">
        <v>0.6875</v>
      </c>
      <c r="E265" s="191" cm="1">
        <f t="array" ref="E265">INDEX($J$202:$J$206,MATCH(E$230,EV_charger_type,0))*INDEX(EV06_domestic_Default,$C265)*EV07_domestic_Default</f>
        <v>37.790385293999073</v>
      </c>
      <c r="F265" s="191" cm="1">
        <f t="array" ref="F265">INDEX($J$202:$J$206,MATCH(F$230,EV_charger_type,0))*INDEX(EV06_work,$C265)*EV07_work_Default</f>
        <v>5.4671453061557385</v>
      </c>
      <c r="G265" s="191" cm="1">
        <f t="array" ref="G265">INDEX($J$202:$J$206,MATCH(G$230,EV_charger_type,0))*INDEX(EV06_slowfast,$C265)*EV07_slowfast_Default</f>
        <v>2.9798031306007848</v>
      </c>
      <c r="H265" s="191" cm="1">
        <f t="array" ref="H265">INDEX($J$202:$J$206,MATCH(H$230,EV_charger_type,0))*INDEX(EV06_rapid,$C265)*EV07_rapid_Default</f>
        <v>30.920516795774507</v>
      </c>
      <c r="I265" s="191" cm="1">
        <f t="array" ref="I265">INDEX($J$202:$J$206,MATCH(I$230,EV_charger_type,0))*INDEX(EV06_depot,$C265)*EV07_depot_Default</f>
        <v>166.2801842806272</v>
      </c>
      <c r="J265" s="192">
        <f t="shared" si="19"/>
        <v>243.43803480715729</v>
      </c>
      <c r="K265" s="192">
        <f t="shared" si="20"/>
        <v>2.0286502900596441</v>
      </c>
      <c r="L265" s="194"/>
      <c r="M265" s="194"/>
      <c r="N265" s="180">
        <v>0.6875</v>
      </c>
      <c r="O265" s="191" cm="1">
        <f t="array" ref="O265">INDEX($K$202:$K$206,MATCH(O$230,EV_charger_type,0))*INDEX(EV06_domestic_lower,$C265)*EV07_domestic_lower</f>
        <v>32.862766796203623</v>
      </c>
      <c r="P265" s="191" cm="1">
        <f t="array" ref="P265">INDEX($K$202:$K$206,MATCH(P$230,EV_charger_type,0))*INDEX(EV06_work,$C265)*EV07_work_lower</f>
        <v>4.2869864120040777</v>
      </c>
      <c r="Q265" s="191" cm="1">
        <f t="array" ref="Q265">INDEX($K$202:$K$206,MATCH(Q$230,EV_charger_type,0))*INDEX(EV06_slowfast,$C265)*EV07_slowfast_lower</f>
        <v>0.52886841830268028</v>
      </c>
      <c r="R265" s="191" cm="1">
        <f t="array" ref="R265">INDEX($K$202:$K$206,MATCH(R$230,EV_charger_type,0))*INDEX(EV06_rapid,$C265)*EV07_rapid_lower</f>
        <v>23.988891207684993</v>
      </c>
      <c r="S265" s="191" cm="1">
        <f t="array" ref="S265">INDEX($K$202:$K$206,MATCH(S$230,EV_charger_type,0))*INDEX(EV06_depot,$C265)*EV07_depot_lower</f>
        <v>166.2801842806272</v>
      </c>
      <c r="T265" s="192">
        <f t="shared" si="21"/>
        <v>227.94769711482257</v>
      </c>
      <c r="U265" s="192">
        <f t="shared" si="17"/>
        <v>1.8995641426235215</v>
      </c>
      <c r="V265" s="194"/>
      <c r="W265" s="194"/>
      <c r="X265" s="180">
        <v>0.6875</v>
      </c>
      <c r="Y265" s="191" cm="1">
        <f t="array" ref="Y265">INDEX($L$202:$L$206,MATCH(Y$230,EV_charger_type,0))*INDEX(EV06_domestic_upper,$C265)*EV07_domestic_upper</f>
        <v>43.464904962740057</v>
      </c>
      <c r="Z265" s="191" cm="1">
        <f t="array" ref="Z265">INDEX($L$202:$L$206,MATCH(Z$230,EV_charger_type,0))*INDEX(EV06_work,$C265)*EV07_work_upper</f>
        <v>6.6716400661431319</v>
      </c>
      <c r="AA265" s="191" cm="1">
        <f t="array" ref="AA265">INDEX($L$202:$L$206,MATCH(AA$230,EV_charger_type,0))*INDEX(EV06_slowfast,$C265)*EV07_slowfast_upper</f>
        <v>6.0914642928403282</v>
      </c>
      <c r="AB265" s="191" cm="1">
        <f t="array" ref="AB265">INDEX($L$202:$L$206,MATCH(AB$230,EV_charger_type,0))*INDEX(EV06_rapid,$C265)*EV07_rapid_upper</f>
        <v>37.852142383864013</v>
      </c>
      <c r="AC265" s="191" cm="1">
        <f t="array" ref="AC265">INDEX($L$202:$L$206,MATCH(AC$230,EV_charger_type,0))*INDEX(EV06_depot,$C265)*EV07_depot_upper</f>
        <v>166.2801842806272</v>
      </c>
      <c r="AD265" s="192">
        <f t="shared" si="22"/>
        <v>260.36033598621475</v>
      </c>
      <c r="AE265" s="192">
        <f t="shared" si="18"/>
        <v>2.1696694665517895</v>
      </c>
      <c r="AF265" s="194"/>
      <c r="AG265" s="194"/>
    </row>
    <row r="266" spans="2:33">
      <c r="B266" s="194"/>
      <c r="C266" s="194">
        <v>35</v>
      </c>
      <c r="D266" s="180">
        <v>0.70833333333333337</v>
      </c>
      <c r="E266" s="191" cm="1">
        <f t="array" ref="E266">INDEX($J$202:$J$206,MATCH(E$230,EV_charger_type,0))*INDEX(EV06_domestic_Default,$C266)*EV07_domestic_Default</f>
        <v>42.502562689165323</v>
      </c>
      <c r="F266" s="191" cm="1">
        <f t="array" ref="F266">INDEX($J$202:$J$206,MATCH(F$230,EV_charger_type,0))*INDEX(EV06_work,$C266)*EV07_work_Default</f>
        <v>4.9070703050413389</v>
      </c>
      <c r="G266" s="191" cm="1">
        <f t="array" ref="G266">INDEX($J$202:$J$206,MATCH(G$230,EV_charger_type,0))*INDEX(EV06_slowfast,$C266)*EV07_slowfast_Default</f>
        <v>2.9109782812290117</v>
      </c>
      <c r="H266" s="191" cm="1">
        <f t="array" ref="H266">INDEX($J$202:$J$206,MATCH(H$230,EV_charger_type,0))*INDEX(EV06_rapid,$C266)*EV07_rapid_Default</f>
        <v>30.798989888627613</v>
      </c>
      <c r="I266" s="191" cm="1">
        <f t="array" ref="I266">INDEX($J$202:$J$206,MATCH(I$230,EV_charger_type,0))*INDEX(EV06_depot,$C266)*EV07_depot_Default</f>
        <v>218.76472282936319</v>
      </c>
      <c r="J266" s="192">
        <f t="shared" si="19"/>
        <v>299.88432399342651</v>
      </c>
      <c r="K266" s="192">
        <f t="shared" si="20"/>
        <v>2.4990360332785544</v>
      </c>
      <c r="L266" s="194"/>
      <c r="M266" s="194"/>
      <c r="N266" s="180">
        <v>0.70833333333333337</v>
      </c>
      <c r="O266" s="191" cm="1">
        <f t="array" ref="O266">INDEX($K$202:$K$206,MATCH(O$230,EV_charger_type,0))*INDEX(EV06_domestic_lower,$C266)*EV07_domestic_lower</f>
        <v>36.960507150925046</v>
      </c>
      <c r="P266" s="191" cm="1">
        <f t="array" ref="P266">INDEX($K$202:$K$206,MATCH(P$230,EV_charger_type,0))*INDEX(EV06_work,$C266)*EV07_work_lower</f>
        <v>3.8478113425620504</v>
      </c>
      <c r="Q266" s="191" cm="1">
        <f t="array" ref="Q266">INDEX($K$202:$K$206,MATCH(Q$230,EV_charger_type,0))*INDEX(EV06_slowfast,$C266)*EV07_slowfast_lower</f>
        <v>0.51665308472799854</v>
      </c>
      <c r="R266" s="191" cm="1">
        <f t="array" ref="R266">INDEX($K$202:$K$206,MATCH(R$230,EV_charger_type,0))*INDEX(EV06_rapid,$C266)*EV07_rapid_lower</f>
        <v>23.894607668583483</v>
      </c>
      <c r="S266" s="191" cm="1">
        <f t="array" ref="S266">INDEX($K$202:$K$206,MATCH(S$230,EV_charger_type,0))*INDEX(EV06_depot,$C266)*EV07_depot_lower</f>
        <v>218.76472282936319</v>
      </c>
      <c r="T266" s="192">
        <f t="shared" si="21"/>
        <v>283.98430207616178</v>
      </c>
      <c r="U266" s="192">
        <f t="shared" si="17"/>
        <v>2.3665358506346816</v>
      </c>
      <c r="V266" s="194"/>
      <c r="W266" s="194"/>
      <c r="X266" s="180">
        <v>0.70833333333333337</v>
      </c>
      <c r="Y266" s="191" cm="1">
        <f t="array" ref="Y266">INDEX($L$202:$L$206,MATCH(Y$230,EV_charger_type,0))*INDEX(EV06_domestic_upper,$C266)*EV07_domestic_upper</f>
        <v>48.884652368199745</v>
      </c>
      <c r="Z266" s="191" cm="1">
        <f t="array" ref="Z266">INDEX($L$202:$L$206,MATCH(Z$230,EV_charger_type,0))*INDEX(EV06_work,$C266)*EV07_work_upper</f>
        <v>5.9881720754034786</v>
      </c>
      <c r="AA266" s="191" cm="1">
        <f t="array" ref="AA266">INDEX($L$202:$L$206,MATCH(AA$230,EV_charger_type,0))*INDEX(EV06_slowfast,$C266)*EV07_slowfast_upper</f>
        <v>5.9507690542512819</v>
      </c>
      <c r="AB266" s="191" cm="1">
        <f t="array" ref="AB266">INDEX($L$202:$L$206,MATCH(AB$230,EV_charger_type,0))*INDEX(EV06_rapid,$C266)*EV07_rapid_upper</f>
        <v>37.703372108671736</v>
      </c>
      <c r="AC266" s="191" cm="1">
        <f t="array" ref="AC266">INDEX($L$202:$L$206,MATCH(AC$230,EV_charger_type,0))*INDEX(EV06_depot,$C266)*EV07_depot_upper</f>
        <v>218.76472282936319</v>
      </c>
      <c r="AD266" s="192">
        <f t="shared" si="22"/>
        <v>317.29168843588945</v>
      </c>
      <c r="AE266" s="192">
        <f t="shared" si="18"/>
        <v>2.6440974036324123</v>
      </c>
      <c r="AF266" s="194"/>
      <c r="AG266" s="194"/>
    </row>
    <row r="267" spans="2:33">
      <c r="B267" s="194"/>
      <c r="C267" s="194">
        <v>36</v>
      </c>
      <c r="D267" s="180">
        <v>0.72916666666666663</v>
      </c>
      <c r="E267" s="191" cm="1">
        <f t="array" ref="E267">INDEX($J$202:$J$206,MATCH(E$230,EV_charger_type,0))*INDEX(EV06_domestic_Default,$C267)*EV07_domestic_Default</f>
        <v>47.482620230383262</v>
      </c>
      <c r="F267" s="191" cm="1">
        <f t="array" ref="F267">INDEX($J$202:$J$206,MATCH(F$230,EV_charger_type,0))*INDEX(EV06_work,$C267)*EV07_work_Default</f>
        <v>4.3868105254643464</v>
      </c>
      <c r="G267" s="191" cm="1">
        <f t="array" ref="G267">INDEX($J$202:$J$206,MATCH(G$230,EV_charger_type,0))*INDEX(EV06_slowfast,$C267)*EV07_slowfast_Default</f>
        <v>2.8836680092303606</v>
      </c>
      <c r="H267" s="191" cm="1">
        <f t="array" ref="H267">INDEX($J$202:$J$206,MATCH(H$230,EV_charger_type,0))*INDEX(EV06_rapid,$C267)*EV07_rapid_Default</f>
        <v>30.677462981480719</v>
      </c>
      <c r="I267" s="191" cm="1">
        <f t="array" ref="I267">INDEX($J$202:$J$206,MATCH(I$230,EV_charger_type,0))*INDEX(EV06_depot,$C267)*EV07_depot_Default</f>
        <v>271.24650048706559</v>
      </c>
      <c r="J267" s="192">
        <f t="shared" si="19"/>
        <v>356.67706223362427</v>
      </c>
      <c r="K267" s="192">
        <f t="shared" si="20"/>
        <v>2.972308851946869</v>
      </c>
      <c r="L267" s="194"/>
      <c r="M267" s="194"/>
      <c r="N267" s="180">
        <v>0.72916666666666663</v>
      </c>
      <c r="O267" s="191" cm="1">
        <f t="array" ref="O267">INDEX($K$202:$K$206,MATCH(O$230,EV_charger_type,0))*INDEX(EV06_domestic_lower,$C267)*EV07_domestic_lower</f>
        <v>41.291197836809857</v>
      </c>
      <c r="P267" s="191" cm="1">
        <f t="array" ref="P267">INDEX($K$202:$K$206,MATCH(P$230,EV_charger_type,0))*INDEX(EV06_work,$C267)*EV07_work_lower</f>
        <v>3.4398568286683844</v>
      </c>
      <c r="Q267" s="191" cm="1">
        <f t="array" ref="Q267">INDEX($K$202:$K$206,MATCH(Q$230,EV_charger_type,0))*INDEX(EV06_slowfast,$C267)*EV07_slowfast_lower</f>
        <v>0.51180593888570558</v>
      </c>
      <c r="R267" s="191" cm="1">
        <f t="array" ref="R267">INDEX($K$202:$K$206,MATCH(R$230,EV_charger_type,0))*INDEX(EV06_rapid,$C267)*EV07_rapid_lower</f>
        <v>23.800324129481975</v>
      </c>
      <c r="S267" s="191" cm="1">
        <f t="array" ref="S267">INDEX($K$202:$K$206,MATCH(S$230,EV_charger_type,0))*INDEX(EV06_depot,$C267)*EV07_depot_lower</f>
        <v>271.24650048706559</v>
      </c>
      <c r="T267" s="192">
        <f t="shared" si="21"/>
        <v>340.28968522091151</v>
      </c>
      <c r="U267" s="192">
        <f t="shared" si="17"/>
        <v>2.8357473768409291</v>
      </c>
      <c r="V267" s="194"/>
      <c r="W267" s="194"/>
      <c r="X267" s="180">
        <v>0.72916666666666663</v>
      </c>
      <c r="Y267" s="191" cm="1">
        <f t="array" ref="Y267">INDEX($L$202:$L$206,MATCH(Y$230,EV_charger_type,0))*INDEX(EV06_domestic_upper,$C267)*EV07_domestic_upper</f>
        <v>54.612504202840519</v>
      </c>
      <c r="Z267" s="191" cm="1">
        <f t="array" ref="Z267">INDEX($L$202:$L$206,MATCH(Z$230,EV_charger_type,0))*INDEX(EV06_work,$C267)*EV07_work_upper</f>
        <v>5.3532912014086911</v>
      </c>
      <c r="AA267" s="191" cm="1">
        <f t="array" ref="AA267">INDEX($L$202:$L$206,MATCH(AA$230,EV_charger_type,0))*INDEX(EV06_slowfast,$C267)*EV07_slowfast_upper</f>
        <v>5.8949400147422173</v>
      </c>
      <c r="AB267" s="191" cm="1">
        <f t="array" ref="AB267">INDEX($L$202:$L$206,MATCH(AB$230,EV_charger_type,0))*INDEX(EV06_rapid,$C267)*EV07_rapid_upper</f>
        <v>37.55460183347946</v>
      </c>
      <c r="AC267" s="191" cm="1">
        <f t="array" ref="AC267">INDEX($L$202:$L$206,MATCH(AC$230,EV_charger_type,0))*INDEX(EV06_depot,$C267)*EV07_depot_upper</f>
        <v>271.24650048706559</v>
      </c>
      <c r="AD267" s="192">
        <f t="shared" si="22"/>
        <v>374.66183773953651</v>
      </c>
      <c r="AE267" s="192">
        <f t="shared" si="18"/>
        <v>3.1221819811628042</v>
      </c>
      <c r="AF267" s="194"/>
      <c r="AG267" s="194"/>
    </row>
    <row r="268" spans="2:33">
      <c r="B268" s="194"/>
      <c r="C268" s="194">
        <v>37</v>
      </c>
      <c r="D268" s="180">
        <v>0.75</v>
      </c>
      <c r="E268" s="191" cm="1">
        <f t="array" ref="E268">INDEX($J$202:$J$206,MATCH(E$230,EV_charger_type,0))*INDEX(EV06_domestic_Default,$C268)*EV07_domestic_Default</f>
        <v>52.220935895547434</v>
      </c>
      <c r="F268" s="191" cm="1">
        <f t="array" ref="F268">INDEX($J$202:$J$206,MATCH(F$230,EV_charger_type,0))*INDEX(EV06_work,$C268)*EV07_work_Default</f>
        <v>3.8665507458873538</v>
      </c>
      <c r="G268" s="191" cm="1">
        <f t="array" ref="G268">INDEX($J$202:$J$206,MATCH(G$230,EV_charger_type,0))*INDEX(EV06_slowfast,$C268)*EV07_slowfast_Default</f>
        <v>2.856357737231709</v>
      </c>
      <c r="H268" s="191" cm="1">
        <f t="array" ref="H268">INDEX($J$202:$J$206,MATCH(H$230,EV_charger_type,0))*INDEX(EV06_rapid,$C268)*EV07_rapid_Default</f>
        <v>30.338990342393849</v>
      </c>
      <c r="I268" s="191" cm="1">
        <f t="array" ref="I268">INDEX($J$202:$J$206,MATCH(I$230,EV_charger_type,0))*INDEX(EV06_depot,$C268)*EV07_depot_Default</f>
        <v>347.33941826411524</v>
      </c>
      <c r="J268" s="192">
        <f t="shared" si="19"/>
        <v>436.62225298517558</v>
      </c>
      <c r="K268" s="192">
        <f t="shared" si="20"/>
        <v>3.6385187748764634</v>
      </c>
      <c r="L268" s="194"/>
      <c r="M268" s="194"/>
      <c r="N268" s="180">
        <v>0.75</v>
      </c>
      <c r="O268" s="191" cm="1">
        <f t="array" ref="O268">INDEX($K$202:$K$206,MATCH(O$230,EV_charger_type,0))*INDEX(EV06_domestic_lower,$C268)*EV07_domestic_lower</f>
        <v>45.411668202477578</v>
      </c>
      <c r="P268" s="191" cm="1">
        <f t="array" ref="P268">INDEX($K$202:$K$206,MATCH(P$230,EV_charger_type,0))*INDEX(EV06_work,$C268)*EV07_work_lower</f>
        <v>3.0319023147747184</v>
      </c>
      <c r="Q268" s="191" cm="1">
        <f t="array" ref="Q268">INDEX($K$202:$K$206,MATCH(Q$230,EV_charger_type,0))*INDEX(EV06_slowfast,$C268)*EV07_slowfast_lower</f>
        <v>0.50695879304341285</v>
      </c>
      <c r="R268" s="191" cm="1">
        <f t="array" ref="R268">INDEX($K$202:$K$206,MATCH(R$230,EV_charger_type,0))*INDEX(EV06_rapid,$C268)*EV07_rapid_lower</f>
        <v>23.537728799350155</v>
      </c>
      <c r="S268" s="191" cm="1">
        <f t="array" ref="S268">INDEX($K$202:$K$206,MATCH(S$230,EV_charger_type,0))*INDEX(EV06_depot,$C268)*EV07_depot_lower</f>
        <v>347.33941826411524</v>
      </c>
      <c r="T268" s="192">
        <f t="shared" si="21"/>
        <v>419.82767637376111</v>
      </c>
      <c r="U268" s="192">
        <f t="shared" si="17"/>
        <v>3.4985639697813427</v>
      </c>
      <c r="V268" s="194"/>
      <c r="W268" s="194"/>
      <c r="X268" s="180">
        <v>0.75</v>
      </c>
      <c r="Y268" s="191" cm="1">
        <f t="array" ref="Y268">INDEX($L$202:$L$206,MATCH(Y$230,EV_charger_type,0))*INDEX(EV06_domestic_upper,$C268)*EV07_domestic_upper</f>
        <v>60.062314742415168</v>
      </c>
      <c r="Z268" s="191" cm="1">
        <f t="array" ref="Z268">INDEX($L$202:$L$206,MATCH(Z$230,EV_charger_type,0))*INDEX(EV06_work,$C268)*EV07_work_upper</f>
        <v>4.7184103274139035</v>
      </c>
      <c r="AA268" s="191" cm="1">
        <f t="array" ref="AA268">INDEX($L$202:$L$206,MATCH(AA$230,EV_charger_type,0))*INDEX(EV06_slowfast,$C268)*EV07_slowfast_upper</f>
        <v>5.8391109752331536</v>
      </c>
      <c r="AB268" s="191" cm="1">
        <f t="array" ref="AB268">INDEX($L$202:$L$206,MATCH(AB$230,EV_charger_type,0))*INDEX(EV06_rapid,$C268)*EV07_rapid_upper</f>
        <v>37.140251885437543</v>
      </c>
      <c r="AC268" s="191" cm="1">
        <f t="array" ref="AC268">INDEX($L$202:$L$206,MATCH(AC$230,EV_charger_type,0))*INDEX(EV06_depot,$C268)*EV07_depot_upper</f>
        <v>347.33941826411524</v>
      </c>
      <c r="AD268" s="192">
        <f t="shared" si="22"/>
        <v>455.099506194615</v>
      </c>
      <c r="AE268" s="192">
        <f t="shared" si="18"/>
        <v>3.7924958849551249</v>
      </c>
      <c r="AF268" s="194"/>
      <c r="AG268" s="194"/>
    </row>
    <row r="269" spans="2:33">
      <c r="B269" s="194"/>
      <c r="C269" s="194">
        <v>38</v>
      </c>
      <c r="D269" s="180">
        <v>0.77083333333333337</v>
      </c>
      <c r="E269" s="191" cm="1">
        <f t="array" ref="E269">INDEX($J$202:$J$206,MATCH(E$230,EV_charger_type,0))*INDEX(EV06_domestic_Default,$C269)*EV07_domestic_Default</f>
        <v>55.668661619206283</v>
      </c>
      <c r="F269" s="191" cm="1">
        <f t="array" ref="F269">INDEX($J$202:$J$206,MATCH(F$230,EV_charger_type,0))*INDEX(EV06_work,$C269)*EV07_work_Default</f>
        <v>3.5103092900263402</v>
      </c>
      <c r="G269" s="191" cm="1">
        <f t="array" ref="G269">INDEX($J$202:$J$206,MATCH(G$230,EV_charger_type,0))*INDEX(EV06_slowfast,$C269)*EV07_slowfast_Default</f>
        <v>2.6737286697609171</v>
      </c>
      <c r="H269" s="191" cm="1">
        <f t="array" ref="H269">INDEX($J$202:$J$206,MATCH(H$230,EV_charger_type,0))*INDEX(EV06_rapid,$C269)*EV07_rapid_Default</f>
        <v>30.000362298054878</v>
      </c>
      <c r="I269" s="191" cm="1">
        <f t="array" ref="I269">INDEX($J$202:$J$206,MATCH(I$230,EV_charger_type,0))*INDEX(EV06_depot,$C269)*EV07_depot_Default</f>
        <v>423.43233604116483</v>
      </c>
      <c r="J269" s="192">
        <f t="shared" si="19"/>
        <v>515.28539791821322</v>
      </c>
      <c r="K269" s="192">
        <f t="shared" si="20"/>
        <v>4.2940449826517773</v>
      </c>
      <c r="L269" s="194"/>
      <c r="M269" s="194"/>
      <c r="N269" s="180">
        <v>0.77083333333333337</v>
      </c>
      <c r="O269" s="191" cm="1">
        <f t="array" ref="O269">INDEX($K$202:$K$206,MATCH(O$230,EV_charger_type,0))*INDEX(EV06_domestic_lower,$C269)*EV07_domestic_lower</f>
        <v>48.409833094219643</v>
      </c>
      <c r="P269" s="191" cm="1">
        <f t="array" ref="P269">INDEX($K$202:$K$206,MATCH(P$230,EV_charger_type,0))*INDEX(EV06_work,$C269)*EV07_work_lower</f>
        <v>2.7525605019735915</v>
      </c>
      <c r="Q269" s="191" cm="1">
        <f t="array" ref="Q269">INDEX($K$202:$K$206,MATCH(Q$230,EV_charger_type,0))*INDEX(EV06_slowfast,$C269)*EV07_slowfast_lower</f>
        <v>0.47454499192431088</v>
      </c>
      <c r="R269" s="191" cm="1">
        <f t="array" ref="R269">INDEX($K$202:$K$206,MATCH(R$230,EV_charger_type,0))*INDEX(EV06_rapid,$C269)*EV07_rapid_lower</f>
        <v>23.275012902032781</v>
      </c>
      <c r="S269" s="191" cm="1">
        <f t="array" ref="S269">INDEX($K$202:$K$206,MATCH(S$230,EV_charger_type,0))*INDEX(EV06_depot,$C269)*EV07_depot_lower</f>
        <v>423.43233604116483</v>
      </c>
      <c r="T269" s="192">
        <f t="shared" si="21"/>
        <v>498.34428753131516</v>
      </c>
      <c r="U269" s="192">
        <f t="shared" si="17"/>
        <v>4.1528690627609599</v>
      </c>
      <c r="V269" s="194"/>
      <c r="W269" s="194"/>
      <c r="X269" s="180">
        <v>0.77083333333333337</v>
      </c>
      <c r="Y269" s="191" cm="1">
        <f t="array" ref="Y269">INDEX($L$202:$L$206,MATCH(Y$230,EV_charger_type,0))*INDEX(EV06_domestic_upper,$C269)*EV07_domestic_upper</f>
        <v>64.027743243622396</v>
      </c>
      <c r="Z269" s="191" cm="1">
        <f t="array" ref="Z269">INDEX($L$202:$L$206,MATCH(Z$230,EV_charger_type,0))*INDEX(EV06_work,$C269)*EV07_work_upper</f>
        <v>4.283683493380896</v>
      </c>
      <c r="AA269" s="191" cm="1">
        <f t="array" ref="AA269">INDEX($L$202:$L$206,MATCH(AA$230,EV_charger_type,0))*INDEX(EV06_slowfast,$C269)*EV07_slowfast_upper</f>
        <v>5.4657713972225892</v>
      </c>
      <c r="AB269" s="191" cm="1">
        <f t="array" ref="AB269">INDEX($L$202:$L$206,MATCH(AB$230,EV_charger_type,0))*INDEX(EV06_rapid,$C269)*EV07_rapid_upper</f>
        <v>36.725711694076971</v>
      </c>
      <c r="AC269" s="191" cm="1">
        <f t="array" ref="AC269">INDEX($L$202:$L$206,MATCH(AC$230,EV_charger_type,0))*INDEX(EV06_depot,$C269)*EV07_depot_upper</f>
        <v>423.43233604116483</v>
      </c>
      <c r="AD269" s="192">
        <f t="shared" si="22"/>
        <v>533.93524586946774</v>
      </c>
      <c r="AE269" s="192">
        <f t="shared" si="18"/>
        <v>4.4494603822455643</v>
      </c>
      <c r="AF269" s="194"/>
      <c r="AG269" s="194"/>
    </row>
    <row r="270" spans="2:33">
      <c r="B270" s="194"/>
      <c r="C270" s="194">
        <v>39</v>
      </c>
      <c r="D270" s="180">
        <v>0.79166666666666663</v>
      </c>
      <c r="E270" s="191" cm="1">
        <f t="array" ref="E270">INDEX($J$202:$J$206,MATCH(E$230,EV_charger_type,0))*INDEX(EV06_domestic_Default,$C270)*EV07_domestic_Default</f>
        <v>57.786209487119422</v>
      </c>
      <c r="F270" s="191" cm="1">
        <f t="array" ref="F270">INDEX($J$202:$J$206,MATCH(F$230,EV_charger_type,0))*INDEX(EV06_work,$C270)*EV07_work_Default</f>
        <v>3.1540678341653257</v>
      </c>
      <c r="G270" s="191" cm="1">
        <f t="array" ref="G270">INDEX($J$202:$J$206,MATCH(G$230,EV_charger_type,0))*INDEX(EV06_slowfast,$C270)*EV07_slowfast_Default</f>
        <v>2.4910996022901246</v>
      </c>
      <c r="H270" s="191" cm="1">
        <f t="array" ref="H270">INDEX($J$202:$J$206,MATCH(H$230,EV_charger_type,0))*INDEX(EV06_rapid,$C270)*EV07_rapid_Default</f>
        <v>27.901458963111246</v>
      </c>
      <c r="I270" s="191" cm="1">
        <f t="array" ref="I270">INDEX($J$202:$J$206,MATCH(I$230,EV_charger_type,0))*INDEX(EV06_depot,$C270)*EV07_depot_Default</f>
        <v>467.11515397478405</v>
      </c>
      <c r="J270" s="192">
        <f t="shared" si="19"/>
        <v>558.44798986147021</v>
      </c>
      <c r="K270" s="192">
        <f t="shared" si="20"/>
        <v>4.6537332488455849</v>
      </c>
      <c r="L270" s="194"/>
      <c r="M270" s="194"/>
      <c r="N270" s="180">
        <v>0.79166666666666663</v>
      </c>
      <c r="O270" s="191" cm="1">
        <f t="array" ref="O270">INDEX($K$202:$K$206,MATCH(O$230,EV_charger_type,0))*INDEX(EV06_domestic_lower,$C270)*EV07_domestic_lower</f>
        <v>50.25126660228387</v>
      </c>
      <c r="P270" s="191" cm="1">
        <f t="array" ref="P270">INDEX($K$202:$K$206,MATCH(P$230,EV_charger_type,0))*INDEX(EV06_work,$C270)*EV07_work_lower</f>
        <v>2.4732186891724632</v>
      </c>
      <c r="Q270" s="191" cm="1">
        <f t="array" ref="Q270">INDEX($K$202:$K$206,MATCH(Q$230,EV_charger_type,0))*INDEX(EV06_slowfast,$C270)*EV07_slowfast_lower</f>
        <v>0.4421311908052088</v>
      </c>
      <c r="R270" s="191" cm="1">
        <f t="array" ref="R270">INDEX($K$202:$K$206,MATCH(R$230,EV_charger_type,0))*INDEX(EV06_rapid,$C270)*EV07_rapid_lower</f>
        <v>21.646632493970174</v>
      </c>
      <c r="S270" s="191" cm="1">
        <f t="array" ref="S270">INDEX($K$202:$K$206,MATCH(S$230,EV_charger_type,0))*INDEX(EV06_depot,$C270)*EV07_depot_lower</f>
        <v>467.11515397478405</v>
      </c>
      <c r="T270" s="192">
        <f t="shared" si="21"/>
        <v>541.92840295101576</v>
      </c>
      <c r="U270" s="192">
        <f t="shared" si="17"/>
        <v>4.516070024591798</v>
      </c>
      <c r="V270" s="194"/>
      <c r="W270" s="194"/>
      <c r="X270" s="180">
        <v>0.79166666666666663</v>
      </c>
      <c r="Y270" s="191" cm="1">
        <f t="array" ref="Y270">INDEX($L$202:$L$206,MATCH(Y$230,EV_charger_type,0))*INDEX(EV06_domestic_upper,$C270)*EV07_domestic_upper</f>
        <v>66.463257359629893</v>
      </c>
      <c r="Z270" s="191" cm="1">
        <f t="array" ref="Z270">INDEX($L$202:$L$206,MATCH(Z$230,EV_charger_type,0))*INDEX(EV06_work,$C270)*EV07_work_upper</f>
        <v>3.8489566593478877</v>
      </c>
      <c r="AA270" s="191" cm="1">
        <f t="array" ref="AA270">INDEX($L$202:$L$206,MATCH(AA$230,EV_charger_type,0))*INDEX(EV06_slowfast,$C270)*EV07_slowfast_upper</f>
        <v>5.092431819212023</v>
      </c>
      <c r="AB270" s="191" cm="1">
        <f t="array" ref="AB270">INDEX($L$202:$L$206,MATCH(AB$230,EV_charger_type,0))*INDEX(EV06_rapid,$C270)*EV07_rapid_upper</f>
        <v>34.156285432252311</v>
      </c>
      <c r="AC270" s="191" cm="1">
        <f t="array" ref="AC270">INDEX($L$202:$L$206,MATCH(AC$230,EV_charger_type,0))*INDEX(EV06_depot,$C270)*EV07_depot_upper</f>
        <v>467.11515397478405</v>
      </c>
      <c r="AD270" s="192">
        <f t="shared" si="22"/>
        <v>576.6760852452262</v>
      </c>
      <c r="AE270" s="192">
        <f t="shared" si="18"/>
        <v>4.8056340437102181</v>
      </c>
      <c r="AF270" s="194"/>
      <c r="AG270" s="194"/>
    </row>
    <row r="271" spans="2:33">
      <c r="B271" s="194"/>
      <c r="C271" s="194">
        <v>40</v>
      </c>
      <c r="D271" s="180">
        <v>0.8125</v>
      </c>
      <c r="E271" s="191" cm="1">
        <f t="array" ref="E271">INDEX($J$202:$J$206,MATCH(E$230,EV_charger_type,0))*INDEX(EV06_domestic_Default,$C271)*EV07_domestic_Default</f>
        <v>58.124536624885408</v>
      </c>
      <c r="F271" s="191" cm="1">
        <f t="array" ref="F271">INDEX($J$202:$J$206,MATCH(F$230,EV_charger_type,0))*INDEX(EV06_work,$C271)*EV07_work_Default</f>
        <v>2.861711968480976</v>
      </c>
      <c r="G271" s="191" cm="1">
        <f t="array" ref="G271">INDEX($J$202:$J$206,MATCH(G$230,EV_charger_type,0))*INDEX(EV06_slowfast,$C271)*EV07_slowfast_Default</f>
        <v>2.1781947231254</v>
      </c>
      <c r="H271" s="191" cm="1">
        <f t="array" ref="H271">INDEX($J$202:$J$206,MATCH(H$230,EV_charger_type,0))*INDEX(EV06_rapid,$C271)*EV07_rapid_Default</f>
        <v>25.802555628167603</v>
      </c>
      <c r="I271" s="191" cm="1">
        <f t="array" ref="I271">INDEX($J$202:$J$206,MATCH(I$230,EV_charger_type,0))*INDEX(EV06_depot,$C271)*EV07_depot_Default</f>
        <v>510.79797190840321</v>
      </c>
      <c r="J271" s="192">
        <f t="shared" si="19"/>
        <v>599.76497085306255</v>
      </c>
      <c r="K271" s="192">
        <f t="shared" si="20"/>
        <v>4.9980414237755211</v>
      </c>
      <c r="L271" s="194"/>
      <c r="M271" s="194"/>
      <c r="N271" s="180">
        <v>0.8125</v>
      </c>
      <c r="O271" s="191" cm="1">
        <f t="array" ref="O271">INDEX($K$202:$K$206,MATCH(O$230,EV_charger_type,0))*INDEX(EV06_domestic_lower,$C271)*EV07_domestic_lower</f>
        <v>50.5454780992753</v>
      </c>
      <c r="P271" s="191" cm="1">
        <f t="array" ref="P271">INDEX($K$202:$K$206,MATCH(P$230,EV_charger_type,0))*INDEX(EV06_work,$C271)*EV07_work_lower</f>
        <v>2.243971878730584</v>
      </c>
      <c r="Q271" s="191" cm="1">
        <f t="array" ref="Q271">INDEX($K$202:$K$206,MATCH(Q$230,EV_charger_type,0))*INDEX(EV06_slowfast,$C271)*EV07_slowfast_lower</f>
        <v>0.38659547207815509</v>
      </c>
      <c r="R271" s="191" cm="1">
        <f t="array" ref="R271">INDEX($K$202:$K$206,MATCH(R$230,EV_charger_type,0))*INDEX(EV06_rapid,$C271)*EV07_rapid_lower</f>
        <v>20.018252085907562</v>
      </c>
      <c r="S271" s="191" cm="1">
        <f t="array" ref="S271">INDEX($K$202:$K$206,MATCH(S$230,EV_charger_type,0))*INDEX(EV06_depot,$C271)*EV07_depot_lower</f>
        <v>510.79797190840321</v>
      </c>
      <c r="T271" s="192">
        <f t="shared" si="21"/>
        <v>583.99226944439488</v>
      </c>
      <c r="U271" s="192">
        <f t="shared" si="17"/>
        <v>4.8666022453699576</v>
      </c>
      <c r="V271" s="194"/>
      <c r="W271" s="194"/>
      <c r="X271" s="180">
        <v>0.8125</v>
      </c>
      <c r="Y271" s="191" cm="1">
        <f t="array" ref="Y271">INDEX($L$202:$L$206,MATCH(Y$230,EV_charger_type,0))*INDEX(EV06_domestic_upper,$C271)*EV07_domestic_upper</f>
        <v>66.852386943118148</v>
      </c>
      <c r="Z271" s="191" cm="1">
        <f t="array" ref="Z271">INDEX($L$202:$L$206,MATCH(Z$230,EV_charger_type,0))*INDEX(EV06_work,$C271)*EV07_work_upper</f>
        <v>3.4921903767917053</v>
      </c>
      <c r="AA271" s="191" cm="1">
        <f t="array" ref="AA271">INDEX($L$202:$L$206,MATCH(AA$230,EV_charger_type,0))*INDEX(EV06_slowfast,$C271)*EV07_slowfast_upper</f>
        <v>4.4527758369380726</v>
      </c>
      <c r="AB271" s="191" cm="1">
        <f t="array" ref="AB271">INDEX($L$202:$L$206,MATCH(AB$230,EV_charger_type,0))*INDEX(EV06_rapid,$C271)*EV07_rapid_upper</f>
        <v>31.586859170427648</v>
      </c>
      <c r="AC271" s="191" cm="1">
        <f t="array" ref="AC271">INDEX($L$202:$L$206,MATCH(AC$230,EV_charger_type,0))*INDEX(EV06_depot,$C271)*EV07_depot_upper</f>
        <v>510.79797190840321</v>
      </c>
      <c r="AD271" s="192">
        <f t="shared" si="22"/>
        <v>617.18218423567873</v>
      </c>
      <c r="AE271" s="192">
        <f t="shared" si="18"/>
        <v>5.143184868630656</v>
      </c>
      <c r="AF271" s="194"/>
      <c r="AG271" s="194"/>
    </row>
    <row r="272" spans="2:33">
      <c r="B272" s="194"/>
      <c r="C272" s="194">
        <v>41</v>
      </c>
      <c r="D272" s="180">
        <v>0.83333333333333337</v>
      </c>
      <c r="E272" s="191" cm="1">
        <f t="array" ref="E272">INDEX($J$202:$J$206,MATCH(E$230,EV_charger_type,0))*INDEX(EV06_domestic_Default,$C272)*EV07_domestic_Default</f>
        <v>58.462771833812944</v>
      </c>
      <c r="F272" s="191" cm="1">
        <f t="array" ref="F272">INDEX($J$202:$J$206,MATCH(F$230,EV_charger_type,0))*INDEX(EV06_work,$C272)*EV07_work_Default</f>
        <v>2.5694127389581314</v>
      </c>
      <c r="G272" s="191" cm="1">
        <f t="array" ref="G272">INDEX($J$202:$J$206,MATCH(G$230,EV_charger_type,0))*INDEX(EV06_slowfast,$C272)*EV07_slowfast_Default</f>
        <v>1.865289843960676</v>
      </c>
      <c r="H272" s="191" cm="1">
        <f t="array" ref="H272">INDEX($J$202:$J$206,MATCH(H$230,EV_charger_type,0))*INDEX(EV06_rapid,$C272)*EV07_rapid_Default</f>
        <v>22.980085439418435</v>
      </c>
      <c r="I272" s="191" cm="1">
        <f t="array" ref="I272">INDEX($J$202:$J$206,MATCH(I$230,EV_charger_type,0))*INDEX(EV06_depot,$C272)*EV07_depot_Default</f>
        <v>522.34953999298568</v>
      </c>
      <c r="J272" s="192">
        <f t="shared" si="19"/>
        <v>608.22709984913581</v>
      </c>
      <c r="K272" s="192">
        <f t="shared" si="20"/>
        <v>5.0685591654094653</v>
      </c>
      <c r="L272" s="194"/>
      <c r="M272" s="194"/>
      <c r="N272" s="180">
        <v>0.83333333333333337</v>
      </c>
      <c r="O272" s="191" cm="1">
        <f t="array" ref="O272">INDEX($K$202:$K$206,MATCH(O$230,EV_charger_type,0))*INDEX(EV06_domestic_lower,$C272)*EV07_domestic_lower</f>
        <v>50.839609654346162</v>
      </c>
      <c r="P272" s="191" cm="1">
        <f t="array" ref="P272">INDEX($K$202:$K$206,MATCH(P$230,EV_charger_type,0))*INDEX(EV06_work,$C272)*EV07_work_lower</f>
        <v>2.0147694787517896</v>
      </c>
      <c r="Q272" s="191" cm="1">
        <f t="array" ref="Q272">INDEX($K$202:$K$206,MATCH(Q$230,EV_charger_type,0))*INDEX(EV06_slowfast,$C272)*EV07_slowfast_lower</f>
        <v>0.33105975335110155</v>
      </c>
      <c r="R272" s="191" cm="1">
        <f t="array" ref="R272">INDEX($K$202:$K$206,MATCH(R$230,EV_charger_type,0))*INDEX(EV06_rapid,$C272)*EV07_rapid_lower</f>
        <v>17.82851086191577</v>
      </c>
      <c r="S272" s="191" cm="1">
        <f t="array" ref="S272">INDEX($K$202:$K$206,MATCH(S$230,EV_charger_type,0))*INDEX(EV06_depot,$C272)*EV07_depot_lower</f>
        <v>522.34953999298568</v>
      </c>
      <c r="T272" s="192">
        <f t="shared" si="21"/>
        <v>593.36348974135046</v>
      </c>
      <c r="U272" s="192">
        <f t="shared" si="17"/>
        <v>4.9446957478445874</v>
      </c>
      <c r="V272" s="194"/>
      <c r="W272" s="194"/>
      <c r="X272" s="180">
        <v>0.83333333333333337</v>
      </c>
      <c r="Y272" s="191" cm="1">
        <f t="array" ref="Y272">INDEX($L$202:$L$206,MATCH(Y$230,EV_charger_type,0))*INDEX(EV06_domestic_upper,$C272)*EV07_domestic_upper</f>
        <v>67.241410793939338</v>
      </c>
      <c r="Z272" s="191" cm="1">
        <f t="array" ref="Z272">INDEX($L$202:$L$206,MATCH(Z$230,EV_charger_type,0))*INDEX(EV06_work,$C272)*EV07_work_upper</f>
        <v>3.1354932081995988</v>
      </c>
      <c r="AA272" s="191" cm="1">
        <f t="array" ref="AA272">INDEX($L$202:$L$206,MATCH(AA$230,EV_charger_type,0))*INDEX(EV06_slowfast,$C272)*EV07_slowfast_upper</f>
        <v>3.8131198546641234</v>
      </c>
      <c r="AB272" s="191" cm="1">
        <f t="array" ref="AB272">INDEX($L$202:$L$206,MATCH(AB$230,EV_charger_type,0))*INDEX(EV06_rapid,$C272)*EV07_rapid_upper</f>
        <v>28.131660016921096</v>
      </c>
      <c r="AC272" s="191" cm="1">
        <f t="array" ref="AC272">INDEX($L$202:$L$206,MATCH(AC$230,EV_charger_type,0))*INDEX(EV06_depot,$C272)*EV07_depot_upper</f>
        <v>522.34953999298568</v>
      </c>
      <c r="AD272" s="192">
        <f t="shared" si="22"/>
        <v>624.67122386670985</v>
      </c>
      <c r="AE272" s="192">
        <f t="shared" si="18"/>
        <v>5.2055935322225819</v>
      </c>
      <c r="AF272" s="194"/>
      <c r="AG272" s="194"/>
    </row>
    <row r="273" spans="2:33">
      <c r="B273" s="194"/>
      <c r="C273" s="194">
        <v>42</v>
      </c>
      <c r="D273" s="180">
        <v>0.85416666666666663</v>
      </c>
      <c r="E273" s="191" cm="1">
        <f t="array" ref="E273">INDEX($J$202:$J$206,MATCH(E$230,EV_charger_type,0))*INDEX(EV06_domestic_Default,$C273)*EV07_domestic_Default</f>
        <v>61.039869029910555</v>
      </c>
      <c r="F273" s="191" cm="1">
        <f t="array" ref="F273">INDEX($J$202:$J$206,MATCH(F$230,EV_charger_type,0))*INDEX(EV06_work,$C273)*EV07_work_Default</f>
        <v>2.399787435253244</v>
      </c>
      <c r="G273" s="191" cm="1">
        <f t="array" ref="G273">INDEX($J$202:$J$206,MATCH(G$230,EV_charger_type,0))*INDEX(EV06_slowfast,$C273)*EV07_slowfast_Default</f>
        <v>1.5796168364555103</v>
      </c>
      <c r="H273" s="191" cm="1">
        <f t="array" ref="H273">INDEX($J$202:$J$206,MATCH(H$230,EV_charger_type,0))*INDEX(EV06_rapid,$C273)*EV07_rapid_Default</f>
        <v>20.157459845417158</v>
      </c>
      <c r="I273" s="191" cm="1">
        <f t="array" ref="I273">INDEX($J$202:$J$206,MATCH(I$230,EV_charger_type,0))*INDEX(EV06_depot,$C273)*EV07_depot_Default</f>
        <v>533.89834718653447</v>
      </c>
      <c r="J273" s="192">
        <f t="shared" si="19"/>
        <v>619.0750803335709</v>
      </c>
      <c r="K273" s="192">
        <f t="shared" si="20"/>
        <v>5.1589590027797572</v>
      </c>
      <c r="L273" s="194"/>
      <c r="M273" s="194"/>
      <c r="N273" s="180">
        <v>0.85416666666666663</v>
      </c>
      <c r="O273" s="191" cm="1">
        <f t="array" ref="O273">INDEX($K$202:$K$206,MATCH(O$230,EV_charger_type,0))*INDEX(EV06_domestic_lower,$C273)*EV07_domestic_lower</f>
        <v>53.080670270892846</v>
      </c>
      <c r="P273" s="191" cm="1">
        <f t="array" ref="P273">INDEX($K$202:$K$206,MATCH(P$230,EV_charger_type,0))*INDEX(EV06_work,$C273)*EV07_work_lower</f>
        <v>1.8817601418138916</v>
      </c>
      <c r="Q273" s="191" cm="1">
        <f t="array" ref="Q273">INDEX($K$202:$K$206,MATCH(Q$230,EV_charger_type,0))*INDEX(EV06_slowfast,$C273)*EV07_slowfast_lower</f>
        <v>0.28035726563320812</v>
      </c>
      <c r="R273" s="191" cm="1">
        <f t="array" ref="R273">INDEX($K$202:$K$206,MATCH(R$230,EV_charger_type,0))*INDEX(EV06_rapid,$C273)*EV07_rapid_lower</f>
        <v>15.638649070738426</v>
      </c>
      <c r="S273" s="191" cm="1">
        <f t="array" ref="S273">INDEX($K$202:$K$206,MATCH(S$230,EV_charger_type,0))*INDEX(EV06_depot,$C273)*EV07_depot_lower</f>
        <v>533.89834718653447</v>
      </c>
      <c r="T273" s="192">
        <f t="shared" si="21"/>
        <v>604.77978393561284</v>
      </c>
      <c r="U273" s="192">
        <f t="shared" si="17"/>
        <v>5.0398315327967733</v>
      </c>
      <c r="V273" s="194"/>
      <c r="W273" s="194"/>
      <c r="X273" s="180">
        <v>0.85416666666666663</v>
      </c>
      <c r="Y273" s="191" cm="1">
        <f t="array" ref="Y273">INDEX($L$202:$L$206,MATCH(Y$230,EV_charger_type,0))*INDEX(EV06_domestic_upper,$C273)*EV07_domestic_upper</f>
        <v>70.205479136632675</v>
      </c>
      <c r="Z273" s="191" cm="1">
        <f t="array" ref="Z273">INDEX($L$202:$L$206,MATCH(Z$230,EV_charger_type,0))*INDEX(EV06_work,$C273)*EV07_work_upper</f>
        <v>2.9284968857943743</v>
      </c>
      <c r="AA273" s="191" cm="1">
        <f t="array" ref="AA273">INDEX($L$202:$L$206,MATCH(AA$230,EV_charger_type,0))*INDEX(EV06_slowfast,$C273)*EV07_slowfast_upper</f>
        <v>3.2291326419601849</v>
      </c>
      <c r="AB273" s="191" cm="1">
        <f t="array" ref="AB273">INDEX($L$202:$L$206,MATCH(AB$230,EV_charger_type,0))*INDEX(EV06_rapid,$C273)*EV07_rapid_upper</f>
        <v>24.676270620095877</v>
      </c>
      <c r="AC273" s="191" cm="1">
        <f t="array" ref="AC273">INDEX($L$202:$L$206,MATCH(AC$230,EV_charger_type,0))*INDEX(EV06_depot,$C273)*EV07_depot_upper</f>
        <v>533.89834718653447</v>
      </c>
      <c r="AD273" s="192">
        <f t="shared" si="22"/>
        <v>634.93772647101764</v>
      </c>
      <c r="AE273" s="192">
        <f t="shared" si="18"/>
        <v>5.2911477205918134</v>
      </c>
      <c r="AF273" s="194"/>
      <c r="AG273" s="194"/>
    </row>
    <row r="274" spans="2:33">
      <c r="B274" s="194"/>
      <c r="C274" s="194">
        <v>43</v>
      </c>
      <c r="D274" s="180">
        <v>0.875</v>
      </c>
      <c r="E274" s="191" cm="1">
        <f t="array" ref="E274">INDEX($J$202:$J$206,MATCH(E$230,EV_charger_type,0))*INDEX(EV06_domestic_Default,$C274)*EV07_domestic_Default</f>
        <v>60.835785540909086</v>
      </c>
      <c r="F274" s="191" cm="1">
        <f t="array" ref="F274">INDEX($J$202:$J$206,MATCH(F$230,EV_charger_type,0))*INDEX(EV06_work,$C274)*EV07_work_Default</f>
        <v>2.2301621315483575</v>
      </c>
      <c r="G274" s="191" cm="1">
        <f t="array" ref="G274">INDEX($J$202:$J$206,MATCH(G$230,EV_charger_type,0))*INDEX(EV06_slowfast,$C274)*EV07_slowfast_Default</f>
        <v>1.2939438289503444</v>
      </c>
      <c r="H274" s="191" cm="1">
        <f t="array" ref="H274">INDEX($J$202:$J$206,MATCH(H$230,EV_charger_type,0))*INDEX(EV06_rapid,$C274)*EV07_rapid_Default</f>
        <v>17.292874833347259</v>
      </c>
      <c r="I274" s="191" cm="1">
        <f t="array" ref="I274">INDEX($J$202:$J$206,MATCH(I$230,EV_charger_type,0))*INDEX(EV06_depot,$C274)*EV07_depot_Default</f>
        <v>541.78345197849603</v>
      </c>
      <c r="J274" s="192">
        <f t="shared" si="19"/>
        <v>623.43621831325106</v>
      </c>
      <c r="K274" s="192">
        <f t="shared" si="20"/>
        <v>5.1953018192770921</v>
      </c>
      <c r="L274" s="194"/>
      <c r="M274" s="194"/>
      <c r="N274" s="180">
        <v>0.875</v>
      </c>
      <c r="O274" s="191" cm="1">
        <f t="array" ref="O274">INDEX($K$202:$K$206,MATCH(O$230,EV_charger_type,0))*INDEX(EV06_domestic_lower,$C274)*EV07_domestic_lower</f>
        <v>52.903197930935619</v>
      </c>
      <c r="P274" s="191" cm="1">
        <f t="array" ref="P274">INDEX($K$202:$K$206,MATCH(P$230,EV_charger_type,0))*INDEX(EV06_work,$C274)*EV07_work_lower</f>
        <v>1.7487508048759939</v>
      </c>
      <c r="Q274" s="191" cm="1">
        <f t="array" ref="Q274">INDEX($K$202:$K$206,MATCH(Q$230,EV_charger_type,0))*INDEX(EV06_slowfast,$C274)*EV07_slowfast_lower</f>
        <v>0.22965477791531466</v>
      </c>
      <c r="R274" s="191" cm="1">
        <f t="array" ref="R274">INDEX($K$202:$K$206,MATCH(R$230,EV_charger_type,0))*INDEX(EV06_rapid,$C274)*EV07_rapid_lower</f>
        <v>13.416234139462096</v>
      </c>
      <c r="S274" s="191" cm="1">
        <f t="array" ref="S274">INDEX($K$202:$K$206,MATCH(S$230,EV_charger_type,0))*INDEX(EV06_depot,$C274)*EV07_depot_lower</f>
        <v>541.78345197849603</v>
      </c>
      <c r="T274" s="192">
        <f t="shared" si="21"/>
        <v>610.08128963168508</v>
      </c>
      <c r="U274" s="192">
        <f t="shared" si="17"/>
        <v>5.0840107469307094</v>
      </c>
      <c r="V274" s="194"/>
      <c r="W274" s="194"/>
      <c r="X274" s="180">
        <v>0.875</v>
      </c>
      <c r="Y274" s="191" cm="1">
        <f t="array" ref="Y274">INDEX($L$202:$L$206,MATCH(Y$230,EV_charger_type,0))*INDEX(EV06_domestic_upper,$C274)*EV07_domestic_upper</f>
        <v>69.970750927727067</v>
      </c>
      <c r="Z274" s="191" cm="1">
        <f t="array" ref="Z274">INDEX($L$202:$L$206,MATCH(Z$230,EV_charger_type,0))*INDEX(EV06_work,$C274)*EV07_work_upper</f>
        <v>2.7215005633891503</v>
      </c>
      <c r="AA274" s="191" cm="1">
        <f t="array" ref="AA274">INDEX($L$202:$L$206,MATCH(AA$230,EV_charger_type,0))*INDEX(EV06_slowfast,$C274)*EV07_slowfast_upper</f>
        <v>2.6451454292562455</v>
      </c>
      <c r="AB274" s="191" cm="1">
        <f t="array" ref="AB274">INDEX($L$202:$L$206,MATCH(AB$230,EV_charger_type,0))*INDEX(EV06_rapid,$C274)*EV07_rapid_upper</f>
        <v>21.169515527232416</v>
      </c>
      <c r="AC274" s="191" cm="1">
        <f t="array" ref="AC274">INDEX($L$202:$L$206,MATCH(AC$230,EV_charger_type,0))*INDEX(EV06_depot,$C274)*EV07_depot_upper</f>
        <v>541.78345197849603</v>
      </c>
      <c r="AD274" s="192">
        <f t="shared" si="22"/>
        <v>638.29036442610095</v>
      </c>
      <c r="AE274" s="192">
        <f t="shared" si="18"/>
        <v>5.3190863702175077</v>
      </c>
      <c r="AF274" s="194"/>
      <c r="AG274" s="194"/>
    </row>
    <row r="275" spans="2:33">
      <c r="B275" s="194"/>
      <c r="C275" s="194">
        <v>44</v>
      </c>
      <c r="D275" s="180">
        <v>0.89583333333333337</v>
      </c>
      <c r="E275" s="191" cm="1">
        <f t="array" ref="E275">INDEX($J$202:$J$206,MATCH(E$230,EV_charger_type,0))*INDEX(EV06_domestic_Default,$C275)*EV07_domestic_Default</f>
        <v>60.243303198639808</v>
      </c>
      <c r="F275" s="191" cm="1">
        <f t="array" ref="F275">INDEX($J$202:$J$206,MATCH(F$230,EV_charger_type,0))*INDEX(EV06_work,$C275)*EV07_work_Default</f>
        <v>2.1310488489161195</v>
      </c>
      <c r="G275" s="191" cm="1">
        <f t="array" ref="G275">INDEX($J$202:$J$206,MATCH(G$230,EV_charger_type,0))*INDEX(EV06_slowfast,$C275)*EV07_slowfast_Default</f>
        <v>1.1183613703659241</v>
      </c>
      <c r="H275" s="191" cm="1">
        <f t="array" ref="H275">INDEX($J$202:$J$206,MATCH(H$230,EV_charger_type,0))*INDEX(EV06_rapid,$C275)*EV07_rapid_Default</f>
        <v>14.428289821277362</v>
      </c>
      <c r="I275" s="191" cm="1">
        <f t="array" ref="I275">INDEX($J$202:$J$206,MATCH(I$230,EV_charger_type,0))*INDEX(EV06_depot,$C275)*EV07_depot_Default</f>
        <v>549.66855677045771</v>
      </c>
      <c r="J275" s="192">
        <f t="shared" si="19"/>
        <v>627.58956000965691</v>
      </c>
      <c r="K275" s="192">
        <f t="shared" si="20"/>
        <v>5.2299130000804741</v>
      </c>
      <c r="L275" s="194"/>
      <c r="M275" s="194"/>
      <c r="N275" s="180">
        <v>0.89583333333333337</v>
      </c>
      <c r="O275" s="191" cm="1">
        <f t="array" ref="O275">INDEX($K$202:$K$206,MATCH(O$230,EV_charger_type,0))*INDEX(EV06_domestic_lower,$C275)*EV07_domestic_lower</f>
        <v>52.387971401928638</v>
      </c>
      <c r="P275" s="191" cm="1">
        <f t="array" ref="P275">INDEX($K$202:$K$206,MATCH(P$230,EV_charger_type,0))*INDEX(EV06_work,$C275)*EV07_work_lower</f>
        <v>1.6710324944782238</v>
      </c>
      <c r="Q275" s="191" cm="1">
        <f t="array" ref="Q275">INDEX($K$202:$K$206,MATCH(Q$230,EV_charger_type,0))*INDEX(EV06_slowfast,$C275)*EV07_slowfast_lower</f>
        <v>0.19849163958593249</v>
      </c>
      <c r="R275" s="191" cm="1">
        <f t="array" ref="R275">INDEX($K$202:$K$206,MATCH(R$230,EV_charger_type,0))*INDEX(EV06_rapid,$C275)*EV07_rapid_lower</f>
        <v>11.193819208185769</v>
      </c>
      <c r="S275" s="191" cm="1">
        <f t="array" ref="S275">INDEX($K$202:$K$206,MATCH(S$230,EV_charger_type,0))*INDEX(EV06_depot,$C275)*EV07_depot_lower</f>
        <v>549.66855677045771</v>
      </c>
      <c r="T275" s="192">
        <f t="shared" si="21"/>
        <v>615.11987151463632</v>
      </c>
      <c r="U275" s="192">
        <f t="shared" si="17"/>
        <v>5.1259989292886363</v>
      </c>
      <c r="V275" s="194"/>
      <c r="W275" s="194"/>
      <c r="X275" s="180">
        <v>0.89583333333333337</v>
      </c>
      <c r="Y275" s="191" cm="1">
        <f t="array" ref="Y275">INDEX($L$202:$L$206,MATCH(Y$230,EV_charger_type,0))*INDEX(EV06_domestic_upper,$C275)*EV07_domestic_upper</f>
        <v>69.289302763108196</v>
      </c>
      <c r="Z275" s="191" cm="1">
        <f t="array" ref="Z275">INDEX($L$202:$L$206,MATCH(Z$230,EV_charger_type,0))*INDEX(EV06_work,$C275)*EV07_work_upper</f>
        <v>2.60055112625755</v>
      </c>
      <c r="AA275" s="191" cm="1">
        <f t="array" ref="AA275">INDEX($L$202:$L$206,MATCH(AA$230,EV_charger_type,0))*INDEX(EV06_slowfast,$C275)*EV07_slowfast_upper</f>
        <v>2.2862108855837344</v>
      </c>
      <c r="AB275" s="191" cm="1">
        <f t="array" ref="AB275">INDEX($L$202:$L$206,MATCH(AB$230,EV_charger_type,0))*INDEX(EV06_rapid,$C275)*EV07_rapid_upper</f>
        <v>17.662760434368952</v>
      </c>
      <c r="AC275" s="191" cm="1">
        <f t="array" ref="AC275">INDEX($L$202:$L$206,MATCH(AC$230,EV_charger_type,0))*INDEX(EV06_depot,$C275)*EV07_depot_upper</f>
        <v>549.66855677045771</v>
      </c>
      <c r="AD275" s="192">
        <f t="shared" si="22"/>
        <v>641.50738197977614</v>
      </c>
      <c r="AE275" s="192">
        <f t="shared" si="18"/>
        <v>5.3458948498314678</v>
      </c>
      <c r="AF275" s="194"/>
      <c r="AG275" s="194"/>
    </row>
    <row r="276" spans="2:33">
      <c r="B276" s="194"/>
      <c r="C276" s="194">
        <v>45</v>
      </c>
      <c r="D276" s="180">
        <v>0.91666666666666663</v>
      </c>
      <c r="E276" s="191" cm="1">
        <f t="array" ref="E276">INDEX($J$202:$J$206,MATCH(E$230,EV_charger_type,0))*INDEX(EV06_domestic_Default,$C276)*EV07_domestic_Default</f>
        <v>59.408987051478427</v>
      </c>
      <c r="F276" s="191" cm="1">
        <f t="array" ref="F276">INDEX($J$202:$J$206,MATCH(F$230,EV_charger_type,0))*INDEX(EV06_work,$C276)*EV07_work_Default</f>
        <v>2.0319355662838818</v>
      </c>
      <c r="G276" s="191" cm="1">
        <f t="array" ref="G276">INDEX($J$202:$J$206,MATCH(G$230,EV_charger_type,0))*INDEX(EV06_slowfast,$C276)*EV07_slowfast_Default</f>
        <v>0.94277891178150397</v>
      </c>
      <c r="H276" s="191" cm="1">
        <f t="array" ref="H276">INDEX($J$202:$J$206,MATCH(H$230,EV_charger_type,0))*INDEX(EV06_rapid,$C276)*EV07_rapid_Default</f>
        <v>11.993244926028446</v>
      </c>
      <c r="I276" s="191" cm="1">
        <f t="array" ref="I276">INDEX($J$202:$J$206,MATCH(I$230,EV_charger_type,0))*INDEX(EV06_depot,$C276)*EV07_depot_Default</f>
        <v>547.47364839874558</v>
      </c>
      <c r="J276" s="192">
        <f t="shared" si="19"/>
        <v>621.85059485431782</v>
      </c>
      <c r="K276" s="192">
        <f t="shared" si="20"/>
        <v>5.1820882904526488</v>
      </c>
      <c r="L276" s="194"/>
      <c r="M276" s="194"/>
      <c r="N276" s="180">
        <v>0.91666666666666663</v>
      </c>
      <c r="O276" s="191" cm="1">
        <f t="array" ref="O276">INDEX($K$202:$K$206,MATCH(O$230,EV_charger_type,0))*INDEX(EV06_domestic_lower,$C276)*EV07_domestic_lower</f>
        <v>51.662444610784071</v>
      </c>
      <c r="P276" s="191" cm="1">
        <f t="array" ref="P276">INDEX($K$202:$K$206,MATCH(P$230,EV_charger_type,0))*INDEX(EV06_work,$C276)*EV07_work_lower</f>
        <v>1.5933141840804539</v>
      </c>
      <c r="Q276" s="191" cm="1">
        <f t="array" ref="Q276">INDEX($K$202:$K$206,MATCH(Q$230,EV_charger_type,0))*INDEX(EV06_slowfast,$C276)*EV07_slowfast_lower</f>
        <v>0.16732850125655038</v>
      </c>
      <c r="R276" s="191" cm="1">
        <f t="array" ref="R276">INDEX($K$202:$K$206,MATCH(R$230,EV_charger_type,0))*INDEX(EV06_rapid,$C276)*EV07_rapid_lower</f>
        <v>9.3046519777746131</v>
      </c>
      <c r="S276" s="191" cm="1">
        <f t="array" ref="S276">INDEX($K$202:$K$206,MATCH(S$230,EV_charger_type,0))*INDEX(EV06_depot,$C276)*EV07_depot_lower</f>
        <v>547.47364839874558</v>
      </c>
      <c r="T276" s="192">
        <f t="shared" si="21"/>
        <v>610.20138767264132</v>
      </c>
      <c r="U276" s="192">
        <f t="shared" si="17"/>
        <v>5.0850115639386777</v>
      </c>
      <c r="V276" s="194"/>
      <c r="W276" s="194"/>
      <c r="X276" s="180">
        <v>0.91666666666666663</v>
      </c>
      <c r="Y276" s="191" cm="1">
        <f t="array" ref="Y276">INDEX($L$202:$L$206,MATCH(Y$230,EV_charger_type,0))*INDEX(EV06_domestic_upper,$C276)*EV07_domestic_upper</f>
        <v>68.329707570756256</v>
      </c>
      <c r="Z276" s="191" cm="1">
        <f t="array" ref="Z276">INDEX($L$202:$L$206,MATCH(Z$230,EV_charger_type,0))*INDEX(EV06_work,$C276)*EV07_work_upper</f>
        <v>2.4796016891259502</v>
      </c>
      <c r="AA276" s="191" cm="1">
        <f t="array" ref="AA276">INDEX($L$202:$L$206,MATCH(AA$230,EV_charger_type,0))*INDEX(EV06_slowfast,$C276)*EV07_slowfast_upper</f>
        <v>1.927276341911224</v>
      </c>
      <c r="AB276" s="191" cm="1">
        <f t="array" ref="AB276">INDEX($L$202:$L$206,MATCH(AB$230,EV_charger_type,0))*INDEX(EV06_rapid,$C276)*EV07_rapid_upper</f>
        <v>14.681837874282275</v>
      </c>
      <c r="AC276" s="191" cm="1">
        <f t="array" ref="AC276">INDEX($L$202:$L$206,MATCH(AC$230,EV_charger_type,0))*INDEX(EV06_depot,$C276)*EV07_depot_upper</f>
        <v>547.47364839874558</v>
      </c>
      <c r="AD276" s="192">
        <f t="shared" si="22"/>
        <v>634.89207187482134</v>
      </c>
      <c r="AE276" s="192">
        <f t="shared" si="18"/>
        <v>5.2907672656235114</v>
      </c>
      <c r="AF276" s="194"/>
      <c r="AG276" s="194"/>
    </row>
    <row r="277" spans="2:33">
      <c r="B277" s="194"/>
      <c r="C277" s="194">
        <v>46</v>
      </c>
      <c r="D277" s="180">
        <v>0.9375</v>
      </c>
      <c r="E277" s="191" cm="1">
        <f t="array" ref="E277">INDEX($J$202:$J$206,MATCH(E$230,EV_charger_type,0))*INDEX(EV06_domestic_Default,$C277)*EV07_domestic_Default</f>
        <v>59.038603804500084</v>
      </c>
      <c r="F277" s="191" cm="1">
        <f t="array" ref="F277">INDEX($J$202:$J$206,MATCH(F$230,EV_charger_type,0))*INDEX(EV06_work,$C277)*EV07_work_Default</f>
        <v>1.8343319987959521</v>
      </c>
      <c r="G277" s="191" cm="1">
        <f t="array" ref="G277">INDEX($J$202:$J$206,MATCH(G$230,EV_charger_type,0))*INDEX(EV06_slowfast,$C277)*EV07_slowfast_Default</f>
        <v>0.84598113389560836</v>
      </c>
      <c r="H277" s="191" cm="1">
        <f t="array" ref="H277">INDEX($J$202:$J$206,MATCH(H$230,EV_charger_type,0))*INDEX(EV06_rapid,$C277)*EV07_rapid_Default</f>
        <v>9.5582000307795312</v>
      </c>
      <c r="I277" s="191" cm="1">
        <f t="array" ref="I277">INDEX($J$202:$J$206,MATCH(I$230,EV_charger_type,0))*INDEX(EV06_depot,$C277)*EV07_depot_Default</f>
        <v>545.27874002703368</v>
      </c>
      <c r="J277" s="192">
        <f t="shared" si="19"/>
        <v>616.55585699500489</v>
      </c>
      <c r="K277" s="192">
        <f t="shared" si="20"/>
        <v>5.1379654749583743</v>
      </c>
      <c r="L277" s="194"/>
      <c r="M277" s="194"/>
      <c r="N277" s="180">
        <v>0.9375</v>
      </c>
      <c r="O277" s="191" cm="1">
        <f t="array" ref="O277">INDEX($K$202:$K$206,MATCH(O$230,EV_charger_type,0))*INDEX(EV06_domestic_lower,$C277)*EV07_domestic_lower</f>
        <v>51.340356911069549</v>
      </c>
      <c r="P277" s="191" cm="1">
        <f t="array" ref="P277">INDEX($K$202:$K$206,MATCH(P$230,EV_charger_type,0))*INDEX(EV06_work,$C277)*EV07_work_lower</f>
        <v>1.4383660783788428</v>
      </c>
      <c r="Q277" s="191" cm="1">
        <f t="array" ref="Q277">INDEX($K$202:$K$206,MATCH(Q$230,EV_charger_type,0))*INDEX(EV06_slowfast,$C277)*EV07_slowfast_lower</f>
        <v>0.15014841067942347</v>
      </c>
      <c r="R277" s="191" cm="1">
        <f t="array" ref="R277">INDEX($K$202:$K$206,MATCH(R$230,EV_charger_type,0))*INDEX(EV06_rapid,$C277)*EV07_rapid_lower</f>
        <v>7.4154847473634602</v>
      </c>
      <c r="S277" s="191" cm="1">
        <f t="array" ref="S277">INDEX($K$202:$K$206,MATCH(S$230,EV_charger_type,0))*INDEX(EV06_depot,$C277)*EV07_depot_lower</f>
        <v>545.27874002703368</v>
      </c>
      <c r="T277" s="192">
        <f t="shared" si="21"/>
        <v>605.6230961745249</v>
      </c>
      <c r="U277" s="192">
        <f t="shared" si="17"/>
        <v>5.0468591347877076</v>
      </c>
      <c r="V277" s="194"/>
      <c r="W277" s="194"/>
      <c r="X277" s="180">
        <v>0.9375</v>
      </c>
      <c r="Y277" s="191" cm="1">
        <f t="array" ref="Y277">INDEX($L$202:$L$206,MATCH(Y$230,EV_charger_type,0))*INDEX(EV06_domestic_upper,$C277)*EV07_domestic_upper</f>
        <v>67.903708404448167</v>
      </c>
      <c r="Z277" s="191" cm="1">
        <f t="array" ref="Z277">INDEX($L$202:$L$206,MATCH(Z$230,EV_charger_type,0))*INDEX(EV06_work,$C277)*EV07_work_upper</f>
        <v>2.2384630684675777</v>
      </c>
      <c r="AA277" s="191" cm="1">
        <f t="array" ref="AA277">INDEX($L$202:$L$206,MATCH(AA$230,EV_charger_type,0))*INDEX(EV06_slowfast,$C277)*EV07_slowfast_upper</f>
        <v>1.7293974278437232</v>
      </c>
      <c r="AB277" s="191" cm="1">
        <f t="array" ref="AB277">INDEX($L$202:$L$206,MATCH(AB$230,EV_charger_type,0))*INDEX(EV06_rapid,$C277)*EV07_rapid_upper</f>
        <v>11.700915314195603</v>
      </c>
      <c r="AC277" s="191" cm="1">
        <f t="array" ref="AC277">INDEX($L$202:$L$206,MATCH(AC$230,EV_charger_type,0))*INDEX(EV06_depot,$C277)*EV07_depot_upper</f>
        <v>545.27874002703368</v>
      </c>
      <c r="AD277" s="192">
        <f t="shared" si="22"/>
        <v>628.8512242419888</v>
      </c>
      <c r="AE277" s="192">
        <f t="shared" si="18"/>
        <v>5.2404268686832403</v>
      </c>
      <c r="AF277" s="194"/>
      <c r="AG277" s="194"/>
    </row>
    <row r="278" spans="2:33">
      <c r="B278" s="194"/>
      <c r="C278" s="194">
        <v>47</v>
      </c>
      <c r="D278" s="180">
        <v>0.95833333333333337</v>
      </c>
      <c r="E278" s="191" cm="1">
        <f t="array" ref="E278">INDEX($J$202:$J$206,MATCH(E$230,EV_charger_type,0))*INDEX(EV06_domestic_Default,$C278)*EV07_domestic_Default</f>
        <v>62.174810728459121</v>
      </c>
      <c r="F278" s="191" cm="1">
        <f t="array" ref="F278">INDEX($J$202:$J$206,MATCH(F$230,EV_charger_type,0))*INDEX(EV06_work,$C278)*EV07_work_Default</f>
        <v>1.6367284313080217</v>
      </c>
      <c r="G278" s="191" cm="1">
        <f t="array" ref="G278">INDEX($J$202:$J$206,MATCH(G$230,EV_charger_type,0))*INDEX(EV06_slowfast,$C278)*EV07_slowfast_Default</f>
        <v>0.74918335600971253</v>
      </c>
      <c r="H278" s="191" cm="1">
        <f t="array" ref="H278">INDEX($J$202:$J$206,MATCH(H$230,EV_charger_type,0))*INDEX(EV06_rapid,$C278)*EV07_rapid_Default</f>
        <v>8.0218637084596143</v>
      </c>
      <c r="I278" s="191" cm="1">
        <f t="array" ref="I278">INDEX($J$202:$J$206,MATCH(I$230,EV_charger_type,0))*INDEX(EV06_depot,$C278)*EV07_depot_Default</f>
        <v>544.65753954447359</v>
      </c>
      <c r="J278" s="192">
        <f t="shared" si="19"/>
        <v>617.24012576871007</v>
      </c>
      <c r="K278" s="192">
        <f t="shared" si="20"/>
        <v>5.1436677147392507</v>
      </c>
      <c r="L278" s="194"/>
      <c r="M278" s="194"/>
      <c r="N278" s="180">
        <v>0.95833333333333337</v>
      </c>
      <c r="O278" s="191" cm="1">
        <f t="array" ref="O278">INDEX($K$202:$K$206,MATCH(O$230,EV_charger_type,0))*INDEX(EV06_domestic_lower,$C278)*EV07_domestic_lower</f>
        <v>54.067623012351433</v>
      </c>
      <c r="P278" s="191" cm="1">
        <f t="array" ref="P278">INDEX($K$202:$K$206,MATCH(P$230,EV_charger_type,0))*INDEX(EV06_work,$C278)*EV07_work_lower</f>
        <v>1.2834179726772315</v>
      </c>
      <c r="Q278" s="191" cm="1">
        <f t="array" ref="Q278">INDEX($K$202:$K$206,MATCH(Q$230,EV_charger_type,0))*INDEX(EV06_slowfast,$C278)*EV07_slowfast_lower</f>
        <v>0.13296832010229656</v>
      </c>
      <c r="R278" s="191" cm="1">
        <f t="array" ref="R278">INDEX($K$202:$K$206,MATCH(R$230,EV_charger_type,0))*INDEX(EV06_rapid,$C278)*EV07_rapid_lower</f>
        <v>6.2235575509983647</v>
      </c>
      <c r="S278" s="191" cm="1">
        <f t="array" ref="S278">INDEX($K$202:$K$206,MATCH(S$230,EV_charger_type,0))*INDEX(EV06_depot,$C278)*EV07_depot_lower</f>
        <v>544.65753954447359</v>
      </c>
      <c r="T278" s="192">
        <f t="shared" si="21"/>
        <v>606.36510640060294</v>
      </c>
      <c r="U278" s="192">
        <f t="shared" si="17"/>
        <v>5.0530425533383578</v>
      </c>
      <c r="V278" s="194"/>
      <c r="W278" s="194"/>
      <c r="X278" s="180">
        <v>0.95833333333333337</v>
      </c>
      <c r="Y278" s="191" cm="1">
        <f t="array" ref="Y278">INDEX($L$202:$L$206,MATCH(Y$230,EV_charger_type,0))*INDEX(EV06_domestic_upper,$C278)*EV07_domestic_upper</f>
        <v>71.51084114027168</v>
      </c>
      <c r="Z278" s="191" cm="1">
        <f t="array" ref="Z278">INDEX($L$202:$L$206,MATCH(Z$230,EV_charger_type,0))*INDEX(EV06_work,$C278)*EV07_work_upper</f>
        <v>1.9973244478092047</v>
      </c>
      <c r="AA278" s="191" cm="1">
        <f t="array" ref="AA278">INDEX($L$202:$L$206,MATCH(AA$230,EV_charger_type,0))*INDEX(EV06_slowfast,$C278)*EV07_slowfast_upper</f>
        <v>1.5315185137762219</v>
      </c>
      <c r="AB278" s="191" cm="1">
        <f t="array" ref="AB278">INDEX($L$202:$L$206,MATCH(AB$230,EV_charger_type,0))*INDEX(EV06_rapid,$C278)*EV07_rapid_upper</f>
        <v>9.8201698659208638</v>
      </c>
      <c r="AC278" s="191" cm="1">
        <f t="array" ref="AC278">INDEX($L$202:$L$206,MATCH(AC$230,EV_charger_type,0))*INDEX(EV06_depot,$C278)*EV07_depot_upper</f>
        <v>544.65753954447359</v>
      </c>
      <c r="AD278" s="192">
        <f t="shared" si="22"/>
        <v>629.5173935122516</v>
      </c>
      <c r="AE278" s="192">
        <f t="shared" si="18"/>
        <v>5.2459782792687637</v>
      </c>
      <c r="AF278" s="194"/>
      <c r="AG278" s="194"/>
    </row>
    <row r="279" spans="2:33">
      <c r="B279" s="194"/>
      <c r="C279" s="194">
        <v>48</v>
      </c>
      <c r="D279" s="180">
        <v>0.97916666666666663</v>
      </c>
      <c r="E279" s="191" cm="1">
        <f t="array" ref="E279">INDEX($J$202:$J$206,MATCH(E$230,EV_charger_type,0))*INDEX(EV06_domestic_Default,$C279)*EV07_domestic_Default</f>
        <v>64.208363182641733</v>
      </c>
      <c r="F279" s="191" cm="1">
        <f t="array" ref="F279">INDEX($J$202:$J$206,MATCH(F$230,EV_charger_type,0))*INDEX(EV06_work,$C279)*EV07_work_Default</f>
        <v>1.4443353906784724</v>
      </c>
      <c r="G279" s="191" cm="1">
        <f t="array" ref="G279">INDEX($J$202:$J$206,MATCH(G$230,EV_charger_type,0))*INDEX(EV06_slowfast,$C279)*EV07_slowfast_Default</f>
        <v>0.68402507025314319</v>
      </c>
      <c r="H279" s="191" cm="1">
        <f t="array" ref="H279">INDEX($J$202:$J$206,MATCH(H$230,EV_charger_type,0))*INDEX(EV06_rapid,$C279)*EV07_rapid_Default</f>
        <v>6.4853719808875931</v>
      </c>
      <c r="I279" s="191" cm="1">
        <f t="array" ref="I279">INDEX($J$202:$J$206,MATCH(I$230,EV_charger_type,0))*INDEX(EV06_depot,$C279)*EV07_depot_Default</f>
        <v>544.03909995294714</v>
      </c>
      <c r="J279" s="192">
        <f t="shared" si="19"/>
        <v>616.86119557740813</v>
      </c>
      <c r="K279" s="192">
        <f t="shared" si="20"/>
        <v>5.1405099631450675</v>
      </c>
      <c r="L279" s="194"/>
      <c r="M279" s="194"/>
      <c r="N279" s="180">
        <v>0.97916666666666663</v>
      </c>
      <c r="O279" s="191" cm="1">
        <f t="array" ref="O279">INDEX($K$202:$K$206,MATCH(O$230,EV_charger_type,0))*INDEX(EV06_domestic_lower,$C279)*EV07_domestic_lower</f>
        <v>55.83601355798217</v>
      </c>
      <c r="P279" s="191" cm="1">
        <f t="array" ref="P279">INDEX($K$202:$K$206,MATCH(P$230,EV_charger_type,0))*INDEX(EV06_work,$C279)*EV07_work_lower</f>
        <v>1.1325556295793888</v>
      </c>
      <c r="Q279" s="191" cm="1">
        <f t="array" ref="Q279">INDEX($K$202:$K$206,MATCH(Q$230,EV_charger_type,0))*INDEX(EV06_slowfast,$C279)*EV07_slowfast_lower</f>
        <v>0.1214037441833354</v>
      </c>
      <c r="R279" s="191" cm="1">
        <f t="array" ref="R279">INDEX($K$202:$K$206,MATCH(R$230,EV_charger_type,0))*INDEX(EV06_rapid,$C279)*EV07_rapid_lower</f>
        <v>5.0315097874477175</v>
      </c>
      <c r="S279" s="191" cm="1">
        <f t="array" ref="S279">INDEX($K$202:$K$206,MATCH(S$230,EV_charger_type,0))*INDEX(EV06_depot,$C279)*EV07_depot_lower</f>
        <v>544.03909995294714</v>
      </c>
      <c r="T279" s="192">
        <f t="shared" si="21"/>
        <v>606.16058267213975</v>
      </c>
      <c r="U279" s="192">
        <f t="shared" si="17"/>
        <v>5.0513381889344977</v>
      </c>
      <c r="V279" s="194"/>
      <c r="W279" s="194"/>
      <c r="X279" s="180">
        <v>0.97916666666666663</v>
      </c>
      <c r="Y279" s="191" cm="1">
        <f t="array" ref="Y279">INDEX($L$202:$L$206,MATCH(Y$230,EV_charger_type,0))*INDEX(EV06_domestic_upper,$C279)*EV07_domestic_upper</f>
        <v>73.849747279231565</v>
      </c>
      <c r="Z279" s="191" cm="1">
        <f t="array" ref="Z279">INDEX($L$202:$L$206,MATCH(Z$230,EV_charger_type,0))*INDEX(EV06_work,$C279)*EV07_work_upper</f>
        <v>1.7625443118457502</v>
      </c>
      <c r="AA279" s="191" cm="1">
        <f t="array" ref="AA279">INDEX($L$202:$L$206,MATCH(AA$230,EV_charger_type,0))*INDEX(EV06_slowfast,$C279)*EV07_slowfast_upper</f>
        <v>1.3983186500024016</v>
      </c>
      <c r="AB279" s="191" cm="1">
        <f t="array" ref="AB279">INDEX($L$202:$L$206,MATCH(AB$230,EV_charger_type,0))*INDEX(EV06_rapid,$C279)*EV07_rapid_upper</f>
        <v>7.939234174327467</v>
      </c>
      <c r="AC279" s="191" cm="1">
        <f t="array" ref="AC279">INDEX($L$202:$L$206,MATCH(AC$230,EV_charger_type,0))*INDEX(EV06_depot,$C279)*EV07_depot_upper</f>
        <v>544.03909995294714</v>
      </c>
      <c r="AD279" s="192">
        <f t="shared" si="22"/>
        <v>628.98894436835428</v>
      </c>
      <c r="AE279" s="192">
        <f t="shared" si="18"/>
        <v>5.2415745364029522</v>
      </c>
      <c r="AF279" s="194"/>
      <c r="AG279" s="194"/>
    </row>
    <row r="280" spans="2:33">
      <c r="B280" s="194"/>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c r="AB280" s="194"/>
      <c r="AC280" s="194"/>
      <c r="AD280" s="194"/>
      <c r="AE280" s="194"/>
      <c r="AF280" s="194"/>
      <c r="AG280" s="194"/>
    </row>
    <row r="281" spans="2:33" ht="23.1" customHeight="1">
      <c r="B281" s="194"/>
      <c r="C281" s="387" t="s">
        <v>645</v>
      </c>
      <c r="D281" s="252"/>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c r="AA281" s="194"/>
      <c r="AB281" s="194"/>
      <c r="AC281" s="194"/>
      <c r="AD281" s="194"/>
      <c r="AE281" s="194"/>
      <c r="AF281" s="194"/>
      <c r="AG281" s="194"/>
    </row>
    <row r="282" spans="2:33" ht="24">
      <c r="B282" s="194"/>
      <c r="C282" s="387"/>
      <c r="D282" s="252"/>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c r="AA282" s="194"/>
      <c r="AB282" s="194"/>
      <c r="AC282" s="194"/>
      <c r="AD282" s="194"/>
      <c r="AE282" s="194"/>
      <c r="AF282" s="194"/>
      <c r="AG282" s="194"/>
    </row>
    <row r="283" spans="2:33" ht="24">
      <c r="B283" s="194"/>
      <c r="C283" s="387"/>
      <c r="D283" s="252"/>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c r="AB283" s="194"/>
      <c r="AC283" s="194"/>
      <c r="AD283" s="194"/>
      <c r="AE283" s="194"/>
      <c r="AF283" s="194"/>
      <c r="AG283" s="194"/>
    </row>
    <row r="284" spans="2:33" ht="24">
      <c r="B284" s="194"/>
      <c r="C284" s="387"/>
      <c r="D284" s="252"/>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c r="AB284" s="194"/>
      <c r="AC284" s="194"/>
      <c r="AD284" s="194"/>
      <c r="AE284" s="194"/>
      <c r="AF284" s="194"/>
      <c r="AG284" s="194"/>
    </row>
    <row r="285" spans="2:33">
      <c r="B285" s="196"/>
      <c r="C285" s="196" t="s">
        <v>646</v>
      </c>
      <c r="D285" s="196"/>
      <c r="E285" s="194"/>
      <c r="F285" s="194"/>
      <c r="G285" s="194"/>
      <c r="H285" s="194"/>
      <c r="I285" s="194"/>
      <c r="J285" s="194"/>
      <c r="K285" s="194"/>
      <c r="L285" s="194"/>
      <c r="M285" s="194"/>
      <c r="N285" s="196" t="s">
        <v>647</v>
      </c>
      <c r="O285" s="194"/>
      <c r="P285" s="194"/>
      <c r="Q285" s="194"/>
      <c r="R285" s="194"/>
      <c r="S285" s="194"/>
      <c r="T285" s="194"/>
      <c r="U285" s="194"/>
      <c r="V285" s="194"/>
      <c r="W285" s="194"/>
      <c r="X285" s="196" t="s">
        <v>648</v>
      </c>
      <c r="Y285" s="194"/>
      <c r="Z285" s="194"/>
      <c r="AA285" s="194"/>
      <c r="AB285" s="194"/>
      <c r="AC285" s="194"/>
      <c r="AD285" s="194"/>
      <c r="AE285" s="194"/>
      <c r="AF285" s="194"/>
      <c r="AG285" s="194"/>
    </row>
    <row r="286" spans="2:33">
      <c r="B286" s="196"/>
      <c r="C286" s="196"/>
      <c r="D286" s="196"/>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c r="AA286" s="194"/>
      <c r="AB286" s="194"/>
      <c r="AC286" s="194"/>
      <c r="AD286" s="194"/>
      <c r="AE286" s="194"/>
      <c r="AF286" s="194"/>
      <c r="AG286" s="194"/>
    </row>
    <row r="287" spans="2:33">
      <c r="B287" s="194"/>
      <c r="C287" s="194"/>
      <c r="D287" s="194"/>
      <c r="E287" s="168" t="s">
        <v>226</v>
      </c>
      <c r="F287" s="168" t="s">
        <v>245</v>
      </c>
      <c r="G287" s="168" t="s">
        <v>265</v>
      </c>
      <c r="H287" s="168" t="s">
        <v>279</v>
      </c>
      <c r="I287" s="168" t="s">
        <v>289</v>
      </c>
      <c r="J287" s="168" t="s">
        <v>641</v>
      </c>
      <c r="K287" s="168" t="s">
        <v>642</v>
      </c>
      <c r="L287" s="194"/>
      <c r="M287" s="194"/>
      <c r="N287" s="194"/>
      <c r="O287" s="168" t="s">
        <v>226</v>
      </c>
      <c r="P287" s="168" t="s">
        <v>245</v>
      </c>
      <c r="Q287" s="168" t="s">
        <v>265</v>
      </c>
      <c r="R287" s="168" t="s">
        <v>279</v>
      </c>
      <c r="S287" s="168" t="s">
        <v>289</v>
      </c>
      <c r="T287" s="168" t="s">
        <v>641</v>
      </c>
      <c r="U287" s="168" t="s">
        <v>642</v>
      </c>
      <c r="V287" s="194"/>
      <c r="W287" s="194"/>
      <c r="X287" s="194"/>
      <c r="Y287" s="168" t="s">
        <v>226</v>
      </c>
      <c r="Z287" s="168" t="s">
        <v>245</v>
      </c>
      <c r="AA287" s="168" t="s">
        <v>265</v>
      </c>
      <c r="AB287" s="168" t="s">
        <v>279</v>
      </c>
      <c r="AC287" s="168" t="s">
        <v>289</v>
      </c>
      <c r="AD287" s="168" t="s">
        <v>641</v>
      </c>
      <c r="AE287" s="168" t="s">
        <v>642</v>
      </c>
      <c r="AF287" s="194"/>
      <c r="AG287" s="194"/>
    </row>
    <row r="288" spans="2:33">
      <c r="B288" s="194"/>
      <c r="C288" s="168" t="s">
        <v>497</v>
      </c>
      <c r="D288" s="168" t="s">
        <v>340</v>
      </c>
      <c r="E288" s="172" t="s">
        <v>593</v>
      </c>
      <c r="F288" s="172" t="s">
        <v>593</v>
      </c>
      <c r="G288" s="172" t="s">
        <v>593</v>
      </c>
      <c r="H288" s="172" t="s">
        <v>593</v>
      </c>
      <c r="I288" s="172" t="s">
        <v>593</v>
      </c>
      <c r="J288" s="172" t="s">
        <v>593</v>
      </c>
      <c r="K288" s="172" t="s">
        <v>593</v>
      </c>
      <c r="L288" s="194"/>
      <c r="M288" s="168" t="s">
        <v>497</v>
      </c>
      <c r="N288" s="168" t="s">
        <v>340</v>
      </c>
      <c r="O288" s="172" t="s">
        <v>588</v>
      </c>
      <c r="P288" s="172" t="s">
        <v>588</v>
      </c>
      <c r="Q288" s="172" t="s">
        <v>588</v>
      </c>
      <c r="R288" s="172" t="s">
        <v>588</v>
      </c>
      <c r="S288" s="172" t="s">
        <v>588</v>
      </c>
      <c r="T288" s="172" t="s">
        <v>588</v>
      </c>
      <c r="U288" s="172" t="s">
        <v>588</v>
      </c>
      <c r="V288" s="194"/>
      <c r="W288" s="168" t="s">
        <v>497</v>
      </c>
      <c r="X288" s="168" t="s">
        <v>340</v>
      </c>
      <c r="Y288" s="172" t="s">
        <v>589</v>
      </c>
      <c r="Z288" s="172" t="s">
        <v>589</v>
      </c>
      <c r="AA288" s="172" t="s">
        <v>589</v>
      </c>
      <c r="AB288" s="172" t="s">
        <v>589</v>
      </c>
      <c r="AC288" s="172" t="s">
        <v>589</v>
      </c>
      <c r="AD288" s="172" t="s">
        <v>589</v>
      </c>
      <c r="AE288" s="172" t="s">
        <v>589</v>
      </c>
      <c r="AF288" s="194"/>
      <c r="AG288" s="194"/>
    </row>
    <row r="289" spans="2:33">
      <c r="B289" s="194"/>
      <c r="C289" s="2" t="s">
        <v>569</v>
      </c>
      <c r="D289" s="2" t="s">
        <v>136</v>
      </c>
      <c r="E289" s="192">
        <f>MAX(E294:E341)</f>
        <v>84.089137775059271</v>
      </c>
      <c r="F289" s="192">
        <f t="shared" ref="F289:J289" si="23">MAX(F294:F341)</f>
        <v>23.855434406349541</v>
      </c>
      <c r="G289" s="192">
        <f t="shared" si="23"/>
        <v>5.3760746958637036</v>
      </c>
      <c r="H289" s="192">
        <f>MAX(H294:H341)</f>
        <v>10.7077285987659</v>
      </c>
      <c r="I289" s="192">
        <f t="shared" si="23"/>
        <v>0</v>
      </c>
      <c r="J289" s="192">
        <f t="shared" si="23"/>
        <v>87.046325341167559</v>
      </c>
      <c r="K289" s="192">
        <f>MAX(K294:K341)</f>
        <v>0.77719933340328173</v>
      </c>
      <c r="L289" s="194"/>
      <c r="M289" s="2" t="s">
        <v>569</v>
      </c>
      <c r="N289" s="2" t="s">
        <v>136</v>
      </c>
      <c r="O289" s="192">
        <f>MAX(O294:O341)</f>
        <v>73.124465477054144</v>
      </c>
      <c r="P289" s="192">
        <f t="shared" ref="P289:U289" si="24">MAX(P294:P341)</f>
        <v>18.705909103481549</v>
      </c>
      <c r="Q289" s="192">
        <f t="shared" si="24"/>
        <v>0.95416911670444815</v>
      </c>
      <c r="R289" s="192">
        <f t="shared" si="24"/>
        <v>3.2123185796297697</v>
      </c>
      <c r="S289" s="192">
        <f t="shared" si="24"/>
        <v>0</v>
      </c>
      <c r="T289" s="192">
        <f t="shared" si="24"/>
        <v>74.468366506591096</v>
      </c>
      <c r="U289" s="192">
        <f t="shared" si="24"/>
        <v>0.66489612952313482</v>
      </c>
      <c r="V289" s="194"/>
      <c r="W289" s="2" t="s">
        <v>569</v>
      </c>
      <c r="X289" s="2" t="s">
        <v>136</v>
      </c>
      <c r="Y289" s="192">
        <f>MAX(Y294:Y341)</f>
        <v>96.715774484894979</v>
      </c>
      <c r="Z289" s="192">
        <f t="shared" ref="Z289:AE289" si="25">MAX(Z294:Z341)</f>
        <v>29.111147238294617</v>
      </c>
      <c r="AA289" s="192">
        <f t="shared" si="25"/>
        <v>10.990043841887477</v>
      </c>
      <c r="AB289" s="192">
        <f t="shared" si="25"/>
        <v>18.203138617902031</v>
      </c>
      <c r="AC289" s="192">
        <f t="shared" si="25"/>
        <v>0</v>
      </c>
      <c r="AD289" s="192">
        <f t="shared" si="25"/>
        <v>101.41571075106535</v>
      </c>
      <c r="AE289" s="192">
        <f t="shared" si="25"/>
        <v>0.90549741742022627</v>
      </c>
      <c r="AF289" s="194"/>
      <c r="AG289" s="194"/>
    </row>
    <row r="290" spans="2:33">
      <c r="B290" s="194"/>
      <c r="C290" s="2" t="s">
        <v>643</v>
      </c>
      <c r="D290" s="2" t="s">
        <v>594</v>
      </c>
      <c r="E290" s="193">
        <f t="shared" ref="E290:K290" si="26">INDEX(times,MATCH(E289,E$294:E$341,0))</f>
        <v>2.0833333333333332E-2</v>
      </c>
      <c r="F290" s="193">
        <f t="shared" si="26"/>
        <v>0.33333333333333331</v>
      </c>
      <c r="G290" s="193">
        <f t="shared" si="26"/>
        <v>0.375</v>
      </c>
      <c r="H290" s="193">
        <f t="shared" si="26"/>
        <v>0.5625</v>
      </c>
      <c r="I290" s="193">
        <f t="shared" si="26"/>
        <v>0</v>
      </c>
      <c r="J290" s="193">
        <f t="shared" si="26"/>
        <v>2.0833333333333332E-2</v>
      </c>
      <c r="K290" s="193">
        <f t="shared" si="26"/>
        <v>2.0833333333333332E-2</v>
      </c>
      <c r="L290" s="194"/>
      <c r="M290" s="2" t="s">
        <v>643</v>
      </c>
      <c r="N290" s="2" t="s">
        <v>594</v>
      </c>
      <c r="O290" s="193">
        <f t="shared" ref="O290:U290" si="27">INDEX(times,MATCH(O289,O$294:O$341,0))</f>
        <v>2.0833333333333332E-2</v>
      </c>
      <c r="P290" s="193">
        <f t="shared" si="27"/>
        <v>0.33333333333333331</v>
      </c>
      <c r="Q290" s="193">
        <f t="shared" si="27"/>
        <v>0.375</v>
      </c>
      <c r="R290" s="193">
        <f t="shared" si="27"/>
        <v>0.5625</v>
      </c>
      <c r="S290" s="193">
        <f t="shared" si="27"/>
        <v>0</v>
      </c>
      <c r="T290" s="193">
        <f t="shared" si="27"/>
        <v>2.0833333333333332E-2</v>
      </c>
      <c r="U290" s="193">
        <f t="shared" si="27"/>
        <v>2.0833333333333332E-2</v>
      </c>
      <c r="V290" s="194"/>
      <c r="W290" s="2" t="s">
        <v>643</v>
      </c>
      <c r="X290" s="2" t="s">
        <v>594</v>
      </c>
      <c r="Y290" s="193">
        <f t="shared" ref="Y290:AE290" si="28">INDEX(times,MATCH(Y289,Y$294:Y$341,0))</f>
        <v>2.0833333333333332E-2</v>
      </c>
      <c r="Z290" s="193">
        <f t="shared" si="28"/>
        <v>0.33333333333333331</v>
      </c>
      <c r="AA290" s="193">
        <f t="shared" si="28"/>
        <v>0.375</v>
      </c>
      <c r="AB290" s="193">
        <f t="shared" si="28"/>
        <v>0.5625</v>
      </c>
      <c r="AC290" s="193">
        <f t="shared" si="28"/>
        <v>0</v>
      </c>
      <c r="AD290" s="193">
        <f t="shared" si="28"/>
        <v>2.0833333333333332E-2</v>
      </c>
      <c r="AE290" s="193">
        <f t="shared" si="28"/>
        <v>2.0833333333333332E-2</v>
      </c>
      <c r="AF290" s="194"/>
      <c r="AG290" s="194"/>
    </row>
    <row r="291" spans="2:33">
      <c r="B291" s="194"/>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c r="AB291" s="194"/>
      <c r="AC291" s="194"/>
      <c r="AD291" s="194"/>
      <c r="AE291" s="194"/>
      <c r="AF291" s="194"/>
      <c r="AG291" s="194"/>
    </row>
    <row r="292" spans="2:33">
      <c r="B292" s="194"/>
      <c r="C292" s="194"/>
      <c r="D292" s="176" t="s">
        <v>644</v>
      </c>
      <c r="E292" s="168" t="s">
        <v>226</v>
      </c>
      <c r="F292" s="168" t="s">
        <v>245</v>
      </c>
      <c r="G292" s="168" t="s">
        <v>265</v>
      </c>
      <c r="H292" s="168" t="s">
        <v>279</v>
      </c>
      <c r="I292" s="168" t="s">
        <v>289</v>
      </c>
      <c r="J292" s="168" t="s">
        <v>641</v>
      </c>
      <c r="K292" s="168" t="s">
        <v>642</v>
      </c>
      <c r="L292" s="194"/>
      <c r="M292" s="194"/>
      <c r="N292" s="176" t="s">
        <v>644</v>
      </c>
      <c r="O292" s="168" t="s">
        <v>226</v>
      </c>
      <c r="P292" s="168" t="s">
        <v>245</v>
      </c>
      <c r="Q292" s="168" t="s">
        <v>265</v>
      </c>
      <c r="R292" s="168" t="s">
        <v>279</v>
      </c>
      <c r="S292" s="168" t="s">
        <v>289</v>
      </c>
      <c r="T292" s="168" t="s">
        <v>641</v>
      </c>
      <c r="U292" s="168" t="s">
        <v>642</v>
      </c>
      <c r="V292" s="194"/>
      <c r="W292" s="194"/>
      <c r="X292" s="176" t="s">
        <v>644</v>
      </c>
      <c r="Y292" s="168" t="s">
        <v>226</v>
      </c>
      <c r="Z292" s="168" t="s">
        <v>245</v>
      </c>
      <c r="AA292" s="168" t="s">
        <v>265</v>
      </c>
      <c r="AB292" s="168" t="s">
        <v>279</v>
      </c>
      <c r="AC292" s="168" t="s">
        <v>289</v>
      </c>
      <c r="AD292" s="168" t="s">
        <v>641</v>
      </c>
      <c r="AE292" s="168" t="s">
        <v>642</v>
      </c>
      <c r="AF292" s="194"/>
      <c r="AG292" s="194"/>
    </row>
    <row r="293" spans="2:33">
      <c r="B293" s="194"/>
      <c r="C293" s="194"/>
      <c r="D293" s="168" t="s">
        <v>594</v>
      </c>
      <c r="E293" s="172" t="s">
        <v>593</v>
      </c>
      <c r="F293" s="172" t="s">
        <v>593</v>
      </c>
      <c r="G293" s="172" t="s">
        <v>593</v>
      </c>
      <c r="H293" s="172" t="s">
        <v>593</v>
      </c>
      <c r="I293" s="172" t="s">
        <v>593</v>
      </c>
      <c r="J293" s="172" t="s">
        <v>593</v>
      </c>
      <c r="K293" s="172" t="s">
        <v>593</v>
      </c>
      <c r="L293" s="194"/>
      <c r="M293" s="194"/>
      <c r="N293" s="168" t="s">
        <v>594</v>
      </c>
      <c r="O293" s="172" t="s">
        <v>588</v>
      </c>
      <c r="P293" s="172" t="s">
        <v>588</v>
      </c>
      <c r="Q293" s="172" t="s">
        <v>588</v>
      </c>
      <c r="R293" s="172" t="s">
        <v>588</v>
      </c>
      <c r="S293" s="172" t="s">
        <v>588</v>
      </c>
      <c r="T293" s="172" t="s">
        <v>588</v>
      </c>
      <c r="U293" s="172" t="s">
        <v>588</v>
      </c>
      <c r="V293" s="194"/>
      <c r="W293" s="194"/>
      <c r="X293" s="168" t="s">
        <v>594</v>
      </c>
      <c r="Y293" s="172" t="s">
        <v>589</v>
      </c>
      <c r="Z293" s="172" t="s">
        <v>589</v>
      </c>
      <c r="AA293" s="172" t="s">
        <v>589</v>
      </c>
      <c r="AB293" s="172" t="s">
        <v>589</v>
      </c>
      <c r="AC293" s="172" t="s">
        <v>589</v>
      </c>
      <c r="AD293" s="172" t="s">
        <v>589</v>
      </c>
      <c r="AE293" s="172" t="s">
        <v>589</v>
      </c>
      <c r="AF293" s="194"/>
      <c r="AG293" s="194"/>
    </row>
    <row r="294" spans="2:33">
      <c r="B294" s="194"/>
      <c r="C294" s="194">
        <v>1</v>
      </c>
      <c r="D294" s="180">
        <v>0</v>
      </c>
      <c r="E294" s="191" cm="1">
        <f t="array" ref="E294">INDEX($J$209:$J$213,MATCH(E$230,EV_charger_type,0))*INDEX(EV06_domestic_Default,$C294)*EV07_domestic_Default</f>
        <v>76.519944273583064</v>
      </c>
      <c r="F294" s="191" cm="1">
        <f t="array" ref="F294">INDEX($J$209:$J$213,MATCH(F$230,EV_charger_type,0))*INDEX(EV06_work,$C294)*EV07_work_Default</f>
        <v>1.2519423500489228</v>
      </c>
      <c r="G294" s="191" cm="1">
        <f t="array" ref="G294">INDEX($J$209:$J$213,MATCH(G$230,EV_charger_type,0))*INDEX(EV06_slowfast,$C294)*EV07_slowfast_Default</f>
        <v>0.61886678449657373</v>
      </c>
      <c r="H294" s="191" cm="1">
        <f t="array" ref="H294">INDEX($J$209:$J$213,MATCH(H$230,EV_charger_type,0))*INDEX(EV06_rapid,$C294)*EV07_rapid_Default</f>
        <v>1.693179803200626</v>
      </c>
      <c r="I294" s="191" cm="1">
        <f t="array" ref="I294">INDEX($J$209:$J$213,MATCH(I$230,EV_charger_type,0))*INDEX(EV06_depot,$C294)*EV07_depot_Default</f>
        <v>0</v>
      </c>
      <c r="J294" s="192">
        <f>SUM(E294:I294)</f>
        <v>80.083933211329182</v>
      </c>
      <c r="K294" s="192">
        <f t="shared" ref="K294:K341" si="29">IFERROR(J294/(SUM(EV_number_BB1,EV_number_BB2)),0)</f>
        <v>0.71503511795829622</v>
      </c>
      <c r="L294" s="194"/>
      <c r="M294" s="194"/>
      <c r="N294" s="180">
        <v>0</v>
      </c>
      <c r="O294" s="191" cm="1">
        <f t="array" ref="O294">INDEX($K$209:$K$213,MATCH(O$230,EV_charger_type,0))*INDEX(EV06_domestic_lower,$C294)*EV07_domestic_lower</f>
        <v>66.54224518638533</v>
      </c>
      <c r="P294" s="191" cm="1">
        <f t="array" ref="P294">INDEX($K$209:$K$213,MATCH(P$230,EV_charger_type,0))*INDEX(EV06_work,$C294)*EV07_work_lower</f>
        <v>0.98169328648154608</v>
      </c>
      <c r="Q294" s="191" cm="1">
        <f t="array" ref="Q294">INDEX($K$209:$K$213,MATCH(Q$230,EV_charger_type,0))*INDEX(EV06_slowfast,$C294)*EV07_slowfast_lower</f>
        <v>0.10983916826437422</v>
      </c>
      <c r="R294" s="191" cm="1">
        <f t="array" ref="R294">INDEX($K$209:$K$213,MATCH(R$230,EV_charger_type,0))*INDEX(EV06_rapid,$C294)*EV07_rapid_lower</f>
        <v>0.50795394096018776</v>
      </c>
      <c r="S294" s="191" cm="1">
        <f t="array" ref="S294">INDEX($K$209:$K$213,MATCH(S$230,EV_charger_type,0))*INDEX(EV06_depot,$C294)*EV07_depot_lower</f>
        <v>0</v>
      </c>
      <c r="T294" s="192">
        <f>SUM(O294:S294)</f>
        <v>68.141731582091438</v>
      </c>
      <c r="U294" s="192">
        <f t="shared" ref="U294:U341" si="30">IFERROR(T294/(SUM(EV_number_BB1,EV_number_BB2)),0)</f>
        <v>0.60840831769724502</v>
      </c>
      <c r="V294" s="194"/>
      <c r="W294" s="194"/>
      <c r="X294" s="180">
        <v>0</v>
      </c>
      <c r="Y294" s="191" cm="1">
        <f t="array" ref="Y294">INDEX($L$209:$L$213,MATCH(Y$230,EV_charger_type,0))*INDEX(EV06_domestic_upper,$C294)*EV07_domestic_upper</f>
        <v>88.010007829520447</v>
      </c>
      <c r="Z294" s="191" cm="1">
        <f t="array" ref="Z294">INDEX($L$209:$L$213,MATCH(Z$230,EV_charger_type,0))*INDEX(EV06_work,$C294)*EV07_work_upper</f>
        <v>1.527764175882296</v>
      </c>
      <c r="AA294" s="191" cm="1">
        <f t="array" ref="AA294">INDEX($L$209:$L$213,MATCH(AA$230,EV_charger_type,0))*INDEX(EV06_slowfast,$C294)*EV07_slowfast_upper</f>
        <v>1.2651187862285806</v>
      </c>
      <c r="AB294" s="191" cm="1">
        <f t="array" ref="AB294">INDEX($L$209:$L$213,MATCH(AB$230,EV_charger_type,0))*INDEX(EV06_rapid,$C294)*EV07_rapid_upper</f>
        <v>2.8784056654410644</v>
      </c>
      <c r="AC294" s="191" cm="1">
        <f t="array" ref="AC294">INDEX($L$209:$L$213,MATCH(AC$230,EV_charger_type,0))*INDEX(EV06_depot,$C294)*EV07_depot_upper</f>
        <v>0</v>
      </c>
      <c r="AD294" s="192">
        <f>SUM(Y294:AC294)</f>
        <v>93.681296457072392</v>
      </c>
      <c r="AE294" s="192">
        <f t="shared" ref="AE294:AE341" si="31">IFERROR(AD294/(SUM(EV_number_BB1,EV_number_BB2)),0)</f>
        <v>0.83644014693814639</v>
      </c>
      <c r="AF294" s="194"/>
      <c r="AG294" s="194"/>
    </row>
    <row r="295" spans="2:33">
      <c r="B295" s="194"/>
      <c r="C295" s="194">
        <v>2</v>
      </c>
      <c r="D295" s="180">
        <v>2.0833333333333332E-2</v>
      </c>
      <c r="E295" s="191" cm="1">
        <f t="array" ref="E295">INDEX($J$209:$J$213,MATCH(E$230,EV_charger_type,0))*INDEX(EV06_domestic_Default,$C295)*EV07_domestic_Default</f>
        <v>84.089137775059271</v>
      </c>
      <c r="F295" s="191" cm="1">
        <f t="array" ref="F295">INDEX($J$209:$J$213,MATCH(F$230,EV_charger_type,0))*INDEX(EV06_work,$C295)*EV07_work_Default</f>
        <v>1.08565857987278</v>
      </c>
      <c r="G295" s="191" cm="1">
        <f t="array" ref="G295">INDEX($J$209:$J$213,MATCH(G$230,EV_charger_type,0))*INDEX(EV06_slowfast,$C295)*EV07_slowfast_Default</f>
        <v>0.56206560179612908</v>
      </c>
      <c r="H295" s="191" cm="1">
        <f t="array" ref="H295">INDEX($J$209:$J$213,MATCH(H$230,EV_charger_type,0))*INDEX(EV06_rapid,$C295)*EV07_rapid_Default</f>
        <v>1.3094633844393662</v>
      </c>
      <c r="I295" s="191" cm="1">
        <f t="array" ref="I295">INDEX($J$209:$J$213,MATCH(I$230,EV_charger_type,0))*INDEX(EV06_depot,$C295)*EV07_depot_Default</f>
        <v>0</v>
      </c>
      <c r="J295" s="192">
        <f t="shared" ref="J295:J341" si="32">SUM(E295:I295)</f>
        <v>87.046325341167559</v>
      </c>
      <c r="K295" s="192">
        <f t="shared" si="29"/>
        <v>0.77719933340328173</v>
      </c>
      <c r="L295" s="194"/>
      <c r="M295" s="194"/>
      <c r="N295" s="180">
        <v>2.0833333333333332E-2</v>
      </c>
      <c r="O295" s="191" cm="1">
        <f t="array" ref="O295">INDEX($K$209:$K$213,MATCH(O$230,EV_charger_type,0))*INDEX(EV06_domestic_lower,$C295)*EV07_domestic_lower</f>
        <v>73.124465477054144</v>
      </c>
      <c r="P295" s="191" cm="1">
        <f t="array" ref="P295">INDEX($K$209:$K$213,MATCH(P$230,EV_charger_type,0))*INDEX(EV06_work,$C295)*EV07_work_lower</f>
        <v>0.85130416686563026</v>
      </c>
      <c r="Q295" s="191" cm="1">
        <f t="array" ref="Q295">INDEX($K$209:$K$213,MATCH(Q$230,EV_charger_type,0))*INDEX(EV06_slowfast,$C295)*EV07_slowfast_lower</f>
        <v>9.9757847339508612E-2</v>
      </c>
      <c r="R295" s="191" cm="1">
        <f t="array" ref="R295">INDEX($K$209:$K$213,MATCH(R$230,EV_charger_type,0))*INDEX(EV06_rapid,$C295)*EV07_rapid_lower</f>
        <v>0.39283901533180982</v>
      </c>
      <c r="S295" s="191" cm="1">
        <f t="array" ref="S295">INDEX($K$209:$K$213,MATCH(S$230,EV_charger_type,0))*INDEX(EV06_depot,$C295)*EV07_depot_lower</f>
        <v>0</v>
      </c>
      <c r="T295" s="192">
        <f t="shared" ref="T295:T341" si="33">SUM(O295:S295)</f>
        <v>74.468366506591096</v>
      </c>
      <c r="U295" s="192">
        <f t="shared" si="30"/>
        <v>0.66489612952313482</v>
      </c>
      <c r="V295" s="194"/>
      <c r="W295" s="194"/>
      <c r="X295" s="180">
        <v>2.0833333333333332E-2</v>
      </c>
      <c r="Y295" s="191" cm="1">
        <f t="array" ref="Y295">INDEX($L$209:$L$213,MATCH(Y$230,EV_charger_type,0))*INDEX(EV06_domestic_upper,$C295)*EV07_domestic_upper</f>
        <v>96.715774484894979</v>
      </c>
      <c r="Z295" s="191" cm="1">
        <f t="array" ref="Z295">INDEX($L$209:$L$213,MATCH(Z$230,EV_charger_type,0))*INDEX(EV06_work,$C295)*EV07_work_upper</f>
        <v>1.3248455773575087</v>
      </c>
      <c r="AA295" s="191" cm="1">
        <f t="array" ref="AA295">INDEX($L$209:$L$213,MATCH(AA$230,EV_charger_type,0))*INDEX(EV06_slowfast,$C295)*EV07_slowfast_upper</f>
        <v>1.1490029352659374</v>
      </c>
      <c r="AB295" s="191" cm="1">
        <f t="array" ref="AB295">INDEX($L$209:$L$213,MATCH(AB$230,EV_charger_type,0))*INDEX(EV06_rapid,$C295)*EV07_rapid_upper</f>
        <v>2.2260877535469223</v>
      </c>
      <c r="AC295" s="191" cm="1">
        <f t="array" ref="AC295">INDEX($L$209:$L$213,MATCH(AC$230,EV_charger_type,0))*INDEX(EV06_depot,$C295)*EV07_depot_upper</f>
        <v>0</v>
      </c>
      <c r="AD295" s="192">
        <f>SUM(Y295:AC295)</f>
        <v>101.41571075106535</v>
      </c>
      <c r="AE295" s="192">
        <f t="shared" si="31"/>
        <v>0.90549741742022627</v>
      </c>
      <c r="AF295" s="194"/>
      <c r="AG295" s="194"/>
    </row>
    <row r="296" spans="2:33">
      <c r="B296" s="194"/>
      <c r="C296" s="194">
        <v>3</v>
      </c>
      <c r="D296" s="180">
        <v>4.1666666666666664E-2</v>
      </c>
      <c r="E296" s="191" cm="1">
        <f t="array" ref="E296">INDEX($J$209:$J$213,MATCH(E$230,EV_charger_type,0))*INDEX(EV06_domestic_Default,$C296)*EV07_domestic_Default</f>
        <v>81.320028046230689</v>
      </c>
      <c r="F296" s="191" cm="1">
        <f t="array" ref="F296">INDEX($J$209:$J$213,MATCH(F$230,EV_charger_type,0))*INDEX(EV06_work,$C296)*EV07_work_Default</f>
        <v>0.9193748096966371</v>
      </c>
      <c r="G296" s="191" cm="1">
        <f t="array" ref="G296">INDEX($J$209:$J$213,MATCH(G$230,EV_charger_type,0))*INDEX(EV06_slowfast,$C296)*EV07_slowfast_Default</f>
        <v>0.50526441909568409</v>
      </c>
      <c r="H296" s="191" cm="1">
        <f t="array" ref="H296">INDEX($J$209:$J$213,MATCH(H$230,EV_charger_type,0))*INDEX(EV06_rapid,$C296)*EV07_rapid_Default</f>
        <v>1.0716189272071921</v>
      </c>
      <c r="I296" s="191" cm="1">
        <f t="array" ref="I296">INDEX($J$209:$J$213,MATCH(I$230,EV_charger_type,0))*INDEX(EV06_depot,$C296)*EV07_depot_Default</f>
        <v>0</v>
      </c>
      <c r="J296" s="192">
        <f t="shared" si="32"/>
        <v>83.816286202230202</v>
      </c>
      <c r="K296" s="192">
        <f t="shared" si="29"/>
        <v>0.74835969823419823</v>
      </c>
      <c r="L296" s="194"/>
      <c r="M296" s="194"/>
      <c r="N296" s="180">
        <v>4.1666666666666664E-2</v>
      </c>
      <c r="O296" s="191" cm="1">
        <f t="array" ref="O296">INDEX($K$209:$K$213,MATCH(O$230,EV_charger_type,0))*INDEX(EV06_domestic_lower,$C296)*EV07_domestic_lower</f>
        <v>70.716429503257302</v>
      </c>
      <c r="P296" s="191" cm="1">
        <f t="array" ref="P296">INDEX($K$209:$K$213,MATCH(P$230,EV_charger_type,0))*INDEX(EV06_work,$C296)*EV07_work_lower</f>
        <v>0.72091504724971445</v>
      </c>
      <c r="Q296" s="191" cm="1">
        <f t="array" ref="Q296">INDEX($K$209:$K$213,MATCH(Q$230,EV_charger_type,0))*INDEX(EV06_slowfast,$C296)*EV07_slowfast_lower</f>
        <v>8.9676526414642951E-2</v>
      </c>
      <c r="R296" s="191" cm="1">
        <f t="array" ref="R296">INDEX($K$209:$K$213,MATCH(R$230,EV_charger_type,0))*INDEX(EV06_rapid,$C296)*EV07_rapid_lower</f>
        <v>0.32148567816215762</v>
      </c>
      <c r="S296" s="191" cm="1">
        <f t="array" ref="S296">INDEX($K$209:$K$213,MATCH(S$230,EV_charger_type,0))*INDEX(EV06_depot,$C296)*EV07_depot_lower</f>
        <v>0</v>
      </c>
      <c r="T296" s="192">
        <f t="shared" si="33"/>
        <v>71.848506755083832</v>
      </c>
      <c r="U296" s="192">
        <f t="shared" si="30"/>
        <v>0.64150452459896279</v>
      </c>
      <c r="V296" s="194"/>
      <c r="W296" s="194"/>
      <c r="X296" s="180">
        <v>4.1666666666666664E-2</v>
      </c>
      <c r="Y296" s="191" cm="1">
        <f t="array" ref="Y296">INDEX($L$209:$L$213,MATCH(Y$230,EV_charger_type,0))*INDEX(EV06_domestic_upper,$C296)*EV07_domestic_upper</f>
        <v>93.530861437341429</v>
      </c>
      <c r="Z296" s="191" cm="1">
        <f t="array" ref="Z296">INDEX($L$209:$L$213,MATCH(Z$230,EV_charger_type,0))*INDEX(EV06_work,$C296)*EV07_work_upper</f>
        <v>1.1219269788327215</v>
      </c>
      <c r="AA296" s="191" cm="1">
        <f t="array" ref="AA296">INDEX($L$209:$L$213,MATCH(AA$230,EV_charger_type,0))*INDEX(EV06_slowfast,$C296)*EV07_slowfast_upper</f>
        <v>1.0328870843032936</v>
      </c>
      <c r="AB296" s="191" cm="1">
        <f t="array" ref="AB296">INDEX($L$209:$L$213,MATCH(AB$230,EV_charger_type,0))*INDEX(EV06_rapid,$C296)*EV07_rapid_upper</f>
        <v>1.8217521762522266</v>
      </c>
      <c r="AC296" s="191" cm="1">
        <f t="array" ref="AC296">INDEX($L$209:$L$213,MATCH(AC$230,EV_charger_type,0))*INDEX(EV06_depot,$C296)*EV07_depot_upper</f>
        <v>0</v>
      </c>
      <c r="AD296" s="192">
        <f t="shared" ref="AD296:AD341" si="34">SUM(Y296:AC296)</f>
        <v>97.507427676729677</v>
      </c>
      <c r="AE296" s="192">
        <f t="shared" si="31"/>
        <v>0.87060203282794357</v>
      </c>
      <c r="AF296" s="194"/>
      <c r="AG296" s="194"/>
    </row>
    <row r="297" spans="2:33">
      <c r="B297" s="194"/>
      <c r="C297" s="194">
        <v>4</v>
      </c>
      <c r="D297" s="180">
        <v>6.25E-2</v>
      </c>
      <c r="E297" s="191" cm="1">
        <f t="array" ref="E297">INDEX($J$209:$J$213,MATCH(E$230,EV_charger_type,0))*INDEX(EV06_domestic_Default,$C297)*EV07_domestic_Default</f>
        <v>75.682099458587643</v>
      </c>
      <c r="F297" s="191" cm="1">
        <f t="array" ref="F297">INDEX($J$209:$J$213,MATCH(F$230,EV_charger_type,0))*INDEX(EV06_work,$C297)*EV07_work_Default</f>
        <v>0.82892685977453229</v>
      </c>
      <c r="G297" s="191" cm="1">
        <f t="array" ref="G297">INDEX($J$209:$J$213,MATCH(G$230,EV_charger_type,0))*INDEX(EV06_slowfast,$C297)*EV07_slowfast_Default</f>
        <v>0.4505440854586828</v>
      </c>
      <c r="H297" s="191" cm="1">
        <f t="array" ref="H297">INDEX($J$209:$J$213,MATCH(H$230,EV_charger_type,0))*INDEX(EV06_rapid,$C297)*EV07_rapid_Default</f>
        <v>0.833824238641524</v>
      </c>
      <c r="I297" s="191" cm="1">
        <f t="array" ref="I297">INDEX($J$209:$J$213,MATCH(I$230,EV_charger_type,0))*INDEX(EV06_depot,$C297)*EV07_depot_Default</f>
        <v>0</v>
      </c>
      <c r="J297" s="192">
        <f t="shared" si="32"/>
        <v>77.795394642462384</v>
      </c>
      <c r="K297" s="192">
        <f t="shared" si="29"/>
        <v>0.69460173787912838</v>
      </c>
      <c r="L297" s="194"/>
      <c r="M297" s="194"/>
      <c r="N297" s="180">
        <v>6.25E-2</v>
      </c>
      <c r="O297" s="191" cm="1">
        <f t="array" ref="O297">INDEX($K$209:$K$213,MATCH(O$230,EV_charger_type,0))*INDEX(EV06_domestic_lower,$C297)*EV07_domestic_lower</f>
        <v>65.813649842559215</v>
      </c>
      <c r="P297" s="191" cm="1">
        <f t="array" ref="P297">INDEX($K$209:$K$213,MATCH(P$230,EV_charger_type,0))*INDEX(EV06_work,$C297)*EV07_work_lower</f>
        <v>0.64999153770386386</v>
      </c>
      <c r="Q297" s="191" cm="1">
        <f t="array" ref="Q297">INDEX($K$209:$K$213,MATCH(Q$230,EV_charger_type,0))*INDEX(EV06_slowfast,$C297)*EV07_slowfast_lower</f>
        <v>7.9964523630834547E-2</v>
      </c>
      <c r="R297" s="191" cm="1">
        <f t="array" ref="R297">INDEX($K$209:$K$213,MATCH(R$230,EV_charger_type,0))*INDEX(EV06_rapid,$C297)*EV07_rapid_lower</f>
        <v>0.2501472715924572</v>
      </c>
      <c r="S297" s="191" cm="1">
        <f t="array" ref="S297">INDEX($K$209:$K$213,MATCH(S$230,EV_charger_type,0))*INDEX(EV06_depot,$C297)*EV07_depot_lower</f>
        <v>0</v>
      </c>
      <c r="T297" s="192">
        <f t="shared" si="33"/>
        <v>66.793753175486373</v>
      </c>
      <c r="U297" s="192">
        <f t="shared" si="30"/>
        <v>0.59637279620969974</v>
      </c>
      <c r="V297" s="194"/>
      <c r="W297" s="194"/>
      <c r="X297" s="180">
        <v>6.25E-2</v>
      </c>
      <c r="Y297" s="191" cm="1">
        <f t="array" ref="Y297">INDEX($L$209:$L$213,MATCH(Y$230,EV_charger_type,0))*INDEX(EV06_domestic_upper,$C297)*EV07_domestic_upper</f>
        <v>87.046354112470794</v>
      </c>
      <c r="Z297" s="191" cm="1">
        <f t="array" ref="Z297">INDEX($L$209:$L$213,MATCH(Z$230,EV_charger_type,0))*INDEX(EV06_work,$C297)*EV07_work_upper</f>
        <v>1.0115519782046272</v>
      </c>
      <c r="AA297" s="191" cm="1">
        <f t="array" ref="AA297">INDEX($L$209:$L$213,MATCH(AA$230,EV_charger_type,0))*INDEX(EV06_slowfast,$C297)*EV07_slowfast_upper</f>
        <v>0.92102501025583861</v>
      </c>
      <c r="AB297" s="191" cm="1">
        <f t="array" ref="AB297">INDEX($L$209:$L$213,MATCH(AB$230,EV_charger_type,0))*INDEX(EV06_rapid,$C297)*EV07_rapid_upper</f>
        <v>1.4175012056905909</v>
      </c>
      <c r="AC297" s="191" cm="1">
        <f t="array" ref="AC297">INDEX($L$209:$L$213,MATCH(AC$230,EV_charger_type,0))*INDEX(EV06_depot,$C297)*EV07_depot_upper</f>
        <v>0</v>
      </c>
      <c r="AD297" s="192">
        <f t="shared" si="34"/>
        <v>90.396432306621833</v>
      </c>
      <c r="AE297" s="192">
        <f t="shared" si="31"/>
        <v>0.80711100273769498</v>
      </c>
      <c r="AF297" s="194"/>
      <c r="AG297" s="194"/>
    </row>
    <row r="298" spans="2:33">
      <c r="B298" s="194"/>
      <c r="C298" s="194">
        <v>5</v>
      </c>
      <c r="D298" s="180">
        <v>8.3333333333333329E-2</v>
      </c>
      <c r="E298" s="191" cm="1">
        <f t="array" ref="E298">INDEX($J$209:$J$213,MATCH(E$230,EV_charger_type,0))*INDEX(EV06_domestic_Default,$C298)*EV07_domestic_Default</f>
        <v>75.001763871235426</v>
      </c>
      <c r="F298" s="191" cm="1">
        <f t="array" ref="F298">INDEX($J$209:$J$213,MATCH(F$230,EV_charger_type,0))*INDEX(EV06_work,$C298)*EV07_work_Default</f>
        <v>0.73853554601393157</v>
      </c>
      <c r="G298" s="191" cm="1">
        <f t="array" ref="G298">INDEX($J$209:$J$213,MATCH(G$230,EV_charger_type,0))*INDEX(EV06_slowfast,$C298)*EV07_slowfast_Default</f>
        <v>0.39582375182168161</v>
      </c>
      <c r="H298" s="191" cm="1">
        <f t="array" ref="H298">INDEX($J$209:$J$213,MATCH(H$230,EV_charger_type,0))*INDEX(EV06_rapid,$C298)*EV07_rapid_Default</f>
        <v>0.69004256110569007</v>
      </c>
      <c r="I298" s="191" cm="1">
        <f t="array" ref="I298">INDEX($J$209:$J$213,MATCH(I$230,EV_charger_type,0))*INDEX(EV06_depot,$C298)*EV07_depot_Default</f>
        <v>0</v>
      </c>
      <c r="J298" s="192">
        <f t="shared" si="32"/>
        <v>76.826165730176726</v>
      </c>
      <c r="K298" s="192">
        <f t="shared" si="29"/>
        <v>0.68594790830514929</v>
      </c>
      <c r="L298" s="194"/>
      <c r="M298" s="194"/>
      <c r="N298" s="180">
        <v>8.3333333333333329E-2</v>
      </c>
      <c r="O298" s="191" cm="1">
        <f t="array" ref="O298">INDEX($K$209:$K$213,MATCH(O$230,EV_charger_type,0))*INDEX(EV06_domestic_lower,$C298)*EV07_domestic_lower</f>
        <v>65.222025555683672</v>
      </c>
      <c r="P298" s="191" cm="1">
        <f t="array" ref="P298">INDEX($K$209:$K$213,MATCH(P$230,EV_charger_type,0))*INDEX(EV06_work,$C298)*EV07_work_lower</f>
        <v>0.57911243862109762</v>
      </c>
      <c r="Q298" s="191" cm="1">
        <f t="array" ref="Q298">INDEX($K$209:$K$213,MATCH(Q$230,EV_charger_type,0))*INDEX(EV06_slowfast,$C298)*EV07_slowfast_lower</f>
        <v>7.0252520847026156E-2</v>
      </c>
      <c r="R298" s="191" cm="1">
        <f t="array" ref="R298">INDEX($K$209:$K$213,MATCH(R$230,EV_charger_type,0))*INDEX(EV06_rapid,$C298)*EV07_rapid_lower</f>
        <v>0.20701276833170701</v>
      </c>
      <c r="S298" s="191" cm="1">
        <f t="array" ref="S298">INDEX($K$209:$K$213,MATCH(S$230,EV_charger_type,0))*INDEX(EV06_depot,$C298)*EV07_depot_lower</f>
        <v>0</v>
      </c>
      <c r="T298" s="192">
        <f t="shared" si="33"/>
        <v>66.078403283483496</v>
      </c>
      <c r="U298" s="192">
        <f t="shared" si="30"/>
        <v>0.5899857436025312</v>
      </c>
      <c r="V298" s="194"/>
      <c r="W298" s="194"/>
      <c r="X298" s="180">
        <v>8.3333333333333329E-2</v>
      </c>
      <c r="Y298" s="191" cm="1">
        <f t="array" ref="Y298">INDEX($L$209:$L$213,MATCH(Y$230,EV_charger_type,0))*INDEX(EV06_domestic_upper,$C298)*EV07_domestic_upper</f>
        <v>86.263860856131075</v>
      </c>
      <c r="Z298" s="191" cm="1">
        <f t="array" ref="Z298">INDEX($L$209:$L$213,MATCH(Z$230,EV_charger_type,0))*INDEX(EV06_work,$C298)*EV07_work_upper</f>
        <v>0.90124609154060809</v>
      </c>
      <c r="AA298" s="191" cm="1">
        <f t="array" ref="AA298">INDEX($L$209:$L$213,MATCH(AA$230,EV_charger_type,0))*INDEX(EV06_slowfast,$C298)*EV07_slowfast_upper</f>
        <v>0.80916293620838387</v>
      </c>
      <c r="AB298" s="191" cm="1">
        <f t="array" ref="AB298">INDEX($L$209:$L$213,MATCH(AB$230,EV_charger_type,0))*INDEX(EV06_rapid,$C298)*EV07_rapid_upper</f>
        <v>1.1730723538796732</v>
      </c>
      <c r="AC298" s="191" cm="1">
        <f t="array" ref="AC298">INDEX($L$209:$L$213,MATCH(AC$230,EV_charger_type,0))*INDEX(EV06_depot,$C298)*EV07_depot_upper</f>
        <v>0</v>
      </c>
      <c r="AD298" s="192">
        <f t="shared" si="34"/>
        <v>89.147342237759744</v>
      </c>
      <c r="AE298" s="192">
        <f t="shared" si="31"/>
        <v>0.79595841283714053</v>
      </c>
      <c r="AF298" s="194"/>
      <c r="AG298" s="194"/>
    </row>
    <row r="299" spans="2:33">
      <c r="B299" s="194"/>
      <c r="C299" s="194">
        <v>6</v>
      </c>
      <c r="D299" s="180">
        <v>0.10416666666666667</v>
      </c>
      <c r="E299" s="191" cm="1">
        <f t="array" ref="E299">INDEX($J$209:$J$213,MATCH(E$230,EV_charger_type,0))*INDEX(EV06_domestic_Default,$C299)*EV07_domestic_Default</f>
        <v>70.863622335499372</v>
      </c>
      <c r="F299" s="191" cm="1">
        <f t="array" ref="F299">INDEX($J$209:$J$213,MATCH(F$230,EV_charger_type,0))*INDEX(EV06_work,$C299)*EV07_work_Default</f>
        <v>0.70959446748531807</v>
      </c>
      <c r="G299" s="191" cm="1">
        <f t="array" ref="G299">INDEX($J$209:$J$213,MATCH(G$230,EV_charger_type,0))*INDEX(EV06_slowfast,$C299)*EV07_slowfast_Default</f>
        <v>0.3548324684638734</v>
      </c>
      <c r="H299" s="191" cm="1">
        <f t="array" ref="H299">INDEX($J$209:$J$213,MATCH(H$230,EV_charger_type,0))*INDEX(EV06_rapid,$C299)*EV07_rapid_Default</f>
        <v>0.54626088356985603</v>
      </c>
      <c r="I299" s="191" cm="1">
        <f t="array" ref="I299">INDEX($J$209:$J$213,MATCH(I$230,EV_charger_type,0))*INDEX(EV06_depot,$C299)*EV07_depot_Default</f>
        <v>0</v>
      </c>
      <c r="J299" s="192">
        <f t="shared" si="32"/>
        <v>72.474310155018415</v>
      </c>
      <c r="K299" s="192">
        <f t="shared" si="29"/>
        <v>0.64709205495552158</v>
      </c>
      <c r="L299" s="194"/>
      <c r="M299" s="194"/>
      <c r="N299" s="180">
        <v>0.10416666666666667</v>
      </c>
      <c r="O299" s="191" cm="1">
        <f t="array" ref="O299">INDEX($K$209:$K$213,MATCH(O$230,EV_charger_type,0))*INDEX(EV06_domestic_lower,$C299)*EV07_domestic_lower</f>
        <v>61.623470547561737</v>
      </c>
      <c r="P299" s="191" cm="1">
        <f t="array" ref="P299">INDEX($K$209:$K$213,MATCH(P$230,EV_charger_type,0))*INDEX(EV06_work,$C299)*EV07_work_lower</f>
        <v>0.55641869198494875</v>
      </c>
      <c r="Q299" s="191" cm="1">
        <f t="array" ref="Q299">INDEX($K$209:$K$213,MATCH(Q$230,EV_charger_type,0))*INDEX(EV06_slowfast,$C299)*EV07_slowfast_lower</f>
        <v>6.2977209612196314E-2</v>
      </c>
      <c r="R299" s="191" cm="1">
        <f t="array" ref="R299">INDEX($K$209:$K$213,MATCH(R$230,EV_charger_type,0))*INDEX(EV06_rapid,$C299)*EV07_rapid_lower</f>
        <v>0.16387826507095679</v>
      </c>
      <c r="S299" s="191" cm="1">
        <f t="array" ref="S299">INDEX($K$209:$K$213,MATCH(S$230,EV_charger_type,0))*INDEX(EV06_depot,$C299)*EV07_depot_lower</f>
        <v>0</v>
      </c>
      <c r="T299" s="192">
        <f t="shared" si="33"/>
        <v>62.406744714229845</v>
      </c>
      <c r="U299" s="192">
        <f t="shared" si="30"/>
        <v>0.55720307780562361</v>
      </c>
      <c r="V299" s="194"/>
      <c r="W299" s="194"/>
      <c r="X299" s="180">
        <v>0.10416666666666667</v>
      </c>
      <c r="Y299" s="191" cm="1">
        <f t="array" ref="Y299">INDEX($L$209:$L$213,MATCH(Y$230,EV_charger_type,0))*INDEX(EV06_domestic_upper,$C299)*EV07_domestic_upper</f>
        <v>81.504345249877218</v>
      </c>
      <c r="Z299" s="191" cm="1">
        <f t="array" ref="Z299">INDEX($L$209:$L$213,MATCH(Z$230,EV_charger_type,0))*INDEX(EV06_work,$C299)*EV07_work_upper</f>
        <v>0.86592885589818069</v>
      </c>
      <c r="AA299" s="191" cm="1">
        <f t="array" ref="AA299">INDEX($L$209:$L$213,MATCH(AA$230,EV_charger_type,0))*INDEX(EV06_slowfast,$C299)*EV07_slowfast_upper</f>
        <v>0.72536648122531755</v>
      </c>
      <c r="AB299" s="191" cm="1">
        <f t="array" ref="AB299">INDEX($L$209:$L$213,MATCH(AB$230,EV_charger_type,0))*INDEX(EV06_rapid,$C299)*EV07_rapid_upper</f>
        <v>0.92864350206875534</v>
      </c>
      <c r="AC299" s="191" cm="1">
        <f t="array" ref="AC299">INDEX($L$209:$L$213,MATCH(AC$230,EV_charger_type,0))*INDEX(EV06_depot,$C299)*EV07_depot_upper</f>
        <v>0</v>
      </c>
      <c r="AD299" s="192">
        <f t="shared" si="34"/>
        <v>84.024284089069468</v>
      </c>
      <c r="AE299" s="192">
        <f t="shared" si="31"/>
        <v>0.75021682222383457</v>
      </c>
      <c r="AF299" s="194"/>
      <c r="AG299" s="194"/>
    </row>
    <row r="300" spans="2:33">
      <c r="B300" s="194"/>
      <c r="C300" s="194">
        <v>7</v>
      </c>
      <c r="D300" s="180">
        <v>0.125</v>
      </c>
      <c r="E300" s="191" cm="1">
        <f t="array" ref="E300">INDEX($J$209:$J$213,MATCH(E$230,EV_charger_type,0))*INDEX(EV06_domestic_Default,$C300)*EV07_domestic_Default</f>
        <v>65.395394872855931</v>
      </c>
      <c r="F300" s="191" cm="1">
        <f t="array" ref="F300">INDEX($J$209:$J$213,MATCH(F$230,EV_charger_type,0))*INDEX(EV06_work,$C300)*EV07_work_Default</f>
        <v>0.68059675279520049</v>
      </c>
      <c r="G300" s="191" cm="1">
        <f t="array" ref="G300">INDEX($J$209:$J$213,MATCH(G$230,EV_charger_type,0))*INDEX(EV06_slowfast,$C300)*EV07_slowfast_Default</f>
        <v>0.31384118510606523</v>
      </c>
      <c r="H300" s="191" cm="1">
        <f t="array" ref="H300">INDEX($J$209:$J$213,MATCH(H$230,EV_charger_type,0))*INDEX(EV06_rapid,$C300)*EV07_rapid_Default</f>
        <v>0.48240768444265808</v>
      </c>
      <c r="I300" s="191" cm="1">
        <f t="array" ref="I300">INDEX($J$209:$J$213,MATCH(I$230,EV_charger_type,0))*INDEX(EV06_depot,$C300)*EV07_depot_Default</f>
        <v>0</v>
      </c>
      <c r="J300" s="192">
        <f t="shared" si="32"/>
        <v>66.872240495199861</v>
      </c>
      <c r="K300" s="192">
        <f t="shared" si="29"/>
        <v>0.59707357584999876</v>
      </c>
      <c r="L300" s="194"/>
      <c r="M300" s="194"/>
      <c r="N300" s="180">
        <v>0.125</v>
      </c>
      <c r="O300" s="191" cm="1">
        <f t="array" ref="O300">INDEX($K$209:$K$213,MATCH(O$230,EV_charger_type,0))*INDEX(EV06_domestic_lower,$C300)*EV07_domestic_lower</f>
        <v>56.86826409768247</v>
      </c>
      <c r="P300" s="191" cm="1">
        <f t="array" ref="P300">INDEX($K$209:$K$213,MATCH(P$230,EV_charger_type,0))*INDEX(EV06_work,$C300)*EV07_work_lower</f>
        <v>0.53368053488571554</v>
      </c>
      <c r="Q300" s="191" cm="1">
        <f t="array" ref="Q300">INDEX($K$209:$K$213,MATCH(Q$230,EV_charger_type,0))*INDEX(EV06_slowfast,$C300)*EV07_slowfast_lower</f>
        <v>5.5701898377366485E-2</v>
      </c>
      <c r="R300" s="191" cm="1">
        <f t="array" ref="R300">INDEX($K$209:$K$213,MATCH(R$230,EV_charger_type,0))*INDEX(EV06_rapid,$C300)*EV07_rapid_lower</f>
        <v>0.1447223053327974</v>
      </c>
      <c r="S300" s="191" cm="1">
        <f t="array" ref="S300">INDEX($K$209:$K$213,MATCH(S$230,EV_charger_type,0))*INDEX(EV06_depot,$C300)*EV07_depot_lower</f>
        <v>0</v>
      </c>
      <c r="T300" s="192">
        <f t="shared" si="33"/>
        <v>57.602368836278352</v>
      </c>
      <c r="U300" s="192">
        <f t="shared" si="30"/>
        <v>0.51430686460962816</v>
      </c>
      <c r="V300" s="194"/>
      <c r="W300" s="194"/>
      <c r="X300" s="180">
        <v>0.125</v>
      </c>
      <c r="Y300" s="191" cm="1">
        <f t="array" ref="Y300">INDEX($L$209:$L$213,MATCH(Y$230,EV_charger_type,0))*INDEX(EV06_domestic_upper,$C300)*EV07_domestic_upper</f>
        <v>75.215020991090611</v>
      </c>
      <c r="Z300" s="191" cm="1">
        <f t="array" ref="Z300">INDEX($L$209:$L$213,MATCH(Z$230,EV_charger_type,0))*INDEX(EV06_work,$C300)*EV07_work_upper</f>
        <v>0.83054250629167847</v>
      </c>
      <c r="AA300" s="191" cm="1">
        <f t="array" ref="AA300">INDEX($L$209:$L$213,MATCH(AA$230,EV_charger_type,0))*INDEX(EV06_slowfast,$C300)*EV07_slowfast_upper</f>
        <v>0.64157002624225135</v>
      </c>
      <c r="AB300" s="191" cm="1">
        <f t="array" ref="AB300">INDEX($L$209:$L$213,MATCH(AB$230,EV_charger_type,0))*INDEX(EV06_rapid,$C300)*EV07_rapid_upper</f>
        <v>0.82009306355251876</v>
      </c>
      <c r="AC300" s="191" cm="1">
        <f t="array" ref="AC300">INDEX($L$209:$L$213,MATCH(AC$230,EV_charger_type,0))*INDEX(EV06_depot,$C300)*EV07_depot_upper</f>
        <v>0</v>
      </c>
      <c r="AD300" s="192">
        <f t="shared" si="34"/>
        <v>77.507226587177058</v>
      </c>
      <c r="AE300" s="192">
        <f t="shared" si="31"/>
        <v>0.69202880881408091</v>
      </c>
      <c r="AF300" s="194"/>
      <c r="AG300" s="194"/>
    </row>
    <row r="301" spans="2:33">
      <c r="B301" s="194"/>
      <c r="C301" s="194">
        <v>8</v>
      </c>
      <c r="D301" s="180">
        <v>0.14583333333333334</v>
      </c>
      <c r="E301" s="191" cm="1">
        <f t="array" ref="E301">INDEX($J$209:$J$213,MATCH(E$230,EV_charger_type,0))*INDEX(EV06_domestic_Default,$C301)*EV07_domestic_Default</f>
        <v>57.38359229264632</v>
      </c>
      <c r="F301" s="191" cm="1">
        <f t="array" ref="F301">INDEX($J$209:$J$213,MATCH(F$230,EV_charger_type,0))*INDEX(EV06_work,$C301)*EV07_work_Default</f>
        <v>0.70007959235262329</v>
      </c>
      <c r="G301" s="191" cm="1">
        <f t="array" ref="G301">INDEX($J$209:$J$213,MATCH(G$230,EV_charger_type,0))*INDEX(EV06_slowfast,$C301)*EV07_slowfast_Default</f>
        <v>0.30362674209069346</v>
      </c>
      <c r="H301" s="191" cm="1">
        <f t="array" ref="H301">INDEX($J$209:$J$213,MATCH(H$230,EV_charger_type,0))*INDEX(EV06_rapid,$C301)*EV07_rapid_Default</f>
        <v>0.41855448531546008</v>
      </c>
      <c r="I301" s="191" cm="1">
        <f t="array" ref="I301">INDEX($J$209:$J$213,MATCH(I$230,EV_charger_type,0))*INDEX(EV06_depot,$C301)*EV07_depot_Default</f>
        <v>0</v>
      </c>
      <c r="J301" s="192">
        <f t="shared" si="32"/>
        <v>58.805853112405096</v>
      </c>
      <c r="K301" s="192">
        <f t="shared" si="29"/>
        <v>0.5250522599321884</v>
      </c>
      <c r="L301" s="194"/>
      <c r="M301" s="194"/>
      <c r="N301" s="180">
        <v>0.14583333333333334</v>
      </c>
      <c r="O301" s="191" cm="1">
        <f t="array" ref="O301">INDEX($K$209:$K$213,MATCH(O$230,EV_charger_type,0))*INDEX(EV06_domestic_lower,$C301)*EV07_domestic_lower</f>
        <v>49.90114805051001</v>
      </c>
      <c r="P301" s="191" cm="1">
        <f t="array" ref="P301">INDEX($K$209:$K$213,MATCH(P$230,EV_charger_type,0))*INDEX(EV06_work,$C301)*EV07_work_lower</f>
        <v>0.54895773418676286</v>
      </c>
      <c r="Q301" s="191" cm="1">
        <f t="array" ref="Q301">INDEX($K$209:$K$213,MATCH(Q$230,EV_charger_type,0))*INDEX(EV06_slowfast,$C301)*EV07_slowfast_lower</f>
        <v>5.3888994610031583E-2</v>
      </c>
      <c r="R301" s="191" cm="1">
        <f t="array" ref="R301">INDEX($K$209:$K$213,MATCH(R$230,EV_charger_type,0))*INDEX(EV06_rapid,$C301)*EV07_rapid_lower</f>
        <v>0.125566345594638</v>
      </c>
      <c r="S301" s="191" cm="1">
        <f t="array" ref="S301">INDEX($K$209:$K$213,MATCH(S$230,EV_charger_type,0))*INDEX(EV06_depot,$C301)*EV07_depot_lower</f>
        <v>0</v>
      </c>
      <c r="T301" s="192">
        <f t="shared" si="33"/>
        <v>50.629561124901443</v>
      </c>
      <c r="U301" s="192">
        <f t="shared" si="30"/>
        <v>0.45204965290090576</v>
      </c>
      <c r="V301" s="194"/>
      <c r="W301" s="194"/>
      <c r="X301" s="180">
        <v>0.14583333333333334</v>
      </c>
      <c r="Y301" s="191" cm="1">
        <f t="array" ref="Y301">INDEX($L$209:$L$213,MATCH(Y$230,EV_charger_type,0))*INDEX(EV06_domestic_upper,$C301)*EV07_domestic_upper</f>
        <v>66.000184068421163</v>
      </c>
      <c r="Z301" s="191" cm="1">
        <f t="array" ref="Z301">INDEX($L$209:$L$213,MATCH(Z$230,EV_charger_type,0))*INDEX(EV06_work,$C301)*EV07_work_upper</f>
        <v>0.85431770993354728</v>
      </c>
      <c r="AA301" s="191" cm="1">
        <f t="array" ref="AA301">INDEX($L$209:$L$213,MATCH(AA$230,EV_charger_type,0))*INDEX(EV06_slowfast,$C301)*EV07_slowfast_upper</f>
        <v>0.6206891451328862</v>
      </c>
      <c r="AB301" s="191" cm="1">
        <f t="array" ref="AB301">INDEX($L$209:$L$213,MATCH(AB$230,EV_charger_type,0))*INDEX(EV06_rapid,$C301)*EV07_rapid_upper</f>
        <v>0.71154262503628218</v>
      </c>
      <c r="AC301" s="191" cm="1">
        <f t="array" ref="AC301">INDEX($L$209:$L$213,MATCH(AC$230,EV_charger_type,0))*INDEX(EV06_depot,$C301)*EV07_depot_upper</f>
        <v>0</v>
      </c>
      <c r="AD301" s="192">
        <f t="shared" si="34"/>
        <v>68.18673354852389</v>
      </c>
      <c r="AE301" s="192">
        <f t="shared" si="31"/>
        <v>0.60881012096896325</v>
      </c>
      <c r="AF301" s="194"/>
      <c r="AG301" s="194"/>
    </row>
    <row r="302" spans="2:33">
      <c r="B302" s="194"/>
      <c r="C302" s="194">
        <v>9</v>
      </c>
      <c r="D302" s="180">
        <v>0.16666666666666666</v>
      </c>
      <c r="E302" s="191" cm="1">
        <f t="array" ref="E302">INDEX($J$209:$J$213,MATCH(E$230,EV_charger_type,0))*INDEX(EV06_domestic_Default,$C302)*EV07_domestic_Default</f>
        <v>48.767205200205964</v>
      </c>
      <c r="F302" s="191" cm="1">
        <f t="array" ref="F302">INDEX($J$209:$J$213,MATCH(F$230,EV_charger_type,0))*INDEX(EV06_work,$C302)*EV07_work_Default</f>
        <v>0.7195057957485419</v>
      </c>
      <c r="G302" s="191" cm="1">
        <f t="array" ref="G302">INDEX($J$209:$J$213,MATCH(G$230,EV_charger_type,0))*INDEX(EV06_slowfast,$C302)*EV07_slowfast_Default</f>
        <v>0.29341229907532179</v>
      </c>
      <c r="H302" s="191" cm="1">
        <f t="array" ref="H302">INDEX($J$209:$J$213,MATCH(H$230,EV_charger_type,0))*INDEX(EV06_rapid,$C302)*EV07_rapid_Default</f>
        <v>0.43388323459930805</v>
      </c>
      <c r="I302" s="191" cm="1">
        <f t="array" ref="I302">INDEX($J$209:$J$213,MATCH(I$230,EV_charger_type,0))*INDEX(EV06_depot,$C302)*EV07_depot_Default</f>
        <v>0</v>
      </c>
      <c r="J302" s="192">
        <f t="shared" si="32"/>
        <v>50.214006529629131</v>
      </c>
      <c r="K302" s="192">
        <f t="shared" si="29"/>
        <v>0.44833934401454584</v>
      </c>
      <c r="L302" s="194"/>
      <c r="M302" s="194"/>
      <c r="N302" s="180">
        <v>0.16666666666666666</v>
      </c>
      <c r="O302" s="191" cm="1">
        <f t="array" ref="O302">INDEX($K$209:$K$213,MATCH(O$230,EV_charger_type,0))*INDEX(EV06_domestic_lower,$C302)*EV07_domestic_lower</f>
        <v>42.408281347993203</v>
      </c>
      <c r="P302" s="191" cm="1">
        <f t="array" ref="P302">INDEX($K$209:$K$213,MATCH(P$230,EV_charger_type,0))*INDEX(EV06_work,$C302)*EV07_work_lower</f>
        <v>0.56419052302472583</v>
      </c>
      <c r="Q302" s="191" cm="1">
        <f t="array" ref="Q302">INDEX($K$209:$K$213,MATCH(Q$230,EV_charger_type,0))*INDEX(EV06_slowfast,$C302)*EV07_slowfast_lower</f>
        <v>5.2076090842696682E-2</v>
      </c>
      <c r="R302" s="191" cm="1">
        <f t="array" ref="R302">INDEX($K$209:$K$213,MATCH(R$230,EV_charger_type,0))*INDEX(EV06_rapid,$C302)*EV07_rapid_lower</f>
        <v>0.13016497037979241</v>
      </c>
      <c r="S302" s="191" cm="1">
        <f t="array" ref="S302">INDEX($K$209:$K$213,MATCH(S$230,EV_charger_type,0))*INDEX(EV06_depot,$C302)*EV07_depot_lower</f>
        <v>0</v>
      </c>
      <c r="T302" s="192">
        <f t="shared" si="33"/>
        <v>43.154712932240422</v>
      </c>
      <c r="U302" s="192">
        <f t="shared" si="30"/>
        <v>0.38530993689500376</v>
      </c>
      <c r="V302" s="194"/>
      <c r="W302" s="194"/>
      <c r="X302" s="180">
        <v>0.16666666666666666</v>
      </c>
      <c r="Y302" s="191" cm="1">
        <f t="array" ref="Y302">INDEX($L$209:$L$213,MATCH(Y$230,EV_charger_type,0))*INDEX(EV06_domestic_upper,$C302)*EV07_domestic_upper</f>
        <v>56.089979576418521</v>
      </c>
      <c r="Z302" s="191" cm="1">
        <f t="array" ref="Z302">INDEX($L$209:$L$213,MATCH(Z$230,EV_charger_type,0))*INDEX(EV06_work,$C302)*EV07_work_upper</f>
        <v>0.8780237996113408</v>
      </c>
      <c r="AA302" s="191" cm="1">
        <f t="array" ref="AA302">INDEX($L$209:$L$213,MATCH(AA$230,EV_charger_type,0))*INDEX(EV06_slowfast,$C302)*EV07_slowfast_upper</f>
        <v>0.59980826402352105</v>
      </c>
      <c r="AB302" s="191" cm="1">
        <f t="array" ref="AB302">INDEX($L$209:$L$213,MATCH(AB$230,EV_charger_type,0))*INDEX(EV06_rapid,$C302)*EV07_rapid_upper</f>
        <v>0.73760149881882375</v>
      </c>
      <c r="AC302" s="191" cm="1">
        <f t="array" ref="AC302">INDEX($L$209:$L$213,MATCH(AC$230,EV_charger_type,0))*INDEX(EV06_depot,$C302)*EV07_depot_upper</f>
        <v>0</v>
      </c>
      <c r="AD302" s="192">
        <f t="shared" si="34"/>
        <v>58.305413138872211</v>
      </c>
      <c r="AE302" s="192">
        <f t="shared" si="31"/>
        <v>0.52058404588278762</v>
      </c>
      <c r="AF302" s="194"/>
      <c r="AG302" s="194"/>
    </row>
    <row r="303" spans="2:33">
      <c r="B303" s="194"/>
      <c r="C303" s="194">
        <v>10</v>
      </c>
      <c r="D303" s="180">
        <v>0.1875</v>
      </c>
      <c r="E303" s="191" cm="1">
        <f t="array" ref="E303">INDEX($J$209:$J$213,MATCH(E$230,EV_charger_type,0))*INDEX(EV06_domestic_Default,$C303)*EV07_domestic_Default</f>
        <v>38.876349372729209</v>
      </c>
      <c r="F303" s="191" cm="1">
        <f t="array" ref="F303">INDEX($J$209:$J$213,MATCH(F$230,EV_charger_type,0))*INDEX(EV06_work,$C303)*EV07_work_Default</f>
        <v>0.94350181449739912</v>
      </c>
      <c r="G303" s="191" cm="1">
        <f t="array" ref="G303">INDEX($J$209:$J$213,MATCH(G$230,EV_charger_type,0))*INDEX(EV06_slowfast,$C303)*EV07_slowfast_Default</f>
        <v>0.35884689724362645</v>
      </c>
      <c r="H303" s="191" cm="1">
        <f t="array" ref="H303">INDEX($J$209:$J$213,MATCH(H$230,EV_charger_type,0))*INDEX(EV06_rapid,$C303)*EV07_rapid_Default</f>
        <v>0.44926175254966205</v>
      </c>
      <c r="I303" s="191" cm="1">
        <f t="array" ref="I303">INDEX($J$209:$J$213,MATCH(I$230,EV_charger_type,0))*INDEX(EV06_depot,$C303)*EV07_depot_Default</f>
        <v>0</v>
      </c>
      <c r="J303" s="192">
        <f t="shared" si="32"/>
        <v>40.627959837019894</v>
      </c>
      <c r="K303" s="192">
        <f t="shared" si="29"/>
        <v>0.36274964140196336</v>
      </c>
      <c r="L303" s="194"/>
      <c r="M303" s="194"/>
      <c r="N303" s="180">
        <v>0.1875</v>
      </c>
      <c r="O303" s="191" cm="1">
        <f t="array" ref="O303">INDEX($K$209:$K$213,MATCH(O$230,EV_charger_type,0))*INDEX(EV06_domestic_lower,$C303)*EV07_domestic_lower</f>
        <v>33.807128278382791</v>
      </c>
      <c r="P303" s="191" cm="1">
        <f t="array" ref="P303">INDEX($K$209:$K$213,MATCH(P$230,EV_charger_type,0))*INDEX(EV06_work,$C303)*EV07_work_lower</f>
        <v>0.73983390452368603</v>
      </c>
      <c r="Q303" s="191" cm="1">
        <f t="array" ref="Q303">INDEX($K$209:$K$213,MATCH(Q$230,EV_charger_type,0))*INDEX(EV06_slowfast,$C303)*EV07_slowfast_lower</f>
        <v>6.3689707890130773E-2</v>
      </c>
      <c r="R303" s="191" cm="1">
        <f t="array" ref="R303">INDEX($K$209:$K$213,MATCH(R$230,EV_charger_type,0))*INDEX(EV06_rapid,$C303)*EV07_rapid_lower</f>
        <v>0.1347785257648986</v>
      </c>
      <c r="S303" s="191" cm="1">
        <f t="array" ref="S303">INDEX($K$209:$K$213,MATCH(S$230,EV_charger_type,0))*INDEX(EV06_depot,$C303)*EV07_depot_lower</f>
        <v>0</v>
      </c>
      <c r="T303" s="192">
        <f t="shared" si="33"/>
        <v>34.745430416561511</v>
      </c>
      <c r="U303" s="192">
        <f t="shared" si="30"/>
        <v>0.3102270572907278</v>
      </c>
      <c r="V303" s="194"/>
      <c r="W303" s="194"/>
      <c r="X303" s="180">
        <v>0.1875</v>
      </c>
      <c r="Y303" s="191" cm="1">
        <f t="array" ref="Y303">INDEX($L$209:$L$213,MATCH(Y$230,EV_charger_type,0))*INDEX(EV06_domestic_upper,$C303)*EV07_domestic_upper</f>
        <v>44.71393497679631</v>
      </c>
      <c r="Z303" s="191" cm="1">
        <f t="array" ref="Z303">INDEX($L$209:$L$213,MATCH(Z$230,EV_charger_type,0))*INDEX(EV06_work,$C303)*EV07_work_upper</f>
        <v>1.1513695275287568</v>
      </c>
      <c r="AA303" s="191" cm="1">
        <f t="array" ref="AA303">INDEX($L$209:$L$213,MATCH(AA$230,EV_charger_type,0))*INDEX(EV06_slowfast,$C303)*EV07_slowfast_upper</f>
        <v>0.73357297960666745</v>
      </c>
      <c r="AB303" s="191" cm="1">
        <f t="array" ref="AB303">INDEX($L$209:$L$213,MATCH(AB$230,EV_charger_type,0))*INDEX(EV06_rapid,$C303)*EV07_rapid_upper</f>
        <v>0.76374497933442553</v>
      </c>
      <c r="AC303" s="191" cm="1">
        <f t="array" ref="AC303">INDEX($L$209:$L$213,MATCH(AC$230,EV_charger_type,0))*INDEX(EV06_depot,$C303)*EV07_depot_upper</f>
        <v>0</v>
      </c>
      <c r="AD303" s="192">
        <f t="shared" si="34"/>
        <v>47.362622463266163</v>
      </c>
      <c r="AE303" s="192">
        <f t="shared" si="31"/>
        <v>0.42288055770773358</v>
      </c>
      <c r="AF303" s="194"/>
      <c r="AG303" s="194"/>
    </row>
    <row r="304" spans="2:33">
      <c r="B304" s="194"/>
      <c r="C304" s="194">
        <v>11</v>
      </c>
      <c r="D304" s="180">
        <v>0.20833333333333334</v>
      </c>
      <c r="E304" s="191" cm="1">
        <f t="array" ref="E304">INDEX($J$209:$J$213,MATCH(E$230,EV_charger_type,0))*INDEX(EV06_domestic_Default,$C304)*EV07_domestic_Default</f>
        <v>30.255121020936709</v>
      </c>
      <c r="F304" s="191" cm="1">
        <f t="array" ref="F304">INDEX($J$209:$J$213,MATCH(F$230,EV_charger_type,0))*INDEX(EV06_work,$C304)*EV07_work_Default</f>
        <v>1.1674411970847522</v>
      </c>
      <c r="G304" s="191" cm="1">
        <f t="array" ref="G304">INDEX($J$209:$J$213,MATCH(G$230,EV_charger_type,0))*INDEX(EV06_slowfast,$C304)*EV07_slowfast_Default</f>
        <v>0.42428149541193111</v>
      </c>
      <c r="H304" s="191" cm="1">
        <f t="array" ref="H304">INDEX($J$209:$J$213,MATCH(H$230,EV_charger_type,0))*INDEX(EV06_rapid,$C304)*EV07_rapid_Default</f>
        <v>0.6431107085905321</v>
      </c>
      <c r="I304" s="191" cm="1">
        <f t="array" ref="I304">INDEX($J$209:$J$213,MATCH(I$230,EV_charger_type,0))*INDEX(EV06_depot,$C304)*EV07_depot_Default</f>
        <v>0</v>
      </c>
      <c r="J304" s="192">
        <f t="shared" si="32"/>
        <v>32.489954422023928</v>
      </c>
      <c r="K304" s="192">
        <f t="shared" si="29"/>
        <v>0.29008887876807077</v>
      </c>
      <c r="L304" s="194"/>
      <c r="M304" s="194"/>
      <c r="N304" s="180">
        <v>0.20833333333333334</v>
      </c>
      <c r="O304" s="191" cm="1">
        <f t="array" ref="O304">INDEX($K$209:$K$213,MATCH(O$230,EV_charger_type,0))*INDEX(EV06_domestic_lower,$C304)*EV07_domestic_lower</f>
        <v>26.310051584995243</v>
      </c>
      <c r="P304" s="191" cm="1">
        <f t="array" ref="P304">INDEX($K$209:$K$213,MATCH(P$230,EV_charger_type,0))*INDEX(EV06_work,$C304)*EV07_work_lower</f>
        <v>0.91543287555956177</v>
      </c>
      <c r="Q304" s="191" cm="1">
        <f t="array" ref="Q304">INDEX($K$209:$K$213,MATCH(Q$230,EV_charger_type,0))*INDEX(EV06_slowfast,$C304)*EV07_slowfast_lower</f>
        <v>7.5303324937564864E-2</v>
      </c>
      <c r="R304" s="191" cm="1">
        <f t="array" ref="R304">INDEX($K$209:$K$213,MATCH(R$230,EV_charger_type,0))*INDEX(EV06_rapid,$C304)*EV07_rapid_lower</f>
        <v>0.19293321257715959</v>
      </c>
      <c r="S304" s="191" cm="1">
        <f t="array" ref="S304">INDEX($K$209:$K$213,MATCH(S$230,EV_charger_type,0))*INDEX(EV06_depot,$C304)*EV07_depot_lower</f>
        <v>0</v>
      </c>
      <c r="T304" s="192">
        <f t="shared" si="33"/>
        <v>27.493720998069527</v>
      </c>
      <c r="U304" s="192">
        <f t="shared" si="30"/>
        <v>0.24547965176847791</v>
      </c>
      <c r="V304" s="194"/>
      <c r="W304" s="194"/>
      <c r="X304" s="180">
        <v>0.20833333333333334</v>
      </c>
      <c r="Y304" s="191" cm="1">
        <f t="array" ref="Y304">INDEX($L$209:$L$213,MATCH(Y$230,EV_charger_type,0))*INDEX(EV06_domestic_upper,$C304)*EV07_domestic_upper</f>
        <v>34.798162272773503</v>
      </c>
      <c r="Z304" s="191" cm="1">
        <f t="array" ref="Z304">INDEX($L$209:$L$213,MATCH(Z$230,EV_charger_type,0))*INDEX(EV06_work,$C304)*EV07_work_upper</f>
        <v>1.4246461414820977</v>
      </c>
      <c r="AA304" s="191" cm="1">
        <f t="array" ref="AA304">INDEX($L$209:$L$213,MATCH(AA$230,EV_charger_type,0))*INDEX(EV06_slowfast,$C304)*EV07_slowfast_upper</f>
        <v>0.86733769518981374</v>
      </c>
      <c r="AB304" s="191" cm="1">
        <f t="array" ref="AB304">INDEX($L$209:$L$213,MATCH(AB$230,EV_charger_type,0))*INDEX(EV06_rapid,$C304)*EV07_rapid_upper</f>
        <v>1.0932882046039045</v>
      </c>
      <c r="AC304" s="191" cm="1">
        <f t="array" ref="AC304">INDEX($L$209:$L$213,MATCH(AC$230,EV_charger_type,0))*INDEX(EV06_depot,$C304)*EV07_depot_upper</f>
        <v>0</v>
      </c>
      <c r="AD304" s="192">
        <f t="shared" si="34"/>
        <v>38.183434314049315</v>
      </c>
      <c r="AE304" s="192">
        <f t="shared" si="31"/>
        <v>0.34092352066115461</v>
      </c>
      <c r="AF304" s="194"/>
      <c r="AG304" s="194"/>
    </row>
    <row r="305" spans="2:33">
      <c r="B305" s="194"/>
      <c r="C305" s="194">
        <v>12</v>
      </c>
      <c r="D305" s="180">
        <v>0.22916666666666666</v>
      </c>
      <c r="E305" s="191" cm="1">
        <f t="array" ref="E305">INDEX($J$209:$J$213,MATCH(E$230,EV_charger_type,0))*INDEX(EV06_domestic_Default,$C305)*EV07_domestic_Default</f>
        <v>24.714914500806248</v>
      </c>
      <c r="F305" s="191" cm="1">
        <f t="array" ref="F305">INDEX($J$209:$J$213,MATCH(F$230,EV_charger_type,0))*INDEX(EV06_work,$C305)*EV07_work_Default</f>
        <v>2.7418132145767209</v>
      </c>
      <c r="G305" s="191" cm="1">
        <f t="array" ref="G305">INDEX($J$209:$J$213,MATCH(G$230,EV_charger_type,0))*INDEX(EV06_slowfast,$C305)*EV07_slowfast_Default</f>
        <v>0.65442342764857431</v>
      </c>
      <c r="H305" s="191" cm="1">
        <f t="array" ref="H305">INDEX($J$209:$J$213,MATCH(H$230,EV_charger_type,0))*INDEX(EV06_rapid,$C305)*EV07_rapid_Default</f>
        <v>0.83695966463140203</v>
      </c>
      <c r="I305" s="191" cm="1">
        <f t="array" ref="I305">INDEX($J$209:$J$213,MATCH(I$230,EV_charger_type,0))*INDEX(EV06_depot,$C305)*EV07_depot_Default</f>
        <v>0</v>
      </c>
      <c r="J305" s="192">
        <f t="shared" si="32"/>
        <v>28.948110807662943</v>
      </c>
      <c r="K305" s="192">
        <f t="shared" si="29"/>
        <v>0.25846527506841915</v>
      </c>
      <c r="L305" s="194"/>
      <c r="M305" s="194"/>
      <c r="N305" s="180">
        <v>0.22916666666666666</v>
      </c>
      <c r="O305" s="191" cm="1">
        <f t="array" ref="O305">INDEX($K$209:$K$213,MATCH(O$230,EV_charger_type,0))*INDEX(EV06_domestic_lower,$C305)*EV07_domestic_lower</f>
        <v>21.492251674848116</v>
      </c>
      <c r="P305" s="191" cm="1">
        <f t="array" ref="P305">INDEX($K$209:$K$213,MATCH(P$230,EV_charger_type,0))*INDEX(EV06_work,$C305)*EV07_work_lower</f>
        <v>2.1499549283808248</v>
      </c>
      <c r="Q305" s="191" cm="1">
        <f t="array" ref="Q305">INDEX($K$209:$K$213,MATCH(Q$230,EV_charger_type,0))*INDEX(EV06_slowfast,$C305)*EV07_slowfast_lower</f>
        <v>0.11614991592110281</v>
      </c>
      <c r="R305" s="191" cm="1">
        <f t="array" ref="R305">INDEX($K$209:$K$213,MATCH(R$230,EV_charger_type,0))*INDEX(EV06_rapid,$C305)*EV07_rapid_lower</f>
        <v>0.25108789938942061</v>
      </c>
      <c r="S305" s="191" cm="1">
        <f t="array" ref="S305">INDEX($K$209:$K$213,MATCH(S$230,EV_charger_type,0))*INDEX(EV06_depot,$C305)*EV07_depot_lower</f>
        <v>0</v>
      </c>
      <c r="T305" s="192">
        <f t="shared" si="33"/>
        <v>24.009444418539466</v>
      </c>
      <c r="U305" s="192">
        <f t="shared" si="30"/>
        <v>0.21437003945124525</v>
      </c>
      <c r="V305" s="194"/>
      <c r="W305" s="194"/>
      <c r="X305" s="180">
        <v>0.22916666666666666</v>
      </c>
      <c r="Y305" s="191" cm="1">
        <f t="array" ref="Y305">INDEX($L$209:$L$213,MATCH(Y$230,EV_charger_type,0))*INDEX(EV06_domestic_upper,$C305)*EV07_domestic_upper</f>
        <v>28.426050742339807</v>
      </c>
      <c r="Z305" s="191" cm="1">
        <f t="array" ref="Z305">INDEX($L$209:$L$213,MATCH(Z$230,EV_charger_type,0))*INDEX(EV06_work,$C305)*EV07_work_upper</f>
        <v>3.3458761148445073</v>
      </c>
      <c r="AA305" s="191" cm="1">
        <f t="array" ref="AA305">INDEX($L$209:$L$213,MATCH(AA$230,EV_charger_type,0))*INDEX(EV06_slowfast,$C305)*EV07_slowfast_upper</f>
        <v>1.3378054747917971</v>
      </c>
      <c r="AB305" s="191" cm="1">
        <f t="array" ref="AB305">INDEX($L$209:$L$213,MATCH(AB$230,EV_charger_type,0))*INDEX(EV06_rapid,$C305)*EV07_rapid_upper</f>
        <v>1.4228314298733835</v>
      </c>
      <c r="AC305" s="191" cm="1">
        <f t="array" ref="AC305">INDEX($L$209:$L$213,MATCH(AC$230,EV_charger_type,0))*INDEX(EV06_depot,$C305)*EV07_depot_upper</f>
        <v>0</v>
      </c>
      <c r="AD305" s="192">
        <f t="shared" si="34"/>
        <v>34.532563761849495</v>
      </c>
      <c r="AE305" s="192">
        <f t="shared" si="31"/>
        <v>0.30832646215937048</v>
      </c>
      <c r="AF305" s="194"/>
      <c r="AG305" s="194"/>
    </row>
    <row r="306" spans="2:33">
      <c r="B306" s="194"/>
      <c r="C306" s="194">
        <v>13</v>
      </c>
      <c r="D306" s="180">
        <v>0.25</v>
      </c>
      <c r="E306" s="191" cm="1">
        <f t="array" ref="E306">INDEX($J$209:$J$213,MATCH(E$230,EV_charger_type,0))*INDEX(EV06_domestic_Default,$C306)*EV07_domestic_Default</f>
        <v>20.988553446205923</v>
      </c>
      <c r="F306" s="191" cm="1">
        <f t="array" ref="F306">INDEX($J$209:$J$213,MATCH(F$230,EV_charger_type,0))*INDEX(EV06_work,$C306)*EV07_work_Default</f>
        <v>4.3161852320686886</v>
      </c>
      <c r="G306" s="191" cm="1">
        <f t="array" ref="G306">INDEX($J$209:$J$213,MATCH(G$230,EV_charger_type,0))*INDEX(EV06_slowfast,$C306)*EV07_slowfast_Default</f>
        <v>0.88456535988521734</v>
      </c>
      <c r="H306" s="191" cm="1">
        <f t="array" ref="H306">INDEX($J$209:$J$213,MATCH(H$230,EV_charger_type,0))*INDEX(EV06_rapid,$C306)*EV07_rapid_Default</f>
        <v>1.5129674617824</v>
      </c>
      <c r="I306" s="191" cm="1">
        <f t="array" ref="I306">INDEX($J$209:$J$213,MATCH(I$230,EV_charger_type,0))*INDEX(EV06_depot,$C306)*EV07_depot_Default</f>
        <v>0</v>
      </c>
      <c r="J306" s="192">
        <f t="shared" si="32"/>
        <v>27.702271499942228</v>
      </c>
      <c r="K306" s="192">
        <f t="shared" si="29"/>
        <v>0.24734170982091275</v>
      </c>
      <c r="L306" s="194"/>
      <c r="M306" s="194"/>
      <c r="N306" s="180">
        <v>0.25</v>
      </c>
      <c r="O306" s="191" cm="1">
        <f t="array" ref="O306">INDEX($K$209:$K$213,MATCH(O$230,EV_charger_type,0))*INDEX(EV06_domestic_lower,$C306)*EV07_domestic_lower</f>
        <v>18.251783672654135</v>
      </c>
      <c r="P306" s="191" cm="1">
        <f t="array" ref="P306">INDEX($K$209:$K$213,MATCH(P$230,EV_charger_type,0))*INDEX(EV06_work,$C306)*EV07_work_lower</f>
        <v>3.3844769812020878</v>
      </c>
      <c r="Q306" s="191" cm="1">
        <f t="array" ref="Q306">INDEX($K$209:$K$213,MATCH(Q$230,EV_charger_type,0))*INDEX(EV06_slowfast,$C306)*EV07_slowfast_lower</f>
        <v>0.15699650690464073</v>
      </c>
      <c r="R306" s="191" cm="1">
        <f t="array" ref="R306">INDEX($K$209:$K$213,MATCH(R$230,EV_charger_type,0))*INDEX(EV06_rapid,$C306)*EV07_rapid_lower</f>
        <v>0.45389023853471999</v>
      </c>
      <c r="S306" s="191" cm="1">
        <f t="array" ref="S306">INDEX($K$209:$K$213,MATCH(S$230,EV_charger_type,0))*INDEX(EV06_depot,$C306)*EV07_depot_lower</f>
        <v>0</v>
      </c>
      <c r="T306" s="192">
        <f t="shared" si="33"/>
        <v>22.247147399295581</v>
      </c>
      <c r="U306" s="192">
        <f t="shared" si="30"/>
        <v>0.1986352446365677</v>
      </c>
      <c r="V306" s="194"/>
      <c r="W306" s="194"/>
      <c r="X306" s="180">
        <v>0.25</v>
      </c>
      <c r="Y306" s="191" cm="1">
        <f t="array" ref="Y306">INDEX($L$209:$L$213,MATCH(Y$230,EV_charger_type,0))*INDEX(EV06_domestic_upper,$C306)*EV07_domestic_upper</f>
        <v>24.140147652572203</v>
      </c>
      <c r="Z306" s="191" cm="1">
        <f t="array" ref="Z306">INDEX($L$209:$L$213,MATCH(Z$230,EV_charger_type,0))*INDEX(EV06_work,$C306)*EV07_work_upper</f>
        <v>5.2671060882069174</v>
      </c>
      <c r="AA306" s="191" cm="1">
        <f t="array" ref="AA306">INDEX($L$209:$L$213,MATCH(AA$230,EV_charger_type,0))*INDEX(EV06_slowfast,$C306)*EV07_slowfast_upper</f>
        <v>1.8082732543937807</v>
      </c>
      <c r="AB306" s="191" cm="1">
        <f t="array" ref="AB306">INDEX($L$209:$L$213,MATCH(AB$230,EV_charger_type,0))*INDEX(EV06_rapid,$C306)*EV07_rapid_upper</f>
        <v>2.5720446850300807</v>
      </c>
      <c r="AC306" s="191" cm="1">
        <f t="array" ref="AC306">INDEX($L$209:$L$213,MATCH(AC$230,EV_charger_type,0))*INDEX(EV06_depot,$C306)*EV07_depot_upper</f>
        <v>0</v>
      </c>
      <c r="AD306" s="192">
        <f t="shared" si="34"/>
        <v>33.78757168020298</v>
      </c>
      <c r="AE306" s="192">
        <f t="shared" si="31"/>
        <v>0.30167474714466946</v>
      </c>
      <c r="AF306" s="194"/>
      <c r="AG306" s="194"/>
    </row>
    <row r="307" spans="2:33">
      <c r="B307" s="194"/>
      <c r="C307" s="194">
        <v>14</v>
      </c>
      <c r="D307" s="180">
        <v>0.27083333333333331</v>
      </c>
      <c r="E307" s="191" cm="1">
        <f t="array" ref="E307">INDEX($J$209:$J$213,MATCH(E$230,EV_charger_type,0))*INDEX(EV06_domestic_Default,$C307)*EV07_domestic_Default</f>
        <v>16.822773522204638</v>
      </c>
      <c r="F307" s="191" cm="1">
        <f t="array" ref="F307">INDEX($J$209:$J$213,MATCH(F$230,EV_charger_type,0))*INDEX(EV06_work,$C307)*EV07_work_Default</f>
        <v>9.0423596372658182</v>
      </c>
      <c r="G307" s="191" cm="1">
        <f t="array" ref="G307">INDEX($J$209:$J$213,MATCH(G$230,EV_charger_type,0))*INDEX(EV06_slowfast,$C307)*EV07_slowfast_Default</f>
        <v>1.4776813454202238</v>
      </c>
      <c r="H307" s="191" cm="1">
        <f t="array" ref="H307">INDEX($J$209:$J$213,MATCH(H$230,EV_charger_type,0))*INDEX(EV06_rapid,$C307)*EV07_rapid_Default</f>
        <v>2.1889752589333984</v>
      </c>
      <c r="I307" s="191" cm="1">
        <f t="array" ref="I307">INDEX($J$209:$J$213,MATCH(I$230,EV_charger_type,0))*INDEX(EV06_depot,$C307)*EV07_depot_Default</f>
        <v>0</v>
      </c>
      <c r="J307" s="192">
        <f t="shared" si="32"/>
        <v>29.531789763824079</v>
      </c>
      <c r="K307" s="192">
        <f t="shared" si="29"/>
        <v>0.26367669431985785</v>
      </c>
      <c r="L307" s="194"/>
      <c r="M307" s="194"/>
      <c r="N307" s="180">
        <v>0.27083333333333331</v>
      </c>
      <c r="O307" s="191" cm="1">
        <f t="array" ref="O307">INDEX($K$209:$K$213,MATCH(O$230,EV_charger_type,0))*INDEX(EV06_domestic_lower,$C307)*EV07_domestic_lower</f>
        <v>14.629194140906229</v>
      </c>
      <c r="P307" s="191" cm="1">
        <f t="array" ref="P307">INDEX($K$209:$K$213,MATCH(P$230,EV_charger_type,0))*INDEX(EV06_work,$C307)*EV07_work_lower</f>
        <v>7.0904413046724377</v>
      </c>
      <c r="Q307" s="191" cm="1">
        <f t="array" ref="Q307">INDEX($K$209:$K$213,MATCH(Q$230,EV_charger_type,0))*INDEX(EV06_slowfast,$C307)*EV07_slowfast_lower</f>
        <v>0.26226531138324072</v>
      </c>
      <c r="R307" s="191" cm="1">
        <f t="array" ref="R307">INDEX($K$209:$K$213,MATCH(R$230,EV_charger_type,0))*INDEX(EV06_rapid,$C307)*EV07_rapid_lower</f>
        <v>0.65669257768001954</v>
      </c>
      <c r="S307" s="191" cm="1">
        <f t="array" ref="S307">INDEX($K$209:$K$213,MATCH(S$230,EV_charger_type,0))*INDEX(EV06_depot,$C307)*EV07_depot_lower</f>
        <v>0</v>
      </c>
      <c r="T307" s="192">
        <f t="shared" si="33"/>
        <v>22.638593334641929</v>
      </c>
      <c r="U307" s="192">
        <f t="shared" si="30"/>
        <v>0.20213029763073151</v>
      </c>
      <c r="V307" s="194"/>
      <c r="W307" s="194"/>
      <c r="X307" s="180">
        <v>0.27083333333333331</v>
      </c>
      <c r="Y307" s="191" cm="1">
        <f t="array" ref="Y307">INDEX($L$209:$L$213,MATCH(Y$230,EV_charger_type,0))*INDEX(EV06_domestic_upper,$C307)*EV07_domestic_upper</f>
        <v>19.348843539534787</v>
      </c>
      <c r="Z307" s="191" cm="1">
        <f t="array" ref="Z307">INDEX($L$209:$L$213,MATCH(Z$230,EV_charger_type,0))*INDEX(EV06_work,$C307)*EV07_work_upper</f>
        <v>11.034528162354206</v>
      </c>
      <c r="AA307" s="191" cm="1">
        <f t="array" ref="AA307">INDEX($L$209:$L$213,MATCH(AA$230,EV_charger_type,0))*INDEX(EV06_slowfast,$C307)*EV07_slowfast_upper</f>
        <v>3.0207509547816094</v>
      </c>
      <c r="AB307" s="191" cm="1">
        <f t="array" ref="AB307">INDEX($L$209:$L$213,MATCH(AB$230,EV_charger_type,0))*INDEX(EV06_rapid,$C307)*EV07_rapid_upper</f>
        <v>3.7212579401867774</v>
      </c>
      <c r="AC307" s="191" cm="1">
        <f t="array" ref="AC307">INDEX($L$209:$L$213,MATCH(AC$230,EV_charger_type,0))*INDEX(EV06_depot,$C307)*EV07_depot_upper</f>
        <v>0</v>
      </c>
      <c r="AD307" s="192">
        <f t="shared" si="34"/>
        <v>37.125380596857376</v>
      </c>
      <c r="AE307" s="192">
        <f t="shared" si="31"/>
        <v>0.33147661247194088</v>
      </c>
      <c r="AF307" s="194"/>
      <c r="AG307" s="194"/>
    </row>
    <row r="308" spans="2:33">
      <c r="B308" s="194"/>
      <c r="C308" s="194">
        <v>15</v>
      </c>
      <c r="D308" s="180">
        <v>0.29166666666666669</v>
      </c>
      <c r="E308" s="191" cm="1">
        <f t="array" ref="E308">INDEX($J$209:$J$213,MATCH(E$230,EV_charger_type,0))*INDEX(EV06_domestic_Default,$C308)*EV07_domestic_Default</f>
        <v>17.493669696047991</v>
      </c>
      <c r="F308" s="191" cm="1">
        <f t="array" ref="F308">INDEX($J$209:$J$213,MATCH(F$230,EV_charger_type,0))*INDEX(EV06_work,$C308)*EV07_work_Default</f>
        <v>13.768477406301441</v>
      </c>
      <c r="G308" s="191" cm="1">
        <f t="array" ref="G308">INDEX($J$209:$J$213,MATCH(G$230,EV_charger_type,0))*INDEX(EV06_slowfast,$C308)*EV07_slowfast_Default</f>
        <v>2.070797330955231</v>
      </c>
      <c r="H308" s="191" cm="1">
        <f t="array" ref="H308">INDEX($J$209:$J$213,MATCH(H$230,EV_charger_type,0))*INDEX(EV06_rapid,$C308)*EV07_rapid_Default</f>
        <v>3.0539546828076785</v>
      </c>
      <c r="I308" s="191" cm="1">
        <f t="array" ref="I308">INDEX($J$209:$J$213,MATCH(I$230,EV_charger_type,0))*INDEX(EV06_depot,$C308)*EV07_depot_Default</f>
        <v>0</v>
      </c>
      <c r="J308" s="192">
        <f t="shared" si="32"/>
        <v>36.386899116112339</v>
      </c>
      <c r="K308" s="192">
        <f t="shared" si="29"/>
        <v>0.32488302782243161</v>
      </c>
      <c r="L308" s="194"/>
      <c r="M308" s="194"/>
      <c r="N308" s="180">
        <v>0.29166666666666669</v>
      </c>
      <c r="O308" s="191" cm="1">
        <f t="array" ref="O308">INDEX($K$209:$K$213,MATCH(O$230,EV_charger_type,0))*INDEX(EV06_domestic_lower,$C308)*EV07_domestic_lower</f>
        <v>15.212609851911969</v>
      </c>
      <c r="P308" s="191" cm="1">
        <f t="array" ref="P308">INDEX($K$209:$K$213,MATCH(P$230,EV_charger_type,0))*INDEX(EV06_work,$C308)*EV07_work_lower</f>
        <v>10.796361217679703</v>
      </c>
      <c r="Q308" s="191" cm="1">
        <f t="array" ref="Q308">INDEX($K$209:$K$213,MATCH(Q$230,EV_charger_type,0))*INDEX(EV06_slowfast,$C308)*EV07_slowfast_lower</f>
        <v>0.36753411586184087</v>
      </c>
      <c r="R308" s="191" cm="1">
        <f t="array" ref="R308">INDEX($K$209:$K$213,MATCH(R$230,EV_charger_type,0))*INDEX(EV06_rapid,$C308)*EV07_rapid_lower</f>
        <v>0.91618640484230351</v>
      </c>
      <c r="S308" s="191" cm="1">
        <f t="array" ref="S308">INDEX($K$209:$K$213,MATCH(S$230,EV_charger_type,0))*INDEX(EV06_depot,$C308)*EV07_depot_lower</f>
        <v>0</v>
      </c>
      <c r="T308" s="192">
        <f t="shared" si="33"/>
        <v>27.292691590295817</v>
      </c>
      <c r="U308" s="192">
        <f t="shared" si="30"/>
        <v>0.24368474634192694</v>
      </c>
      <c r="V308" s="194"/>
      <c r="W308" s="194"/>
      <c r="X308" s="180">
        <v>0.29166666666666669</v>
      </c>
      <c r="Y308" s="191" cm="1">
        <f t="array" ref="Y308">INDEX($L$209:$L$213,MATCH(Y$230,EV_charger_type,0))*INDEX(EV06_domestic_upper,$C308)*EV07_domestic_upper</f>
        <v>20.120479981161591</v>
      </c>
      <c r="Z308" s="191" cm="1">
        <f t="array" ref="Z308">INDEX($L$209:$L$213,MATCH(Z$230,EV_charger_type,0))*INDEX(EV06_work,$C308)*EV07_work_upper</f>
        <v>16.80188112253742</v>
      </c>
      <c r="AA308" s="191" cm="1">
        <f t="array" ref="AA308">INDEX($L$209:$L$213,MATCH(AA$230,EV_charger_type,0))*INDEX(EV06_slowfast,$C308)*EV07_slowfast_upper</f>
        <v>4.2332286551694391</v>
      </c>
      <c r="AB308" s="191" cm="1">
        <f t="array" ref="AB308">INDEX($L$209:$L$213,MATCH(AB$230,EV_charger_type,0))*INDEX(EV06_rapid,$C308)*EV07_rapid_upper</f>
        <v>5.1917229607730535</v>
      </c>
      <c r="AC308" s="191" cm="1">
        <f t="array" ref="AC308">INDEX($L$209:$L$213,MATCH(AC$230,EV_charger_type,0))*INDEX(EV06_depot,$C308)*EV07_depot_upper</f>
        <v>0</v>
      </c>
      <c r="AD308" s="192">
        <f t="shared" si="34"/>
        <v>46.347312719641508</v>
      </c>
      <c r="AE308" s="192">
        <f t="shared" si="31"/>
        <v>0.41381529213965634</v>
      </c>
      <c r="AF308" s="194"/>
      <c r="AG308" s="194"/>
    </row>
    <row r="309" spans="2:33">
      <c r="B309" s="194"/>
      <c r="C309" s="194">
        <v>16</v>
      </c>
      <c r="D309" s="180">
        <v>0.3125</v>
      </c>
      <c r="E309" s="191" cm="1">
        <f t="array" ref="E309">INDEX($J$209:$J$213,MATCH(E$230,EV_charger_type,0))*INDEX(EV06_domestic_Default,$C309)*EV07_domestic_Default</f>
        <v>16.068989972788589</v>
      </c>
      <c r="F309" s="191" cm="1">
        <f t="array" ref="F309">INDEX($J$209:$J$213,MATCH(F$230,EV_charger_type,0))*INDEX(EV06_work,$C309)*EV07_work_Default</f>
        <v>18.811927588244739</v>
      </c>
      <c r="G309" s="191" cm="1">
        <f t="array" ref="G309">INDEX($J$209:$J$213,MATCH(G$230,EV_charger_type,0))*INDEX(EV06_slowfast,$C309)*EV07_slowfast_Default</f>
        <v>3.0909223455356818</v>
      </c>
      <c r="H309" s="191" cm="1">
        <f t="array" ref="H309">INDEX($J$209:$J$213,MATCH(H$230,EV_charger_type,0))*INDEX(EV06_rapid,$C309)*EV07_rapid_Default</f>
        <v>3.9189838753484647</v>
      </c>
      <c r="I309" s="191" cm="1">
        <f t="array" ref="I309">INDEX($J$209:$J$213,MATCH(I$230,EV_charger_type,0))*INDEX(EV06_depot,$C309)*EV07_depot_Default</f>
        <v>0</v>
      </c>
      <c r="J309" s="192">
        <f t="shared" si="32"/>
        <v>41.890823781917476</v>
      </c>
      <c r="K309" s="192">
        <f t="shared" si="29"/>
        <v>0.37402521233854891</v>
      </c>
      <c r="L309" s="194"/>
      <c r="M309" s="194"/>
      <c r="N309" s="180">
        <v>0.3125</v>
      </c>
      <c r="O309" s="191" cm="1">
        <f t="array" ref="O309">INDEX($K$209:$K$213,MATCH(O$230,EV_charger_type,0))*INDEX(EV06_domestic_lower,$C309)*EV07_domestic_lower</f>
        <v>13.973699024713065</v>
      </c>
      <c r="P309" s="191" cm="1">
        <f t="array" ref="P309">INDEX($K$209:$K$213,MATCH(P$230,EV_charger_type,0))*INDEX(EV06_work,$C309)*EV07_work_lower</f>
        <v>14.751112955349083</v>
      </c>
      <c r="Q309" s="191" cm="1">
        <f t="array" ref="Q309">INDEX($K$209:$K$213,MATCH(Q$230,EV_charger_type,0))*INDEX(EV06_slowfast,$C309)*EV07_slowfast_lower</f>
        <v>0.54859033980888605</v>
      </c>
      <c r="R309" s="191" cm="1">
        <f t="array" ref="R309">INDEX($K$209:$K$213,MATCH(R$230,EV_charger_type,0))*INDEX(EV06_rapid,$C309)*EV07_rapid_lower</f>
        <v>1.1756951626045393</v>
      </c>
      <c r="S309" s="191" cm="1">
        <f t="array" ref="S309">INDEX($K$209:$K$213,MATCH(S$230,EV_charger_type,0))*INDEX(EV06_depot,$C309)*EV07_depot_lower</f>
        <v>0</v>
      </c>
      <c r="T309" s="192">
        <f t="shared" si="33"/>
        <v>30.449097482475576</v>
      </c>
      <c r="U309" s="192">
        <f t="shared" si="30"/>
        <v>0.27186694180781762</v>
      </c>
      <c r="V309" s="194"/>
      <c r="W309" s="194"/>
      <c r="X309" s="180">
        <v>0.3125</v>
      </c>
      <c r="Y309" s="191" cm="1">
        <f t="array" ref="Y309">INDEX($L$209:$L$213,MATCH(Y$230,EV_charger_type,0))*INDEX(EV06_domestic_upper,$C309)*EV07_domestic_upper</f>
        <v>18.481873539547831</v>
      </c>
      <c r="Z309" s="191" cm="1">
        <f t="array" ref="Z309">INDEX($L$209:$L$213,MATCH(Z$230,EV_charger_type,0))*INDEX(EV06_work,$C309)*EV07_work_upper</f>
        <v>22.956479623433978</v>
      </c>
      <c r="AA309" s="191" cm="1">
        <f t="array" ref="AA309">INDEX($L$209:$L$213,MATCH(AA$230,EV_charger_type,0))*INDEX(EV06_slowfast,$C309)*EV07_slowfast_upper</f>
        <v>6.3186198129729299</v>
      </c>
      <c r="AB309" s="191" cm="1">
        <f t="array" ref="AB309">INDEX($L$209:$L$213,MATCH(AB$230,EV_charger_type,0))*INDEX(EV06_rapid,$C309)*EV07_rapid_upper</f>
        <v>6.6622725880923905</v>
      </c>
      <c r="AC309" s="191" cm="1">
        <f t="array" ref="AC309">INDEX($L$209:$L$213,MATCH(AC$230,EV_charger_type,0))*INDEX(EV06_depot,$C309)*EV07_depot_upper</f>
        <v>0</v>
      </c>
      <c r="AD309" s="192">
        <f t="shared" si="34"/>
        <v>54.419245564047131</v>
      </c>
      <c r="AE309" s="192">
        <f t="shared" si="31"/>
        <v>0.48588612110756368</v>
      </c>
      <c r="AF309" s="194"/>
      <c r="AG309" s="194"/>
    </row>
    <row r="310" spans="2:33">
      <c r="B310" s="194"/>
      <c r="C310" s="194">
        <v>17</v>
      </c>
      <c r="D310" s="180">
        <v>0.33333333333333331</v>
      </c>
      <c r="E310" s="191" cm="1">
        <f t="array" ref="E310">INDEX($J$209:$J$213,MATCH(E$230,EV_charger_type,0))*INDEX(EV06_domestic_Default,$C310)*EV07_domestic_Default</f>
        <v>13.435141225067991</v>
      </c>
      <c r="F310" s="191" cm="1">
        <f t="array" ref="F310">INDEX($J$209:$J$213,MATCH(F$230,EV_charger_type,0))*INDEX(EV06_work,$C310)*EV07_work_Default</f>
        <v>23.855434406349541</v>
      </c>
      <c r="G310" s="191" cm="1">
        <f t="array" ref="G310">INDEX($J$209:$J$213,MATCH(G$230,EV_charger_type,0))*INDEX(EV06_slowfast,$C310)*EV07_slowfast_Default</f>
        <v>4.1110473601161326</v>
      </c>
      <c r="H310" s="191" cm="1">
        <f t="array" ref="H310">INDEX($J$209:$J$213,MATCH(H$230,EV_charger_type,0))*INDEX(EV06_rapid,$C310)*EV07_rapid_Default</f>
        <v>4.8756371829267966</v>
      </c>
      <c r="I310" s="191" cm="1">
        <f t="array" ref="I310">INDEX($J$209:$J$213,MATCH(I$230,EV_charger_type,0))*INDEX(EV06_depot,$C310)*EV07_depot_Default</f>
        <v>0</v>
      </c>
      <c r="J310" s="192">
        <f t="shared" si="32"/>
        <v>46.277260174460459</v>
      </c>
      <c r="K310" s="192">
        <f t="shared" si="29"/>
        <v>0.41318982298625412</v>
      </c>
      <c r="L310" s="194"/>
      <c r="M310" s="194"/>
      <c r="N310" s="180">
        <v>0.33333333333333331</v>
      </c>
      <c r="O310" s="191" cm="1">
        <f t="array" ref="O310">INDEX($K$209:$K$213,MATCH(O$230,EV_charger_type,0))*INDEX(EV06_domestic_lower,$C310)*EV07_domestic_lower</f>
        <v>11.683286886825718</v>
      </c>
      <c r="P310" s="191" cm="1">
        <f t="array" ref="P310">INDEX($K$209:$K$213,MATCH(P$230,EV_charger_type,0))*INDEX(EV06_work,$C310)*EV07_work_lower</f>
        <v>18.705909103481549</v>
      </c>
      <c r="Q310" s="191" cm="1">
        <f t="array" ref="Q310">INDEX($K$209:$K$213,MATCH(Q$230,EV_charger_type,0))*INDEX(EV06_slowfast,$C310)*EV07_slowfast_lower</f>
        <v>0.72964656375593107</v>
      </c>
      <c r="R310" s="191" cm="1">
        <f t="array" ref="R310">INDEX($K$209:$K$213,MATCH(R$230,EV_charger_type,0))*INDEX(EV06_rapid,$C310)*EV07_rapid_lower</f>
        <v>1.462691154878039</v>
      </c>
      <c r="S310" s="191" cm="1">
        <f t="array" ref="S310">INDEX($K$209:$K$213,MATCH(S$230,EV_charger_type,0))*INDEX(EV06_depot,$C310)*EV07_depot_lower</f>
        <v>0</v>
      </c>
      <c r="T310" s="192">
        <f t="shared" si="33"/>
        <v>32.581533708941237</v>
      </c>
      <c r="U310" s="192">
        <f t="shared" si="30"/>
        <v>0.29090655097268964</v>
      </c>
      <c r="V310" s="194"/>
      <c r="W310" s="194"/>
      <c r="X310" s="180">
        <v>0.33333333333333331</v>
      </c>
      <c r="Y310" s="191" cm="1">
        <f t="array" ref="Y310">INDEX($L$209:$L$213,MATCH(Y$230,EV_charger_type,0))*INDEX(EV06_domestic_upper,$C310)*EV07_domestic_upper</f>
        <v>15.452531959267976</v>
      </c>
      <c r="Z310" s="191" cm="1">
        <f t="array" ref="Z310">INDEX($L$209:$L$213,MATCH(Z$230,EV_charger_type,0))*INDEX(EV06_work,$C310)*EV07_work_upper</f>
        <v>29.111147238294617</v>
      </c>
      <c r="AA310" s="191" cm="1">
        <f t="array" ref="AA310">INDEX($L$209:$L$213,MATCH(AA$230,EV_charger_type,0))*INDEX(EV06_slowfast,$C310)*EV07_slowfast_upper</f>
        <v>8.4040109707764206</v>
      </c>
      <c r="AB310" s="191" cm="1">
        <f t="array" ref="AB310">INDEX($L$209:$L$213,MATCH(AB$230,EV_charger_type,0))*INDEX(EV06_rapid,$C310)*EV07_rapid_upper</f>
        <v>8.2885832109755562</v>
      </c>
      <c r="AC310" s="191" cm="1">
        <f t="array" ref="AC310">INDEX($L$209:$L$213,MATCH(AC$230,EV_charger_type,0))*INDEX(EV06_depot,$C310)*EV07_depot_upper</f>
        <v>0</v>
      </c>
      <c r="AD310" s="192">
        <f t="shared" si="34"/>
        <v>61.256273379314564</v>
      </c>
      <c r="AE310" s="192">
        <f t="shared" si="31"/>
        <v>0.54693101231530861</v>
      </c>
      <c r="AF310" s="194"/>
      <c r="AG310" s="194"/>
    </row>
    <row r="311" spans="2:33">
      <c r="B311" s="194"/>
      <c r="C311" s="194">
        <v>18</v>
      </c>
      <c r="D311" s="180">
        <v>0.35416666666666669</v>
      </c>
      <c r="E311" s="191" cm="1">
        <f t="array" ref="E311">INDEX($J$209:$J$213,MATCH(E$230,EV_charger_type,0))*INDEX(EV06_domestic_Default,$C311)*EV07_domestic_Default</f>
        <v>15.855564135817819</v>
      </c>
      <c r="F311" s="191" cm="1">
        <f t="array" ref="F311">INDEX($J$209:$J$213,MATCH(F$230,EV_charger_type,0))*INDEX(EV06_work,$C311)*EV07_work_Default</f>
        <v>22.727355341510165</v>
      </c>
      <c r="G311" s="191" cm="1">
        <f t="array" ref="G311">INDEX($J$209:$J$213,MATCH(G$230,EV_charger_type,0))*INDEX(EV06_slowfast,$C311)*EV07_slowfast_Default</f>
        <v>4.7435610279899185</v>
      </c>
      <c r="H311" s="191" cm="1">
        <f t="array" ref="H311">INDEX($J$209:$J$213,MATCH(H$230,EV_charger_type,0))*INDEX(EV06_rapid,$C311)*EV07_rapid_Default</f>
        <v>5.8322904905051294</v>
      </c>
      <c r="I311" s="191" cm="1">
        <f t="array" ref="I311">INDEX($J$209:$J$213,MATCH(I$230,EV_charger_type,0))*INDEX(EV06_depot,$C311)*EV07_depot_Default</f>
        <v>0</v>
      </c>
      <c r="J311" s="192">
        <f t="shared" si="32"/>
        <v>49.158770995823033</v>
      </c>
      <c r="K311" s="192">
        <f t="shared" si="29"/>
        <v>0.43891759817699139</v>
      </c>
      <c r="L311" s="194"/>
      <c r="M311" s="194"/>
      <c r="N311" s="180">
        <v>0.35416666666666669</v>
      </c>
      <c r="O311" s="191" cm="1">
        <f t="array" ref="O311">INDEX($K$209:$K$213,MATCH(O$230,EV_charger_type,0))*INDEX(EV06_domestic_lower,$C311)*EV07_domestic_lower</f>
        <v>13.788102517715588</v>
      </c>
      <c r="P311" s="191" cm="1">
        <f t="array" ref="P311">INDEX($K$209:$K$213,MATCH(P$230,EV_charger_type,0))*INDEX(EV06_work,$C311)*EV07_work_lower</f>
        <v>17.821341499765673</v>
      </c>
      <c r="Q311" s="191" cm="1">
        <f t="array" ref="Q311">INDEX($K$209:$K$213,MATCH(Q$230,EV_charger_type,0))*INDEX(EV06_slowfast,$C311)*EV07_slowfast_lower</f>
        <v>0.84190784023018983</v>
      </c>
      <c r="R311" s="191" cm="1">
        <f t="array" ref="R311">INDEX($K$209:$K$213,MATCH(R$230,EV_charger_type,0))*INDEX(EV06_rapid,$C311)*EV07_rapid_lower</f>
        <v>1.7496871471515385</v>
      </c>
      <c r="S311" s="191" cm="1">
        <f t="array" ref="S311">INDEX($K$209:$K$213,MATCH(S$230,EV_charger_type,0))*INDEX(EV06_depot,$C311)*EV07_depot_lower</f>
        <v>0</v>
      </c>
      <c r="T311" s="192">
        <f t="shared" si="33"/>
        <v>34.201039004862992</v>
      </c>
      <c r="U311" s="192">
        <f t="shared" si="30"/>
        <v>0.3053664196862767</v>
      </c>
      <c r="V311" s="194"/>
      <c r="W311" s="194"/>
      <c r="X311" s="180">
        <v>0.35416666666666669</v>
      </c>
      <c r="Y311" s="191" cm="1">
        <f t="array" ref="Y311">INDEX($L$209:$L$213,MATCH(Y$230,EV_charger_type,0))*INDEX(EV06_domestic_upper,$C311)*EV07_domestic_upper</f>
        <v>18.236400156613023</v>
      </c>
      <c r="Z311" s="191" cm="1">
        <f t="array" ref="Z311">INDEX($L$209:$L$213,MATCH(Z$230,EV_charger_type,0))*INDEX(EV06_work,$C311)*EV07_work_upper</f>
        <v>27.734535301844783</v>
      </c>
      <c r="AA311" s="191" cm="1">
        <f t="array" ref="AA311">INDEX($L$209:$L$213,MATCH(AA$230,EV_charger_type,0))*INDEX(EV06_slowfast,$C311)*EV07_slowfast_upper</f>
        <v>9.6970274063319515</v>
      </c>
      <c r="AB311" s="191" cm="1">
        <f t="array" ref="AB311">INDEX($L$209:$L$213,MATCH(AB$230,EV_charger_type,0))*INDEX(EV06_rapid,$C311)*EV07_rapid_upper</f>
        <v>9.9148938338587183</v>
      </c>
      <c r="AC311" s="191" cm="1">
        <f t="array" ref="AC311">INDEX($L$209:$L$213,MATCH(AC$230,EV_charger_type,0))*INDEX(EV06_depot,$C311)*EV07_depot_upper</f>
        <v>0</v>
      </c>
      <c r="AD311" s="192">
        <f t="shared" si="34"/>
        <v>65.58285669864847</v>
      </c>
      <c r="AE311" s="192">
        <f t="shared" si="31"/>
        <v>0.58556122052364701</v>
      </c>
      <c r="AF311" s="194"/>
      <c r="AG311" s="194"/>
    </row>
    <row r="312" spans="2:33">
      <c r="B312" s="194"/>
      <c r="C312" s="194">
        <v>19</v>
      </c>
      <c r="D312" s="180">
        <v>0.375</v>
      </c>
      <c r="E312" s="191" cm="1">
        <f t="array" ref="E312">INDEX($J$209:$J$213,MATCH(E$230,EV_charger_type,0))*INDEX(EV06_domestic_Default,$C312)*EV07_domestic_Default</f>
        <v>16.583150412322031</v>
      </c>
      <c r="F312" s="191" cm="1">
        <f t="array" ref="F312">INDEX($J$209:$J$213,MATCH(F$230,EV_charger_type,0))*INDEX(EV06_work,$C312)*EV07_work_Default</f>
        <v>21.599276276670782</v>
      </c>
      <c r="G312" s="191" cm="1">
        <f t="array" ref="G312">INDEX($J$209:$J$213,MATCH(G$230,EV_charger_type,0))*INDEX(EV06_slowfast,$C312)*EV07_slowfast_Default</f>
        <v>5.3760746958637036</v>
      </c>
      <c r="H312" s="191" cm="1">
        <f t="array" ref="H312">INDEX($J$209:$J$213,MATCH(H$230,EV_charger_type,0))*INDEX(EV06_rapid,$C312)*EV07_rapid_Default</f>
        <v>6.6892073904054374</v>
      </c>
      <c r="I312" s="191" cm="1">
        <f t="array" ref="I312">INDEX($J$209:$J$213,MATCH(I$230,EV_charger_type,0))*INDEX(EV06_depot,$C312)*EV07_depot_Default</f>
        <v>0</v>
      </c>
      <c r="J312" s="192">
        <f t="shared" si="32"/>
        <v>50.247708775261948</v>
      </c>
      <c r="K312" s="192">
        <f t="shared" si="29"/>
        <v>0.44864025692198167</v>
      </c>
      <c r="L312" s="194"/>
      <c r="M312" s="194"/>
      <c r="N312" s="180">
        <v>0.375</v>
      </c>
      <c r="O312" s="191" cm="1">
        <f t="array" ref="O312">INDEX($K$209:$K$213,MATCH(O$230,EV_charger_type,0))*INDEX(EV06_domestic_lower,$C312)*EV07_domestic_lower</f>
        <v>14.420816313641692</v>
      </c>
      <c r="P312" s="191" cm="1">
        <f t="array" ref="P312">INDEX($K$209:$K$213,MATCH(P$230,EV_charger_type,0))*INDEX(EV06_work,$C312)*EV07_work_lower</f>
        <v>16.9367738960498</v>
      </c>
      <c r="Q312" s="191" cm="1">
        <f t="array" ref="Q312">INDEX($K$209:$K$213,MATCH(Q$230,EV_charger_type,0))*INDEX(EV06_slowfast,$C312)*EV07_slowfast_lower</f>
        <v>0.95416911670444815</v>
      </c>
      <c r="R312" s="191" cm="1">
        <f t="array" ref="R312">INDEX($K$209:$K$213,MATCH(R$230,EV_charger_type,0))*INDEX(EV06_rapid,$C312)*EV07_rapid_lower</f>
        <v>2.0067622171216311</v>
      </c>
      <c r="S312" s="191" cm="1">
        <f t="array" ref="S312">INDEX($K$209:$K$213,MATCH(S$230,EV_charger_type,0))*INDEX(EV06_depot,$C312)*EV07_depot_lower</f>
        <v>0</v>
      </c>
      <c r="T312" s="192">
        <f t="shared" si="33"/>
        <v>34.318521543517576</v>
      </c>
      <c r="U312" s="192">
        <f t="shared" si="30"/>
        <v>0.30641537092426407</v>
      </c>
      <c r="V312" s="194"/>
      <c r="W312" s="194"/>
      <c r="X312" s="180">
        <v>0.375</v>
      </c>
      <c r="Y312" s="191" cm="1">
        <f t="array" ref="Y312">INDEX($L$209:$L$213,MATCH(Y$230,EV_charger_type,0))*INDEX(EV06_domestic_upper,$C312)*EV07_domestic_upper</f>
        <v>19.073239159825604</v>
      </c>
      <c r="Z312" s="191" cm="1">
        <f t="array" ref="Z312">INDEX($L$209:$L$213,MATCH(Z$230,EV_charger_type,0))*INDEX(EV06_work,$C312)*EV07_work_upper</f>
        <v>26.357923365394949</v>
      </c>
      <c r="AA312" s="191" cm="1">
        <f t="array" ref="AA312">INDEX($L$209:$L$213,MATCH(AA$230,EV_charger_type,0))*INDEX(EV06_slowfast,$C312)*EV07_slowfast_upper</f>
        <v>10.990043841887477</v>
      </c>
      <c r="AB312" s="191" cm="1">
        <f t="array" ref="AB312">INDEX($L$209:$L$213,MATCH(AB$230,EV_charger_type,0))*INDEX(EV06_rapid,$C312)*EV07_rapid_upper</f>
        <v>11.371652563689244</v>
      </c>
      <c r="AC312" s="191" cm="1">
        <f t="array" ref="AC312">INDEX($L$209:$L$213,MATCH(AC$230,EV_charger_type,0))*INDEX(EV06_depot,$C312)*EV07_depot_upper</f>
        <v>0</v>
      </c>
      <c r="AD312" s="192">
        <f t="shared" si="34"/>
        <v>67.79285893079728</v>
      </c>
      <c r="AE312" s="192">
        <f t="shared" si="31"/>
        <v>0.60529338331069005</v>
      </c>
      <c r="AF312" s="194"/>
      <c r="AG312" s="194"/>
    </row>
    <row r="313" spans="2:33">
      <c r="B313" s="194"/>
      <c r="C313" s="194">
        <v>20</v>
      </c>
      <c r="D313" s="180">
        <v>0.39583333333333331</v>
      </c>
      <c r="E313" s="191" cm="1">
        <f t="array" ref="E313">INDEX($J$209:$J$213,MATCH(E$230,EV_charger_type,0))*INDEX(EV06_domestic_Default,$C313)*EV07_domestic_Default</f>
        <v>17.42580013627774</v>
      </c>
      <c r="F313" s="191" cm="1">
        <f t="array" ref="F313">INDEX($J$209:$J$213,MATCH(F$230,EV_charger_type,0))*INDEX(EV06_work,$C313)*EV07_work_Default</f>
        <v>17.897650033083472</v>
      </c>
      <c r="G313" s="191" cm="1">
        <f t="array" ref="G313">INDEX($J$209:$J$213,MATCH(G$230,EV_charger_type,0))*INDEX(EV06_slowfast,$C313)*EV07_slowfast_Default</f>
        <v>5.2101136641685963</v>
      </c>
      <c r="H313" s="191" cm="1">
        <f t="array" ref="H313">INDEX($J$209:$J$213,MATCH(H$230,EV_charger_type,0))*INDEX(EV06_rapid,$C313)*EV07_rapid_Default</f>
        <v>7.5461242903057446</v>
      </c>
      <c r="I313" s="191" cm="1">
        <f t="array" ref="I313">INDEX($J$209:$J$213,MATCH(I$230,EV_charger_type,0))*INDEX(EV06_depot,$C313)*EV07_depot_Default</f>
        <v>0</v>
      </c>
      <c r="J313" s="192">
        <f t="shared" si="32"/>
        <v>48.079688123835552</v>
      </c>
      <c r="K313" s="192">
        <f t="shared" si="29"/>
        <v>0.42928292967710313</v>
      </c>
      <c r="L313" s="194"/>
      <c r="M313" s="194"/>
      <c r="N313" s="180">
        <v>0.39583333333333331</v>
      </c>
      <c r="O313" s="191" cm="1">
        <f t="array" ref="O313">INDEX($K$209:$K$213,MATCH(O$230,EV_charger_type,0))*INDEX(EV06_domestic_lower,$C313)*EV07_domestic_lower</f>
        <v>15.153590037799491</v>
      </c>
      <c r="P313" s="191" cm="1">
        <f t="array" ref="P313">INDEX($K$209:$K$213,MATCH(P$230,EV_charger_type,0))*INDEX(EV06_work,$C313)*EV07_work_lower</f>
        <v>14.034194849776968</v>
      </c>
      <c r="Q313" s="191" cm="1">
        <f t="array" ref="Q313">INDEX($K$209:$K$213,MATCH(Q$230,EV_charger_type,0))*INDEX(EV06_slowfast,$C313)*EV07_slowfast_lower</f>
        <v>0.92471363106141635</v>
      </c>
      <c r="R313" s="191" cm="1">
        <f t="array" ref="R313">INDEX($K$209:$K$213,MATCH(R$230,EV_charger_type,0))*INDEX(EV06_rapid,$C313)*EV07_rapid_lower</f>
        <v>2.2638372870917234</v>
      </c>
      <c r="S313" s="191" cm="1">
        <f t="array" ref="S313">INDEX($K$209:$K$213,MATCH(S$230,EV_charger_type,0))*INDEX(EV06_depot,$C313)*EV07_depot_lower</f>
        <v>0</v>
      </c>
      <c r="T313" s="192">
        <f t="shared" si="33"/>
        <v>32.376335805729596</v>
      </c>
      <c r="U313" s="192">
        <f t="shared" si="30"/>
        <v>0.2890744268368714</v>
      </c>
      <c r="V313" s="194"/>
      <c r="W313" s="194"/>
      <c r="X313" s="180">
        <v>0.39583333333333331</v>
      </c>
      <c r="Y313" s="191" cm="1">
        <f t="array" ref="Y313">INDEX($L$209:$L$213,MATCH(Y$230,EV_charger_type,0))*INDEX(EV06_domestic_upper,$C313)*EV07_domestic_upper</f>
        <v>20.042419280210087</v>
      </c>
      <c r="Z313" s="191" cm="1">
        <f t="array" ref="Z313">INDEX($L$209:$L$213,MATCH(Z$230,EV_charger_type,0))*INDEX(EV06_work,$C313)*EV07_work_upper</f>
        <v>21.840772901368023</v>
      </c>
      <c r="AA313" s="191" cm="1">
        <f t="array" ref="AA313">INDEX($L$209:$L$213,MATCH(AA$230,EV_charger_type,0))*INDEX(EV06_slowfast,$C313)*EV07_slowfast_upper</f>
        <v>10.650777905761737</v>
      </c>
      <c r="AB313" s="191" cm="1">
        <f t="array" ref="AB313">INDEX($L$209:$L$213,MATCH(AB$230,EV_charger_type,0))*INDEX(EV06_rapid,$C313)*EV07_rapid_upper</f>
        <v>12.828411293519766</v>
      </c>
      <c r="AC313" s="191" cm="1">
        <f t="array" ref="AC313">INDEX($L$209:$L$213,MATCH(AC$230,EV_charger_type,0))*INDEX(EV06_depot,$C313)*EV07_depot_upper</f>
        <v>0</v>
      </c>
      <c r="AD313" s="192">
        <f t="shared" si="34"/>
        <v>65.362381380859617</v>
      </c>
      <c r="AE313" s="192">
        <f t="shared" si="31"/>
        <v>0.58359269090053234</v>
      </c>
      <c r="AF313" s="194"/>
      <c r="AG313" s="194"/>
    </row>
    <row r="314" spans="2:33">
      <c r="B314" s="194"/>
      <c r="C314" s="194">
        <v>21</v>
      </c>
      <c r="D314" s="180">
        <v>0.41666666666666669</v>
      </c>
      <c r="E314" s="191" cm="1">
        <f t="array" ref="E314">INDEX($J$209:$J$213,MATCH(E$230,EV_charger_type,0))*INDEX(EV06_domestic_Default,$C314)*EV07_domestic_Default</f>
        <v>18.510283665125769</v>
      </c>
      <c r="F314" s="191" cm="1">
        <f t="array" ref="F314">INDEX($J$209:$J$213,MATCH(F$230,EV_charger_type,0))*INDEX(EV06_work,$C314)*EV07_work_Default</f>
        <v>14.196023789496161</v>
      </c>
      <c r="G314" s="191" cm="1">
        <f t="array" ref="G314">INDEX($J$209:$J$213,MATCH(G$230,EV_charger_type,0))*INDEX(EV06_slowfast,$C314)*EV07_slowfast_Default</f>
        <v>5.0441526324734864</v>
      </c>
      <c r="H314" s="191" cm="1">
        <f t="array" ref="H314">INDEX($J$209:$J$213,MATCH(H$230,EV_charger_type,0))*INDEX(EV06_rapid,$C314)*EV07_rapid_Default</f>
        <v>7.8584724412974012</v>
      </c>
      <c r="I314" s="191" cm="1">
        <f t="array" ref="I314">INDEX($J$209:$J$213,MATCH(I$230,EV_charger_type,0))*INDEX(EV06_depot,$C314)*EV07_depot_Default</f>
        <v>0</v>
      </c>
      <c r="J314" s="192">
        <f t="shared" si="32"/>
        <v>45.608932528392813</v>
      </c>
      <c r="K314" s="192">
        <f t="shared" si="29"/>
        <v>0.40722261186065012</v>
      </c>
      <c r="L314" s="194"/>
      <c r="M314" s="194"/>
      <c r="N314" s="180">
        <v>0.41666666666666669</v>
      </c>
      <c r="O314" s="191" cm="1">
        <f t="array" ref="O314">INDEX($K$209:$K$213,MATCH(O$230,EV_charger_type,0))*INDEX(EV06_domestic_lower,$C314)*EV07_domestic_lower</f>
        <v>16.096664024095048</v>
      </c>
      <c r="P314" s="191" cm="1">
        <f t="array" ref="P314">INDEX($K$209:$K$213,MATCH(P$230,EV_charger_type,0))*INDEX(EV06_work,$C314)*EV07_work_lower</f>
        <v>11.131615803504138</v>
      </c>
      <c r="Q314" s="191" cm="1">
        <f t="array" ref="Q314">INDEX($K$209:$K$213,MATCH(Q$230,EV_charger_type,0))*INDEX(EV06_slowfast,$C314)*EV07_slowfast_lower</f>
        <v>0.89525814541838433</v>
      </c>
      <c r="R314" s="191" cm="1">
        <f t="array" ref="R314">INDEX($K$209:$K$213,MATCH(R$230,EV_charger_type,0))*INDEX(EV06_rapid,$C314)*EV07_rapid_lower</f>
        <v>2.3575417323892198</v>
      </c>
      <c r="S314" s="191" cm="1">
        <f t="array" ref="S314">INDEX($K$209:$K$213,MATCH(S$230,EV_charger_type,0))*INDEX(EV06_depot,$C314)*EV07_depot_lower</f>
        <v>0</v>
      </c>
      <c r="T314" s="192">
        <f t="shared" si="33"/>
        <v>30.481079705406792</v>
      </c>
      <c r="U314" s="192">
        <f t="shared" si="30"/>
        <v>0.27215249736970348</v>
      </c>
      <c r="V314" s="194"/>
      <c r="W314" s="194"/>
      <c r="X314" s="180">
        <v>0.41666666666666669</v>
      </c>
      <c r="Y314" s="191" cm="1">
        <f t="array" ref="Y314">INDEX($L$209:$L$213,MATCH(Y$230,EV_charger_type,0))*INDEX(EV06_domestic_upper,$C314)*EV07_domestic_upper</f>
        <v>21.289746428327881</v>
      </c>
      <c r="Z314" s="191" cm="1">
        <f t="array" ref="Z314">INDEX($L$209:$L$213,MATCH(Z$230,EV_charger_type,0))*INDEX(EV06_work,$C314)*EV07_work_upper</f>
        <v>17.323622437341104</v>
      </c>
      <c r="AA314" s="191" cm="1">
        <f t="array" ref="AA314">INDEX($L$209:$L$213,MATCH(AA$230,EV_charger_type,0))*INDEX(EV06_slowfast,$C314)*EV07_slowfast_upper</f>
        <v>10.31151196963599</v>
      </c>
      <c r="AB314" s="191" cm="1">
        <f t="array" ref="AB314">INDEX($L$209:$L$213,MATCH(AB$230,EV_charger_type,0))*INDEX(EV06_rapid,$C314)*EV07_rapid_upper</f>
        <v>13.359403150205582</v>
      </c>
      <c r="AC314" s="191" cm="1">
        <f t="array" ref="AC314">INDEX($L$209:$L$213,MATCH(AC$230,EV_charger_type,0))*INDEX(EV06_depot,$C314)*EV07_depot_upper</f>
        <v>0</v>
      </c>
      <c r="AD314" s="192">
        <f t="shared" si="34"/>
        <v>62.284283985510555</v>
      </c>
      <c r="AE314" s="192">
        <f t="shared" si="31"/>
        <v>0.5561096784420585</v>
      </c>
      <c r="AF314" s="194"/>
      <c r="AG314" s="194"/>
    </row>
    <row r="315" spans="2:33">
      <c r="B315" s="194"/>
      <c r="C315" s="194">
        <v>22</v>
      </c>
      <c r="D315" s="180">
        <v>0.4375</v>
      </c>
      <c r="E315" s="191" cm="1">
        <f t="array" ref="E315">INDEX($J$209:$J$213,MATCH(E$230,EV_charger_type,0))*INDEX(EV06_domestic_Default,$C315)*EV07_domestic_Default</f>
        <v>19.820391043421466</v>
      </c>
      <c r="F315" s="191" cm="1">
        <f t="array" ref="F315">INDEX($J$209:$J$213,MATCH(F$230,EV_charger_type,0))*INDEX(EV06_work,$C315)*EV07_work_Default</f>
        <v>12.369281036341766</v>
      </c>
      <c r="G315" s="191" cm="1">
        <f t="array" ref="G315">INDEX($J$209:$J$213,MATCH(G$230,EV_charger_type,0))*INDEX(EV06_slowfast,$C315)*EV07_slowfast_Default</f>
        <v>4.775388404332193</v>
      </c>
      <c r="H315" s="191" cm="1">
        <f t="array" ref="H315">INDEX($J$209:$J$213,MATCH(H$230,EV_charger_type,0))*INDEX(EV06_rapid,$C315)*EV07_rapid_Default</f>
        <v>8.1708205922890578</v>
      </c>
      <c r="I315" s="191" cm="1">
        <f t="array" ref="I315">INDEX($J$209:$J$213,MATCH(I$230,EV_charger_type,0))*INDEX(EV06_depot,$C315)*EV07_depot_Default</f>
        <v>0</v>
      </c>
      <c r="J315" s="192">
        <f t="shared" si="32"/>
        <v>45.135881076384479</v>
      </c>
      <c r="K315" s="192">
        <f t="shared" si="29"/>
        <v>0.40299893818200427</v>
      </c>
      <c r="L315" s="194"/>
      <c r="M315" s="194"/>
      <c r="N315" s="180">
        <v>0.4375</v>
      </c>
      <c r="O315" s="191" cm="1">
        <f t="array" ref="O315">INDEX($K$209:$K$213,MATCH(O$230,EV_charger_type,0))*INDEX(EV06_domestic_lower,$C315)*EV07_domestic_lower</f>
        <v>17.235941989005187</v>
      </c>
      <c r="P315" s="191" cm="1">
        <f t="array" ref="P315">INDEX($K$209:$K$213,MATCH(P$230,EV_charger_type,0))*INDEX(EV06_work,$C315)*EV07_work_lower</f>
        <v>9.6992007271786118</v>
      </c>
      <c r="Q315" s="191" cm="1">
        <f t="array" ref="Q315">INDEX($K$209:$K$213,MATCH(Q$230,EV_charger_type,0))*INDEX(EV06_slowfast,$C315)*EV07_slowfast_lower</f>
        <v>0.84755670139554762</v>
      </c>
      <c r="R315" s="191" cm="1">
        <f t="array" ref="R315">INDEX($K$209:$K$213,MATCH(R$230,EV_charger_type,0))*INDEX(EV06_rapid,$C315)*EV07_rapid_lower</f>
        <v>2.4512461776867172</v>
      </c>
      <c r="S315" s="191" cm="1">
        <f t="array" ref="S315">INDEX($K$209:$K$213,MATCH(S$230,EV_charger_type,0))*INDEX(EV06_depot,$C315)*EV07_depot_lower</f>
        <v>0</v>
      </c>
      <c r="T315" s="192">
        <f t="shared" si="33"/>
        <v>30.233945595266061</v>
      </c>
      <c r="U315" s="192">
        <f t="shared" si="30"/>
        <v>0.26994594281487555</v>
      </c>
      <c r="V315" s="194"/>
      <c r="W315" s="194"/>
      <c r="X315" s="180">
        <v>0.4375</v>
      </c>
      <c r="Y315" s="191" cm="1">
        <f t="array" ref="Y315">INDEX($L$209:$L$213,MATCH(Y$230,EV_charger_type,0))*INDEX(EV06_domestic_upper,$C315)*EV07_domestic_upper</f>
        <v>22.796576598107848</v>
      </c>
      <c r="Z315" s="191" cm="1">
        <f t="array" ref="Z315">INDEX($L$209:$L$213,MATCH(Z$230,EV_charger_type,0))*INDEX(EV06_work,$C315)*EV07_work_upper</f>
        <v>15.094420640059605</v>
      </c>
      <c r="AA315" s="191" cm="1">
        <f t="array" ref="AA315">INDEX($L$209:$L$213,MATCH(AA$230,EV_charger_type,0))*INDEX(EV06_slowfast,$C315)*EV07_slowfast_upper</f>
        <v>9.7620905390378567</v>
      </c>
      <c r="AB315" s="191" cm="1">
        <f t="array" ref="AB315">INDEX($L$209:$L$213,MATCH(AB$230,EV_charger_type,0))*INDEX(EV06_rapid,$C315)*EV07_rapid_upper</f>
        <v>13.890395006891398</v>
      </c>
      <c r="AC315" s="191" cm="1">
        <f t="array" ref="AC315">INDEX($L$209:$L$213,MATCH(AC$230,EV_charger_type,0))*INDEX(EV06_depot,$C315)*EV07_depot_upper</f>
        <v>0</v>
      </c>
      <c r="AD315" s="192">
        <f t="shared" si="34"/>
        <v>61.543482784096703</v>
      </c>
      <c r="AE315" s="192">
        <f t="shared" si="31"/>
        <v>0.54949538200086345</v>
      </c>
      <c r="AF315" s="194"/>
      <c r="AG315" s="194"/>
    </row>
    <row r="316" spans="2:33">
      <c r="B316" s="194"/>
      <c r="C316" s="194">
        <v>23</v>
      </c>
      <c r="D316" s="180">
        <v>0.45833333333333331</v>
      </c>
      <c r="E316" s="191" cm="1">
        <f t="array" ref="E316">INDEX($J$209:$J$213,MATCH(E$230,EV_charger_type,0))*INDEX(EV06_domestic_Default,$C316)*EV07_domestic_Default</f>
        <v>20.405088935878872</v>
      </c>
      <c r="F316" s="191" cm="1">
        <f t="array" ref="F316">INDEX($J$209:$J$213,MATCH(F$230,EV_charger_type,0))*INDEX(EV06_work,$C316)*EV07_work_Default</f>
        <v>10.542481647025864</v>
      </c>
      <c r="G316" s="191" cm="1">
        <f t="array" ref="G316">INDEX($J$209:$J$213,MATCH(G$230,EV_charger_type,0))*INDEX(EV06_slowfast,$C316)*EV07_slowfast_Default</f>
        <v>4.5066241761908978</v>
      </c>
      <c r="H316" s="191" cm="1">
        <f t="array" ref="H316">INDEX($J$209:$J$213,MATCH(H$230,EV_charger_type,0))*INDEX(EV06_rapid,$C316)*EV07_rapid_Default</f>
        <v>8.6097802308719764</v>
      </c>
      <c r="I316" s="191" cm="1">
        <f t="array" ref="I316">INDEX($J$209:$J$213,MATCH(I$230,EV_charger_type,0))*INDEX(EV06_depot,$C316)*EV07_depot_Default</f>
        <v>0</v>
      </c>
      <c r="J316" s="192">
        <f t="shared" si="32"/>
        <v>44.063974989967612</v>
      </c>
      <c r="K316" s="192">
        <f t="shared" si="29"/>
        <v>0.39342834812471084</v>
      </c>
      <c r="L316" s="194"/>
      <c r="M316" s="194"/>
      <c r="N316" s="180">
        <v>0.45833333333333331</v>
      </c>
      <c r="O316" s="191" cm="1">
        <f t="array" ref="O316">INDEX($K$209:$K$213,MATCH(O$230,EV_charger_type,0))*INDEX(EV06_domestic_lower,$C316)*EV07_domestic_lower</f>
        <v>17.744399109422815</v>
      </c>
      <c r="P316" s="191" cm="1">
        <f t="array" ref="P316">INDEX($K$209:$K$213,MATCH(P$230,EV_charger_type,0))*INDEX(EV06_work,$C316)*EV07_work_lower</f>
        <v>8.2667412403899991</v>
      </c>
      <c r="Q316" s="191" cm="1">
        <f t="array" ref="Q316">INDEX($K$209:$K$213,MATCH(Q$230,EV_charger_type,0))*INDEX(EV06_slowfast,$C316)*EV07_slowfast_lower</f>
        <v>0.79985525737271079</v>
      </c>
      <c r="R316" s="191" cm="1">
        <f t="array" ref="R316">INDEX($K$209:$K$213,MATCH(R$230,EV_charger_type,0))*INDEX(EV06_rapid,$C316)*EV07_rapid_lower</f>
        <v>2.5829340692615927</v>
      </c>
      <c r="S316" s="191" cm="1">
        <f t="array" ref="S316">INDEX($K$209:$K$213,MATCH(S$230,EV_charger_type,0))*INDEX(EV06_depot,$C316)*EV07_depot_lower</f>
        <v>0</v>
      </c>
      <c r="T316" s="192">
        <f t="shared" si="33"/>
        <v>29.393929676447119</v>
      </c>
      <c r="U316" s="192">
        <f t="shared" si="30"/>
        <v>0.26244580068256357</v>
      </c>
      <c r="V316" s="194"/>
      <c r="W316" s="194"/>
      <c r="X316" s="180">
        <v>0.45833333333333331</v>
      </c>
      <c r="Y316" s="191" cm="1">
        <f t="array" ref="Y316">INDEX($L$209:$L$213,MATCH(Y$230,EV_charger_type,0))*INDEX(EV06_domestic_upper,$C316)*EV07_domestic_upper</f>
        <v>23.469071417355199</v>
      </c>
      <c r="Z316" s="191" cm="1">
        <f t="array" ref="Z316">INDEX($L$209:$L$213,MATCH(Z$230,EV_charger_type,0))*INDEX(EV06_work,$C316)*EV07_work_upper</f>
        <v>12.865149728814028</v>
      </c>
      <c r="AA316" s="191" cm="1">
        <f t="array" ref="AA316">INDEX($L$209:$L$213,MATCH(AA$230,EV_charger_type,0))*INDEX(EV06_slowfast,$C316)*EV07_slowfast_upper</f>
        <v>9.2126691084397194</v>
      </c>
      <c r="AB316" s="191" cm="1">
        <f t="array" ref="AB316">INDEX($L$209:$L$213,MATCH(AB$230,EV_charger_type,0))*INDEX(EV06_rapid,$C316)*EV07_rapid_upper</f>
        <v>14.636626392482361</v>
      </c>
      <c r="AC316" s="191" cm="1">
        <f t="array" ref="AC316">INDEX($L$209:$L$213,MATCH(AC$230,EV_charger_type,0))*INDEX(EV06_depot,$C316)*EV07_depot_upper</f>
        <v>0</v>
      </c>
      <c r="AD316" s="192">
        <f t="shared" si="34"/>
        <v>60.183516647091309</v>
      </c>
      <c r="AE316" s="192">
        <f t="shared" si="31"/>
        <v>0.53735282720617239</v>
      </c>
      <c r="AF316" s="194"/>
      <c r="AG316" s="194"/>
    </row>
    <row r="317" spans="2:33">
      <c r="B317" s="194"/>
      <c r="C317" s="194">
        <v>24</v>
      </c>
      <c r="D317" s="180">
        <v>0.47916666666666669</v>
      </c>
      <c r="E317" s="191" cm="1">
        <f t="array" ref="E317">INDEX($J$209:$J$213,MATCH(E$230,EV_charger_type,0))*INDEX(EV06_domestic_Default,$C317)*EV07_domestic_Default</f>
        <v>21.896050819294093</v>
      </c>
      <c r="F317" s="191" cm="1">
        <f t="array" ref="F317">INDEX($J$209:$J$213,MATCH(F$230,EV_charger_type,0))*INDEX(EV06_work,$C317)*EV07_work_Default</f>
        <v>10.127621764008069</v>
      </c>
      <c r="G317" s="191" cm="1">
        <f t="array" ref="G317">INDEX($J$209:$J$213,MATCH(G$230,EV_charger_type,0))*INDEX(EV06_slowfast,$C317)*EV07_slowfast_Default</f>
        <v>4.3986906431058683</v>
      </c>
      <c r="H317" s="191" cm="1">
        <f t="array" ref="H317">INDEX($J$209:$J$213,MATCH(H$230,EV_charger_type,0))*INDEX(EV06_rapid,$C317)*EV07_rapid_Default</f>
        <v>9.0486901007883898</v>
      </c>
      <c r="I317" s="191" cm="1">
        <f t="array" ref="I317">INDEX($J$209:$J$213,MATCH(I$230,EV_charger_type,0))*INDEX(EV06_depot,$C317)*EV07_depot_Default</f>
        <v>0</v>
      </c>
      <c r="J317" s="192">
        <f t="shared" si="32"/>
        <v>45.471053327196415</v>
      </c>
      <c r="K317" s="192">
        <f t="shared" si="29"/>
        <v>0.40599154756425371</v>
      </c>
      <c r="L317" s="194"/>
      <c r="M317" s="194"/>
      <c r="N317" s="180">
        <v>0.47916666666666669</v>
      </c>
      <c r="O317" s="191" cm="1">
        <f t="array" ref="O317">INDEX($K$209:$K$213,MATCH(O$230,EV_charger_type,0))*INDEX(EV06_domestic_lower,$C317)*EV07_domestic_lower</f>
        <v>19.040949337622877</v>
      </c>
      <c r="P317" s="191" cm="1">
        <f t="array" ref="P317">INDEX($K$209:$K$213,MATCH(P$230,EV_charger_type,0))*INDEX(EV06_work,$C317)*EV07_work_lower</f>
        <v>7.9414345982964765</v>
      </c>
      <c r="Q317" s="191" cm="1">
        <f t="array" ref="Q317">INDEX($K$209:$K$213,MATCH(Q$230,EV_charger_type,0))*INDEX(EV06_slowfast,$C317)*EV07_slowfast_lower</f>
        <v>0.78069874453523658</v>
      </c>
      <c r="R317" s="191" cm="1">
        <f t="array" ref="R317">INDEX($K$209:$K$213,MATCH(R$230,EV_charger_type,0))*INDEX(EV06_rapid,$C317)*EV07_rapid_lower</f>
        <v>2.7146070302365168</v>
      </c>
      <c r="S317" s="191" cm="1">
        <f t="array" ref="S317">INDEX($K$209:$K$213,MATCH(S$230,EV_charger_type,0))*INDEX(EV06_depot,$C317)*EV07_depot_lower</f>
        <v>0</v>
      </c>
      <c r="T317" s="192">
        <f t="shared" si="33"/>
        <v>30.477689710691106</v>
      </c>
      <c r="U317" s="192">
        <f t="shared" si="30"/>
        <v>0.27212222955974202</v>
      </c>
      <c r="V317" s="194"/>
      <c r="W317" s="194"/>
      <c r="X317" s="180">
        <v>0.47916666666666669</v>
      </c>
      <c r="Y317" s="191" cm="1">
        <f t="array" ref="Y317">INDEX($L$209:$L$213,MATCH(Y$230,EV_charger_type,0))*INDEX(EV06_domestic_upper,$C317)*EV07_domestic_upper</f>
        <v>25.183912799933033</v>
      </c>
      <c r="Z317" s="191" cm="1">
        <f t="array" ref="Z317">INDEX($L$209:$L$213,MATCH(Z$230,EV_charger_type,0))*INDEX(EV06_work,$C317)*EV07_work_upper</f>
        <v>12.35888994196319</v>
      </c>
      <c r="AA317" s="191" cm="1">
        <f t="array" ref="AA317">INDEX($L$209:$L$213,MATCH(AA$230,EV_charger_type,0))*INDEX(EV06_slowfast,$C317)*EV07_slowfast_upper</f>
        <v>8.9920259202922512</v>
      </c>
      <c r="AB317" s="191" cm="1">
        <f t="array" ref="AB317">INDEX($L$209:$L$213,MATCH(AB$230,EV_charger_type,0))*INDEX(EV06_rapid,$C317)*EV07_rapid_upper</f>
        <v>15.382773171340265</v>
      </c>
      <c r="AC317" s="191" cm="1">
        <f t="array" ref="AC317">INDEX($L$209:$L$213,MATCH(AC$230,EV_charger_type,0))*INDEX(EV06_depot,$C317)*EV07_depot_upper</f>
        <v>0</v>
      </c>
      <c r="AD317" s="192">
        <f t="shared" si="34"/>
        <v>61.917601833528735</v>
      </c>
      <c r="AE317" s="192">
        <f t="shared" si="31"/>
        <v>0.5528357306565066</v>
      </c>
      <c r="AF317" s="194"/>
      <c r="AG317" s="194"/>
    </row>
    <row r="318" spans="2:33">
      <c r="B318" s="194"/>
      <c r="C318" s="194">
        <v>25</v>
      </c>
      <c r="D318" s="180">
        <v>0.5</v>
      </c>
      <c r="E318" s="191" cm="1">
        <f t="array" ref="E318">INDEX($J$209:$J$213,MATCH(E$230,EV_charger_type,0))*INDEX(EV06_domestic_Default,$C318)*EV07_domestic_Default</f>
        <v>22.661603216871132</v>
      </c>
      <c r="F318" s="191" cm="1">
        <f t="array" ref="F318">INDEX($J$209:$J$213,MATCH(F$230,EV_charger_type,0))*INDEX(EV06_work,$C318)*EV07_work_Default</f>
        <v>9.7127052448287685</v>
      </c>
      <c r="G318" s="191" cm="1">
        <f t="array" ref="G318">INDEX($J$209:$J$213,MATCH(G$230,EV_charger_type,0))*INDEX(EV06_slowfast,$C318)*EV07_slowfast_Default</f>
        <v>4.2907571100208388</v>
      </c>
      <c r="H318" s="191" cm="1">
        <f t="array" ref="H318">INDEX($J$209:$J$213,MATCH(H$230,EV_charger_type,0))*INDEX(EV06_rapid,$C318)*EV07_rapid_Default</f>
        <v>9.6173468842859489</v>
      </c>
      <c r="I318" s="191" cm="1">
        <f t="array" ref="I318">INDEX($J$209:$J$213,MATCH(I$230,EV_charger_type,0))*INDEX(EV06_depot,$C318)*EV07_depot_Default</f>
        <v>0</v>
      </c>
      <c r="J318" s="192">
        <f t="shared" si="32"/>
        <v>46.282412456006689</v>
      </c>
      <c r="K318" s="192">
        <f t="shared" si="29"/>
        <v>0.41323582550005972</v>
      </c>
      <c r="L318" s="194"/>
      <c r="M318" s="194"/>
      <c r="N318" s="180">
        <v>0.5</v>
      </c>
      <c r="O318" s="191" cm="1">
        <f t="array" ref="O318">INDEX($K$209:$K$213,MATCH(O$230,EV_charger_type,0))*INDEX(EV06_domestic_lower,$C318)*EV07_domestic_lower</f>
        <v>19.706678721330533</v>
      </c>
      <c r="P318" s="191" cm="1">
        <f t="array" ref="P318">INDEX($K$209:$K$213,MATCH(P$230,EV_charger_type,0))*INDEX(EV06_work,$C318)*EV07_work_lower</f>
        <v>7.616083545739869</v>
      </c>
      <c r="Q318" s="191" cm="1">
        <f t="array" ref="Q318">INDEX($K$209:$K$213,MATCH(Q$230,EV_charger_type,0))*INDEX(EV06_slowfast,$C318)*EV07_slowfast_lower</f>
        <v>0.76154223169776236</v>
      </c>
      <c r="R318" s="191" cm="1">
        <f t="array" ref="R318">INDEX($K$209:$K$213,MATCH(R$230,EV_charger_type,0))*INDEX(EV06_rapid,$C318)*EV07_rapid_lower</f>
        <v>2.8852040652857842</v>
      </c>
      <c r="S318" s="191" cm="1">
        <f t="array" ref="S318">INDEX($K$209:$K$213,MATCH(S$230,EV_charger_type,0))*INDEX(EV06_depot,$C318)*EV07_depot_lower</f>
        <v>0</v>
      </c>
      <c r="T318" s="192">
        <f t="shared" si="33"/>
        <v>30.96950856405395</v>
      </c>
      <c r="U318" s="192">
        <f t="shared" si="30"/>
        <v>0.27651346932191029</v>
      </c>
      <c r="V318" s="194"/>
      <c r="W318" s="194"/>
      <c r="X318" s="180">
        <v>0.5</v>
      </c>
      <c r="Y318" s="191" cm="1">
        <f t="array" ref="Y318">INDEX($L$209:$L$213,MATCH(Y$230,EV_charger_type,0))*INDEX(EV06_domestic_upper,$C318)*EV07_domestic_upper</f>
        <v>26.064418831978376</v>
      </c>
      <c r="Z318" s="191" cm="1">
        <f t="array" ref="Z318">INDEX($L$209:$L$213,MATCH(Z$230,EV_charger_type,0))*INDEX(EV06_work,$C318)*EV07_work_upper</f>
        <v>11.852561041148274</v>
      </c>
      <c r="AA318" s="191" cm="1">
        <f t="array" ref="AA318">INDEX($L$209:$L$213,MATCH(AA$230,EV_charger_type,0))*INDEX(EV06_slowfast,$C318)*EV07_slowfast_upper</f>
        <v>8.7713827321447866</v>
      </c>
      <c r="AB318" s="191" cm="1">
        <f t="array" ref="AB318">INDEX($L$209:$L$213,MATCH(AB$230,EV_charger_type,0))*INDEX(EV06_rapid,$C318)*EV07_rapid_upper</f>
        <v>16.349489703286114</v>
      </c>
      <c r="AC318" s="191" cm="1">
        <f t="array" ref="AC318">INDEX($L$209:$L$213,MATCH(AC$230,EV_charger_type,0))*INDEX(EV06_depot,$C318)*EV07_depot_upper</f>
        <v>0</v>
      </c>
      <c r="AD318" s="192">
        <f t="shared" si="34"/>
        <v>63.037852308557547</v>
      </c>
      <c r="AE318" s="192">
        <f t="shared" si="31"/>
        <v>0.56283796704069233</v>
      </c>
      <c r="AF318" s="194"/>
      <c r="AG318" s="194"/>
    </row>
    <row r="319" spans="2:33">
      <c r="B319" s="194"/>
      <c r="C319" s="194">
        <v>26</v>
      </c>
      <c r="D319" s="180">
        <v>0.52083333333333337</v>
      </c>
      <c r="E319" s="191" cm="1">
        <f t="array" ref="E319">INDEX($J$209:$J$213,MATCH(E$230,EV_charger_type,0))*INDEX(EV06_domestic_Default,$C319)*EV07_domestic_Default</f>
        <v>23.516387547503054</v>
      </c>
      <c r="F319" s="191" cm="1">
        <f t="array" ref="F319">INDEX($J$209:$J$213,MATCH(F$230,EV_charger_type,0))*INDEX(EV06_work,$C319)*EV07_work_Default</f>
        <v>9.7047195460566869</v>
      </c>
      <c r="G319" s="191" cm="1">
        <f t="array" ref="G319">INDEX($J$209:$J$213,MATCH(G$230,EV_charger_type,0))*INDEX(EV06_slowfast,$C319)*EV07_slowfast_Default</f>
        <v>4.2280466030043264</v>
      </c>
      <c r="H319" s="191" cm="1">
        <f t="array" ref="H319">INDEX($J$209:$J$213,MATCH(H$230,EV_charger_type,0))*INDEX(EV06_rapid,$C319)*EV07_rapid_Default</f>
        <v>10.18605343645001</v>
      </c>
      <c r="I319" s="191" cm="1">
        <f t="array" ref="I319">INDEX($J$209:$J$213,MATCH(I$230,EV_charger_type,0))*INDEX(EV06_depot,$C319)*EV07_depot_Default</f>
        <v>0</v>
      </c>
      <c r="J319" s="192">
        <f t="shared" si="32"/>
        <v>47.635207133014077</v>
      </c>
      <c r="K319" s="192">
        <f t="shared" si="29"/>
        <v>0.42531434940191143</v>
      </c>
      <c r="L319" s="194"/>
      <c r="M319" s="194"/>
      <c r="N319" s="180">
        <v>0.52083333333333337</v>
      </c>
      <c r="O319" s="191" cm="1">
        <f t="array" ref="O319">INDEX($K$209:$K$213,MATCH(O$230,EV_charger_type,0))*INDEX(EV06_domestic_lower,$C319)*EV07_domestic_lower</f>
        <v>20.450004779005489</v>
      </c>
      <c r="P319" s="191" cm="1">
        <f t="array" ref="P319">INDEX($K$209:$K$213,MATCH(P$230,EV_charger_type,0))*INDEX(EV06_work,$C319)*EV07_work_lower</f>
        <v>7.6098216704449628</v>
      </c>
      <c r="Q319" s="191" cm="1">
        <f t="array" ref="Q319">INDEX($K$209:$K$213,MATCH(Q$230,EV_charger_type,0))*INDEX(EV06_slowfast,$C319)*EV07_slowfast_lower</f>
        <v>0.75041209819458199</v>
      </c>
      <c r="R319" s="191" cm="1">
        <f t="array" ref="R319">INDEX($K$209:$K$213,MATCH(R$230,EV_charger_type,0))*INDEX(EV06_rapid,$C319)*EV07_rapid_lower</f>
        <v>3.0558160309350026</v>
      </c>
      <c r="S319" s="191" cm="1">
        <f t="array" ref="S319">INDEX($K$209:$K$213,MATCH(S$230,EV_charger_type,0))*INDEX(EV06_depot,$C319)*EV07_depot_lower</f>
        <v>0</v>
      </c>
      <c r="T319" s="192">
        <f t="shared" si="33"/>
        <v>31.866054578580034</v>
      </c>
      <c r="U319" s="192">
        <f t="shared" si="30"/>
        <v>0.28451834445160745</v>
      </c>
      <c r="V319" s="194"/>
      <c r="W319" s="194"/>
      <c r="X319" s="180">
        <v>0.52083333333333337</v>
      </c>
      <c r="Y319" s="191" cm="1">
        <f t="array" ref="Y319">INDEX($L$209:$L$213,MATCH(Y$230,EV_charger_type,0))*INDEX(EV06_domestic_upper,$C319)*EV07_domestic_upper</f>
        <v>27.047555664416429</v>
      </c>
      <c r="Z319" s="191" cm="1">
        <f t="array" ref="Z319">INDEX($L$209:$L$213,MATCH(Z$230,EV_charger_type,0))*INDEX(EV06_work,$C319)*EV07_work_upper</f>
        <v>11.842815972213669</v>
      </c>
      <c r="AA319" s="191" cm="1">
        <f t="array" ref="AA319">INDEX($L$209:$L$213,MATCH(AA$230,EV_charger_type,0))*INDEX(EV06_slowfast,$C319)*EV07_slowfast_upper</f>
        <v>8.643186741492217</v>
      </c>
      <c r="AB319" s="191" cm="1">
        <f t="array" ref="AB319">INDEX($L$209:$L$213,MATCH(AB$230,EV_charger_type,0))*INDEX(EV06_rapid,$C319)*EV07_rapid_upper</f>
        <v>17.316290841965017</v>
      </c>
      <c r="AC319" s="191" cm="1">
        <f t="array" ref="AC319">INDEX($L$209:$L$213,MATCH(AC$230,EV_charger_type,0))*INDEX(EV06_depot,$C319)*EV07_depot_upper</f>
        <v>0</v>
      </c>
      <c r="AD319" s="192">
        <f t="shared" si="34"/>
        <v>64.849849220087336</v>
      </c>
      <c r="AE319" s="192">
        <f t="shared" si="31"/>
        <v>0.57901651089363693</v>
      </c>
      <c r="AF319" s="194"/>
      <c r="AG319" s="194"/>
    </row>
    <row r="320" spans="2:33">
      <c r="B320" s="194"/>
      <c r="C320" s="194">
        <v>27</v>
      </c>
      <c r="D320" s="180">
        <v>0.54166666666666663</v>
      </c>
      <c r="E320" s="191" cm="1">
        <f t="array" ref="E320">INDEX($J$209:$J$213,MATCH(E$230,EV_charger_type,0))*INDEX(EV06_domestic_Default,$C320)*EV07_domestic_Default</f>
        <v>23.8874123395121</v>
      </c>
      <c r="F320" s="191" cm="1">
        <f t="array" ref="F320">INDEX($J$209:$J$213,MATCH(F$230,EV_charger_type,0))*INDEX(EV06_work,$C320)*EV07_work_Default</f>
        <v>9.6967338472846016</v>
      </c>
      <c r="G320" s="191" cm="1">
        <f t="array" ref="G320">INDEX($J$209:$J$213,MATCH(G$230,EV_charger_type,0))*INDEX(EV06_slowfast,$C320)*EV07_slowfast_Default</f>
        <v>4.165336095987815</v>
      </c>
      <c r="H320" s="191" cm="1">
        <f t="array" ref="H320">INDEX($J$209:$J$213,MATCH(H$230,EV_charger_type,0))*INDEX(EV06_rapid,$C320)*EV07_rapid_Default</f>
        <v>10.446891017607955</v>
      </c>
      <c r="I320" s="191" cm="1">
        <f t="array" ref="I320">INDEX($J$209:$J$213,MATCH(I$230,EV_charger_type,0))*INDEX(EV06_depot,$C320)*EV07_depot_Default</f>
        <v>0</v>
      </c>
      <c r="J320" s="192">
        <f t="shared" si="32"/>
        <v>48.196373300392466</v>
      </c>
      <c r="K320" s="192">
        <f t="shared" si="29"/>
        <v>0.43032476161064703</v>
      </c>
      <c r="L320" s="194"/>
      <c r="M320" s="194"/>
      <c r="N320" s="180">
        <v>0.54166666666666663</v>
      </c>
      <c r="O320" s="191" cm="1">
        <f t="array" ref="O320">INDEX($K$209:$K$213,MATCH(O$230,EV_charger_type,0))*INDEX(EV06_domestic_lower,$C320)*EV07_domestic_lower</f>
        <v>20.772650370484531</v>
      </c>
      <c r="P320" s="191" cm="1">
        <f t="array" ref="P320">INDEX($K$209:$K$213,MATCH(P$230,EV_charger_type,0))*INDEX(EV06_work,$C320)*EV07_work_lower</f>
        <v>7.6035597951500558</v>
      </c>
      <c r="Q320" s="191" cm="1">
        <f t="array" ref="Q320">INDEX($K$209:$K$213,MATCH(Q$230,EV_charger_type,0))*INDEX(EV06_slowfast,$C320)*EV07_slowfast_lower</f>
        <v>0.73928196469140151</v>
      </c>
      <c r="R320" s="191" cm="1">
        <f t="array" ref="R320">INDEX($K$209:$K$213,MATCH(R$230,EV_charger_type,0))*INDEX(EV06_rapid,$C320)*EV07_rapid_lower</f>
        <v>3.1340673052823864</v>
      </c>
      <c r="S320" s="191" cm="1">
        <f t="array" ref="S320">INDEX($K$209:$K$213,MATCH(S$230,EV_charger_type,0))*INDEX(EV06_depot,$C320)*EV07_depot_lower</f>
        <v>0</v>
      </c>
      <c r="T320" s="192">
        <f t="shared" si="33"/>
        <v>32.249559435608376</v>
      </c>
      <c r="U320" s="192">
        <f t="shared" si="30"/>
        <v>0.28794249496078905</v>
      </c>
      <c r="V320" s="194"/>
      <c r="W320" s="194"/>
      <c r="X320" s="180">
        <v>0.54166666666666663</v>
      </c>
      <c r="Y320" s="191" cm="1">
        <f t="array" ref="Y320">INDEX($L$209:$L$213,MATCH(Y$230,EV_charger_type,0))*INDEX(EV06_domestic_upper,$C320)*EV07_domestic_upper</f>
        <v>27.474292708721038</v>
      </c>
      <c r="Z320" s="191" cm="1">
        <f t="array" ref="Z320">INDEX($L$209:$L$213,MATCH(Z$230,EV_charger_type,0))*INDEX(EV06_work,$C320)*EV07_work_upper</f>
        <v>11.833070903279067</v>
      </c>
      <c r="AA320" s="191" cm="1">
        <f t="array" ref="AA320">INDEX($L$209:$L$213,MATCH(AA$230,EV_charger_type,0))*INDEX(EV06_slowfast,$C320)*EV07_slowfast_upper</f>
        <v>8.5149907508396492</v>
      </c>
      <c r="AB320" s="191" cm="1">
        <f t="array" ref="AB320">INDEX($L$209:$L$213,MATCH(AB$230,EV_charger_type,0))*INDEX(EV06_rapid,$C320)*EV07_rapid_upper</f>
        <v>17.759714729933524</v>
      </c>
      <c r="AC320" s="191" cm="1">
        <f t="array" ref="AC320">INDEX($L$209:$L$213,MATCH(AC$230,EV_charger_type,0))*INDEX(EV06_depot,$C320)*EV07_depot_upper</f>
        <v>0</v>
      </c>
      <c r="AD320" s="192">
        <f t="shared" si="34"/>
        <v>65.582069092773281</v>
      </c>
      <c r="AE320" s="192">
        <f t="shared" si="31"/>
        <v>0.58555418832833284</v>
      </c>
      <c r="AF320" s="194"/>
      <c r="AG320" s="194"/>
    </row>
    <row r="321" spans="2:33">
      <c r="B321" s="194"/>
      <c r="C321" s="194">
        <v>28</v>
      </c>
      <c r="D321" s="180">
        <v>0.5625</v>
      </c>
      <c r="E321" s="191" cm="1">
        <f t="array" ref="E321">INDEX($J$209:$J$213,MATCH(E$230,EV_charger_type,0))*INDEX(EV06_domestic_Default,$C321)*EV07_domestic_Default</f>
        <v>25.054692782723187</v>
      </c>
      <c r="F321" s="191" cm="1">
        <f t="array" ref="F321">INDEX($J$209:$J$213,MATCH(F$230,EV_charger_type,0))*INDEX(EV06_work,$C321)*EV07_work_Default</f>
        <v>9.061049570562183</v>
      </c>
      <c r="G321" s="191" cm="1">
        <f t="array" ref="G321">INDEX($J$209:$J$213,MATCH(G$230,EV_charger_type,0))*INDEX(EV06_slowfast,$C321)*EV07_slowfast_Default</f>
        <v>4.0063177398618199</v>
      </c>
      <c r="H321" s="191" cm="1">
        <f t="array" ref="H321">INDEX($J$209:$J$213,MATCH(H$230,EV_charger_type,0))*INDEX(EV06_rapid,$C321)*EV07_rapid_Default</f>
        <v>10.7077285987659</v>
      </c>
      <c r="I321" s="191" cm="1">
        <f t="array" ref="I321">INDEX($J$209:$J$213,MATCH(I$230,EV_charger_type,0))*INDEX(EV06_depot,$C321)*EV07_depot_Default</f>
        <v>0</v>
      </c>
      <c r="J321" s="192">
        <f t="shared" si="32"/>
        <v>48.829788691913095</v>
      </c>
      <c r="K321" s="192">
        <f t="shared" si="29"/>
        <v>0.43598025617779551</v>
      </c>
      <c r="L321" s="194"/>
      <c r="M321" s="194"/>
      <c r="N321" s="180">
        <v>0.5625</v>
      </c>
      <c r="O321" s="191" cm="1">
        <f t="array" ref="O321">INDEX($K$209:$K$213,MATCH(O$230,EV_charger_type,0))*INDEX(EV06_domestic_lower,$C321)*EV07_domestic_lower</f>
        <v>21.787725096306566</v>
      </c>
      <c r="P321" s="191" cm="1">
        <f t="array" ref="P321">INDEX($K$209:$K$213,MATCH(P$230,EV_charger_type,0))*INDEX(EV06_work,$C321)*EV07_work_lower</f>
        <v>7.1050967574903012</v>
      </c>
      <c r="Q321" s="191" cm="1">
        <f t="array" ref="Q321">INDEX($K$209:$K$213,MATCH(Q$230,EV_charger_type,0))*INDEX(EV06_slowfast,$C321)*EV07_slowfast_lower</f>
        <v>0.71105869530095323</v>
      </c>
      <c r="R321" s="191" cm="1">
        <f t="array" ref="R321">INDEX($K$209:$K$213,MATCH(R$230,EV_charger_type,0))*INDEX(EV06_rapid,$C321)*EV07_rapid_lower</f>
        <v>3.2123185796297697</v>
      </c>
      <c r="S321" s="191" cm="1">
        <f t="array" ref="S321">INDEX($K$209:$K$213,MATCH(S$230,EV_charger_type,0))*INDEX(EV06_depot,$C321)*EV07_depot_lower</f>
        <v>0</v>
      </c>
      <c r="T321" s="192">
        <f t="shared" si="33"/>
        <v>32.81619912872759</v>
      </c>
      <c r="U321" s="192">
        <f t="shared" si="30"/>
        <v>0.29300177793506776</v>
      </c>
      <c r="V321" s="194"/>
      <c r="W321" s="194"/>
      <c r="X321" s="180">
        <v>0.5625</v>
      </c>
      <c r="Y321" s="191" cm="1">
        <f t="array" ref="Y321">INDEX($L$209:$L$213,MATCH(Y$230,EV_charger_type,0))*INDEX(EV06_domestic_upper,$C321)*EV07_domestic_upper</f>
        <v>28.816849370536595</v>
      </c>
      <c r="Z321" s="191" cm="1">
        <f t="array" ref="Z321">INDEX($L$209:$L$213,MATCH(Z$230,EV_charger_type,0))*INDEX(EV06_work,$C321)*EV07_work_upper</f>
        <v>11.057335770499021</v>
      </c>
      <c r="AA321" s="191" cm="1">
        <f t="array" ref="AA321">INDEX($L$209:$L$213,MATCH(AA$230,EV_charger_type,0))*INDEX(EV06_slowfast,$C321)*EV07_slowfast_upper</f>
        <v>8.1899173833073551</v>
      </c>
      <c r="AB321" s="191" cm="1">
        <f t="array" ref="AB321">INDEX($L$209:$L$213,MATCH(AB$230,EV_charger_type,0))*INDEX(EV06_rapid,$C321)*EV07_rapid_upper</f>
        <v>18.203138617902031</v>
      </c>
      <c r="AC321" s="191" cm="1">
        <f t="array" ref="AC321">INDEX($L$209:$L$213,MATCH(AC$230,EV_charger_type,0))*INDEX(EV06_depot,$C321)*EV07_depot_upper</f>
        <v>0</v>
      </c>
      <c r="AD321" s="192">
        <f t="shared" si="34"/>
        <v>66.267241142244998</v>
      </c>
      <c r="AE321" s="192">
        <f t="shared" si="31"/>
        <v>0.59167179591290175</v>
      </c>
      <c r="AF321" s="194"/>
      <c r="AG321" s="194"/>
    </row>
    <row r="322" spans="2:33">
      <c r="B322" s="194"/>
      <c r="C322" s="194">
        <v>29</v>
      </c>
      <c r="D322" s="180">
        <v>0.58333333333333337</v>
      </c>
      <c r="E322" s="191" cm="1">
        <f t="array" ref="E322">INDEX($J$209:$J$213,MATCH(E$230,EV_charger_type,0))*INDEX(EV06_domestic_Default,$C322)*EV07_domestic_Default</f>
        <v>25.254638006365326</v>
      </c>
      <c r="F322" s="191" cm="1">
        <f t="array" ref="F322">INDEX($J$209:$J$213,MATCH(F$230,EV_charger_type,0))*INDEX(EV06_work,$C322)*EV07_work_Default</f>
        <v>8.4254219300012654</v>
      </c>
      <c r="G322" s="191" cm="1">
        <f t="array" ref="G322">INDEX($J$209:$J$213,MATCH(G$230,EV_charger_type,0))*INDEX(EV06_slowfast,$C322)*EV07_slowfast_Default</f>
        <v>3.8472993837358236</v>
      </c>
      <c r="H322" s="191" cm="1">
        <f t="array" ref="H322">INDEX($J$209:$J$213,MATCH(H$230,EV_charger_type,0))*INDEX(EV06_rapid,$C322)*EV07_rapid_Default</f>
        <v>10.564892525893681</v>
      </c>
      <c r="I322" s="191" cm="1">
        <f t="array" ref="I322">INDEX($J$209:$J$213,MATCH(I$230,EV_charger_type,0))*INDEX(EV06_depot,$C322)*EV07_depot_Default</f>
        <v>0</v>
      </c>
      <c r="J322" s="192">
        <f t="shared" si="32"/>
        <v>48.092251845996095</v>
      </c>
      <c r="K322" s="192">
        <f t="shared" si="29"/>
        <v>0.4293951057678223</v>
      </c>
      <c r="L322" s="194"/>
      <c r="M322" s="194"/>
      <c r="N322" s="180">
        <v>0.58333333333333337</v>
      </c>
      <c r="O322" s="191" cm="1">
        <f t="array" ref="O322">INDEX($K$209:$K$213,MATCH(O$230,EV_charger_type,0))*INDEX(EV06_domestic_lower,$C322)*EV07_domestic_lower</f>
        <v>21.961598773577851</v>
      </c>
      <c r="P322" s="191" cm="1">
        <f t="array" ref="P322">INDEX($K$209:$K$213,MATCH(P$230,EV_charger_type,0))*INDEX(EV06_work,$C322)*EV07_work_lower</f>
        <v>6.6066781302936306</v>
      </c>
      <c r="Q322" s="191" cm="1">
        <f t="array" ref="Q322">INDEX($K$209:$K$213,MATCH(Q$230,EV_charger_type,0))*INDEX(EV06_slowfast,$C322)*EV07_slowfast_lower</f>
        <v>0.68283542591050461</v>
      </c>
      <c r="R322" s="191" cm="1">
        <f t="array" ref="R322">INDEX($K$209:$K$213,MATCH(R$230,EV_charger_type,0))*INDEX(EV06_rapid,$C322)*EV07_rapid_lower</f>
        <v>3.1694677577681043</v>
      </c>
      <c r="S322" s="191" cm="1">
        <f t="array" ref="S322">INDEX($K$209:$K$213,MATCH(S$230,EV_charger_type,0))*INDEX(EV06_depot,$C322)*EV07_depot_lower</f>
        <v>0</v>
      </c>
      <c r="T322" s="192">
        <f t="shared" si="33"/>
        <v>32.420580087550093</v>
      </c>
      <c r="U322" s="192">
        <f t="shared" si="30"/>
        <v>0.28946946506741156</v>
      </c>
      <c r="V322" s="194"/>
      <c r="W322" s="194"/>
      <c r="X322" s="180">
        <v>0.58333333333333337</v>
      </c>
      <c r="Y322" s="191" cm="1">
        <f t="array" ref="Y322">INDEX($L$209:$L$213,MATCH(Y$230,EV_charger_type,0))*INDEX(EV06_domestic_upper,$C322)*EV07_domestic_upper</f>
        <v>29.046817921419279</v>
      </c>
      <c r="Z322" s="191" cm="1">
        <f t="array" ref="Z322">INDEX($L$209:$L$213,MATCH(Z$230,EV_charger_type,0))*INDEX(EV06_work,$C322)*EV07_work_upper</f>
        <v>10.281669751683053</v>
      </c>
      <c r="AA322" s="191" cm="1">
        <f t="array" ref="AA322">INDEX($L$209:$L$213,MATCH(AA$230,EV_charger_type,0))*INDEX(EV06_slowfast,$C322)*EV07_slowfast_upper</f>
        <v>7.8648440157750601</v>
      </c>
      <c r="AB322" s="191" cm="1">
        <f t="array" ref="AB322">INDEX($L$209:$L$213,MATCH(AB$230,EV_charger_type,0))*INDEX(EV06_rapid,$C322)*EV07_rapid_upper</f>
        <v>17.960317294019259</v>
      </c>
      <c r="AC322" s="191" cm="1">
        <f t="array" ref="AC322">INDEX($L$209:$L$213,MATCH(AC$230,EV_charger_type,0))*INDEX(EV06_depot,$C322)*EV07_depot_upper</f>
        <v>0</v>
      </c>
      <c r="AD322" s="192">
        <f t="shared" si="34"/>
        <v>65.153648982896655</v>
      </c>
      <c r="AE322" s="192">
        <f t="shared" si="31"/>
        <v>0.58172900877586298</v>
      </c>
      <c r="AF322" s="194"/>
      <c r="AG322" s="194"/>
    </row>
    <row r="323" spans="2:33">
      <c r="B323" s="194"/>
      <c r="C323" s="194">
        <v>30</v>
      </c>
      <c r="D323" s="180">
        <v>0.60416666666666663</v>
      </c>
      <c r="E323" s="191" cm="1">
        <f t="array" ref="E323">INDEX($J$209:$J$213,MATCH(E$230,EV_charger_type,0))*INDEX(EV06_domestic_Default,$C323)*EV07_domestic_Default</f>
        <v>25.068881771350611</v>
      </c>
      <c r="F323" s="191" cm="1">
        <f t="array" ref="F323">INDEX($J$209:$J$213,MATCH(F$230,EV_charger_type,0))*INDEX(EV06_work,$C323)*EV07_work_Default</f>
        <v>7.7898509256018524</v>
      </c>
      <c r="G323" s="191" cm="1">
        <f t="array" ref="G323">INDEX($J$209:$J$213,MATCH(G$230,EV_charger_type,0))*INDEX(EV06_slowfast,$C323)*EV07_slowfast_Default</f>
        <v>3.6166850858368851</v>
      </c>
      <c r="H323" s="191" cm="1">
        <f t="array" ref="H323">INDEX($J$209:$J$213,MATCH(H$230,EV_charger_type,0))*INDEX(EV06_rapid,$C323)*EV07_rapid_Default</f>
        <v>10.422056453021462</v>
      </c>
      <c r="I323" s="191" cm="1">
        <f t="array" ref="I323">INDEX($J$209:$J$213,MATCH(I$230,EV_charger_type,0))*INDEX(EV06_depot,$C323)*EV07_depot_Default</f>
        <v>0</v>
      </c>
      <c r="J323" s="192">
        <f t="shared" si="32"/>
        <v>46.897474235810812</v>
      </c>
      <c r="K323" s="192">
        <f t="shared" si="29"/>
        <v>0.4187274485340251</v>
      </c>
      <c r="L323" s="194"/>
      <c r="M323" s="194"/>
      <c r="N323" s="180">
        <v>0.60416666666666663</v>
      </c>
      <c r="O323" s="191" cm="1">
        <f t="array" ref="O323">INDEX($K$209:$K$213,MATCH(O$230,EV_charger_type,0))*INDEX(EV06_domestic_lower,$C323)*EV07_domestic_lower</f>
        <v>21.800063933836519</v>
      </c>
      <c r="P323" s="191" cm="1">
        <f t="array" ref="P323">INDEX($K$209:$K$213,MATCH(P$230,EV_charger_type,0))*INDEX(EV06_work,$C323)*EV07_work_lower</f>
        <v>6.1083039135600465</v>
      </c>
      <c r="Q323" s="191" cm="1">
        <f t="array" ref="Q323">INDEX($K$209:$K$213,MATCH(Q$230,EV_charger_type,0))*INDEX(EV06_slowfast,$C323)*EV07_slowfast_lower</f>
        <v>0.64190499741498042</v>
      </c>
      <c r="R323" s="191" cm="1">
        <f t="array" ref="R323">INDEX($K$209:$K$213,MATCH(R$230,EV_charger_type,0))*INDEX(EV06_rapid,$C323)*EV07_rapid_lower</f>
        <v>3.126616935906438</v>
      </c>
      <c r="S323" s="191" cm="1">
        <f t="array" ref="S323">INDEX($K$209:$K$213,MATCH(S$230,EV_charger_type,0))*INDEX(EV06_depot,$C323)*EV07_depot_lower</f>
        <v>0</v>
      </c>
      <c r="T323" s="192">
        <f t="shared" si="33"/>
        <v>31.676889780717982</v>
      </c>
      <c r="U323" s="192">
        <f t="shared" si="30"/>
        <v>0.28282937304212485</v>
      </c>
      <c r="V323" s="194"/>
      <c r="W323" s="194"/>
      <c r="X323" s="180">
        <v>0.60416666666666663</v>
      </c>
      <c r="Y323" s="191" cm="1">
        <f t="array" ref="Y323">INDEX($L$209:$L$213,MATCH(Y$230,EV_charger_type,0))*INDEX(EV06_domestic_upper,$C323)*EV07_domestic_upper</f>
        <v>28.833168945936801</v>
      </c>
      <c r="Z323" s="191" cm="1">
        <f t="array" ref="Z323">INDEX($L$209:$L$213,MATCH(Z$230,EV_charger_type,0))*INDEX(EV06_work,$C323)*EV07_work_upper</f>
        <v>9.5060728468311577</v>
      </c>
      <c r="AA323" s="191" cm="1">
        <f t="array" ref="AA323">INDEX($L$209:$L$213,MATCH(AA$230,EV_charger_type,0))*INDEX(EV06_slowfast,$C323)*EV07_slowfast_upper</f>
        <v>7.393410602391608</v>
      </c>
      <c r="AB323" s="191" cm="1">
        <f t="array" ref="AB323">INDEX($L$209:$L$213,MATCH(AB$230,EV_charger_type,0))*INDEX(EV06_rapid,$C323)*EV07_rapid_upper</f>
        <v>17.717495970136483</v>
      </c>
      <c r="AC323" s="191" cm="1">
        <f t="array" ref="AC323">INDEX($L$209:$L$213,MATCH(AC$230,EV_charger_type,0))*INDEX(EV06_depot,$C323)*EV07_depot_upper</f>
        <v>0</v>
      </c>
      <c r="AD323" s="192">
        <f t="shared" si="34"/>
        <v>63.450148365296045</v>
      </c>
      <c r="AE323" s="192">
        <f t="shared" si="31"/>
        <v>0.56651918183300043</v>
      </c>
      <c r="AF323" s="194"/>
      <c r="AG323" s="194"/>
    </row>
    <row r="324" spans="2:33">
      <c r="B324" s="194"/>
      <c r="C324" s="194">
        <v>31</v>
      </c>
      <c r="D324" s="180">
        <v>0.625</v>
      </c>
      <c r="E324" s="191" cm="1">
        <f t="array" ref="E324">INDEX($J$209:$J$213,MATCH(E$230,EV_charger_type,0))*INDEX(EV06_domestic_Default,$C324)*EV07_domestic_Default</f>
        <v>25.971377658350956</v>
      </c>
      <c r="F324" s="191" cm="1">
        <f t="array" ref="F324">INDEX($J$209:$J$213,MATCH(F$230,EV_charger_type,0))*INDEX(EV06_work,$C324)*EV07_work_Default</f>
        <v>7.1543365573639459</v>
      </c>
      <c r="G324" s="191" cm="1">
        <f t="array" ref="G324">INDEX($J$209:$J$213,MATCH(G$230,EV_charger_type,0))*INDEX(EV06_slowfast,$C324)*EV07_slowfast_Default</f>
        <v>3.3860707879379475</v>
      </c>
      <c r="H324" s="191" cm="1">
        <f t="array" ref="H324">INDEX($J$209:$J$213,MATCH(H$230,EV_charger_type,0))*INDEX(EV06_rapid,$C324)*EV07_rapid_Default</f>
        <v>10.273347677501533</v>
      </c>
      <c r="I324" s="191" cm="1">
        <f t="array" ref="I324">INDEX($J$209:$J$213,MATCH(I$230,EV_charger_type,0))*INDEX(EV06_depot,$C324)*EV07_depot_Default</f>
        <v>0</v>
      </c>
      <c r="J324" s="192">
        <f t="shared" si="32"/>
        <v>46.78513268115438</v>
      </c>
      <c r="K324" s="192">
        <f t="shared" si="29"/>
        <v>0.41772439893887842</v>
      </c>
      <c r="L324" s="194"/>
      <c r="M324" s="194"/>
      <c r="N324" s="180">
        <v>0.625</v>
      </c>
      <c r="O324" s="191" cm="1">
        <f t="array" ref="O324">INDEX($K$209:$K$213,MATCH(O$230,EV_charger_type,0))*INDEX(EV06_domestic_lower,$C324)*EV07_domestic_lower</f>
        <v>22.584880273714774</v>
      </c>
      <c r="P324" s="191" cm="1">
        <f t="array" ref="P324">INDEX($K$209:$K$213,MATCH(P$230,EV_charger_type,0))*INDEX(EV06_work,$C324)*EV07_work_lower</f>
        <v>5.6099741072895455</v>
      </c>
      <c r="Q324" s="191" cm="1">
        <f t="array" ref="Q324">INDEX($K$209:$K$213,MATCH(Q$230,EV_charger_type,0))*INDEX(EV06_slowfast,$C324)*EV07_slowfast_lower</f>
        <v>0.60097456891945622</v>
      </c>
      <c r="R324" s="191" cm="1">
        <f t="array" ref="R324">INDEX($K$209:$K$213,MATCH(R$230,EV_charger_type,0))*INDEX(EV06_rapid,$C324)*EV07_rapid_lower</f>
        <v>3.0820043032504594</v>
      </c>
      <c r="S324" s="191" cm="1">
        <f t="array" ref="S324">INDEX($K$209:$K$213,MATCH(S$230,EV_charger_type,0))*INDEX(EV06_depot,$C324)*EV07_depot_lower</f>
        <v>0</v>
      </c>
      <c r="T324" s="192">
        <f t="shared" si="33"/>
        <v>31.877833253174234</v>
      </c>
      <c r="U324" s="192">
        <f t="shared" si="30"/>
        <v>0.28462351118905566</v>
      </c>
      <c r="V324" s="194"/>
      <c r="W324" s="194"/>
      <c r="X324" s="180">
        <v>0.625</v>
      </c>
      <c r="Y324" s="191" cm="1">
        <f t="array" ref="Y324">INDEX($L$209:$L$213,MATCH(Y$230,EV_charger_type,0))*INDEX(EV06_domestic_upper,$C324)*EV07_domestic_upper</f>
        <v>29.871181595253795</v>
      </c>
      <c r="Z324" s="191" cm="1">
        <f t="array" ref="Z324">INDEX($L$209:$L$213,MATCH(Z$230,EV_charger_type,0))*INDEX(EV06_work,$C324)*EV07_work_upper</f>
        <v>8.73054505594334</v>
      </c>
      <c r="AA324" s="191" cm="1">
        <f t="array" ref="AA324">INDEX($L$209:$L$213,MATCH(AA$230,EV_charger_type,0))*INDEX(EV06_slowfast,$C324)*EV07_slowfast_upper</f>
        <v>6.9219771890081558</v>
      </c>
      <c r="AB324" s="191" cm="1">
        <f t="array" ref="AB324">INDEX($L$209:$L$213,MATCH(AB$230,EV_charger_type,0))*INDEX(EV06_rapid,$C324)*EV07_rapid_upper</f>
        <v>17.464691051752606</v>
      </c>
      <c r="AC324" s="191" cm="1">
        <f t="array" ref="AC324">INDEX($L$209:$L$213,MATCH(AC$230,EV_charger_type,0))*INDEX(EV06_depot,$C324)*EV07_depot_upper</f>
        <v>0</v>
      </c>
      <c r="AD324" s="192">
        <f t="shared" si="34"/>
        <v>62.988394891957896</v>
      </c>
      <c r="AE324" s="192">
        <f t="shared" si="31"/>
        <v>0.56239638296390981</v>
      </c>
      <c r="AF324" s="194"/>
      <c r="AG324" s="194"/>
    </row>
    <row r="325" spans="2:33">
      <c r="B325" s="194"/>
      <c r="C325" s="194">
        <v>32</v>
      </c>
      <c r="D325" s="180">
        <v>0.64583333333333337</v>
      </c>
      <c r="E325" s="191" cm="1">
        <f t="array" ref="E325">INDEX($J$209:$J$213,MATCH(E$230,EV_charger_type,0))*INDEX(EV06_domestic_Default,$C325)*EV07_domestic_Default</f>
        <v>28.617916010245988</v>
      </c>
      <c r="F325" s="191" cm="1">
        <f t="array" ref="F325">INDEX($J$209:$J$213,MATCH(F$230,EV_charger_type,0))*INDEX(EV06_work,$C325)*EV07_work_Default</f>
        <v>6.5907501142362896</v>
      </c>
      <c r="G325" s="191" cm="1">
        <f t="array" ref="G325">INDEX($J$209:$J$213,MATCH(G$230,EV_charger_type,0))*INDEX(EV06_slowfast,$C325)*EV07_slowfast_Default</f>
        <v>3.2173493839552525</v>
      </c>
      <c r="H325" s="191" cm="1">
        <f t="array" ref="H325">INDEX($J$209:$J$213,MATCH(H$230,EV_charger_type,0))*INDEX(EV06_rapid,$C325)*EV07_rapid_Default</f>
        <v>10.124638901981607</v>
      </c>
      <c r="I325" s="191" cm="1">
        <f t="array" ref="I325">INDEX($J$209:$J$213,MATCH(I$230,EV_charger_type,0))*INDEX(EV06_depot,$C325)*EV07_depot_Default</f>
        <v>0</v>
      </c>
      <c r="J325" s="192">
        <f t="shared" si="32"/>
        <v>48.550654410419135</v>
      </c>
      <c r="K325" s="192">
        <f t="shared" si="29"/>
        <v>0.43348798580731368</v>
      </c>
      <c r="L325" s="194"/>
      <c r="M325" s="194"/>
      <c r="N325" s="180">
        <v>0.64583333333333337</v>
      </c>
      <c r="O325" s="191" cm="1">
        <f t="array" ref="O325">INDEX($K$209:$K$213,MATCH(O$230,EV_charger_type,0))*INDEX(EV06_domestic_lower,$C325)*EV07_domestic_lower</f>
        <v>24.886327374582155</v>
      </c>
      <c r="P325" s="191" cm="1">
        <f t="array" ref="P325">INDEX($K$209:$K$213,MATCH(P$230,EV_charger_type,0))*INDEX(EV06_work,$C325)*EV07_work_lower</f>
        <v>5.1680455891362831</v>
      </c>
      <c r="Q325" s="191" cm="1">
        <f t="array" ref="Q325">INDEX($K$209:$K$213,MATCH(Q$230,EV_charger_type,0))*INDEX(EV06_slowfast,$C325)*EV07_slowfast_lower</f>
        <v>0.57102916039840912</v>
      </c>
      <c r="R325" s="191" cm="1">
        <f t="array" ref="R325">INDEX($K$209:$K$213,MATCH(R$230,EV_charger_type,0))*INDEX(EV06_rapid,$C325)*EV07_rapid_lower</f>
        <v>3.0373916705944817</v>
      </c>
      <c r="S325" s="191" cm="1">
        <f t="array" ref="S325">INDEX($K$209:$K$213,MATCH(S$230,EV_charger_type,0))*INDEX(EV06_depot,$C325)*EV07_depot_lower</f>
        <v>0</v>
      </c>
      <c r="T325" s="192">
        <f t="shared" si="33"/>
        <v>33.662793794711334</v>
      </c>
      <c r="U325" s="192">
        <f t="shared" si="30"/>
        <v>0.30056065888135119</v>
      </c>
      <c r="V325" s="194"/>
      <c r="W325" s="194"/>
      <c r="X325" s="180">
        <v>0.64583333333333337</v>
      </c>
      <c r="Y325" s="191" cm="1">
        <f t="array" ref="Y325">INDEX($L$209:$L$213,MATCH(Y$230,EV_charger_type,0))*INDEX(EV06_domestic_upper,$C325)*EV07_domestic_upper</f>
        <v>32.915118222267509</v>
      </c>
      <c r="Z325" s="191" cm="1">
        <f t="array" ref="Z325">INDEX($L$209:$L$213,MATCH(Z$230,EV_charger_type,0))*INDEX(EV06_work,$C325)*EV07_work_upper</f>
        <v>8.0427919994310244</v>
      </c>
      <c r="AA325" s="191" cm="1">
        <f t="array" ref="AA325">INDEX($L$209:$L$213,MATCH(AA$230,EV_charger_type,0))*INDEX(EV06_slowfast,$C325)*EV07_slowfast_upper</f>
        <v>6.5770683602187647</v>
      </c>
      <c r="AB325" s="191" cm="1">
        <f t="array" ref="AB325">INDEX($L$209:$L$213,MATCH(AB$230,EV_charger_type,0))*INDEX(EV06_rapid,$C325)*EV07_rapid_upper</f>
        <v>17.211886133368729</v>
      </c>
      <c r="AC325" s="191" cm="1">
        <f t="array" ref="AC325">INDEX($L$209:$L$213,MATCH(AC$230,EV_charger_type,0))*INDEX(EV06_depot,$C325)*EV07_depot_upper</f>
        <v>0</v>
      </c>
      <c r="AD325" s="192">
        <f t="shared" si="34"/>
        <v>64.746864715286023</v>
      </c>
      <c r="AE325" s="192">
        <f t="shared" si="31"/>
        <v>0.57809700638648231</v>
      </c>
      <c r="AF325" s="194"/>
      <c r="AG325" s="194"/>
    </row>
    <row r="326" spans="2:33">
      <c r="B326" s="194"/>
      <c r="C326" s="194">
        <v>33</v>
      </c>
      <c r="D326" s="180">
        <v>0.66666666666666663</v>
      </c>
      <c r="E326" s="191" cm="1">
        <f t="array" ref="E326">INDEX($J$209:$J$213,MATCH(E$230,EV_charger_type,0))*INDEX(EV06_domestic_Default,$C326)*EV07_domestic_Default</f>
        <v>33.682792411063339</v>
      </c>
      <c r="F326" s="191" cm="1">
        <f t="array" ref="F326">INDEX($J$209:$J$213,MATCH(F$230,EV_charger_type,0))*INDEX(EV06_work,$C326)*EV07_work_Default</f>
        <v>6.0272203072701371</v>
      </c>
      <c r="G326" s="191" cm="1">
        <f t="array" ref="G326">INDEX($J$209:$J$213,MATCH(G$230,EV_charger_type,0))*INDEX(EV06_slowfast,$C326)*EV07_slowfast_Default</f>
        <v>3.0486279799725571</v>
      </c>
      <c r="H326" s="191" cm="1">
        <f t="array" ref="H326">INDEX($J$209:$J$213,MATCH(H$230,EV_charger_type,0))*INDEX(EV06_rapid,$C326)*EV07_rapid_Default</f>
        <v>10.013455701007203</v>
      </c>
      <c r="I326" s="191" cm="1">
        <f t="array" ref="I326">INDEX($J$209:$J$213,MATCH(I$230,EV_charger_type,0))*INDEX(EV06_depot,$C326)*EV07_depot_Default</f>
        <v>0</v>
      </c>
      <c r="J326" s="192">
        <f t="shared" si="32"/>
        <v>52.772096399313234</v>
      </c>
      <c r="K326" s="192">
        <f t="shared" si="29"/>
        <v>0.47117943213672531</v>
      </c>
      <c r="L326" s="194"/>
      <c r="M326" s="194"/>
      <c r="N326" s="180">
        <v>0.66666666666666663</v>
      </c>
      <c r="O326" s="191" cm="1">
        <f t="array" ref="O326">INDEX($K$209:$K$213,MATCH(O$230,EV_charger_type,0))*INDEX(EV06_domestic_lower,$C326)*EV07_domestic_lower</f>
        <v>29.290777096826361</v>
      </c>
      <c r="P326" s="191" cm="1">
        <f t="array" ref="P326">INDEX($K$209:$K$213,MATCH(P$230,EV_charger_type,0))*INDEX(EV06_work,$C326)*EV07_work_lower</f>
        <v>4.7261614814461046</v>
      </c>
      <c r="Q326" s="191" cm="1">
        <f t="array" ref="Q326">INDEX($K$209:$K$213,MATCH(Q$230,EV_charger_type,0))*INDEX(EV06_slowfast,$C326)*EV07_slowfast_lower</f>
        <v>0.54108375187736213</v>
      </c>
      <c r="R326" s="191" cm="1">
        <f t="array" ref="R326">INDEX($K$209:$K$213,MATCH(R$230,EV_charger_type,0))*INDEX(EV06_rapid,$C326)*EV07_rapid_lower</f>
        <v>3.0040367103021604</v>
      </c>
      <c r="S326" s="191" cm="1">
        <f t="array" ref="S326">INDEX($K$209:$K$213,MATCH(S$230,EV_charger_type,0))*INDEX(EV06_depot,$C326)*EV07_depot_lower</f>
        <v>0</v>
      </c>
      <c r="T326" s="192">
        <f t="shared" si="33"/>
        <v>37.562059040451985</v>
      </c>
      <c r="U326" s="192">
        <f t="shared" si="30"/>
        <v>0.33537552714689273</v>
      </c>
      <c r="V326" s="194"/>
      <c r="W326" s="194"/>
      <c r="X326" s="180">
        <v>0.66666666666666663</v>
      </c>
      <c r="Y326" s="191" cm="1">
        <f t="array" ref="Y326">INDEX($L$209:$L$213,MATCH(Y$230,EV_charger_type,0))*INDEX(EV06_domestic_upper,$C326)*EV07_domestic_upper</f>
        <v>38.740525126613328</v>
      </c>
      <c r="Z326" s="191" cm="1">
        <f t="array" ref="Z326">INDEX($L$209:$L$213,MATCH(Z$230,EV_charger_type,0))*INDEX(EV06_work,$C326)*EV07_work_upper</f>
        <v>7.3551080568827842</v>
      </c>
      <c r="AA326" s="191" cm="1">
        <f t="array" ref="AA326">INDEX($L$209:$L$213,MATCH(AA$230,EV_charger_type,0))*INDEX(EV06_slowfast,$C326)*EV07_slowfast_upper</f>
        <v>6.2321595314293772</v>
      </c>
      <c r="AB326" s="191" cm="1">
        <f t="array" ref="AB326">INDEX($L$209:$L$213,MATCH(AB$230,EV_charger_type,0))*INDEX(EV06_rapid,$C326)*EV07_rapid_upper</f>
        <v>17.022874691712246</v>
      </c>
      <c r="AC326" s="191" cm="1">
        <f t="array" ref="AC326">INDEX($L$209:$L$213,MATCH(AC$230,EV_charger_type,0))*INDEX(EV06_depot,$C326)*EV07_depot_upper</f>
        <v>0</v>
      </c>
      <c r="AD326" s="192">
        <f t="shared" si="34"/>
        <v>69.35066740663774</v>
      </c>
      <c r="AE326" s="192">
        <f t="shared" si="31"/>
        <v>0.61920238755926549</v>
      </c>
      <c r="AF326" s="194"/>
      <c r="AG326" s="194"/>
    </row>
    <row r="327" spans="2:33">
      <c r="B327" s="194"/>
      <c r="C327" s="194">
        <v>34</v>
      </c>
      <c r="D327" s="180">
        <v>0.6875</v>
      </c>
      <c r="E327" s="191" cm="1">
        <f t="array" ref="E327">INDEX($J$209:$J$213,MATCH(E$230,EV_charger_type,0))*INDEX(EV06_domestic_Default,$C327)*EV07_domestic_Default</f>
        <v>37.790385293999073</v>
      </c>
      <c r="F327" s="191" cm="1">
        <f t="array" ref="F327">INDEX($J$209:$J$213,MATCH(F$230,EV_charger_type,0))*INDEX(EV06_work,$C327)*EV07_work_Default</f>
        <v>5.4671453061557385</v>
      </c>
      <c r="G327" s="191" cm="1">
        <f t="array" ref="G327">INDEX($J$209:$J$213,MATCH(G$230,EV_charger_type,0))*INDEX(EV06_slowfast,$C327)*EV07_slowfast_Default</f>
        <v>2.9798031306007848</v>
      </c>
      <c r="H327" s="191" cm="1">
        <f t="array" ref="H327">INDEX($J$209:$J$213,MATCH(H$230,EV_charger_type,0))*INDEX(EV06_rapid,$C327)*EV07_rapid_Default</f>
        <v>9.9023222686993027</v>
      </c>
      <c r="I327" s="191" cm="1">
        <f t="array" ref="I327">INDEX($J$209:$J$213,MATCH(I$230,EV_charger_type,0))*INDEX(EV06_depot,$C327)*EV07_depot_Default</f>
        <v>0</v>
      </c>
      <c r="J327" s="192">
        <f t="shared" si="32"/>
        <v>56.139655999454895</v>
      </c>
      <c r="K327" s="192">
        <f t="shared" si="29"/>
        <v>0.50124692856656161</v>
      </c>
      <c r="L327" s="194"/>
      <c r="M327" s="194"/>
      <c r="N327" s="180">
        <v>0.6875</v>
      </c>
      <c r="O327" s="191" cm="1">
        <f t="array" ref="O327">INDEX($K$209:$K$213,MATCH(O$230,EV_charger_type,0))*INDEX(EV06_domestic_lower,$C327)*EV07_domestic_lower</f>
        <v>32.862766796203623</v>
      </c>
      <c r="P327" s="191" cm="1">
        <f t="array" ref="P327">INDEX($K$209:$K$213,MATCH(P$230,EV_charger_type,0))*INDEX(EV06_work,$C327)*EV07_work_lower</f>
        <v>4.2869864120040777</v>
      </c>
      <c r="Q327" s="191" cm="1">
        <f t="array" ref="Q327">INDEX($K$209:$K$213,MATCH(Q$230,EV_charger_type,0))*INDEX(EV06_slowfast,$C327)*EV07_slowfast_lower</f>
        <v>0.52886841830268028</v>
      </c>
      <c r="R327" s="191" cm="1">
        <f t="array" ref="R327">INDEX($K$209:$K$213,MATCH(R$230,EV_charger_type,0))*INDEX(EV06_rapid,$C327)*EV07_rapid_lower</f>
        <v>2.9706966806097905</v>
      </c>
      <c r="S327" s="191" cm="1">
        <f t="array" ref="S327">INDEX($K$209:$K$213,MATCH(S$230,EV_charger_type,0))*INDEX(EV06_depot,$C327)*EV07_depot_lower</f>
        <v>0</v>
      </c>
      <c r="T327" s="192">
        <f t="shared" si="33"/>
        <v>40.649318307120168</v>
      </c>
      <c r="U327" s="192">
        <f t="shared" si="30"/>
        <v>0.36294034202785863</v>
      </c>
      <c r="V327" s="194"/>
      <c r="W327" s="194"/>
      <c r="X327" s="180">
        <v>0.6875</v>
      </c>
      <c r="Y327" s="191" cm="1">
        <f t="array" ref="Y327">INDEX($L$209:$L$213,MATCH(Y$230,EV_charger_type,0))*INDEX(EV06_domestic_upper,$C327)*EV07_domestic_upper</f>
        <v>43.464904962740057</v>
      </c>
      <c r="Z327" s="191" cm="1">
        <f t="array" ref="Z327">INDEX($L$209:$L$213,MATCH(Z$230,EV_charger_type,0))*INDEX(EV06_work,$C327)*EV07_work_upper</f>
        <v>6.6716400661431319</v>
      </c>
      <c r="AA327" s="191" cm="1">
        <f t="array" ref="AA327">INDEX($L$209:$L$213,MATCH(AA$230,EV_charger_type,0))*INDEX(EV06_slowfast,$C327)*EV07_slowfast_upper</f>
        <v>6.0914642928403282</v>
      </c>
      <c r="AB327" s="191" cm="1">
        <f t="array" ref="AB327">INDEX($L$209:$L$213,MATCH(AB$230,EV_charger_type,0))*INDEX(EV06_rapid,$C327)*EV07_rapid_upper</f>
        <v>16.833947856788818</v>
      </c>
      <c r="AC327" s="191" cm="1">
        <f t="array" ref="AC327">INDEX($L$209:$L$213,MATCH(AC$230,EV_charger_type,0))*INDEX(EV06_depot,$C327)*EV07_depot_upper</f>
        <v>0</v>
      </c>
      <c r="AD327" s="192">
        <f t="shared" si="34"/>
        <v>73.06195717851233</v>
      </c>
      <c r="AE327" s="192">
        <f t="shared" si="31"/>
        <v>0.65233890337957434</v>
      </c>
      <c r="AF327" s="194"/>
      <c r="AG327" s="194"/>
    </row>
    <row r="328" spans="2:33">
      <c r="B328" s="194"/>
      <c r="C328" s="194">
        <v>35</v>
      </c>
      <c r="D328" s="180">
        <v>0.70833333333333337</v>
      </c>
      <c r="E328" s="191" cm="1">
        <f t="array" ref="E328">INDEX($J$209:$J$213,MATCH(E$230,EV_charger_type,0))*INDEX(EV06_domestic_Default,$C328)*EV07_domestic_Default</f>
        <v>42.502562689165323</v>
      </c>
      <c r="F328" s="191" cm="1">
        <f t="array" ref="F328">INDEX($J$209:$J$213,MATCH(F$230,EV_charger_type,0))*INDEX(EV06_work,$C328)*EV07_work_Default</f>
        <v>4.9070703050413389</v>
      </c>
      <c r="G328" s="191" cm="1">
        <f t="array" ref="G328">INDEX($J$209:$J$213,MATCH(G$230,EV_charger_type,0))*INDEX(EV06_slowfast,$C328)*EV07_slowfast_Default</f>
        <v>2.9109782812290117</v>
      </c>
      <c r="H328" s="191" cm="1">
        <f t="array" ref="H328">INDEX($J$209:$J$213,MATCH(H$230,EV_charger_type,0))*INDEX(EV06_rapid,$C328)*EV07_rapid_Default</f>
        <v>9.8634031714916119</v>
      </c>
      <c r="I328" s="191" cm="1">
        <f t="array" ref="I328">INDEX($J$209:$J$213,MATCH(I$230,EV_charger_type,0))*INDEX(EV06_depot,$C328)*EV07_depot_Default</f>
        <v>0</v>
      </c>
      <c r="J328" s="192">
        <f t="shared" si="32"/>
        <v>60.184014446927286</v>
      </c>
      <c r="K328" s="192">
        <f t="shared" si="29"/>
        <v>0.5373572718475651</v>
      </c>
      <c r="L328" s="194"/>
      <c r="M328" s="194"/>
      <c r="N328" s="180">
        <v>0.70833333333333337</v>
      </c>
      <c r="O328" s="191" cm="1">
        <f t="array" ref="O328">INDEX($K$209:$K$213,MATCH(O$230,EV_charger_type,0))*INDEX(EV06_domestic_lower,$C328)*EV07_domestic_lower</f>
        <v>36.960507150925046</v>
      </c>
      <c r="P328" s="191" cm="1">
        <f t="array" ref="P328">INDEX($K$209:$K$213,MATCH(P$230,EV_charger_type,0))*INDEX(EV06_work,$C328)*EV07_work_lower</f>
        <v>3.8478113425620504</v>
      </c>
      <c r="Q328" s="191" cm="1">
        <f t="array" ref="Q328">INDEX($K$209:$K$213,MATCH(Q$230,EV_charger_type,0))*INDEX(EV06_slowfast,$C328)*EV07_slowfast_lower</f>
        <v>0.51665308472799854</v>
      </c>
      <c r="R328" s="191" cm="1">
        <f t="array" ref="R328">INDEX($K$209:$K$213,MATCH(R$230,EV_charger_type,0))*INDEX(EV06_rapid,$C328)*EV07_rapid_lower</f>
        <v>2.9590209514474832</v>
      </c>
      <c r="S328" s="191" cm="1">
        <f t="array" ref="S328">INDEX($K$209:$K$213,MATCH(S$230,EV_charger_type,0))*INDEX(EV06_depot,$C328)*EV07_depot_lower</f>
        <v>0</v>
      </c>
      <c r="T328" s="192">
        <f t="shared" si="33"/>
        <v>44.283992529662584</v>
      </c>
      <c r="U328" s="192">
        <f t="shared" si="30"/>
        <v>0.39539279044341591</v>
      </c>
      <c r="V328" s="194"/>
      <c r="W328" s="194"/>
      <c r="X328" s="180">
        <v>0.70833333333333337</v>
      </c>
      <c r="Y328" s="191" cm="1">
        <f t="array" ref="Y328">INDEX($L$209:$L$213,MATCH(Y$230,EV_charger_type,0))*INDEX(EV06_domestic_upper,$C328)*EV07_domestic_upper</f>
        <v>48.884652368199745</v>
      </c>
      <c r="Z328" s="191" cm="1">
        <f t="array" ref="Z328">INDEX($L$209:$L$213,MATCH(Z$230,EV_charger_type,0))*INDEX(EV06_work,$C328)*EV07_work_upper</f>
        <v>5.9881720754034786</v>
      </c>
      <c r="AA328" s="191" cm="1">
        <f t="array" ref="AA328">INDEX($L$209:$L$213,MATCH(AA$230,EV_charger_type,0))*INDEX(EV06_slowfast,$C328)*EV07_slowfast_upper</f>
        <v>5.9507690542512819</v>
      </c>
      <c r="AB328" s="191" cm="1">
        <f t="array" ref="AB328">INDEX($L$209:$L$213,MATCH(AB$230,EV_charger_type,0))*INDEX(EV06_rapid,$C328)*EV07_rapid_upper</f>
        <v>16.767785391535742</v>
      </c>
      <c r="AC328" s="191" cm="1">
        <f t="array" ref="AC328">INDEX($L$209:$L$213,MATCH(AC$230,EV_charger_type,0))*INDEX(EV06_depot,$C328)*EV07_depot_upper</f>
        <v>0</v>
      </c>
      <c r="AD328" s="192">
        <f t="shared" si="34"/>
        <v>77.591378889390242</v>
      </c>
      <c r="AE328" s="192">
        <f t="shared" si="31"/>
        <v>0.69278016865527003</v>
      </c>
      <c r="AF328" s="194"/>
      <c r="AG328" s="194"/>
    </row>
    <row r="329" spans="2:33">
      <c r="B329" s="194"/>
      <c r="C329" s="194">
        <v>36</v>
      </c>
      <c r="D329" s="180">
        <v>0.72916666666666663</v>
      </c>
      <c r="E329" s="191" cm="1">
        <f t="array" ref="E329">INDEX($J$209:$J$213,MATCH(E$230,EV_charger_type,0))*INDEX(EV06_domestic_Default,$C329)*EV07_domestic_Default</f>
        <v>47.482620230383262</v>
      </c>
      <c r="F329" s="191" cm="1">
        <f t="array" ref="F329">INDEX($J$209:$J$213,MATCH(F$230,EV_charger_type,0))*INDEX(EV06_work,$C329)*EV07_work_Default</f>
        <v>4.3868105254643464</v>
      </c>
      <c r="G329" s="191" cm="1">
        <f t="array" ref="G329">INDEX($J$209:$J$213,MATCH(G$230,EV_charger_type,0))*INDEX(EV06_slowfast,$C329)*EV07_slowfast_Default</f>
        <v>2.8836680092303606</v>
      </c>
      <c r="H329" s="191" cm="1">
        <f t="array" ref="H329">INDEX($J$209:$J$213,MATCH(H$230,EV_charger_type,0))*INDEX(EV06_rapid,$C329)*EV07_rapid_Default</f>
        <v>9.8244840742839195</v>
      </c>
      <c r="I329" s="191" cm="1">
        <f t="array" ref="I329">INDEX($J$209:$J$213,MATCH(I$230,EV_charger_type,0))*INDEX(EV06_depot,$C329)*EV07_depot_Default</f>
        <v>0</v>
      </c>
      <c r="J329" s="192">
        <f t="shared" si="32"/>
        <v>64.577582839361895</v>
      </c>
      <c r="K329" s="192">
        <f t="shared" si="29"/>
        <v>0.57658556106573122</v>
      </c>
      <c r="L329" s="194"/>
      <c r="M329" s="194"/>
      <c r="N329" s="180">
        <v>0.72916666666666663</v>
      </c>
      <c r="O329" s="191" cm="1">
        <f t="array" ref="O329">INDEX($K$209:$K$213,MATCH(O$230,EV_charger_type,0))*INDEX(EV06_domestic_lower,$C329)*EV07_domestic_lower</f>
        <v>41.291197836809857</v>
      </c>
      <c r="P329" s="191" cm="1">
        <f t="array" ref="P329">INDEX($K$209:$K$213,MATCH(P$230,EV_charger_type,0))*INDEX(EV06_work,$C329)*EV07_work_lower</f>
        <v>3.4398568286683844</v>
      </c>
      <c r="Q329" s="191" cm="1">
        <f t="array" ref="Q329">INDEX($K$209:$K$213,MATCH(Q$230,EV_charger_type,0))*INDEX(EV06_slowfast,$C329)*EV07_slowfast_lower</f>
        <v>0.51180593888570558</v>
      </c>
      <c r="R329" s="191" cm="1">
        <f t="array" ref="R329">INDEX($K$209:$K$213,MATCH(R$230,EV_charger_type,0))*INDEX(EV06_rapid,$C329)*EV07_rapid_lower</f>
        <v>2.9473452222851755</v>
      </c>
      <c r="S329" s="191" cm="1">
        <f t="array" ref="S329">INDEX($K$209:$K$213,MATCH(S$230,EV_charger_type,0))*INDEX(EV06_depot,$C329)*EV07_depot_lower</f>
        <v>0</v>
      </c>
      <c r="T329" s="192">
        <f t="shared" si="33"/>
        <v>48.19020582664912</v>
      </c>
      <c r="U329" s="192">
        <f t="shared" si="30"/>
        <v>0.43026969488079569</v>
      </c>
      <c r="V329" s="194"/>
      <c r="W329" s="194"/>
      <c r="X329" s="180">
        <v>0.72916666666666663</v>
      </c>
      <c r="Y329" s="191" cm="1">
        <f t="array" ref="Y329">INDEX($L$209:$L$213,MATCH(Y$230,EV_charger_type,0))*INDEX(EV06_domestic_upper,$C329)*EV07_domestic_upper</f>
        <v>54.612504202840519</v>
      </c>
      <c r="Z329" s="191" cm="1">
        <f t="array" ref="Z329">INDEX($L$209:$L$213,MATCH(Z$230,EV_charger_type,0))*INDEX(EV06_work,$C329)*EV07_work_upper</f>
        <v>5.3532912014086911</v>
      </c>
      <c r="AA329" s="191" cm="1">
        <f t="array" ref="AA329">INDEX($L$209:$L$213,MATCH(AA$230,EV_charger_type,0))*INDEX(EV06_slowfast,$C329)*EV07_slowfast_upper</f>
        <v>5.8949400147422173</v>
      </c>
      <c r="AB329" s="191" cm="1">
        <f t="array" ref="AB329">INDEX($L$209:$L$213,MATCH(AB$230,EV_charger_type,0))*INDEX(EV06_rapid,$C329)*EV07_rapid_upper</f>
        <v>16.701622926282663</v>
      </c>
      <c r="AC329" s="191" cm="1">
        <f t="array" ref="AC329">INDEX($L$209:$L$213,MATCH(AC$230,EV_charger_type,0))*INDEX(EV06_depot,$C329)*EV07_depot_upper</f>
        <v>0</v>
      </c>
      <c r="AD329" s="192">
        <f t="shared" si="34"/>
        <v>82.562358345274092</v>
      </c>
      <c r="AE329" s="192">
        <f t="shared" si="31"/>
        <v>0.73716391379709012</v>
      </c>
      <c r="AF329" s="194"/>
      <c r="AG329" s="194"/>
    </row>
    <row r="330" spans="2:33">
      <c r="B330" s="194"/>
      <c r="C330" s="194">
        <v>37</v>
      </c>
      <c r="D330" s="180">
        <v>0.75</v>
      </c>
      <c r="E330" s="191" cm="1">
        <f t="array" ref="E330">INDEX($J$209:$J$213,MATCH(E$230,EV_charger_type,0))*INDEX(EV06_domestic_Default,$C330)*EV07_domestic_Default</f>
        <v>52.220935895547434</v>
      </c>
      <c r="F330" s="191" cm="1">
        <f t="array" ref="F330">INDEX($J$209:$J$213,MATCH(F$230,EV_charger_type,0))*INDEX(EV06_work,$C330)*EV07_work_Default</f>
        <v>3.8665507458873538</v>
      </c>
      <c r="G330" s="191" cm="1">
        <f t="array" ref="G330">INDEX($J$209:$J$213,MATCH(G$230,EV_charger_type,0))*INDEX(EV06_slowfast,$C330)*EV07_slowfast_Default</f>
        <v>2.856357737231709</v>
      </c>
      <c r="H330" s="191" cm="1">
        <f t="array" ref="H330">INDEX($J$209:$J$213,MATCH(H$230,EV_charger_type,0))*INDEX(EV06_rapid,$C330)*EV07_rapid_Default</f>
        <v>9.7160879186338498</v>
      </c>
      <c r="I330" s="191" cm="1">
        <f t="array" ref="I330">INDEX($J$209:$J$213,MATCH(I$230,EV_charger_type,0))*INDEX(EV06_depot,$C330)*EV07_depot_Default</f>
        <v>0</v>
      </c>
      <c r="J330" s="192">
        <f t="shared" si="32"/>
        <v>68.659932297300344</v>
      </c>
      <c r="K330" s="192">
        <f t="shared" si="29"/>
        <v>0.61303510979732445</v>
      </c>
      <c r="L330" s="194"/>
      <c r="M330" s="194"/>
      <c r="N330" s="180">
        <v>0.75</v>
      </c>
      <c r="O330" s="191" cm="1">
        <f t="array" ref="O330">INDEX($K$209:$K$213,MATCH(O$230,EV_charger_type,0))*INDEX(EV06_domestic_lower,$C330)*EV07_domestic_lower</f>
        <v>45.411668202477578</v>
      </c>
      <c r="P330" s="191" cm="1">
        <f t="array" ref="P330">INDEX($K$209:$K$213,MATCH(P$230,EV_charger_type,0))*INDEX(EV06_work,$C330)*EV07_work_lower</f>
        <v>3.0319023147747184</v>
      </c>
      <c r="Q330" s="191" cm="1">
        <f t="array" ref="Q330">INDEX($K$209:$K$213,MATCH(Q$230,EV_charger_type,0))*INDEX(EV06_slowfast,$C330)*EV07_slowfast_lower</f>
        <v>0.50695879304341285</v>
      </c>
      <c r="R330" s="191" cm="1">
        <f t="array" ref="R330">INDEX($K$209:$K$213,MATCH(R$230,EV_charger_type,0))*INDEX(EV06_rapid,$C330)*EV07_rapid_lower</f>
        <v>2.9148263755901551</v>
      </c>
      <c r="S330" s="191" cm="1">
        <f t="array" ref="S330">INDEX($K$209:$K$213,MATCH(S$230,EV_charger_type,0))*INDEX(EV06_depot,$C330)*EV07_depot_lower</f>
        <v>0</v>
      </c>
      <c r="T330" s="192">
        <f t="shared" si="33"/>
        <v>51.865355685885859</v>
      </c>
      <c r="U330" s="192">
        <f t="shared" si="30"/>
        <v>0.46308353290969517</v>
      </c>
      <c r="V330" s="194"/>
      <c r="W330" s="194"/>
      <c r="X330" s="180">
        <v>0.75</v>
      </c>
      <c r="Y330" s="191" cm="1">
        <f t="array" ref="Y330">INDEX($L$209:$L$213,MATCH(Y$230,EV_charger_type,0))*INDEX(EV06_domestic_upper,$C330)*EV07_domestic_upper</f>
        <v>60.062314742415168</v>
      </c>
      <c r="Z330" s="191" cm="1">
        <f t="array" ref="Z330">INDEX($L$209:$L$213,MATCH(Z$230,EV_charger_type,0))*INDEX(EV06_work,$C330)*EV07_work_upper</f>
        <v>4.7184103274139035</v>
      </c>
      <c r="AA330" s="191" cm="1">
        <f t="array" ref="AA330">INDEX($L$209:$L$213,MATCH(AA$230,EV_charger_type,0))*INDEX(EV06_slowfast,$C330)*EV07_slowfast_upper</f>
        <v>5.8391109752331536</v>
      </c>
      <c r="AB330" s="191" cm="1">
        <f t="array" ref="AB330">INDEX($L$209:$L$213,MATCH(AB$230,EV_charger_type,0))*INDEX(EV06_rapid,$C330)*EV07_rapid_upper</f>
        <v>16.517349461677547</v>
      </c>
      <c r="AC330" s="191" cm="1">
        <f t="array" ref="AC330">INDEX($L$209:$L$213,MATCH(AC$230,EV_charger_type,0))*INDEX(EV06_depot,$C330)*EV07_depot_upper</f>
        <v>0</v>
      </c>
      <c r="AD330" s="192">
        <f t="shared" si="34"/>
        <v>87.137185506739769</v>
      </c>
      <c r="AE330" s="192">
        <f t="shared" si="31"/>
        <v>0.77801058488160513</v>
      </c>
      <c r="AF330" s="194"/>
      <c r="AG330" s="194"/>
    </row>
    <row r="331" spans="2:33">
      <c r="B331" s="194"/>
      <c r="C331" s="194">
        <v>38</v>
      </c>
      <c r="D331" s="180">
        <v>0.77083333333333337</v>
      </c>
      <c r="E331" s="191" cm="1">
        <f t="array" ref="E331">INDEX($J$209:$J$213,MATCH(E$230,EV_charger_type,0))*INDEX(EV06_domestic_Default,$C331)*EV07_domestic_Default</f>
        <v>55.668661619206283</v>
      </c>
      <c r="F331" s="191" cm="1">
        <f t="array" ref="F331">INDEX($J$209:$J$213,MATCH(F$230,EV_charger_type,0))*INDEX(EV06_work,$C331)*EV07_work_Default</f>
        <v>3.5103092900263402</v>
      </c>
      <c r="G331" s="191" cm="1">
        <f t="array" ref="G331">INDEX($J$209:$J$213,MATCH(G$230,EV_charger_type,0))*INDEX(EV06_slowfast,$C331)*EV07_slowfast_Default</f>
        <v>2.6737286697609171</v>
      </c>
      <c r="H331" s="191" cm="1">
        <f t="array" ref="H331">INDEX($J$209:$J$213,MATCH(H$230,EV_charger_type,0))*INDEX(EV06_rapid,$C331)*EV07_rapid_Default</f>
        <v>9.6076419943172766</v>
      </c>
      <c r="I331" s="191" cm="1">
        <f t="array" ref="I331">INDEX($J$209:$J$213,MATCH(I$230,EV_charger_type,0))*INDEX(EV06_depot,$C331)*EV07_depot_Default</f>
        <v>0</v>
      </c>
      <c r="J331" s="192">
        <f t="shared" si="32"/>
        <v>71.460341573310814</v>
      </c>
      <c r="K331" s="192">
        <f t="shared" si="29"/>
        <v>0.63803876404741799</v>
      </c>
      <c r="L331" s="194"/>
      <c r="M331" s="194"/>
      <c r="N331" s="180">
        <v>0.77083333333333337</v>
      </c>
      <c r="O331" s="191" cm="1">
        <f t="array" ref="O331">INDEX($K$209:$K$213,MATCH(O$230,EV_charger_type,0))*INDEX(EV06_domestic_lower,$C331)*EV07_domestic_lower</f>
        <v>48.409833094219643</v>
      </c>
      <c r="P331" s="191" cm="1">
        <f t="array" ref="P331">INDEX($K$209:$K$213,MATCH(P$230,EV_charger_type,0))*INDEX(EV06_work,$C331)*EV07_work_lower</f>
        <v>2.7525605019735915</v>
      </c>
      <c r="Q331" s="191" cm="1">
        <f t="array" ref="Q331">INDEX($K$209:$K$213,MATCH(Q$230,EV_charger_type,0))*INDEX(EV06_slowfast,$C331)*EV07_slowfast_lower</f>
        <v>0.47454499192431088</v>
      </c>
      <c r="R331" s="191" cm="1">
        <f t="array" ref="R331">INDEX($K$209:$K$213,MATCH(R$230,EV_charger_type,0))*INDEX(EV06_rapid,$C331)*EV07_rapid_lower</f>
        <v>2.8822925982951828</v>
      </c>
      <c r="S331" s="191" cm="1">
        <f t="array" ref="S331">INDEX($K$209:$K$213,MATCH(S$230,EV_charger_type,0))*INDEX(EV06_depot,$C331)*EV07_depot_lower</f>
        <v>0</v>
      </c>
      <c r="T331" s="192">
        <f t="shared" si="33"/>
        <v>54.519231186412725</v>
      </c>
      <c r="U331" s="192">
        <f t="shared" si="30"/>
        <v>0.48677884987868503</v>
      </c>
      <c r="V331" s="194"/>
      <c r="W331" s="194"/>
      <c r="X331" s="180">
        <v>0.77083333333333337</v>
      </c>
      <c r="Y331" s="191" cm="1">
        <f t="array" ref="Y331">INDEX($L$209:$L$213,MATCH(Y$230,EV_charger_type,0))*INDEX(EV06_domestic_upper,$C331)*EV07_domestic_upper</f>
        <v>64.027743243622396</v>
      </c>
      <c r="Z331" s="191" cm="1">
        <f t="array" ref="Z331">INDEX($L$209:$L$213,MATCH(Z$230,EV_charger_type,0))*INDEX(EV06_work,$C331)*EV07_work_upper</f>
        <v>4.283683493380896</v>
      </c>
      <c r="AA331" s="191" cm="1">
        <f t="array" ref="AA331">INDEX($L$209:$L$213,MATCH(AA$230,EV_charger_type,0))*INDEX(EV06_slowfast,$C331)*EV07_slowfast_upper</f>
        <v>5.4657713972225892</v>
      </c>
      <c r="AB331" s="191" cm="1">
        <f t="array" ref="AB331">INDEX($L$209:$L$213,MATCH(AB$230,EV_charger_type,0))*INDEX(EV06_rapid,$C331)*EV07_rapid_upper</f>
        <v>16.332991390339373</v>
      </c>
      <c r="AC331" s="191" cm="1">
        <f t="array" ref="AC331">INDEX($L$209:$L$213,MATCH(AC$230,EV_charger_type,0))*INDEX(EV06_depot,$C331)*EV07_depot_upper</f>
        <v>0</v>
      </c>
      <c r="AD331" s="192">
        <f t="shared" si="34"/>
        <v>90.110189524565243</v>
      </c>
      <c r="AE331" s="192">
        <f t="shared" si="31"/>
        <v>0.80455526361218965</v>
      </c>
      <c r="AF331" s="194"/>
      <c r="AG331" s="194"/>
    </row>
    <row r="332" spans="2:33">
      <c r="B332" s="194"/>
      <c r="C332" s="194">
        <v>39</v>
      </c>
      <c r="D332" s="180">
        <v>0.79166666666666663</v>
      </c>
      <c r="E332" s="191" cm="1">
        <f t="array" ref="E332">INDEX($J$209:$J$213,MATCH(E$230,EV_charger_type,0))*INDEX(EV06_domestic_Default,$C332)*EV07_domestic_Default</f>
        <v>57.786209487119422</v>
      </c>
      <c r="F332" s="191" cm="1">
        <f t="array" ref="F332">INDEX($J$209:$J$213,MATCH(F$230,EV_charger_type,0))*INDEX(EV06_work,$C332)*EV07_work_Default</f>
        <v>3.1540678341653257</v>
      </c>
      <c r="G332" s="191" cm="1">
        <f t="array" ref="G332">INDEX($J$209:$J$213,MATCH(G$230,EV_charger_type,0))*INDEX(EV06_slowfast,$C332)*EV07_slowfast_Default</f>
        <v>2.4910996022901246</v>
      </c>
      <c r="H332" s="191" cm="1">
        <f t="array" ref="H332">INDEX($J$209:$J$213,MATCH(H$230,EV_charger_type,0))*INDEX(EV06_rapid,$C332)*EV07_rapid_Default</f>
        <v>8.9354663844872402</v>
      </c>
      <c r="I332" s="191" cm="1">
        <f t="array" ref="I332">INDEX($J$209:$J$213,MATCH(I$230,EV_charger_type,0))*INDEX(EV06_depot,$C332)*EV07_depot_Default</f>
        <v>0</v>
      </c>
      <c r="J332" s="192">
        <f t="shared" si="32"/>
        <v>72.366843308062116</v>
      </c>
      <c r="K332" s="192">
        <f t="shared" si="29"/>
        <v>0.64613252953626887</v>
      </c>
      <c r="L332" s="194"/>
      <c r="M332" s="194"/>
      <c r="N332" s="180">
        <v>0.79166666666666663</v>
      </c>
      <c r="O332" s="191" cm="1">
        <f t="array" ref="O332">INDEX($K$209:$K$213,MATCH(O$230,EV_charger_type,0))*INDEX(EV06_domestic_lower,$C332)*EV07_domestic_lower</f>
        <v>50.25126660228387</v>
      </c>
      <c r="P332" s="191" cm="1">
        <f t="array" ref="P332">INDEX($K$209:$K$213,MATCH(P$230,EV_charger_type,0))*INDEX(EV06_work,$C332)*EV07_work_lower</f>
        <v>2.4732186891724632</v>
      </c>
      <c r="Q332" s="191" cm="1">
        <f t="array" ref="Q332">INDEX($K$209:$K$213,MATCH(Q$230,EV_charger_type,0))*INDEX(EV06_slowfast,$C332)*EV07_slowfast_lower</f>
        <v>0.4421311908052088</v>
      </c>
      <c r="R332" s="191" cm="1">
        <f t="array" ref="R332">INDEX($K$209:$K$213,MATCH(R$230,EV_charger_type,0))*INDEX(EV06_rapid,$C332)*EV07_rapid_lower</f>
        <v>2.6806399153461724</v>
      </c>
      <c r="S332" s="191" cm="1">
        <f t="array" ref="S332">INDEX($K$209:$K$213,MATCH(S$230,EV_charger_type,0))*INDEX(EV06_depot,$C332)*EV07_depot_lower</f>
        <v>0</v>
      </c>
      <c r="T332" s="192">
        <f t="shared" si="33"/>
        <v>55.847256397607708</v>
      </c>
      <c r="U332" s="192">
        <f t="shared" si="30"/>
        <v>0.4986362178357831</v>
      </c>
      <c r="V332" s="194"/>
      <c r="W332" s="194"/>
      <c r="X332" s="180">
        <v>0.79166666666666663</v>
      </c>
      <c r="Y332" s="191" cm="1">
        <f t="array" ref="Y332">INDEX($L$209:$L$213,MATCH(Y$230,EV_charger_type,0))*INDEX(EV06_domestic_upper,$C332)*EV07_domestic_upper</f>
        <v>66.463257359629893</v>
      </c>
      <c r="Z332" s="191" cm="1">
        <f t="array" ref="Z332">INDEX($L$209:$L$213,MATCH(Z$230,EV_charger_type,0))*INDEX(EV06_work,$C332)*EV07_work_upper</f>
        <v>3.8489566593478877</v>
      </c>
      <c r="AA332" s="191" cm="1">
        <f t="array" ref="AA332">INDEX($L$209:$L$213,MATCH(AA$230,EV_charger_type,0))*INDEX(EV06_slowfast,$C332)*EV07_slowfast_upper</f>
        <v>5.092431819212023</v>
      </c>
      <c r="AB332" s="191" cm="1">
        <f t="array" ref="AB332">INDEX($L$209:$L$213,MATCH(AB$230,EV_charger_type,0))*INDEX(EV06_rapid,$C332)*EV07_rapid_upper</f>
        <v>15.190292853628312</v>
      </c>
      <c r="AC332" s="191" cm="1">
        <f t="array" ref="AC332">INDEX($L$209:$L$213,MATCH(AC$230,EV_charger_type,0))*INDEX(EV06_depot,$C332)*EV07_depot_upper</f>
        <v>0</v>
      </c>
      <c r="AD332" s="192">
        <f t="shared" si="34"/>
        <v>90.594938691818115</v>
      </c>
      <c r="AE332" s="192">
        <f t="shared" si="31"/>
        <v>0.80888338117694747</v>
      </c>
      <c r="AF332" s="194"/>
      <c r="AG332" s="194"/>
    </row>
    <row r="333" spans="2:33">
      <c r="B333" s="194"/>
      <c r="C333" s="194">
        <v>40</v>
      </c>
      <c r="D333" s="180">
        <v>0.8125</v>
      </c>
      <c r="E333" s="191" cm="1">
        <f t="array" ref="E333">INDEX($J$209:$J$213,MATCH(E$230,EV_charger_type,0))*INDEX(EV06_domestic_Default,$C333)*EV07_domestic_Default</f>
        <v>58.124536624885408</v>
      </c>
      <c r="F333" s="191" cm="1">
        <f t="array" ref="F333">INDEX($J$209:$J$213,MATCH(F$230,EV_charger_type,0))*INDEX(EV06_work,$C333)*EV07_work_Default</f>
        <v>2.861711968480976</v>
      </c>
      <c r="G333" s="191" cm="1">
        <f t="array" ref="G333">INDEX($J$209:$J$213,MATCH(G$230,EV_charger_type,0))*INDEX(EV06_slowfast,$C333)*EV07_slowfast_Default</f>
        <v>2.1781947231254</v>
      </c>
      <c r="H333" s="191" cm="1">
        <f t="array" ref="H333">INDEX($J$209:$J$213,MATCH(H$230,EV_charger_type,0))*INDEX(EV06_rapid,$C333)*EV07_rapid_Default</f>
        <v>8.2632907746572037</v>
      </c>
      <c r="I333" s="191" cm="1">
        <f t="array" ref="I333">INDEX($J$209:$J$213,MATCH(I$230,EV_charger_type,0))*INDEX(EV06_depot,$C333)*EV07_depot_Default</f>
        <v>0</v>
      </c>
      <c r="J333" s="192">
        <f t="shared" si="32"/>
        <v>71.427734091148992</v>
      </c>
      <c r="K333" s="192">
        <f t="shared" si="29"/>
        <v>0.63774762581383027</v>
      </c>
      <c r="L333" s="194"/>
      <c r="M333" s="194"/>
      <c r="N333" s="180">
        <v>0.8125</v>
      </c>
      <c r="O333" s="191" cm="1">
        <f t="array" ref="O333">INDEX($K$209:$K$213,MATCH(O$230,EV_charger_type,0))*INDEX(EV06_domestic_lower,$C333)*EV07_domestic_lower</f>
        <v>50.5454780992753</v>
      </c>
      <c r="P333" s="191" cm="1">
        <f t="array" ref="P333">INDEX($K$209:$K$213,MATCH(P$230,EV_charger_type,0))*INDEX(EV06_work,$C333)*EV07_work_lower</f>
        <v>2.243971878730584</v>
      </c>
      <c r="Q333" s="191" cm="1">
        <f t="array" ref="Q333">INDEX($K$209:$K$213,MATCH(Q$230,EV_charger_type,0))*INDEX(EV06_slowfast,$C333)*EV07_slowfast_lower</f>
        <v>0.38659547207815509</v>
      </c>
      <c r="R333" s="191" cm="1">
        <f t="array" ref="R333">INDEX($K$209:$K$213,MATCH(R$230,EV_charger_type,0))*INDEX(EV06_rapid,$C333)*EV07_rapid_lower</f>
        <v>2.4789872323971611</v>
      </c>
      <c r="S333" s="191" cm="1">
        <f t="array" ref="S333">INDEX($K$209:$K$213,MATCH(S$230,EV_charger_type,0))*INDEX(EV06_depot,$C333)*EV07_depot_lower</f>
        <v>0</v>
      </c>
      <c r="T333" s="192">
        <f t="shared" si="33"/>
        <v>55.655032682481199</v>
      </c>
      <c r="U333" s="192">
        <f t="shared" si="30"/>
        <v>0.49691993466501072</v>
      </c>
      <c r="V333" s="194"/>
      <c r="W333" s="194"/>
      <c r="X333" s="180">
        <v>0.8125</v>
      </c>
      <c r="Y333" s="191" cm="1">
        <f t="array" ref="Y333">INDEX($L$209:$L$213,MATCH(Y$230,EV_charger_type,0))*INDEX(EV06_domestic_upper,$C333)*EV07_domestic_upper</f>
        <v>66.852386943118148</v>
      </c>
      <c r="Z333" s="191" cm="1">
        <f t="array" ref="Z333">INDEX($L$209:$L$213,MATCH(Z$230,EV_charger_type,0))*INDEX(EV06_work,$C333)*EV07_work_upper</f>
        <v>3.4921903767917053</v>
      </c>
      <c r="AA333" s="191" cm="1">
        <f t="array" ref="AA333">INDEX($L$209:$L$213,MATCH(AA$230,EV_charger_type,0))*INDEX(EV06_slowfast,$C333)*EV07_slowfast_upper</f>
        <v>4.4527758369380726</v>
      </c>
      <c r="AB333" s="191" cm="1">
        <f t="array" ref="AB333">INDEX($L$209:$L$213,MATCH(AB$230,EV_charger_type,0))*INDEX(EV06_rapid,$C333)*EV07_rapid_upper</f>
        <v>14.047594316917248</v>
      </c>
      <c r="AC333" s="191" cm="1">
        <f t="array" ref="AC333">INDEX($L$209:$L$213,MATCH(AC$230,EV_charger_type,0))*INDEX(EV06_depot,$C333)*EV07_depot_upper</f>
        <v>0</v>
      </c>
      <c r="AD333" s="192">
        <f t="shared" si="34"/>
        <v>88.844947473765188</v>
      </c>
      <c r="AE333" s="192">
        <f t="shared" si="31"/>
        <v>0.79325845958718921</v>
      </c>
      <c r="AF333" s="194"/>
      <c r="AG333" s="194"/>
    </row>
    <row r="334" spans="2:33">
      <c r="B334" s="194"/>
      <c r="C334" s="194">
        <v>41</v>
      </c>
      <c r="D334" s="180">
        <v>0.83333333333333337</v>
      </c>
      <c r="E334" s="191" cm="1">
        <f t="array" ref="E334">INDEX($J$209:$J$213,MATCH(E$230,EV_charger_type,0))*INDEX(EV06_domestic_Default,$C334)*EV07_domestic_Default</f>
        <v>58.462771833812944</v>
      </c>
      <c r="F334" s="191" cm="1">
        <f t="array" ref="F334">INDEX($J$209:$J$213,MATCH(F$230,EV_charger_type,0))*INDEX(EV06_work,$C334)*EV07_work_Default</f>
        <v>2.5694127389581314</v>
      </c>
      <c r="G334" s="191" cm="1">
        <f t="array" ref="G334">INDEX($J$209:$J$213,MATCH(G$230,EV_charger_type,0))*INDEX(EV06_slowfast,$C334)*EV07_slowfast_Default</f>
        <v>1.865289843960676</v>
      </c>
      <c r="H334" s="191" cm="1">
        <f t="array" ref="H334">INDEX($J$209:$J$213,MATCH(H$230,EV_charger_type,0))*INDEX(EV06_rapid,$C334)*EV07_rapid_Default</f>
        <v>7.3593922535752325</v>
      </c>
      <c r="I334" s="191" cm="1">
        <f t="array" ref="I334">INDEX($J$209:$J$213,MATCH(I$230,EV_charger_type,0))*INDEX(EV06_depot,$C334)*EV07_depot_Default</f>
        <v>0</v>
      </c>
      <c r="J334" s="192">
        <f t="shared" si="32"/>
        <v>70.256866670306977</v>
      </c>
      <c r="K334" s="192">
        <f t="shared" si="29"/>
        <v>0.62729345241345513</v>
      </c>
      <c r="L334" s="194"/>
      <c r="M334" s="194"/>
      <c r="N334" s="180">
        <v>0.83333333333333337</v>
      </c>
      <c r="O334" s="191" cm="1">
        <f t="array" ref="O334">INDEX($K$209:$K$213,MATCH(O$230,EV_charger_type,0))*INDEX(EV06_domestic_lower,$C334)*EV07_domestic_lower</f>
        <v>50.839609654346162</v>
      </c>
      <c r="P334" s="191" cm="1">
        <f t="array" ref="P334">INDEX($K$209:$K$213,MATCH(P$230,EV_charger_type,0))*INDEX(EV06_work,$C334)*EV07_work_lower</f>
        <v>2.0147694787517896</v>
      </c>
      <c r="Q334" s="191" cm="1">
        <f t="array" ref="Q334">INDEX($K$209:$K$213,MATCH(Q$230,EV_charger_type,0))*INDEX(EV06_slowfast,$C334)*EV07_slowfast_lower</f>
        <v>0.33105975335110155</v>
      </c>
      <c r="R334" s="191" cm="1">
        <f t="array" ref="R334">INDEX($K$209:$K$213,MATCH(R$230,EV_charger_type,0))*INDEX(EV06_rapid,$C334)*EV07_rapid_lower</f>
        <v>2.2078176760725698</v>
      </c>
      <c r="S334" s="191" cm="1">
        <f t="array" ref="S334">INDEX($K$209:$K$213,MATCH(S$230,EV_charger_type,0))*INDEX(EV06_depot,$C334)*EV07_depot_lower</f>
        <v>0</v>
      </c>
      <c r="T334" s="192">
        <f t="shared" si="33"/>
        <v>55.393256562521621</v>
      </c>
      <c r="U334" s="192">
        <f t="shared" si="30"/>
        <v>0.49458264787965733</v>
      </c>
      <c r="V334" s="194"/>
      <c r="W334" s="194"/>
      <c r="X334" s="180">
        <v>0.83333333333333337</v>
      </c>
      <c r="Y334" s="191" cm="1">
        <f t="array" ref="Y334">INDEX($L$209:$L$213,MATCH(Y$230,EV_charger_type,0))*INDEX(EV06_domestic_upper,$C334)*EV07_domestic_upper</f>
        <v>67.241410793939338</v>
      </c>
      <c r="Z334" s="191" cm="1">
        <f t="array" ref="Z334">INDEX($L$209:$L$213,MATCH(Z$230,EV_charger_type,0))*INDEX(EV06_work,$C334)*EV07_work_upper</f>
        <v>3.1354932081995988</v>
      </c>
      <c r="AA334" s="191" cm="1">
        <f t="array" ref="AA334">INDEX($L$209:$L$213,MATCH(AA$230,EV_charger_type,0))*INDEX(EV06_slowfast,$C334)*EV07_slowfast_upper</f>
        <v>3.8131198546641234</v>
      </c>
      <c r="AB334" s="191" cm="1">
        <f t="array" ref="AB334">INDEX($L$209:$L$213,MATCH(AB$230,EV_charger_type,0))*INDEX(EV06_rapid,$C334)*EV07_rapid_upper</f>
        <v>12.510966831077898</v>
      </c>
      <c r="AC334" s="191" cm="1">
        <f t="array" ref="AC334">INDEX($L$209:$L$213,MATCH(AC$230,EV_charger_type,0))*INDEX(EV06_depot,$C334)*EV07_depot_upper</f>
        <v>0</v>
      </c>
      <c r="AD334" s="192">
        <f t="shared" si="34"/>
        <v>86.70099068788096</v>
      </c>
      <c r="AE334" s="192">
        <f t="shared" si="31"/>
        <v>0.77411598828465145</v>
      </c>
      <c r="AF334" s="194"/>
      <c r="AG334" s="194"/>
    </row>
    <row r="335" spans="2:33">
      <c r="B335" s="194"/>
      <c r="C335" s="194">
        <v>42</v>
      </c>
      <c r="D335" s="180">
        <v>0.85416666666666663</v>
      </c>
      <c r="E335" s="191" cm="1">
        <f t="array" ref="E335">INDEX($J$209:$J$213,MATCH(E$230,EV_charger_type,0))*INDEX(EV06_domestic_Default,$C335)*EV07_domestic_Default</f>
        <v>61.039869029910555</v>
      </c>
      <c r="F335" s="191" cm="1">
        <f t="array" ref="F335">INDEX($J$209:$J$213,MATCH(F$230,EV_charger_type,0))*INDEX(EV06_work,$C335)*EV07_work_Default</f>
        <v>2.399787435253244</v>
      </c>
      <c r="G335" s="191" cm="1">
        <f t="array" ref="G335">INDEX($J$209:$J$213,MATCH(G$230,EV_charger_type,0))*INDEX(EV06_slowfast,$C335)*EV07_slowfast_Default</f>
        <v>1.5796168364555103</v>
      </c>
      <c r="H335" s="191" cm="1">
        <f t="array" ref="H335">INDEX($J$209:$J$213,MATCH(H$230,EV_charger_type,0))*INDEX(EV06_rapid,$C335)*EV07_rapid_Default</f>
        <v>6.4554439638267542</v>
      </c>
      <c r="I335" s="191" cm="1">
        <f t="array" ref="I335">INDEX($J$209:$J$213,MATCH(I$230,EV_charger_type,0))*INDEX(EV06_depot,$C335)*EV07_depot_Default</f>
        <v>0</v>
      </c>
      <c r="J335" s="192">
        <f t="shared" si="32"/>
        <v>71.47471726544606</v>
      </c>
      <c r="K335" s="192">
        <f t="shared" si="29"/>
        <v>0.63816711844148266</v>
      </c>
      <c r="L335" s="194"/>
      <c r="M335" s="194"/>
      <c r="N335" s="180">
        <v>0.85416666666666663</v>
      </c>
      <c r="O335" s="191" cm="1">
        <f t="array" ref="O335">INDEX($K$209:$K$213,MATCH(O$230,EV_charger_type,0))*INDEX(EV06_domestic_lower,$C335)*EV07_domestic_lower</f>
        <v>53.080670270892846</v>
      </c>
      <c r="P335" s="191" cm="1">
        <f t="array" ref="P335">INDEX($K$209:$K$213,MATCH(P$230,EV_charger_type,0))*INDEX(EV06_work,$C335)*EV07_work_lower</f>
        <v>1.8817601418138916</v>
      </c>
      <c r="Q335" s="191" cm="1">
        <f t="array" ref="Q335">INDEX($K$209:$K$213,MATCH(Q$230,EV_charger_type,0))*INDEX(EV06_slowfast,$C335)*EV07_slowfast_lower</f>
        <v>0.28035726563320812</v>
      </c>
      <c r="R335" s="191" cm="1">
        <f t="array" ref="R335">INDEX($K$209:$K$213,MATCH(R$230,EV_charger_type,0))*INDEX(EV06_rapid,$C335)*EV07_rapid_lower</f>
        <v>1.9366331891480262</v>
      </c>
      <c r="S335" s="191" cm="1">
        <f t="array" ref="S335">INDEX($K$209:$K$213,MATCH(S$230,EV_charger_type,0))*INDEX(EV06_depot,$C335)*EV07_depot_lower</f>
        <v>0</v>
      </c>
      <c r="T335" s="192">
        <f t="shared" si="33"/>
        <v>57.17942086748797</v>
      </c>
      <c r="U335" s="192">
        <f t="shared" si="30"/>
        <v>0.51053054345971405</v>
      </c>
      <c r="V335" s="194"/>
      <c r="W335" s="194"/>
      <c r="X335" s="180">
        <v>0.85416666666666663</v>
      </c>
      <c r="Y335" s="191" cm="1">
        <f t="array" ref="Y335">INDEX($L$209:$L$213,MATCH(Y$230,EV_charger_type,0))*INDEX(EV06_domestic_upper,$C335)*EV07_domestic_upper</f>
        <v>70.205479136632675</v>
      </c>
      <c r="Z335" s="191" cm="1">
        <f t="array" ref="Z335">INDEX($L$209:$L$213,MATCH(Z$230,EV_charger_type,0))*INDEX(EV06_work,$C335)*EV07_work_upper</f>
        <v>2.9284968857943743</v>
      </c>
      <c r="AA335" s="191" cm="1">
        <f t="array" ref="AA335">INDEX($L$209:$L$213,MATCH(AA$230,EV_charger_type,0))*INDEX(EV06_slowfast,$C335)*EV07_slowfast_upper</f>
        <v>3.2291326419601849</v>
      </c>
      <c r="AB335" s="191" cm="1">
        <f t="array" ref="AB335">INDEX($L$209:$L$213,MATCH(AB$230,EV_charger_type,0))*INDEX(EV06_rapid,$C335)*EV07_rapid_upper</f>
        <v>10.974254738505483</v>
      </c>
      <c r="AC335" s="191" cm="1">
        <f t="array" ref="AC335">INDEX($L$209:$L$213,MATCH(AC$230,EV_charger_type,0))*INDEX(EV06_depot,$C335)*EV07_depot_upper</f>
        <v>0</v>
      </c>
      <c r="AD335" s="192">
        <f t="shared" si="34"/>
        <v>87.33736340289272</v>
      </c>
      <c r="AE335" s="192">
        <f t="shared" si="31"/>
        <v>0.7797978875258279</v>
      </c>
      <c r="AF335" s="194"/>
      <c r="AG335" s="194"/>
    </row>
    <row r="336" spans="2:33">
      <c r="B336" s="194"/>
      <c r="C336" s="194">
        <v>43</v>
      </c>
      <c r="D336" s="180">
        <v>0.875</v>
      </c>
      <c r="E336" s="191" cm="1">
        <f t="array" ref="E336">INDEX($J$209:$J$213,MATCH(E$230,EV_charger_type,0))*INDEX(EV06_domestic_Default,$C336)*EV07_domestic_Default</f>
        <v>60.835785540909086</v>
      </c>
      <c r="F336" s="191" cm="1">
        <f t="array" ref="F336">INDEX($J$209:$J$213,MATCH(F$230,EV_charger_type,0))*INDEX(EV06_work,$C336)*EV07_work_Default</f>
        <v>2.2301621315483575</v>
      </c>
      <c r="G336" s="191" cm="1">
        <f t="array" ref="G336">INDEX($J$209:$J$213,MATCH(G$230,EV_charger_type,0))*INDEX(EV06_slowfast,$C336)*EV07_slowfast_Default</f>
        <v>1.2939438289503444</v>
      </c>
      <c r="H336" s="191" cm="1">
        <f t="array" ref="H336">INDEX($J$209:$J$213,MATCH(H$230,EV_charger_type,0))*INDEX(EV06_rapid,$C336)*EV07_rapid_Default</f>
        <v>5.5380581341216573</v>
      </c>
      <c r="I336" s="191" cm="1">
        <f t="array" ref="I336">INDEX($J$209:$J$213,MATCH(I$230,EV_charger_type,0))*INDEX(EV06_depot,$C336)*EV07_depot_Default</f>
        <v>0</v>
      </c>
      <c r="J336" s="192">
        <f t="shared" si="32"/>
        <v>69.897949635529443</v>
      </c>
      <c r="K336" s="192">
        <f t="shared" si="29"/>
        <v>0.62408883603151288</v>
      </c>
      <c r="L336" s="194"/>
      <c r="M336" s="194"/>
      <c r="N336" s="180">
        <v>0.875</v>
      </c>
      <c r="O336" s="191" cm="1">
        <f t="array" ref="O336">INDEX($K$209:$K$213,MATCH(O$230,EV_charger_type,0))*INDEX(EV06_domestic_lower,$C336)*EV07_domestic_lower</f>
        <v>52.903197930935619</v>
      </c>
      <c r="P336" s="191" cm="1">
        <f t="array" ref="P336">INDEX($K$209:$K$213,MATCH(P$230,EV_charger_type,0))*INDEX(EV06_work,$C336)*EV07_work_lower</f>
        <v>1.7487508048759939</v>
      </c>
      <c r="Q336" s="191" cm="1">
        <f t="array" ref="Q336">INDEX($K$209:$K$213,MATCH(Q$230,EV_charger_type,0))*INDEX(EV06_slowfast,$C336)*EV07_slowfast_lower</f>
        <v>0.22965477791531466</v>
      </c>
      <c r="R336" s="191" cm="1">
        <f t="array" ref="R336">INDEX($K$209:$K$213,MATCH(R$230,EV_charger_type,0))*INDEX(EV06_rapid,$C336)*EV07_rapid_lower</f>
        <v>1.6614174402364967</v>
      </c>
      <c r="S336" s="191" cm="1">
        <f t="array" ref="S336">INDEX($K$209:$K$213,MATCH(S$230,EV_charger_type,0))*INDEX(EV06_depot,$C336)*EV07_depot_lower</f>
        <v>0</v>
      </c>
      <c r="T336" s="192">
        <f t="shared" si="33"/>
        <v>56.543020953963428</v>
      </c>
      <c r="U336" s="192">
        <f t="shared" si="30"/>
        <v>0.50484840137467346</v>
      </c>
      <c r="V336" s="194"/>
      <c r="W336" s="194"/>
      <c r="X336" s="180">
        <v>0.875</v>
      </c>
      <c r="Y336" s="191" cm="1">
        <f t="array" ref="Y336">INDEX($L$209:$L$213,MATCH(Y$230,EV_charger_type,0))*INDEX(EV06_domestic_upper,$C336)*EV07_domestic_upper</f>
        <v>69.970750927727067</v>
      </c>
      <c r="Z336" s="191" cm="1">
        <f t="array" ref="Z336">INDEX($L$209:$L$213,MATCH(Z$230,EV_charger_type,0))*INDEX(EV06_work,$C336)*EV07_work_upper</f>
        <v>2.7215005633891503</v>
      </c>
      <c r="AA336" s="191" cm="1">
        <f t="array" ref="AA336">INDEX($L$209:$L$213,MATCH(AA$230,EV_charger_type,0))*INDEX(EV06_slowfast,$C336)*EV07_slowfast_upper</f>
        <v>2.6451454292562455</v>
      </c>
      <c r="AB336" s="191" cm="1">
        <f t="array" ref="AB336">INDEX($L$209:$L$213,MATCH(AB$230,EV_charger_type,0))*INDEX(EV06_rapid,$C336)*EV07_rapid_upper</f>
        <v>9.4146988280068165</v>
      </c>
      <c r="AC336" s="191" cm="1">
        <f t="array" ref="AC336">INDEX($L$209:$L$213,MATCH(AC$230,EV_charger_type,0))*INDEX(EV06_depot,$C336)*EV07_depot_upper</f>
        <v>0</v>
      </c>
      <c r="AD336" s="192">
        <f t="shared" si="34"/>
        <v>84.75209574837929</v>
      </c>
      <c r="AE336" s="192">
        <f t="shared" si="31"/>
        <v>0.75671514061052936</v>
      </c>
      <c r="AF336" s="194"/>
      <c r="AG336" s="194"/>
    </row>
    <row r="337" spans="2:33">
      <c r="B337" s="194"/>
      <c r="C337" s="194">
        <v>44</v>
      </c>
      <c r="D337" s="180">
        <v>0.89583333333333337</v>
      </c>
      <c r="E337" s="191" cm="1">
        <f t="array" ref="E337">INDEX($J$209:$J$213,MATCH(E$230,EV_charger_type,0))*INDEX(EV06_domestic_Default,$C337)*EV07_domestic_Default</f>
        <v>60.243303198639808</v>
      </c>
      <c r="F337" s="191" cm="1">
        <f t="array" ref="F337">INDEX($J$209:$J$213,MATCH(F$230,EV_charger_type,0))*INDEX(EV06_work,$C337)*EV07_work_Default</f>
        <v>2.1310488489161195</v>
      </c>
      <c r="G337" s="191" cm="1">
        <f t="array" ref="G337">INDEX($J$209:$J$213,MATCH(G$230,EV_charger_type,0))*INDEX(EV06_slowfast,$C337)*EV07_slowfast_Default</f>
        <v>1.1183613703659241</v>
      </c>
      <c r="H337" s="191" cm="1">
        <f t="array" ref="H337">INDEX($J$209:$J$213,MATCH(H$230,EV_charger_type,0))*INDEX(EV06_rapid,$C337)*EV07_rapid_Default</f>
        <v>4.6206723044165585</v>
      </c>
      <c r="I337" s="191" cm="1">
        <f t="array" ref="I337">INDEX($J$209:$J$213,MATCH(I$230,EV_charger_type,0))*INDEX(EV06_depot,$C337)*EV07_depot_Default</f>
        <v>0</v>
      </c>
      <c r="J337" s="192">
        <f t="shared" si="32"/>
        <v>68.113385722338421</v>
      </c>
      <c r="K337" s="192">
        <f t="shared" si="29"/>
        <v>0.60815522966373592</v>
      </c>
      <c r="L337" s="194"/>
      <c r="M337" s="194"/>
      <c r="N337" s="180">
        <v>0.89583333333333337</v>
      </c>
      <c r="O337" s="191" cm="1">
        <f t="array" ref="O337">INDEX($K$209:$K$213,MATCH(O$230,EV_charger_type,0))*INDEX(EV06_domestic_lower,$C337)*EV07_domestic_lower</f>
        <v>52.387971401928638</v>
      </c>
      <c r="P337" s="191" cm="1">
        <f t="array" ref="P337">INDEX($K$209:$K$213,MATCH(P$230,EV_charger_type,0))*INDEX(EV06_work,$C337)*EV07_work_lower</f>
        <v>1.6710324944782238</v>
      </c>
      <c r="Q337" s="191" cm="1">
        <f t="array" ref="Q337">INDEX($K$209:$K$213,MATCH(Q$230,EV_charger_type,0))*INDEX(EV06_slowfast,$C337)*EV07_slowfast_lower</f>
        <v>0.19849163958593249</v>
      </c>
      <c r="R337" s="191" cm="1">
        <f t="array" ref="R337">INDEX($K$209:$K$213,MATCH(R$230,EV_charger_type,0))*INDEX(EV06_rapid,$C337)*EV07_rapid_lower</f>
        <v>1.3862016913249675</v>
      </c>
      <c r="S337" s="191" cm="1">
        <f t="array" ref="S337">INDEX($K$209:$K$213,MATCH(S$230,EV_charger_type,0))*INDEX(EV06_depot,$C337)*EV07_depot_lower</f>
        <v>0</v>
      </c>
      <c r="T337" s="192">
        <f t="shared" si="33"/>
        <v>55.643697227317766</v>
      </c>
      <c r="U337" s="192">
        <f t="shared" si="30"/>
        <v>0.49681872524390863</v>
      </c>
      <c r="V337" s="194"/>
      <c r="W337" s="194"/>
      <c r="X337" s="180">
        <v>0.89583333333333337</v>
      </c>
      <c r="Y337" s="191" cm="1">
        <f t="array" ref="Y337">INDEX($L$209:$L$213,MATCH(Y$230,EV_charger_type,0))*INDEX(EV06_domestic_upper,$C337)*EV07_domestic_upper</f>
        <v>69.289302763108196</v>
      </c>
      <c r="Z337" s="191" cm="1">
        <f t="array" ref="Z337">INDEX($L$209:$L$213,MATCH(Z$230,EV_charger_type,0))*INDEX(EV06_work,$C337)*EV07_work_upper</f>
        <v>2.60055112625755</v>
      </c>
      <c r="AA337" s="191" cm="1">
        <f t="array" ref="AA337">INDEX($L$209:$L$213,MATCH(AA$230,EV_charger_type,0))*INDEX(EV06_slowfast,$C337)*EV07_slowfast_upper</f>
        <v>2.2862108855837344</v>
      </c>
      <c r="AB337" s="191" cm="1">
        <f t="array" ref="AB337">INDEX($L$209:$L$213,MATCH(AB$230,EV_charger_type,0))*INDEX(EV06_rapid,$C337)*EV07_rapid_upper</f>
        <v>7.8551429175081511</v>
      </c>
      <c r="AC337" s="191" cm="1">
        <f t="array" ref="AC337">INDEX($L$209:$L$213,MATCH(AC$230,EV_charger_type,0))*INDEX(EV06_depot,$C337)*EV07_depot_upper</f>
        <v>0</v>
      </c>
      <c r="AD337" s="192">
        <f t="shared" si="34"/>
        <v>82.031207692457627</v>
      </c>
      <c r="AE337" s="192">
        <f t="shared" si="31"/>
        <v>0.73242149725408601</v>
      </c>
      <c r="AF337" s="194"/>
      <c r="AG337" s="194"/>
    </row>
    <row r="338" spans="2:33">
      <c r="B338" s="194"/>
      <c r="C338" s="194">
        <v>45</v>
      </c>
      <c r="D338" s="180">
        <v>0.91666666666666663</v>
      </c>
      <c r="E338" s="191" cm="1">
        <f t="array" ref="E338">INDEX($J$209:$J$213,MATCH(E$230,EV_charger_type,0))*INDEX(EV06_domestic_Default,$C338)*EV07_domestic_Default</f>
        <v>59.408987051478427</v>
      </c>
      <c r="F338" s="191" cm="1">
        <f t="array" ref="F338">INDEX($J$209:$J$213,MATCH(F$230,EV_charger_type,0))*INDEX(EV06_work,$C338)*EV07_work_Default</f>
        <v>2.0319355662838818</v>
      </c>
      <c r="G338" s="191" cm="1">
        <f t="array" ref="G338">INDEX($J$209:$J$213,MATCH(G$230,EV_charger_type,0))*INDEX(EV06_slowfast,$C338)*EV07_slowfast_Default</f>
        <v>0.94277891178150397</v>
      </c>
      <c r="H338" s="191" cm="1">
        <f t="array" ref="H338">INDEX($J$209:$J$213,MATCH(H$230,EV_charger_type,0))*INDEX(EV06_rapid,$C338)*EV07_rapid_Default</f>
        <v>3.8408470689340448</v>
      </c>
      <c r="I338" s="191" cm="1">
        <f t="array" ref="I338">INDEX($J$209:$J$213,MATCH(I$230,EV_charger_type,0))*INDEX(EV06_depot,$C338)*EV07_depot_Default</f>
        <v>0</v>
      </c>
      <c r="J338" s="192">
        <f t="shared" si="32"/>
        <v>66.224548598477853</v>
      </c>
      <c r="K338" s="192">
        <f t="shared" si="29"/>
        <v>0.59129061248640935</v>
      </c>
      <c r="L338" s="194"/>
      <c r="M338" s="194"/>
      <c r="N338" s="180">
        <v>0.91666666666666663</v>
      </c>
      <c r="O338" s="191" cm="1">
        <f t="array" ref="O338">INDEX($K$209:$K$213,MATCH(O$230,EV_charger_type,0))*INDEX(EV06_domestic_lower,$C338)*EV07_domestic_lower</f>
        <v>51.662444610784071</v>
      </c>
      <c r="P338" s="191" cm="1">
        <f t="array" ref="P338">INDEX($K$209:$K$213,MATCH(P$230,EV_charger_type,0))*INDEX(EV06_work,$C338)*EV07_work_lower</f>
        <v>1.5933141840804539</v>
      </c>
      <c r="Q338" s="191" cm="1">
        <f t="array" ref="Q338">INDEX($K$209:$K$213,MATCH(Q$230,EV_charger_type,0))*INDEX(EV06_slowfast,$C338)*EV07_slowfast_lower</f>
        <v>0.16732850125655038</v>
      </c>
      <c r="R338" s="191" cm="1">
        <f t="array" ref="R338">INDEX($K$209:$K$213,MATCH(R$230,EV_charger_type,0))*INDEX(EV06_rapid,$C338)*EV07_rapid_lower</f>
        <v>1.1522541206802135</v>
      </c>
      <c r="S338" s="191" cm="1">
        <f t="array" ref="S338">INDEX($K$209:$K$213,MATCH(S$230,EV_charger_type,0))*INDEX(EV06_depot,$C338)*EV07_depot_lower</f>
        <v>0</v>
      </c>
      <c r="T338" s="192">
        <f t="shared" si="33"/>
        <v>54.575341416801287</v>
      </c>
      <c r="U338" s="192">
        <f t="shared" si="30"/>
        <v>0.48727983407858294</v>
      </c>
      <c r="V338" s="194"/>
      <c r="W338" s="194"/>
      <c r="X338" s="180">
        <v>0.91666666666666663</v>
      </c>
      <c r="Y338" s="191" cm="1">
        <f t="array" ref="Y338">INDEX($L$209:$L$213,MATCH(Y$230,EV_charger_type,0))*INDEX(EV06_domestic_upper,$C338)*EV07_domestic_upper</f>
        <v>68.329707570756256</v>
      </c>
      <c r="Z338" s="191" cm="1">
        <f t="array" ref="Z338">INDEX($L$209:$L$213,MATCH(Z$230,EV_charger_type,0))*INDEX(EV06_work,$C338)*EV07_work_upper</f>
        <v>2.4796016891259502</v>
      </c>
      <c r="AA338" s="191" cm="1">
        <f t="array" ref="AA338">INDEX($L$209:$L$213,MATCH(AA$230,EV_charger_type,0))*INDEX(EV06_slowfast,$C338)*EV07_slowfast_upper</f>
        <v>1.927276341911224</v>
      </c>
      <c r="AB338" s="191" cm="1">
        <f t="array" ref="AB338">INDEX($L$209:$L$213,MATCH(AB$230,EV_charger_type,0))*INDEX(EV06_rapid,$C338)*EV07_rapid_upper</f>
        <v>6.5294400171878761</v>
      </c>
      <c r="AC338" s="191" cm="1">
        <f t="array" ref="AC338">INDEX($L$209:$L$213,MATCH(AC$230,EV_charger_type,0))*INDEX(EV06_depot,$C338)*EV07_depot_upper</f>
        <v>0</v>
      </c>
      <c r="AD338" s="192">
        <f t="shared" si="34"/>
        <v>79.266025618981317</v>
      </c>
      <c r="AE338" s="192">
        <f t="shared" si="31"/>
        <v>0.70773237159804747</v>
      </c>
      <c r="AF338" s="194"/>
      <c r="AG338" s="194"/>
    </row>
    <row r="339" spans="2:33">
      <c r="B339" s="194"/>
      <c r="C339" s="194">
        <v>46</v>
      </c>
      <c r="D339" s="180">
        <v>0.9375</v>
      </c>
      <c r="E339" s="191" cm="1">
        <f t="array" ref="E339">INDEX($J$209:$J$213,MATCH(E$230,EV_charger_type,0))*INDEX(EV06_domestic_Default,$C339)*EV07_domestic_Default</f>
        <v>59.038603804500084</v>
      </c>
      <c r="F339" s="191" cm="1">
        <f t="array" ref="F339">INDEX($J$209:$J$213,MATCH(F$230,EV_charger_type,0))*INDEX(EV06_work,$C339)*EV07_work_Default</f>
        <v>1.8343319987959521</v>
      </c>
      <c r="G339" s="191" cm="1">
        <f t="array" ref="G339">INDEX($J$209:$J$213,MATCH(G$230,EV_charger_type,0))*INDEX(EV06_slowfast,$C339)*EV07_slowfast_Default</f>
        <v>0.84598113389560836</v>
      </c>
      <c r="H339" s="191" cm="1">
        <f t="array" ref="H339">INDEX($J$209:$J$213,MATCH(H$230,EV_charger_type,0))*INDEX(EV06_rapid,$C339)*EV07_rapid_Default</f>
        <v>3.0610218334515302</v>
      </c>
      <c r="I339" s="191" cm="1">
        <f t="array" ref="I339">INDEX($J$209:$J$213,MATCH(I$230,EV_charger_type,0))*INDEX(EV06_depot,$C339)*EV07_depot_Default</f>
        <v>0</v>
      </c>
      <c r="J339" s="192">
        <f t="shared" si="32"/>
        <v>64.77993877064317</v>
      </c>
      <c r="K339" s="192">
        <f t="shared" si="29"/>
        <v>0.57839231045217121</v>
      </c>
      <c r="L339" s="194"/>
      <c r="M339" s="194"/>
      <c r="N339" s="180">
        <v>0.9375</v>
      </c>
      <c r="O339" s="191" cm="1">
        <f t="array" ref="O339">INDEX($K$209:$K$213,MATCH(O$230,EV_charger_type,0))*INDEX(EV06_domestic_lower,$C339)*EV07_domestic_lower</f>
        <v>51.340356911069549</v>
      </c>
      <c r="P339" s="191" cm="1">
        <f t="array" ref="P339">INDEX($K$209:$K$213,MATCH(P$230,EV_charger_type,0))*INDEX(EV06_work,$C339)*EV07_work_lower</f>
        <v>1.4383660783788428</v>
      </c>
      <c r="Q339" s="191" cm="1">
        <f t="array" ref="Q339">INDEX($K$209:$K$213,MATCH(Q$230,EV_charger_type,0))*INDEX(EV06_slowfast,$C339)*EV07_slowfast_lower</f>
        <v>0.15014841067942347</v>
      </c>
      <c r="R339" s="191" cm="1">
        <f t="array" ref="R339">INDEX($K$209:$K$213,MATCH(R$230,EV_charger_type,0))*INDEX(EV06_rapid,$C339)*EV07_rapid_lower</f>
        <v>0.91830655003545902</v>
      </c>
      <c r="S339" s="191" cm="1">
        <f t="array" ref="S339">INDEX($K$209:$K$213,MATCH(S$230,EV_charger_type,0))*INDEX(EV06_depot,$C339)*EV07_depot_lower</f>
        <v>0</v>
      </c>
      <c r="T339" s="192">
        <f t="shared" si="33"/>
        <v>53.847177950163271</v>
      </c>
      <c r="U339" s="192">
        <f t="shared" si="30"/>
        <v>0.4807783745550292</v>
      </c>
      <c r="V339" s="194"/>
      <c r="W339" s="194"/>
      <c r="X339" s="180">
        <v>0.9375</v>
      </c>
      <c r="Y339" s="191" cm="1">
        <f t="array" ref="Y339">INDEX($L$209:$L$213,MATCH(Y$230,EV_charger_type,0))*INDEX(EV06_domestic_upper,$C339)*EV07_domestic_upper</f>
        <v>67.903708404448167</v>
      </c>
      <c r="Z339" s="191" cm="1">
        <f t="array" ref="Z339">INDEX($L$209:$L$213,MATCH(Z$230,EV_charger_type,0))*INDEX(EV06_work,$C339)*EV07_work_upper</f>
        <v>2.2384630684675777</v>
      </c>
      <c r="AA339" s="191" cm="1">
        <f t="array" ref="AA339">INDEX($L$209:$L$213,MATCH(AA$230,EV_charger_type,0))*INDEX(EV06_slowfast,$C339)*EV07_slowfast_upper</f>
        <v>1.7293974278437232</v>
      </c>
      <c r="AB339" s="191" cm="1">
        <f t="array" ref="AB339">INDEX($L$209:$L$213,MATCH(AB$230,EV_charger_type,0))*INDEX(EV06_rapid,$C339)*EV07_rapid_upper</f>
        <v>5.2037371168676021</v>
      </c>
      <c r="AC339" s="191" cm="1">
        <f t="array" ref="AC339">INDEX($L$209:$L$213,MATCH(AC$230,EV_charger_type,0))*INDEX(EV06_depot,$C339)*EV07_depot_upper</f>
        <v>0</v>
      </c>
      <c r="AD339" s="192">
        <f t="shared" si="34"/>
        <v>77.075306017627071</v>
      </c>
      <c r="AE339" s="192">
        <f t="shared" si="31"/>
        <v>0.68817237515738461</v>
      </c>
      <c r="AF339" s="194"/>
      <c r="AG339" s="194"/>
    </row>
    <row r="340" spans="2:33">
      <c r="B340" s="194"/>
      <c r="C340" s="194">
        <v>47</v>
      </c>
      <c r="D340" s="180">
        <v>0.95833333333333337</v>
      </c>
      <c r="E340" s="191" cm="1">
        <f t="array" ref="E340">INDEX($J$209:$J$213,MATCH(E$230,EV_charger_type,0))*INDEX(EV06_domestic_Default,$C340)*EV07_domestic_Default</f>
        <v>62.174810728459121</v>
      </c>
      <c r="F340" s="191" cm="1">
        <f t="array" ref="F340">INDEX($J$209:$J$213,MATCH(F$230,EV_charger_type,0))*INDEX(EV06_work,$C340)*EV07_work_Default</f>
        <v>1.6367284313080217</v>
      </c>
      <c r="G340" s="191" cm="1">
        <f t="array" ref="G340">INDEX($J$209:$J$213,MATCH(G$230,EV_charger_type,0))*INDEX(EV06_slowfast,$C340)*EV07_slowfast_Default</f>
        <v>0.74918335600971253</v>
      </c>
      <c r="H340" s="191" cm="1">
        <f t="array" ref="H340">INDEX($J$209:$J$213,MATCH(H$230,EV_charger_type,0))*INDEX(EV06_rapid,$C340)*EV07_rapid_Default</f>
        <v>2.5690087963732142</v>
      </c>
      <c r="I340" s="191" cm="1">
        <f t="array" ref="I340">INDEX($J$209:$J$213,MATCH(I$230,EV_charger_type,0))*INDEX(EV06_depot,$C340)*EV07_depot_Default</f>
        <v>0</v>
      </c>
      <c r="J340" s="192">
        <f t="shared" si="32"/>
        <v>67.129731312150071</v>
      </c>
      <c r="K340" s="192">
        <f t="shared" si="29"/>
        <v>0.59937260100133993</v>
      </c>
      <c r="L340" s="194"/>
      <c r="M340" s="194"/>
      <c r="N340" s="180">
        <v>0.95833333333333337</v>
      </c>
      <c r="O340" s="191" cm="1">
        <f t="array" ref="O340">INDEX($K$209:$K$213,MATCH(O$230,EV_charger_type,0))*INDEX(EV06_domestic_lower,$C340)*EV07_domestic_lower</f>
        <v>54.067623012351433</v>
      </c>
      <c r="P340" s="191" cm="1">
        <f t="array" ref="P340">INDEX($K$209:$K$213,MATCH(P$230,EV_charger_type,0))*INDEX(EV06_work,$C340)*EV07_work_lower</f>
        <v>1.2834179726772315</v>
      </c>
      <c r="Q340" s="191" cm="1">
        <f t="array" ref="Q340">INDEX($K$209:$K$213,MATCH(Q$230,EV_charger_type,0))*INDEX(EV06_slowfast,$C340)*EV07_slowfast_lower</f>
        <v>0.13296832010229656</v>
      </c>
      <c r="R340" s="191" cm="1">
        <f t="array" ref="R340">INDEX($K$209:$K$213,MATCH(R$230,EV_charger_type,0))*INDEX(EV06_rapid,$C340)*EV07_rapid_lower</f>
        <v>0.77070263891196422</v>
      </c>
      <c r="S340" s="191" cm="1">
        <f t="array" ref="S340">INDEX($K$209:$K$213,MATCH(S$230,EV_charger_type,0))*INDEX(EV06_depot,$C340)*EV07_depot_lower</f>
        <v>0</v>
      </c>
      <c r="T340" s="192">
        <f t="shared" si="33"/>
        <v>56.254711944042924</v>
      </c>
      <c r="U340" s="192">
        <f t="shared" si="30"/>
        <v>0.50227421378609749</v>
      </c>
      <c r="V340" s="194"/>
      <c r="W340" s="194"/>
      <c r="X340" s="180">
        <v>0.95833333333333337</v>
      </c>
      <c r="Y340" s="191" cm="1">
        <f t="array" ref="Y340">INDEX($L$209:$L$213,MATCH(Y$230,EV_charger_type,0))*INDEX(EV06_domestic_upper,$C340)*EV07_domestic_upper</f>
        <v>71.51084114027168</v>
      </c>
      <c r="Z340" s="191" cm="1">
        <f t="array" ref="Z340">INDEX($L$209:$L$213,MATCH(Z$230,EV_charger_type,0))*INDEX(EV06_work,$C340)*EV07_work_upper</f>
        <v>1.9973244478092047</v>
      </c>
      <c r="AA340" s="191" cm="1">
        <f t="array" ref="AA340">INDEX($L$209:$L$213,MATCH(AA$230,EV_charger_type,0))*INDEX(EV06_slowfast,$C340)*EV07_slowfast_upper</f>
        <v>1.5315185137762219</v>
      </c>
      <c r="AB340" s="191" cm="1">
        <f t="array" ref="AB340">INDEX($L$209:$L$213,MATCH(AB$230,EV_charger_type,0))*INDEX(EV06_rapid,$C340)*EV07_rapid_upper</f>
        <v>4.3673149538344642</v>
      </c>
      <c r="AC340" s="191" cm="1">
        <f t="array" ref="AC340">INDEX($L$209:$L$213,MATCH(AC$230,EV_charger_type,0))*INDEX(EV06_depot,$C340)*EV07_depot_upper</f>
        <v>0</v>
      </c>
      <c r="AD340" s="192">
        <f t="shared" si="34"/>
        <v>79.406999055691571</v>
      </c>
      <c r="AE340" s="192">
        <f t="shared" si="31"/>
        <v>0.70899106299724612</v>
      </c>
      <c r="AF340" s="194"/>
      <c r="AG340" s="194"/>
    </row>
    <row r="341" spans="2:33">
      <c r="B341" s="194"/>
      <c r="C341" s="194">
        <v>48</v>
      </c>
      <c r="D341" s="180">
        <v>0.97916666666666663</v>
      </c>
      <c r="E341" s="191" cm="1">
        <f t="array" ref="E341">INDEX($J$209:$J$213,MATCH(E$230,EV_charger_type,0))*INDEX(EV06_domestic_Default,$C341)*EV07_domestic_Default</f>
        <v>64.208363182641733</v>
      </c>
      <c r="F341" s="191" cm="1">
        <f t="array" ref="F341">INDEX($J$209:$J$213,MATCH(F$230,EV_charger_type,0))*INDEX(EV06_work,$C341)*EV07_work_Default</f>
        <v>1.4443353906784724</v>
      </c>
      <c r="G341" s="191" cm="1">
        <f t="array" ref="G341">INDEX($J$209:$J$213,MATCH(G$230,EV_charger_type,0))*INDEX(EV06_slowfast,$C341)*EV07_slowfast_Default</f>
        <v>0.68402507025314319</v>
      </c>
      <c r="H341" s="191" cm="1">
        <f t="array" ref="H341">INDEX($J$209:$J$213,MATCH(H$230,EV_charger_type,0))*INDEX(EV06_rapid,$C341)*EV07_rapid_Default</f>
        <v>2.076945990628392</v>
      </c>
      <c r="I341" s="191" cm="1">
        <f t="array" ref="I341">INDEX($J$209:$J$213,MATCH(I$230,EV_charger_type,0))*INDEX(EV06_depot,$C341)*EV07_depot_Default</f>
        <v>0</v>
      </c>
      <c r="J341" s="192">
        <f t="shared" si="32"/>
        <v>68.413669634201739</v>
      </c>
      <c r="K341" s="192">
        <f t="shared" si="29"/>
        <v>0.61083633601965837</v>
      </c>
      <c r="L341" s="194"/>
      <c r="M341" s="194"/>
      <c r="N341" s="180">
        <v>0.97916666666666663</v>
      </c>
      <c r="O341" s="191" cm="1">
        <f t="array" ref="O341">INDEX($K$209:$K$213,MATCH(O$230,EV_charger_type,0))*INDEX(EV06_domestic_lower,$C341)*EV07_domestic_lower</f>
        <v>55.83601355798217</v>
      </c>
      <c r="P341" s="191" cm="1">
        <f t="array" ref="P341">INDEX($K$209:$K$213,MATCH(P$230,EV_charger_type,0))*INDEX(EV06_work,$C341)*EV07_work_lower</f>
        <v>1.1325556295793888</v>
      </c>
      <c r="Q341" s="191" cm="1">
        <f t="array" ref="Q341">INDEX($K$209:$K$213,MATCH(Q$230,EV_charger_type,0))*INDEX(EV06_slowfast,$C341)*EV07_slowfast_lower</f>
        <v>0.1214037441833354</v>
      </c>
      <c r="R341" s="191" cm="1">
        <f t="array" ref="R341">INDEX($K$209:$K$213,MATCH(R$230,EV_charger_type,0))*INDEX(EV06_rapid,$C341)*EV07_rapid_lower</f>
        <v>0.62308379718851759</v>
      </c>
      <c r="S341" s="191" cm="1">
        <f t="array" ref="S341">INDEX($K$209:$K$213,MATCH(S$230,EV_charger_type,0))*INDEX(EV06_depot,$C341)*EV07_depot_lower</f>
        <v>0</v>
      </c>
      <c r="T341" s="192">
        <f t="shared" si="33"/>
        <v>57.71305672893341</v>
      </c>
      <c r="U341" s="192">
        <f t="shared" si="30"/>
        <v>0.51529514936547682</v>
      </c>
      <c r="V341" s="194"/>
      <c r="W341" s="194"/>
      <c r="X341" s="180">
        <v>0.97916666666666663</v>
      </c>
      <c r="Y341" s="191" cm="1">
        <f t="array" ref="Y341">INDEX($L$209:$L$213,MATCH(Y$230,EV_charger_type,0))*INDEX(EV06_domestic_upper,$C341)*EV07_domestic_upper</f>
        <v>73.849747279231565</v>
      </c>
      <c r="Z341" s="191" cm="1">
        <f t="array" ref="Z341">INDEX($L$209:$L$213,MATCH(Z$230,EV_charger_type,0))*INDEX(EV06_work,$C341)*EV07_work_upper</f>
        <v>1.7625443118457502</v>
      </c>
      <c r="AA341" s="191" cm="1">
        <f t="array" ref="AA341">INDEX($L$209:$L$213,MATCH(AA$230,EV_charger_type,0))*INDEX(EV06_slowfast,$C341)*EV07_slowfast_upper</f>
        <v>1.3983186500024016</v>
      </c>
      <c r="AB341" s="191" cm="1">
        <f t="array" ref="AB341">INDEX($L$209:$L$213,MATCH(AB$230,EV_charger_type,0))*INDEX(EV06_rapid,$C341)*EV07_rapid_upper</f>
        <v>3.5308081840682668</v>
      </c>
      <c r="AC341" s="191" cm="1">
        <f t="array" ref="AC341">INDEX($L$209:$L$213,MATCH(AC$230,EV_charger_type,0))*INDEX(EV06_depot,$C341)*EV07_depot_upper</f>
        <v>0</v>
      </c>
      <c r="AD341" s="192">
        <f t="shared" si="34"/>
        <v>80.541418425147967</v>
      </c>
      <c r="AE341" s="192">
        <f t="shared" si="31"/>
        <v>0.71911980736739256</v>
      </c>
      <c r="AF341" s="194"/>
      <c r="AG341" s="194"/>
    </row>
    <row r="342" spans="2:33">
      <c r="B342" s="194"/>
      <c r="C342" s="194"/>
      <c r="D342" s="194"/>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c r="AA342" s="194"/>
      <c r="AB342" s="194"/>
      <c r="AC342" s="194"/>
      <c r="AD342" s="194"/>
      <c r="AE342" s="194"/>
      <c r="AF342" s="194"/>
      <c r="AG342" s="194"/>
    </row>
    <row r="343" spans="2:33" ht="23.1" customHeight="1">
      <c r="B343" s="194"/>
      <c r="C343" s="387" t="s">
        <v>649</v>
      </c>
      <c r="D343" s="252"/>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c r="AA343" s="194"/>
      <c r="AB343" s="194"/>
      <c r="AC343" s="194"/>
      <c r="AD343" s="194"/>
      <c r="AE343" s="194"/>
      <c r="AF343" s="194"/>
      <c r="AG343" s="194"/>
    </row>
    <row r="344" spans="2:33" ht="24">
      <c r="B344" s="194"/>
      <c r="C344" s="387"/>
      <c r="D344" s="252"/>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c r="AB344" s="194"/>
      <c r="AC344" s="194"/>
      <c r="AD344" s="194"/>
      <c r="AE344" s="194"/>
      <c r="AF344" s="194"/>
      <c r="AG344" s="194"/>
    </row>
    <row r="345" spans="2:33" ht="24">
      <c r="B345" s="194"/>
      <c r="C345" s="387"/>
      <c r="D345" s="252"/>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c r="AA345" s="194"/>
      <c r="AB345" s="194"/>
      <c r="AC345" s="194"/>
      <c r="AD345" s="194"/>
      <c r="AE345" s="194"/>
      <c r="AF345" s="194"/>
      <c r="AG345" s="194"/>
    </row>
    <row r="346" spans="2:33" ht="24">
      <c r="B346" s="194"/>
      <c r="C346" s="387"/>
      <c r="D346" s="252"/>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c r="AA346" s="194"/>
      <c r="AB346" s="194"/>
      <c r="AC346" s="194"/>
      <c r="AD346" s="194"/>
      <c r="AE346" s="194"/>
      <c r="AF346" s="194"/>
      <c r="AG346" s="194"/>
    </row>
    <row r="347" spans="2:33">
      <c r="B347" s="196"/>
      <c r="C347" s="196" t="s">
        <v>650</v>
      </c>
      <c r="D347" s="196"/>
      <c r="E347" s="194"/>
      <c r="F347" s="194"/>
      <c r="G347" s="194"/>
      <c r="H347" s="194"/>
      <c r="I347" s="194"/>
      <c r="J347" s="194"/>
      <c r="K347" s="194"/>
      <c r="L347" s="194"/>
      <c r="M347" s="194"/>
      <c r="N347" s="196" t="s">
        <v>651</v>
      </c>
      <c r="O347" s="194"/>
      <c r="P347" s="194"/>
      <c r="Q347" s="194"/>
      <c r="R347" s="194"/>
      <c r="S347" s="194"/>
      <c r="T347" s="194"/>
      <c r="U347" s="194"/>
      <c r="V347" s="194"/>
      <c r="W347" s="194"/>
      <c r="X347" s="196" t="s">
        <v>652</v>
      </c>
      <c r="Y347" s="194"/>
      <c r="Z347" s="194"/>
      <c r="AA347" s="194"/>
      <c r="AB347" s="194"/>
      <c r="AC347" s="194"/>
      <c r="AD347" s="194"/>
      <c r="AE347" s="194"/>
      <c r="AF347" s="194"/>
      <c r="AG347" s="194"/>
    </row>
    <row r="348" spans="2:33">
      <c r="B348" s="196"/>
      <c r="C348" s="194"/>
      <c r="D348" s="194"/>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c r="AA348" s="194"/>
      <c r="AB348" s="194"/>
      <c r="AC348" s="194"/>
      <c r="AD348" s="194"/>
      <c r="AE348" s="194"/>
      <c r="AF348" s="194"/>
      <c r="AG348" s="194"/>
    </row>
    <row r="349" spans="2:33">
      <c r="B349" s="194"/>
      <c r="C349" s="194"/>
      <c r="D349" s="194"/>
      <c r="E349" s="168" t="s">
        <v>226</v>
      </c>
      <c r="F349" s="168" t="s">
        <v>245</v>
      </c>
      <c r="G349" s="168" t="s">
        <v>265</v>
      </c>
      <c r="H349" s="168" t="s">
        <v>279</v>
      </c>
      <c r="I349" s="168" t="s">
        <v>289</v>
      </c>
      <c r="J349" s="168" t="s">
        <v>641</v>
      </c>
      <c r="K349" s="168" t="s">
        <v>642</v>
      </c>
      <c r="L349" s="194"/>
      <c r="M349" s="194"/>
      <c r="N349" s="194"/>
      <c r="O349" s="168" t="s">
        <v>226</v>
      </c>
      <c r="P349" s="168" t="s">
        <v>245</v>
      </c>
      <c r="Q349" s="168" t="s">
        <v>265</v>
      </c>
      <c r="R349" s="168" t="s">
        <v>279</v>
      </c>
      <c r="S349" s="168" t="s">
        <v>289</v>
      </c>
      <c r="T349" s="168" t="s">
        <v>641</v>
      </c>
      <c r="U349" s="168" t="s">
        <v>642</v>
      </c>
      <c r="V349" s="194"/>
      <c r="W349" s="194"/>
      <c r="X349" s="194"/>
      <c r="Y349" s="168" t="s">
        <v>226</v>
      </c>
      <c r="Z349" s="168" t="s">
        <v>245</v>
      </c>
      <c r="AA349" s="168" t="s">
        <v>265</v>
      </c>
      <c r="AB349" s="168" t="s">
        <v>279</v>
      </c>
      <c r="AC349" s="168" t="s">
        <v>289</v>
      </c>
      <c r="AD349" s="168" t="s">
        <v>641</v>
      </c>
      <c r="AE349" s="168" t="s">
        <v>642</v>
      </c>
      <c r="AF349" s="194"/>
      <c r="AG349" s="194"/>
    </row>
    <row r="350" spans="2:33">
      <c r="B350" s="194"/>
      <c r="C350" s="168" t="s">
        <v>497</v>
      </c>
      <c r="D350" s="168" t="s">
        <v>340</v>
      </c>
      <c r="E350" s="172" t="s">
        <v>593</v>
      </c>
      <c r="F350" s="172" t="s">
        <v>593</v>
      </c>
      <c r="G350" s="172" t="s">
        <v>593</v>
      </c>
      <c r="H350" s="172" t="s">
        <v>593</v>
      </c>
      <c r="I350" s="172" t="s">
        <v>593</v>
      </c>
      <c r="J350" s="172" t="s">
        <v>593</v>
      </c>
      <c r="K350" s="172" t="s">
        <v>593</v>
      </c>
      <c r="L350" s="194"/>
      <c r="M350" s="168" t="s">
        <v>497</v>
      </c>
      <c r="N350" s="168" t="s">
        <v>340</v>
      </c>
      <c r="O350" s="172" t="s">
        <v>588</v>
      </c>
      <c r="P350" s="172" t="s">
        <v>588</v>
      </c>
      <c r="Q350" s="172" t="s">
        <v>588</v>
      </c>
      <c r="R350" s="172" t="s">
        <v>588</v>
      </c>
      <c r="S350" s="172" t="s">
        <v>588</v>
      </c>
      <c r="T350" s="172" t="s">
        <v>588</v>
      </c>
      <c r="U350" s="172" t="s">
        <v>588</v>
      </c>
      <c r="V350" s="194"/>
      <c r="W350" s="168" t="s">
        <v>497</v>
      </c>
      <c r="X350" s="168" t="s">
        <v>340</v>
      </c>
      <c r="Y350" s="172" t="s">
        <v>589</v>
      </c>
      <c r="Z350" s="172" t="s">
        <v>589</v>
      </c>
      <c r="AA350" s="172" t="s">
        <v>589</v>
      </c>
      <c r="AB350" s="172" t="s">
        <v>589</v>
      </c>
      <c r="AC350" s="172" t="s">
        <v>589</v>
      </c>
      <c r="AD350" s="172" t="s">
        <v>589</v>
      </c>
      <c r="AE350" s="172" t="s">
        <v>589</v>
      </c>
      <c r="AF350" s="194"/>
      <c r="AG350" s="194"/>
    </row>
    <row r="351" spans="2:33">
      <c r="B351" s="194"/>
      <c r="C351" s="2" t="s">
        <v>569</v>
      </c>
      <c r="D351" s="2" t="s">
        <v>136</v>
      </c>
      <c r="E351" s="192">
        <f>MAX(E356:E403)</f>
        <v>0</v>
      </c>
      <c r="F351" s="192">
        <f t="shared" ref="F351:K351" si="35">MAX(F356:F403)</f>
        <v>0</v>
      </c>
      <c r="G351" s="192">
        <f t="shared" si="35"/>
        <v>0</v>
      </c>
      <c r="H351" s="192">
        <f t="shared" si="35"/>
        <v>22.727711391840003</v>
      </c>
      <c r="I351" s="192">
        <f t="shared" si="35"/>
        <v>549.66855677045771</v>
      </c>
      <c r="J351" s="192">
        <f t="shared" si="35"/>
        <v>559.47617428731849</v>
      </c>
      <c r="K351" s="192">
        <f t="shared" si="35"/>
        <v>69.934521785914811</v>
      </c>
      <c r="L351" s="194"/>
      <c r="M351" s="2" t="s">
        <v>569</v>
      </c>
      <c r="N351" s="2" t="s">
        <v>136</v>
      </c>
      <c r="O351" s="192">
        <f>MAX(O356:O403)</f>
        <v>0</v>
      </c>
      <c r="P351" s="192">
        <f t="shared" ref="P351:U351" si="36">MAX(P356:P403)</f>
        <v>0</v>
      </c>
      <c r="Q351" s="192">
        <f t="shared" si="36"/>
        <v>0</v>
      </c>
      <c r="R351" s="192">
        <f t="shared" si="36"/>
        <v>22.727711391840003</v>
      </c>
      <c r="S351" s="192">
        <f t="shared" si="36"/>
        <v>549.66855677045771</v>
      </c>
      <c r="T351" s="192">
        <f t="shared" si="36"/>
        <v>559.47617428731849</v>
      </c>
      <c r="U351" s="192">
        <f t="shared" si="36"/>
        <v>69.934521785914811</v>
      </c>
      <c r="V351" s="194"/>
      <c r="W351" s="2" t="s">
        <v>569</v>
      </c>
      <c r="X351" s="2" t="s">
        <v>136</v>
      </c>
      <c r="Y351" s="192">
        <f>MAX(Y356:Y403)</f>
        <v>0</v>
      </c>
      <c r="Z351" s="192">
        <f t="shared" ref="Z351:AE351" si="37">MAX(Z356:Z403)</f>
        <v>0</v>
      </c>
      <c r="AA351" s="192">
        <f t="shared" si="37"/>
        <v>0</v>
      </c>
      <c r="AB351" s="192">
        <f t="shared" si="37"/>
        <v>22.727711391840003</v>
      </c>
      <c r="AC351" s="192">
        <f t="shared" si="37"/>
        <v>549.66855677045771</v>
      </c>
      <c r="AD351" s="192">
        <f t="shared" si="37"/>
        <v>559.47617428731849</v>
      </c>
      <c r="AE351" s="192">
        <f t="shared" si="37"/>
        <v>69.934521785914811</v>
      </c>
      <c r="AF351" s="194"/>
      <c r="AG351" s="194"/>
    </row>
    <row r="352" spans="2:33">
      <c r="B352" s="194"/>
      <c r="C352" s="2" t="s">
        <v>643</v>
      </c>
      <c r="D352" s="2" t="s">
        <v>594</v>
      </c>
      <c r="E352" s="193">
        <f t="shared" ref="E352:K352" si="38">INDEX(times,MATCH(E351,E$356:E$403,0))</f>
        <v>0</v>
      </c>
      <c r="F352" s="193">
        <f t="shared" si="38"/>
        <v>0</v>
      </c>
      <c r="G352" s="193">
        <f t="shared" si="38"/>
        <v>0</v>
      </c>
      <c r="H352" s="193">
        <f t="shared" si="38"/>
        <v>0.5625</v>
      </c>
      <c r="I352" s="193">
        <f t="shared" si="38"/>
        <v>0.89583333333333337</v>
      </c>
      <c r="J352" s="193">
        <f t="shared" si="38"/>
        <v>0.89583333333333337</v>
      </c>
      <c r="K352" s="193">
        <f t="shared" si="38"/>
        <v>0.89583333333333337</v>
      </c>
      <c r="L352" s="194"/>
      <c r="M352" s="2" t="s">
        <v>643</v>
      </c>
      <c r="N352" s="2" t="s">
        <v>594</v>
      </c>
      <c r="O352" s="193">
        <f t="shared" ref="O352:U352" si="39">INDEX(times,MATCH(O351,O$356:O$403,0))</f>
        <v>0</v>
      </c>
      <c r="P352" s="193">
        <f t="shared" si="39"/>
        <v>0</v>
      </c>
      <c r="Q352" s="193">
        <f t="shared" si="39"/>
        <v>0</v>
      </c>
      <c r="R352" s="193">
        <f t="shared" si="39"/>
        <v>0.5625</v>
      </c>
      <c r="S352" s="193">
        <f t="shared" si="39"/>
        <v>0.89583333333333337</v>
      </c>
      <c r="T352" s="193">
        <f t="shared" si="39"/>
        <v>0.89583333333333337</v>
      </c>
      <c r="U352" s="193">
        <f t="shared" si="39"/>
        <v>0.89583333333333337</v>
      </c>
      <c r="V352" s="194"/>
      <c r="W352" s="2" t="s">
        <v>643</v>
      </c>
      <c r="X352" s="2" t="s">
        <v>594</v>
      </c>
      <c r="Y352" s="193">
        <f t="shared" ref="Y352:AE352" si="40">INDEX(times,MATCH(Y351,Y$356:Y$403,0))</f>
        <v>0</v>
      </c>
      <c r="Z352" s="193">
        <f t="shared" si="40"/>
        <v>0</v>
      </c>
      <c r="AA352" s="193">
        <f t="shared" si="40"/>
        <v>0</v>
      </c>
      <c r="AB352" s="193">
        <f t="shared" si="40"/>
        <v>0.5625</v>
      </c>
      <c r="AC352" s="193">
        <f t="shared" si="40"/>
        <v>0.89583333333333337</v>
      </c>
      <c r="AD352" s="193">
        <f t="shared" si="40"/>
        <v>0.89583333333333337</v>
      </c>
      <c r="AE352" s="193">
        <f t="shared" si="40"/>
        <v>0.89583333333333337</v>
      </c>
      <c r="AF352" s="194"/>
      <c r="AG352" s="194"/>
    </row>
    <row r="353" spans="2:33">
      <c r="B353" s="194"/>
      <c r="C353" s="194"/>
      <c r="D353" s="194"/>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c r="AA353" s="194"/>
      <c r="AB353" s="194"/>
      <c r="AC353" s="194"/>
      <c r="AD353" s="194"/>
      <c r="AE353" s="194"/>
      <c r="AF353" s="194"/>
      <c r="AG353" s="194"/>
    </row>
    <row r="354" spans="2:33">
      <c r="B354" s="194"/>
      <c r="C354" s="194"/>
      <c r="D354" s="176" t="s">
        <v>644</v>
      </c>
      <c r="E354" s="168" t="s">
        <v>226</v>
      </c>
      <c r="F354" s="168" t="s">
        <v>245</v>
      </c>
      <c r="G354" s="168" t="s">
        <v>265</v>
      </c>
      <c r="H354" s="168" t="s">
        <v>279</v>
      </c>
      <c r="I354" s="168" t="s">
        <v>289</v>
      </c>
      <c r="J354" s="168" t="s">
        <v>641</v>
      </c>
      <c r="K354" s="168" t="s">
        <v>642</v>
      </c>
      <c r="L354" s="194"/>
      <c r="M354" s="194"/>
      <c r="N354" s="176" t="s">
        <v>644</v>
      </c>
      <c r="O354" s="168" t="s">
        <v>226</v>
      </c>
      <c r="P354" s="168" t="s">
        <v>245</v>
      </c>
      <c r="Q354" s="168" t="s">
        <v>265</v>
      </c>
      <c r="R354" s="168" t="s">
        <v>279</v>
      </c>
      <c r="S354" s="168" t="s">
        <v>289</v>
      </c>
      <c r="T354" s="168" t="s">
        <v>641</v>
      </c>
      <c r="U354" s="168" t="s">
        <v>642</v>
      </c>
      <c r="V354" s="194"/>
      <c r="W354" s="194"/>
      <c r="X354" s="176" t="s">
        <v>644</v>
      </c>
      <c r="Y354" s="168" t="s">
        <v>226</v>
      </c>
      <c r="Z354" s="168" t="s">
        <v>245</v>
      </c>
      <c r="AA354" s="168" t="s">
        <v>265</v>
      </c>
      <c r="AB354" s="168" t="s">
        <v>279</v>
      </c>
      <c r="AC354" s="168" t="s">
        <v>289</v>
      </c>
      <c r="AD354" s="168" t="s">
        <v>641</v>
      </c>
      <c r="AE354" s="168" t="s">
        <v>642</v>
      </c>
      <c r="AF354" s="194"/>
      <c r="AG354" s="194"/>
    </row>
    <row r="355" spans="2:33">
      <c r="B355" s="194"/>
      <c r="C355" s="194"/>
      <c r="D355" s="168" t="s">
        <v>594</v>
      </c>
      <c r="E355" s="172" t="s">
        <v>593</v>
      </c>
      <c r="F355" s="172" t="s">
        <v>593</v>
      </c>
      <c r="G355" s="172" t="s">
        <v>593</v>
      </c>
      <c r="H355" s="172" t="s">
        <v>593</v>
      </c>
      <c r="I355" s="172" t="s">
        <v>593</v>
      </c>
      <c r="J355" s="172" t="s">
        <v>593</v>
      </c>
      <c r="K355" s="172" t="s">
        <v>593</v>
      </c>
      <c r="L355" s="194"/>
      <c r="M355" s="194"/>
      <c r="N355" s="168" t="s">
        <v>594</v>
      </c>
      <c r="O355" s="172" t="s">
        <v>588</v>
      </c>
      <c r="P355" s="172" t="s">
        <v>588</v>
      </c>
      <c r="Q355" s="172" t="s">
        <v>588</v>
      </c>
      <c r="R355" s="172" t="s">
        <v>588</v>
      </c>
      <c r="S355" s="172" t="s">
        <v>588</v>
      </c>
      <c r="T355" s="172" t="s">
        <v>588</v>
      </c>
      <c r="U355" s="172" t="s">
        <v>588</v>
      </c>
      <c r="V355" s="194"/>
      <c r="W355" s="194"/>
      <c r="X355" s="168" t="s">
        <v>594</v>
      </c>
      <c r="Y355" s="172" t="s">
        <v>589</v>
      </c>
      <c r="Z355" s="172" t="s">
        <v>589</v>
      </c>
      <c r="AA355" s="172" t="s">
        <v>589</v>
      </c>
      <c r="AB355" s="172" t="s">
        <v>589</v>
      </c>
      <c r="AC355" s="172" t="s">
        <v>589</v>
      </c>
      <c r="AD355" s="172" t="s">
        <v>589</v>
      </c>
      <c r="AE355" s="172" t="s">
        <v>589</v>
      </c>
      <c r="AF355" s="194"/>
      <c r="AG355" s="194"/>
    </row>
    <row r="356" spans="2:33">
      <c r="B356" s="194"/>
      <c r="C356" s="194">
        <v>1</v>
      </c>
      <c r="D356" s="180">
        <v>0</v>
      </c>
      <c r="E356" s="191" cm="1">
        <f t="array" ref="E356">INDEX($J$215:$J$219,MATCH(E$230,EV_charger_type,0))*INDEX(EV06_domestic_Default,$C356)*EV07_domestic_Default</f>
        <v>0</v>
      </c>
      <c r="F356" s="191" cm="1">
        <f t="array" ref="F356">INDEX($J$215:$J$219,MATCH(F$230,EV_charger_type,0))*INDEX(EV06_work,$C356)*EV07_work_Default</f>
        <v>0</v>
      </c>
      <c r="G356" s="191" cm="1">
        <f t="array" ref="G356">INDEX($J$215:$J$219,MATCH(G$230,EV_charger_type,0))*INDEX(EV06_slowfast,$C356)*EV07_slowfast_Default</f>
        <v>0</v>
      </c>
      <c r="H356" s="191" cm="1">
        <f t="array" ref="H356">INDEX($J$215:$J$219,MATCH(H$230,EV_charger_type,0))*INDEX(EV06_rapid,$C356)*EV07_rapid_Default</f>
        <v>3.5938622786976002</v>
      </c>
      <c r="I356" s="191" cm="1">
        <f t="array" ref="I356">INDEX($J$215:$J$219,MATCH(I$230,EV_charger_type,0))*INDEX(EV06_depot,$C356)*EV07_depot_Default</f>
        <v>519.16071084917758</v>
      </c>
      <c r="J356" s="192">
        <f>SUM(E356:I356)</f>
        <v>522.75457312787523</v>
      </c>
      <c r="K356" s="192">
        <f t="shared" ref="K356:K403" si="41">IFERROR(J356/(SUM(EV_Number_BB3,EV_number_BB4)),0)</f>
        <v>65.344321640984404</v>
      </c>
      <c r="L356" s="194"/>
      <c r="M356" s="194"/>
      <c r="N356" s="180">
        <v>0</v>
      </c>
      <c r="O356" s="191" cm="1">
        <f t="array" ref="O356">INDEX($K$215:$K$219,MATCH(O$230,EV_charger_type,0))*INDEX(EV06_domestic_lower,$C356)*EV07_domestic_lower</f>
        <v>0</v>
      </c>
      <c r="P356" s="191" cm="1">
        <f t="array" ref="P356">INDEX($K$215:$K$219,MATCH(P$230,EV_charger_type,0))*INDEX(EV06_work,$C356)*EV07_work_lower</f>
        <v>0</v>
      </c>
      <c r="Q356" s="191" cm="1">
        <f t="array" ref="Q356">INDEX($K$215:$K$219,MATCH(Q$230,EV_charger_type,0))*INDEX(EV06_slowfast,$C356)*EV07_slowfast_lower</f>
        <v>0</v>
      </c>
      <c r="R356" s="191" cm="1">
        <f t="array" ref="R356">INDEX($K$215:$K$219,MATCH(R$230,EV_charger_type,0))*INDEX(EV06_rapid,$C356)*EV07_rapid_lower</f>
        <v>3.5938622786976002</v>
      </c>
      <c r="S356" s="191" cm="1">
        <f t="array" ref="S356">INDEX($K$215:$K$219,MATCH(S$230,EV_charger_type,0))*INDEX(EV06_depot,$C356)*EV07_depot_lower</f>
        <v>519.16071084917758</v>
      </c>
      <c r="T356" s="192">
        <f>SUM(O356:S356)</f>
        <v>522.75457312787523</v>
      </c>
      <c r="U356" s="192">
        <f t="shared" ref="U356:U403" si="42">IFERROR(T356/(SUM(EV_Number_BB3,EV_number_BB4)),0)</f>
        <v>65.344321640984404</v>
      </c>
      <c r="V356" s="194"/>
      <c r="W356" s="194"/>
      <c r="X356" s="180">
        <v>0</v>
      </c>
      <c r="Y356" s="191" cm="1">
        <f t="array" ref="Y356">INDEX($L$215:$L$219,MATCH(Y$230,EV_charger_type,0))*INDEX(EV06_domestic_upper,$C356)*EV07_domestic_upper</f>
        <v>0</v>
      </c>
      <c r="Z356" s="191" cm="1">
        <f t="array" ref="Z356">INDEX($L$215:$L$219,MATCH(Z$230,EV_charger_type,0))*INDEX(EV06_work,$C356)*EV07_work_upper</f>
        <v>0</v>
      </c>
      <c r="AA356" s="191" cm="1">
        <f t="array" ref="AA356">INDEX($L$215:$L$219,MATCH(AA$230,EV_charger_type,0))*INDEX(EV06_slowfast,$C356)*EV07_slowfast_upper</f>
        <v>0</v>
      </c>
      <c r="AB356" s="191" cm="1">
        <f t="array" ref="AB356">INDEX($L$215:$L$219,MATCH(AB$230,EV_charger_type,0))*INDEX(EV06_rapid,$C356)*EV07_rapid_upper</f>
        <v>3.5938622786976002</v>
      </c>
      <c r="AC356" s="191" cm="1">
        <f t="array" ref="AC356">INDEX($L$215:$L$219,MATCH(AC$230,EV_charger_type,0))*INDEX(EV06_depot,$C356)*EV07_depot_upper</f>
        <v>519.16071084917758</v>
      </c>
      <c r="AD356" s="192">
        <f>SUM(Y356:AC356)</f>
        <v>522.75457312787523</v>
      </c>
      <c r="AE356" s="192">
        <f t="shared" ref="AE356:AE403" si="43">IFERROR(AD356/(SUM(EV_Number_BB3,EV_number_BB4)),0)</f>
        <v>65.344321640984404</v>
      </c>
      <c r="AF356" s="194"/>
      <c r="AG356" s="194"/>
    </row>
    <row r="357" spans="2:33">
      <c r="B357" s="194"/>
      <c r="C357" s="194">
        <v>2</v>
      </c>
      <c r="D357" s="180">
        <v>2.0833333333333332E-2</v>
      </c>
      <c r="E357" s="191" cm="1">
        <f t="array" ref="E357">INDEX($J$215:$J$219,MATCH(E$230,EV_charger_type,0))*INDEX(EV06_domestic_Default,$C357)*EV07_domestic_Default</f>
        <v>0</v>
      </c>
      <c r="F357" s="191" cm="1">
        <f t="array" ref="F357">INDEX($J$215:$J$219,MATCH(F$230,EV_charger_type,0))*INDEX(EV06_work,$C357)*EV07_work_Default</f>
        <v>0</v>
      </c>
      <c r="G357" s="191" cm="1">
        <f t="array" ref="G357">INDEX($J$215:$J$219,MATCH(G$230,EV_charger_type,0))*INDEX(EV06_slowfast,$C357)*EV07_slowfast_Default</f>
        <v>0</v>
      </c>
      <c r="H357" s="191" cm="1">
        <f t="array" ref="H357">INDEX($J$215:$J$219,MATCH(H$230,EV_charger_type,0))*INDEX(EV06_rapid,$C357)*EV07_rapid_Default</f>
        <v>2.7794042037216005</v>
      </c>
      <c r="I357" s="191" cm="1">
        <f t="array" ref="I357">INDEX($J$215:$J$219,MATCH(I$230,EV_charger_type,0))*INDEX(EV06_depot,$C357)*EV07_depot_Default</f>
        <v>494.28232174540796</v>
      </c>
      <c r="J357" s="192">
        <f t="shared" ref="J357:J403" si="44">SUM(E357:I357)</f>
        <v>497.06172594912954</v>
      </c>
      <c r="K357" s="192">
        <f t="shared" si="41"/>
        <v>62.132715743641192</v>
      </c>
      <c r="L357" s="194"/>
      <c r="M357" s="194"/>
      <c r="N357" s="180">
        <v>2.0833333333333332E-2</v>
      </c>
      <c r="O357" s="191" cm="1">
        <f t="array" ref="O357">INDEX($K$215:$K$219,MATCH(O$230,EV_charger_type,0))*INDEX(EV06_domestic_lower,$C357)*EV07_domestic_lower</f>
        <v>0</v>
      </c>
      <c r="P357" s="191" cm="1">
        <f t="array" ref="P357">INDEX($K$215:$K$219,MATCH(P$230,EV_charger_type,0))*INDEX(EV06_work,$C357)*EV07_work_lower</f>
        <v>0</v>
      </c>
      <c r="Q357" s="191" cm="1">
        <f t="array" ref="Q357">INDEX($K$215:$K$219,MATCH(Q$230,EV_charger_type,0))*INDEX(EV06_slowfast,$C357)*EV07_slowfast_lower</f>
        <v>0</v>
      </c>
      <c r="R357" s="191" cm="1">
        <f t="array" ref="R357">INDEX($K$215:$K$219,MATCH(R$230,EV_charger_type,0))*INDEX(EV06_rapid,$C357)*EV07_rapid_lower</f>
        <v>2.7794042037216005</v>
      </c>
      <c r="S357" s="191" cm="1">
        <f t="array" ref="S357">INDEX($K$215:$K$219,MATCH(S$230,EV_charger_type,0))*INDEX(EV06_depot,$C357)*EV07_depot_lower</f>
        <v>494.28232174540796</v>
      </c>
      <c r="T357" s="192">
        <f t="shared" ref="T357:T403" si="45">SUM(O357:S357)</f>
        <v>497.06172594912954</v>
      </c>
      <c r="U357" s="192">
        <f t="shared" si="42"/>
        <v>62.132715743641192</v>
      </c>
      <c r="V357" s="194"/>
      <c r="W357" s="194"/>
      <c r="X357" s="180">
        <v>2.0833333333333332E-2</v>
      </c>
      <c r="Y357" s="191" cm="1">
        <f t="array" ref="Y357">INDEX($L$215:$L$219,MATCH(Y$230,EV_charger_type,0))*INDEX(EV06_domestic_upper,$C357)*EV07_domestic_upper</f>
        <v>0</v>
      </c>
      <c r="Z357" s="191" cm="1">
        <f t="array" ref="Z357">INDEX($L$215:$L$219,MATCH(Z$230,EV_charger_type,0))*INDEX(EV06_work,$C357)*EV07_work_upper</f>
        <v>0</v>
      </c>
      <c r="AA357" s="191" cm="1">
        <f t="array" ref="AA357">INDEX($L$215:$L$219,MATCH(AA$230,EV_charger_type,0))*INDEX(EV06_slowfast,$C357)*EV07_slowfast_upper</f>
        <v>0</v>
      </c>
      <c r="AB357" s="191" cm="1">
        <f t="array" ref="AB357">INDEX($L$215:$L$219,MATCH(AB$230,EV_charger_type,0))*INDEX(EV06_rapid,$C357)*EV07_rapid_upper</f>
        <v>2.7794042037216005</v>
      </c>
      <c r="AC357" s="191" cm="1">
        <f t="array" ref="AC357">INDEX($L$215:$L$219,MATCH(AC$230,EV_charger_type,0))*INDEX(EV06_depot,$C357)*EV07_depot_upper</f>
        <v>494.28232174540796</v>
      </c>
      <c r="AD357" s="192">
        <f>SUM(Y357:AC357)</f>
        <v>497.06172594912954</v>
      </c>
      <c r="AE357" s="192">
        <f t="shared" si="43"/>
        <v>62.132715743641192</v>
      </c>
      <c r="AF357" s="194"/>
      <c r="AG357" s="194"/>
    </row>
    <row r="358" spans="2:33">
      <c r="B358" s="194"/>
      <c r="C358" s="194">
        <v>3</v>
      </c>
      <c r="D358" s="180">
        <v>4.1666666666666664E-2</v>
      </c>
      <c r="E358" s="191" cm="1">
        <f t="array" ref="E358">INDEX($J$215:$J$219,MATCH(E$230,EV_charger_type,0))*INDEX(EV06_domestic_Default,$C358)*EV07_domestic_Default</f>
        <v>0</v>
      </c>
      <c r="F358" s="191" cm="1">
        <f t="array" ref="F358">INDEX($J$215:$J$219,MATCH(F$230,EV_charger_type,0))*INDEX(EV06_work,$C358)*EV07_work_Default</f>
        <v>0</v>
      </c>
      <c r="G358" s="191" cm="1">
        <f t="array" ref="G358">INDEX($J$215:$J$219,MATCH(G$230,EV_charger_type,0))*INDEX(EV06_slowfast,$C358)*EV07_slowfast_Default</f>
        <v>0</v>
      </c>
      <c r="H358" s="191" cm="1">
        <f t="array" ref="H358">INDEX($J$215:$J$219,MATCH(H$230,EV_charger_type,0))*INDEX(EV06_rapid,$C358)*EV07_rapid_Default</f>
        <v>2.2745669611392003</v>
      </c>
      <c r="I358" s="191" cm="1">
        <f t="array" ref="I358">INDEX($J$215:$J$219,MATCH(I$230,EV_charger_type,0))*INDEX(EV06_depot,$C358)*EV07_depot_Default</f>
        <v>495.52472271052801</v>
      </c>
      <c r="J358" s="192">
        <f t="shared" si="44"/>
        <v>497.79928967166722</v>
      </c>
      <c r="K358" s="192">
        <f t="shared" si="41"/>
        <v>62.224911208958403</v>
      </c>
      <c r="L358" s="194"/>
      <c r="M358" s="194"/>
      <c r="N358" s="180">
        <v>4.1666666666666664E-2</v>
      </c>
      <c r="O358" s="191" cm="1">
        <f t="array" ref="O358">INDEX($K$215:$K$219,MATCH(O$230,EV_charger_type,0))*INDEX(EV06_domestic_lower,$C358)*EV07_domestic_lower</f>
        <v>0</v>
      </c>
      <c r="P358" s="191" cm="1">
        <f t="array" ref="P358">INDEX($K$215:$K$219,MATCH(P$230,EV_charger_type,0))*INDEX(EV06_work,$C358)*EV07_work_lower</f>
        <v>0</v>
      </c>
      <c r="Q358" s="191" cm="1">
        <f t="array" ref="Q358">INDEX($K$215:$K$219,MATCH(Q$230,EV_charger_type,0))*INDEX(EV06_slowfast,$C358)*EV07_slowfast_lower</f>
        <v>0</v>
      </c>
      <c r="R358" s="191" cm="1">
        <f t="array" ref="R358">INDEX($K$215:$K$219,MATCH(R$230,EV_charger_type,0))*INDEX(EV06_rapid,$C358)*EV07_rapid_lower</f>
        <v>2.2745669611392003</v>
      </c>
      <c r="S358" s="191" cm="1">
        <f t="array" ref="S358">INDEX($K$215:$K$219,MATCH(S$230,EV_charger_type,0))*INDEX(EV06_depot,$C358)*EV07_depot_lower</f>
        <v>495.52472271052801</v>
      </c>
      <c r="T358" s="192">
        <f t="shared" si="45"/>
        <v>497.79928967166722</v>
      </c>
      <c r="U358" s="192">
        <f t="shared" si="42"/>
        <v>62.224911208958403</v>
      </c>
      <c r="V358" s="194"/>
      <c r="W358" s="194"/>
      <c r="X358" s="180">
        <v>4.1666666666666664E-2</v>
      </c>
      <c r="Y358" s="191" cm="1">
        <f t="array" ref="Y358">INDEX($L$215:$L$219,MATCH(Y$230,EV_charger_type,0))*INDEX(EV06_domestic_upper,$C358)*EV07_domestic_upper</f>
        <v>0</v>
      </c>
      <c r="Z358" s="191" cm="1">
        <f t="array" ref="Z358">INDEX($L$215:$L$219,MATCH(Z$230,EV_charger_type,0))*INDEX(EV06_work,$C358)*EV07_work_upper</f>
        <v>0</v>
      </c>
      <c r="AA358" s="191" cm="1">
        <f t="array" ref="AA358">INDEX($L$215:$L$219,MATCH(AA$230,EV_charger_type,0))*INDEX(EV06_slowfast,$C358)*EV07_slowfast_upper</f>
        <v>0</v>
      </c>
      <c r="AB358" s="191" cm="1">
        <f t="array" ref="AB358">INDEX($L$215:$L$219,MATCH(AB$230,EV_charger_type,0))*INDEX(EV06_rapid,$C358)*EV07_rapid_upper</f>
        <v>2.2745669611392003</v>
      </c>
      <c r="AC358" s="191" cm="1">
        <f t="array" ref="AC358">INDEX($L$215:$L$219,MATCH(AC$230,EV_charger_type,0))*INDEX(EV06_depot,$C358)*EV07_depot_upper</f>
        <v>495.52472271052801</v>
      </c>
      <c r="AD358" s="192">
        <f t="shared" ref="AD358:AD403" si="46">SUM(Y358:AC358)</f>
        <v>497.79928967166722</v>
      </c>
      <c r="AE358" s="192">
        <f t="shared" si="43"/>
        <v>62.224911208958403</v>
      </c>
      <c r="AF358" s="194"/>
      <c r="AG358" s="194"/>
    </row>
    <row r="359" spans="2:33">
      <c r="B359" s="194"/>
      <c r="C359" s="194">
        <v>4</v>
      </c>
      <c r="D359" s="180">
        <v>6.25E-2</v>
      </c>
      <c r="E359" s="191" cm="1">
        <f t="array" ref="E359">INDEX($J$215:$J$219,MATCH(E$230,EV_charger_type,0))*INDEX(EV06_domestic_Default,$C359)*EV07_domestic_Default</f>
        <v>0</v>
      </c>
      <c r="F359" s="191" cm="1">
        <f t="array" ref="F359">INDEX($J$215:$J$219,MATCH(F$230,EV_charger_type,0))*INDEX(EV06_work,$C359)*EV07_work_Default</f>
        <v>0</v>
      </c>
      <c r="G359" s="191" cm="1">
        <f t="array" ref="G359">INDEX($J$215:$J$219,MATCH(G$230,EV_charger_type,0))*INDEX(EV06_slowfast,$C359)*EV07_slowfast_Default</f>
        <v>0</v>
      </c>
      <c r="H359" s="191" cm="1">
        <f t="array" ref="H359">INDEX($J$215:$J$219,MATCH(H$230,EV_charger_type,0))*INDEX(EV06_rapid,$C359)*EV07_rapid_Default</f>
        <v>1.7698353551424</v>
      </c>
      <c r="I359" s="191" cm="1">
        <f t="array" ref="I359">INDEX($J$215:$J$219,MATCH(I$230,EV_charger_type,0))*INDEX(EV06_depot,$C359)*EV07_depot_Default</f>
        <v>496.76712367564801</v>
      </c>
      <c r="J359" s="192">
        <f t="shared" si="44"/>
        <v>498.5369590307904</v>
      </c>
      <c r="K359" s="192">
        <f t="shared" si="41"/>
        <v>62.3171198788488</v>
      </c>
      <c r="L359" s="194"/>
      <c r="M359" s="194"/>
      <c r="N359" s="180">
        <v>6.25E-2</v>
      </c>
      <c r="O359" s="191" cm="1">
        <f t="array" ref="O359">INDEX($K$215:$K$219,MATCH(O$230,EV_charger_type,0))*INDEX(EV06_domestic_lower,$C359)*EV07_domestic_lower</f>
        <v>0</v>
      </c>
      <c r="P359" s="191" cm="1">
        <f t="array" ref="P359">INDEX($K$215:$K$219,MATCH(P$230,EV_charger_type,0))*INDEX(EV06_work,$C359)*EV07_work_lower</f>
        <v>0</v>
      </c>
      <c r="Q359" s="191" cm="1">
        <f t="array" ref="Q359">INDEX($K$215:$K$219,MATCH(Q$230,EV_charger_type,0))*INDEX(EV06_slowfast,$C359)*EV07_slowfast_lower</f>
        <v>0</v>
      </c>
      <c r="R359" s="191" cm="1">
        <f t="array" ref="R359">INDEX($K$215:$K$219,MATCH(R$230,EV_charger_type,0))*INDEX(EV06_rapid,$C359)*EV07_rapid_lower</f>
        <v>1.7698353551424</v>
      </c>
      <c r="S359" s="191" cm="1">
        <f t="array" ref="S359">INDEX($K$215:$K$219,MATCH(S$230,EV_charger_type,0))*INDEX(EV06_depot,$C359)*EV07_depot_lower</f>
        <v>496.76712367564801</v>
      </c>
      <c r="T359" s="192">
        <f t="shared" si="45"/>
        <v>498.5369590307904</v>
      </c>
      <c r="U359" s="192">
        <f t="shared" si="42"/>
        <v>62.3171198788488</v>
      </c>
      <c r="V359" s="194"/>
      <c r="W359" s="194"/>
      <c r="X359" s="180">
        <v>6.25E-2</v>
      </c>
      <c r="Y359" s="191" cm="1">
        <f t="array" ref="Y359">INDEX($L$215:$L$219,MATCH(Y$230,EV_charger_type,0))*INDEX(EV06_domestic_upper,$C359)*EV07_domestic_upper</f>
        <v>0</v>
      </c>
      <c r="Z359" s="191" cm="1">
        <f t="array" ref="Z359">INDEX($L$215:$L$219,MATCH(Z$230,EV_charger_type,0))*INDEX(EV06_work,$C359)*EV07_work_upper</f>
        <v>0</v>
      </c>
      <c r="AA359" s="191" cm="1">
        <f t="array" ref="AA359">INDEX($L$215:$L$219,MATCH(AA$230,EV_charger_type,0))*INDEX(EV06_slowfast,$C359)*EV07_slowfast_upper</f>
        <v>0</v>
      </c>
      <c r="AB359" s="191" cm="1">
        <f t="array" ref="AB359">INDEX($L$215:$L$219,MATCH(AB$230,EV_charger_type,0))*INDEX(EV06_rapid,$C359)*EV07_rapid_upper</f>
        <v>1.7698353551424</v>
      </c>
      <c r="AC359" s="191" cm="1">
        <f t="array" ref="AC359">INDEX($L$215:$L$219,MATCH(AC$230,EV_charger_type,0))*INDEX(EV06_depot,$C359)*EV07_depot_upper</f>
        <v>496.76712367564801</v>
      </c>
      <c r="AD359" s="192">
        <f t="shared" si="46"/>
        <v>498.5369590307904</v>
      </c>
      <c r="AE359" s="192">
        <f t="shared" si="43"/>
        <v>62.3171198788488</v>
      </c>
      <c r="AF359" s="194"/>
      <c r="AG359" s="194"/>
    </row>
    <row r="360" spans="2:33">
      <c r="B360" s="194"/>
      <c r="C360" s="194">
        <v>5</v>
      </c>
      <c r="D360" s="180">
        <v>8.3333333333333329E-2</v>
      </c>
      <c r="E360" s="191" cm="1">
        <f t="array" ref="E360">INDEX($J$215:$J$219,MATCH(E$230,EV_charger_type,0))*INDEX(EV06_domestic_Default,$C360)*EV07_domestic_Default</f>
        <v>0</v>
      </c>
      <c r="F360" s="191" cm="1">
        <f t="array" ref="F360">INDEX($J$215:$J$219,MATCH(F$230,EV_charger_type,0))*INDEX(EV06_work,$C360)*EV07_work_Default</f>
        <v>0</v>
      </c>
      <c r="G360" s="191" cm="1">
        <f t="array" ref="G360">INDEX($J$215:$J$219,MATCH(G$230,EV_charger_type,0))*INDEX(EV06_slowfast,$C360)*EV07_slowfast_Default</f>
        <v>0</v>
      </c>
      <c r="H360" s="191" cm="1">
        <f t="array" ref="H360">INDEX($J$215:$J$219,MATCH(H$230,EV_charger_type,0))*INDEX(EV06_rapid,$C360)*EV07_rapid_Default</f>
        <v>1.4646512593440002</v>
      </c>
      <c r="I360" s="191" cm="1">
        <f t="array" ref="I360">INDEX($J$215:$J$219,MATCH(I$230,EV_charger_type,0))*INDEX(EV06_depot,$C360)*EV07_depot_Default</f>
        <v>498.10339493591039</v>
      </c>
      <c r="J360" s="192">
        <f t="shared" si="44"/>
        <v>499.5680461952544</v>
      </c>
      <c r="K360" s="192">
        <f t="shared" si="41"/>
        <v>62.4460057744068</v>
      </c>
      <c r="L360" s="194"/>
      <c r="M360" s="194"/>
      <c r="N360" s="180">
        <v>8.3333333333333329E-2</v>
      </c>
      <c r="O360" s="191" cm="1">
        <f t="array" ref="O360">INDEX($K$215:$K$219,MATCH(O$230,EV_charger_type,0))*INDEX(EV06_domestic_lower,$C360)*EV07_domestic_lower</f>
        <v>0</v>
      </c>
      <c r="P360" s="191" cm="1">
        <f t="array" ref="P360">INDEX($K$215:$K$219,MATCH(P$230,EV_charger_type,0))*INDEX(EV06_work,$C360)*EV07_work_lower</f>
        <v>0</v>
      </c>
      <c r="Q360" s="191" cm="1">
        <f t="array" ref="Q360">INDEX($K$215:$K$219,MATCH(Q$230,EV_charger_type,0))*INDEX(EV06_slowfast,$C360)*EV07_slowfast_lower</f>
        <v>0</v>
      </c>
      <c r="R360" s="191" cm="1">
        <f t="array" ref="R360">INDEX($K$215:$K$219,MATCH(R$230,EV_charger_type,0))*INDEX(EV06_rapid,$C360)*EV07_rapid_lower</f>
        <v>1.4646512593440002</v>
      </c>
      <c r="S360" s="191" cm="1">
        <f t="array" ref="S360">INDEX($K$215:$K$219,MATCH(S$230,EV_charger_type,0))*INDEX(EV06_depot,$C360)*EV07_depot_lower</f>
        <v>498.10339493591039</v>
      </c>
      <c r="T360" s="192">
        <f t="shared" si="45"/>
        <v>499.5680461952544</v>
      </c>
      <c r="U360" s="192">
        <f t="shared" si="42"/>
        <v>62.4460057744068</v>
      </c>
      <c r="V360" s="194"/>
      <c r="W360" s="194"/>
      <c r="X360" s="180">
        <v>8.3333333333333329E-2</v>
      </c>
      <c r="Y360" s="191" cm="1">
        <f t="array" ref="Y360">INDEX($L$215:$L$219,MATCH(Y$230,EV_charger_type,0))*INDEX(EV06_domestic_upper,$C360)*EV07_domestic_upper</f>
        <v>0</v>
      </c>
      <c r="Z360" s="191" cm="1">
        <f t="array" ref="Z360">INDEX($L$215:$L$219,MATCH(Z$230,EV_charger_type,0))*INDEX(EV06_work,$C360)*EV07_work_upper</f>
        <v>0</v>
      </c>
      <c r="AA360" s="191" cm="1">
        <f t="array" ref="AA360">INDEX($L$215:$L$219,MATCH(AA$230,EV_charger_type,0))*INDEX(EV06_slowfast,$C360)*EV07_slowfast_upper</f>
        <v>0</v>
      </c>
      <c r="AB360" s="191" cm="1">
        <f t="array" ref="AB360">INDEX($L$215:$L$219,MATCH(AB$230,EV_charger_type,0))*INDEX(EV06_rapid,$C360)*EV07_rapid_upper</f>
        <v>1.4646512593440002</v>
      </c>
      <c r="AC360" s="191" cm="1">
        <f t="array" ref="AC360">INDEX($L$215:$L$219,MATCH(AC$230,EV_charger_type,0))*INDEX(EV06_depot,$C360)*EV07_depot_upper</f>
        <v>498.10339493591039</v>
      </c>
      <c r="AD360" s="192">
        <f t="shared" si="46"/>
        <v>499.5680461952544</v>
      </c>
      <c r="AE360" s="192">
        <f t="shared" si="43"/>
        <v>62.4460057744068</v>
      </c>
      <c r="AF360" s="194"/>
      <c r="AG360" s="194"/>
    </row>
    <row r="361" spans="2:33">
      <c r="B361" s="194"/>
      <c r="C361" s="194">
        <v>6</v>
      </c>
      <c r="D361" s="180">
        <v>0.10416666666666667</v>
      </c>
      <c r="E361" s="191" cm="1">
        <f t="array" ref="E361">INDEX($J$215:$J$219,MATCH(E$230,EV_charger_type,0))*INDEX(EV06_domestic_Default,$C361)*EV07_domestic_Default</f>
        <v>0</v>
      </c>
      <c r="F361" s="191" cm="1">
        <f t="array" ref="F361">INDEX($J$215:$J$219,MATCH(F$230,EV_charger_type,0))*INDEX(EV06_work,$C361)*EV07_work_Default</f>
        <v>0</v>
      </c>
      <c r="G361" s="191" cm="1">
        <f t="array" ref="G361">INDEX($J$215:$J$219,MATCH(G$230,EV_charger_type,0))*INDEX(EV06_slowfast,$C361)*EV07_slowfast_Default</f>
        <v>0</v>
      </c>
      <c r="H361" s="191" cm="1">
        <f t="array" ref="H361">INDEX($J$215:$J$219,MATCH(H$230,EV_charger_type,0))*INDEX(EV06_rapid,$C361)*EV07_rapid_Default</f>
        <v>1.1594671635456</v>
      </c>
      <c r="I361" s="191" cm="1">
        <f t="array" ref="I361">INDEX($J$215:$J$219,MATCH(I$230,EV_charger_type,0))*INDEX(EV06_depot,$C361)*EV07_depot_Default</f>
        <v>499.43966619617282</v>
      </c>
      <c r="J361" s="192">
        <f t="shared" si="44"/>
        <v>500.59913335971845</v>
      </c>
      <c r="K361" s="192">
        <f t="shared" si="41"/>
        <v>62.574891669964806</v>
      </c>
      <c r="L361" s="194"/>
      <c r="M361" s="194"/>
      <c r="N361" s="180">
        <v>0.10416666666666667</v>
      </c>
      <c r="O361" s="191" cm="1">
        <f t="array" ref="O361">INDEX($K$215:$K$219,MATCH(O$230,EV_charger_type,0))*INDEX(EV06_domestic_lower,$C361)*EV07_domestic_lower</f>
        <v>0</v>
      </c>
      <c r="P361" s="191" cm="1">
        <f t="array" ref="P361">INDEX($K$215:$K$219,MATCH(P$230,EV_charger_type,0))*INDEX(EV06_work,$C361)*EV07_work_lower</f>
        <v>0</v>
      </c>
      <c r="Q361" s="191" cm="1">
        <f t="array" ref="Q361">INDEX($K$215:$K$219,MATCH(Q$230,EV_charger_type,0))*INDEX(EV06_slowfast,$C361)*EV07_slowfast_lower</f>
        <v>0</v>
      </c>
      <c r="R361" s="191" cm="1">
        <f t="array" ref="R361">INDEX($K$215:$K$219,MATCH(R$230,EV_charger_type,0))*INDEX(EV06_rapid,$C361)*EV07_rapid_lower</f>
        <v>1.1594671635456</v>
      </c>
      <c r="S361" s="191" cm="1">
        <f t="array" ref="S361">INDEX($K$215:$K$219,MATCH(S$230,EV_charger_type,0))*INDEX(EV06_depot,$C361)*EV07_depot_lower</f>
        <v>499.43966619617282</v>
      </c>
      <c r="T361" s="192">
        <f t="shared" si="45"/>
        <v>500.59913335971845</v>
      </c>
      <c r="U361" s="192">
        <f t="shared" si="42"/>
        <v>62.574891669964806</v>
      </c>
      <c r="V361" s="194"/>
      <c r="W361" s="194"/>
      <c r="X361" s="180">
        <v>0.10416666666666667</v>
      </c>
      <c r="Y361" s="191" cm="1">
        <f t="array" ref="Y361">INDEX($L$215:$L$219,MATCH(Y$230,EV_charger_type,0))*INDEX(EV06_domestic_upper,$C361)*EV07_domestic_upper</f>
        <v>0</v>
      </c>
      <c r="Z361" s="191" cm="1">
        <f t="array" ref="Z361">INDEX($L$215:$L$219,MATCH(Z$230,EV_charger_type,0))*INDEX(EV06_work,$C361)*EV07_work_upper</f>
        <v>0</v>
      </c>
      <c r="AA361" s="191" cm="1">
        <f t="array" ref="AA361">INDEX($L$215:$L$219,MATCH(AA$230,EV_charger_type,0))*INDEX(EV06_slowfast,$C361)*EV07_slowfast_upper</f>
        <v>0</v>
      </c>
      <c r="AB361" s="191" cm="1">
        <f t="array" ref="AB361">INDEX($L$215:$L$219,MATCH(AB$230,EV_charger_type,0))*INDEX(EV06_rapid,$C361)*EV07_rapid_upper</f>
        <v>1.1594671635456</v>
      </c>
      <c r="AC361" s="191" cm="1">
        <f t="array" ref="AC361">INDEX($L$215:$L$219,MATCH(AC$230,EV_charger_type,0))*INDEX(EV06_depot,$C361)*EV07_depot_upper</f>
        <v>499.43966619617282</v>
      </c>
      <c r="AD361" s="192">
        <f t="shared" si="46"/>
        <v>500.59913335971845</v>
      </c>
      <c r="AE361" s="192">
        <f t="shared" si="43"/>
        <v>62.574891669964806</v>
      </c>
      <c r="AF361" s="194"/>
      <c r="AG361" s="194"/>
    </row>
    <row r="362" spans="2:33">
      <c r="B362" s="194"/>
      <c r="C362" s="194">
        <v>7</v>
      </c>
      <c r="D362" s="180">
        <v>0.125</v>
      </c>
      <c r="E362" s="191" cm="1">
        <f t="array" ref="E362">INDEX($J$215:$J$219,MATCH(E$230,EV_charger_type,0))*INDEX(EV06_domestic_Default,$C362)*EV07_domestic_Default</f>
        <v>0</v>
      </c>
      <c r="F362" s="191" cm="1">
        <f t="array" ref="F362">INDEX($J$215:$J$219,MATCH(F$230,EV_charger_type,0))*INDEX(EV06_work,$C362)*EV07_work_Default</f>
        <v>0</v>
      </c>
      <c r="G362" s="191" cm="1">
        <f t="array" ref="G362">INDEX($J$215:$J$219,MATCH(G$230,EV_charger_type,0))*INDEX(EV06_slowfast,$C362)*EV07_slowfast_Default</f>
        <v>0</v>
      </c>
      <c r="H362" s="191" cm="1">
        <f t="array" ref="H362">INDEX($J$215:$J$219,MATCH(H$230,EV_charger_type,0))*INDEX(EV06_rapid,$C362)*EV07_rapid_Default</f>
        <v>1.0239354242208001</v>
      </c>
      <c r="I362" s="191" cm="1">
        <f t="array" ref="I362">INDEX($J$215:$J$219,MATCH(I$230,EV_charger_type,0))*INDEX(EV06_depot,$C362)*EV07_depot_Default</f>
        <v>486.18462834385923</v>
      </c>
      <c r="J362" s="192">
        <f t="shared" si="44"/>
        <v>487.20856376808001</v>
      </c>
      <c r="K362" s="192">
        <f t="shared" si="41"/>
        <v>60.901070471010001</v>
      </c>
      <c r="L362" s="194"/>
      <c r="M362" s="194"/>
      <c r="N362" s="180">
        <v>0.125</v>
      </c>
      <c r="O362" s="191" cm="1">
        <f t="array" ref="O362">INDEX($K$215:$K$219,MATCH(O$230,EV_charger_type,0))*INDEX(EV06_domestic_lower,$C362)*EV07_domestic_lower</f>
        <v>0</v>
      </c>
      <c r="P362" s="191" cm="1">
        <f t="array" ref="P362">INDEX($K$215:$K$219,MATCH(P$230,EV_charger_type,0))*INDEX(EV06_work,$C362)*EV07_work_lower</f>
        <v>0</v>
      </c>
      <c r="Q362" s="191" cm="1">
        <f t="array" ref="Q362">INDEX($K$215:$K$219,MATCH(Q$230,EV_charger_type,0))*INDEX(EV06_slowfast,$C362)*EV07_slowfast_lower</f>
        <v>0</v>
      </c>
      <c r="R362" s="191" cm="1">
        <f t="array" ref="R362">INDEX($K$215:$K$219,MATCH(R$230,EV_charger_type,0))*INDEX(EV06_rapid,$C362)*EV07_rapid_lower</f>
        <v>1.0239354242208001</v>
      </c>
      <c r="S362" s="191" cm="1">
        <f t="array" ref="S362">INDEX($K$215:$K$219,MATCH(S$230,EV_charger_type,0))*INDEX(EV06_depot,$C362)*EV07_depot_lower</f>
        <v>486.18462834385923</v>
      </c>
      <c r="T362" s="192">
        <f t="shared" si="45"/>
        <v>487.20856376808001</v>
      </c>
      <c r="U362" s="192">
        <f t="shared" si="42"/>
        <v>60.901070471010001</v>
      </c>
      <c r="V362" s="194"/>
      <c r="W362" s="194"/>
      <c r="X362" s="180">
        <v>0.125</v>
      </c>
      <c r="Y362" s="191" cm="1">
        <f t="array" ref="Y362">INDEX($L$215:$L$219,MATCH(Y$230,EV_charger_type,0))*INDEX(EV06_domestic_upper,$C362)*EV07_domestic_upper</f>
        <v>0</v>
      </c>
      <c r="Z362" s="191" cm="1">
        <f t="array" ref="Z362">INDEX($L$215:$L$219,MATCH(Z$230,EV_charger_type,0))*INDEX(EV06_work,$C362)*EV07_work_upper</f>
        <v>0</v>
      </c>
      <c r="AA362" s="191" cm="1">
        <f t="array" ref="AA362">INDEX($L$215:$L$219,MATCH(AA$230,EV_charger_type,0))*INDEX(EV06_slowfast,$C362)*EV07_slowfast_upper</f>
        <v>0</v>
      </c>
      <c r="AB362" s="191" cm="1">
        <f t="array" ref="AB362">INDEX($L$215:$L$219,MATCH(AB$230,EV_charger_type,0))*INDEX(EV06_rapid,$C362)*EV07_rapid_upper</f>
        <v>1.0239354242208001</v>
      </c>
      <c r="AC362" s="191" cm="1">
        <f t="array" ref="AC362">INDEX($L$215:$L$219,MATCH(AC$230,EV_charger_type,0))*INDEX(EV06_depot,$C362)*EV07_depot_upper</f>
        <v>486.18462834385923</v>
      </c>
      <c r="AD362" s="192">
        <f t="shared" si="46"/>
        <v>487.20856376808001</v>
      </c>
      <c r="AE362" s="192">
        <f t="shared" si="43"/>
        <v>60.901070471010001</v>
      </c>
      <c r="AF362" s="194"/>
      <c r="AG362" s="194"/>
    </row>
    <row r="363" spans="2:33">
      <c r="B363" s="194"/>
      <c r="C363" s="194">
        <v>8</v>
      </c>
      <c r="D363" s="180">
        <v>0.14583333333333334</v>
      </c>
      <c r="E363" s="191" cm="1">
        <f t="array" ref="E363">INDEX($J$215:$J$219,MATCH(E$230,EV_charger_type,0))*INDEX(EV06_domestic_Default,$C363)*EV07_domestic_Default</f>
        <v>0</v>
      </c>
      <c r="F363" s="191" cm="1">
        <f t="array" ref="F363">INDEX($J$215:$J$219,MATCH(F$230,EV_charger_type,0))*INDEX(EV06_work,$C363)*EV07_work_Default</f>
        <v>0</v>
      </c>
      <c r="G363" s="191" cm="1">
        <f t="array" ref="G363">INDEX($J$215:$J$219,MATCH(G$230,EV_charger_type,0))*INDEX(EV06_slowfast,$C363)*EV07_slowfast_Default</f>
        <v>0</v>
      </c>
      <c r="H363" s="191" cm="1">
        <f t="array" ref="H363">INDEX($J$215:$J$219,MATCH(H$230,EV_charger_type,0))*INDEX(EV06_rapid,$C363)*EV07_rapid_Default</f>
        <v>0.88840368489600008</v>
      </c>
      <c r="I363" s="191" cm="1">
        <f t="array" ref="I363">INDEX($J$215:$J$219,MATCH(I$230,EV_charger_type,0))*INDEX(EV06_depot,$C363)*EV07_depot_Default</f>
        <v>472.93235138257921</v>
      </c>
      <c r="J363" s="192">
        <f t="shared" si="44"/>
        <v>473.8207550674752</v>
      </c>
      <c r="K363" s="192">
        <f t="shared" si="41"/>
        <v>59.227594383434401</v>
      </c>
      <c r="L363" s="194"/>
      <c r="M363" s="194"/>
      <c r="N363" s="180">
        <v>0.14583333333333334</v>
      </c>
      <c r="O363" s="191" cm="1">
        <f t="array" ref="O363">INDEX($K$215:$K$219,MATCH(O$230,EV_charger_type,0))*INDEX(EV06_domestic_lower,$C363)*EV07_domestic_lower</f>
        <v>0</v>
      </c>
      <c r="P363" s="191" cm="1">
        <f t="array" ref="P363">INDEX($K$215:$K$219,MATCH(P$230,EV_charger_type,0))*INDEX(EV06_work,$C363)*EV07_work_lower</f>
        <v>0</v>
      </c>
      <c r="Q363" s="191" cm="1">
        <f t="array" ref="Q363">INDEX($K$215:$K$219,MATCH(Q$230,EV_charger_type,0))*INDEX(EV06_slowfast,$C363)*EV07_slowfast_lower</f>
        <v>0</v>
      </c>
      <c r="R363" s="191" cm="1">
        <f t="array" ref="R363">INDEX($K$215:$K$219,MATCH(R$230,EV_charger_type,0))*INDEX(EV06_rapid,$C363)*EV07_rapid_lower</f>
        <v>0.88840368489600008</v>
      </c>
      <c r="S363" s="191" cm="1">
        <f t="array" ref="S363">INDEX($K$215:$K$219,MATCH(S$230,EV_charger_type,0))*INDEX(EV06_depot,$C363)*EV07_depot_lower</f>
        <v>472.93235138257921</v>
      </c>
      <c r="T363" s="192">
        <f t="shared" si="45"/>
        <v>473.8207550674752</v>
      </c>
      <c r="U363" s="192">
        <f t="shared" si="42"/>
        <v>59.227594383434401</v>
      </c>
      <c r="V363" s="194"/>
      <c r="W363" s="194"/>
      <c r="X363" s="180">
        <v>0.14583333333333334</v>
      </c>
      <c r="Y363" s="191" cm="1">
        <f t="array" ref="Y363">INDEX($L$215:$L$219,MATCH(Y$230,EV_charger_type,0))*INDEX(EV06_domestic_upper,$C363)*EV07_domestic_upper</f>
        <v>0</v>
      </c>
      <c r="Z363" s="191" cm="1">
        <f t="array" ref="Z363">INDEX($L$215:$L$219,MATCH(Z$230,EV_charger_type,0))*INDEX(EV06_work,$C363)*EV07_work_upper</f>
        <v>0</v>
      </c>
      <c r="AA363" s="191" cm="1">
        <f t="array" ref="AA363">INDEX($L$215:$L$219,MATCH(AA$230,EV_charger_type,0))*INDEX(EV06_slowfast,$C363)*EV07_slowfast_upper</f>
        <v>0</v>
      </c>
      <c r="AB363" s="191" cm="1">
        <f t="array" ref="AB363">INDEX($L$215:$L$219,MATCH(AB$230,EV_charger_type,0))*INDEX(EV06_rapid,$C363)*EV07_rapid_upper</f>
        <v>0.88840368489600008</v>
      </c>
      <c r="AC363" s="191" cm="1">
        <f t="array" ref="AC363">INDEX($L$215:$L$219,MATCH(AC$230,EV_charger_type,0))*INDEX(EV06_depot,$C363)*EV07_depot_upper</f>
        <v>472.93235138257921</v>
      </c>
      <c r="AD363" s="192">
        <f t="shared" si="46"/>
        <v>473.8207550674752</v>
      </c>
      <c r="AE363" s="192">
        <f t="shared" si="43"/>
        <v>59.227594383434401</v>
      </c>
      <c r="AF363" s="194"/>
      <c r="AG363" s="194"/>
    </row>
    <row r="364" spans="2:33">
      <c r="B364" s="194"/>
      <c r="C364" s="194">
        <v>9</v>
      </c>
      <c r="D364" s="180">
        <v>0.16666666666666666</v>
      </c>
      <c r="E364" s="191" cm="1">
        <f t="array" ref="E364">INDEX($J$215:$J$219,MATCH(E$230,EV_charger_type,0))*INDEX(EV06_domestic_Default,$C364)*EV07_domestic_Default</f>
        <v>0</v>
      </c>
      <c r="F364" s="191" cm="1">
        <f t="array" ref="F364">INDEX($J$215:$J$219,MATCH(F$230,EV_charger_type,0))*INDEX(EV06_work,$C364)*EV07_work_Default</f>
        <v>0</v>
      </c>
      <c r="G364" s="191" cm="1">
        <f t="array" ref="G364">INDEX($J$215:$J$219,MATCH(G$230,EV_charger_type,0))*INDEX(EV06_slowfast,$C364)*EV07_slowfast_Default</f>
        <v>0</v>
      </c>
      <c r="H364" s="191" cm="1">
        <f t="array" ref="H364">INDEX($J$215:$J$219,MATCH(H$230,EV_charger_type,0))*INDEX(EV06_rapid,$C364)*EV07_rapid_Default</f>
        <v>0.92093975326080002</v>
      </c>
      <c r="I364" s="191" cm="1">
        <f t="array" ref="I364">INDEX($J$215:$J$219,MATCH(I$230,EV_charger_type,0))*INDEX(EV06_depot,$C364)*EV07_depot_Default</f>
        <v>437.44385803668479</v>
      </c>
      <c r="J364" s="192">
        <f t="shared" si="44"/>
        <v>438.36479778994561</v>
      </c>
      <c r="K364" s="192">
        <f t="shared" si="41"/>
        <v>54.795599723743202</v>
      </c>
      <c r="L364" s="194"/>
      <c r="M364" s="194"/>
      <c r="N364" s="180">
        <v>0.16666666666666666</v>
      </c>
      <c r="O364" s="191" cm="1">
        <f t="array" ref="O364">INDEX($K$215:$K$219,MATCH(O$230,EV_charger_type,0))*INDEX(EV06_domestic_lower,$C364)*EV07_domestic_lower</f>
        <v>0</v>
      </c>
      <c r="P364" s="191" cm="1">
        <f t="array" ref="P364">INDEX($K$215:$K$219,MATCH(P$230,EV_charger_type,0))*INDEX(EV06_work,$C364)*EV07_work_lower</f>
        <v>0</v>
      </c>
      <c r="Q364" s="191" cm="1">
        <f t="array" ref="Q364">INDEX($K$215:$K$219,MATCH(Q$230,EV_charger_type,0))*INDEX(EV06_slowfast,$C364)*EV07_slowfast_lower</f>
        <v>0</v>
      </c>
      <c r="R364" s="191" cm="1">
        <f t="array" ref="R364">INDEX($K$215:$K$219,MATCH(R$230,EV_charger_type,0))*INDEX(EV06_rapid,$C364)*EV07_rapid_lower</f>
        <v>0.92093975326080002</v>
      </c>
      <c r="S364" s="191" cm="1">
        <f t="array" ref="S364">INDEX($K$215:$K$219,MATCH(S$230,EV_charger_type,0))*INDEX(EV06_depot,$C364)*EV07_depot_lower</f>
        <v>437.44385803668479</v>
      </c>
      <c r="T364" s="192">
        <f t="shared" si="45"/>
        <v>438.36479778994561</v>
      </c>
      <c r="U364" s="192">
        <f t="shared" si="42"/>
        <v>54.795599723743202</v>
      </c>
      <c r="V364" s="194"/>
      <c r="W364" s="194"/>
      <c r="X364" s="180">
        <v>0.16666666666666666</v>
      </c>
      <c r="Y364" s="191" cm="1">
        <f t="array" ref="Y364">INDEX($L$215:$L$219,MATCH(Y$230,EV_charger_type,0))*INDEX(EV06_domestic_upper,$C364)*EV07_domestic_upper</f>
        <v>0</v>
      </c>
      <c r="Z364" s="191" cm="1">
        <f t="array" ref="Z364">INDEX($L$215:$L$219,MATCH(Z$230,EV_charger_type,0))*INDEX(EV06_work,$C364)*EV07_work_upper</f>
        <v>0</v>
      </c>
      <c r="AA364" s="191" cm="1">
        <f t="array" ref="AA364">INDEX($L$215:$L$219,MATCH(AA$230,EV_charger_type,0))*INDEX(EV06_slowfast,$C364)*EV07_slowfast_upper</f>
        <v>0</v>
      </c>
      <c r="AB364" s="191" cm="1">
        <f t="array" ref="AB364">INDEX($L$215:$L$219,MATCH(AB$230,EV_charger_type,0))*INDEX(EV06_rapid,$C364)*EV07_rapid_upper</f>
        <v>0.92093975326080002</v>
      </c>
      <c r="AC364" s="191" cm="1">
        <f t="array" ref="AC364">INDEX($L$215:$L$219,MATCH(AC$230,EV_charger_type,0))*INDEX(EV06_depot,$C364)*EV07_depot_upper</f>
        <v>437.44385803668479</v>
      </c>
      <c r="AD364" s="192">
        <f t="shared" si="46"/>
        <v>438.36479778994561</v>
      </c>
      <c r="AE364" s="192">
        <f t="shared" si="43"/>
        <v>54.795599723743202</v>
      </c>
      <c r="AF364" s="194"/>
      <c r="AG364" s="194"/>
    </row>
    <row r="365" spans="2:33">
      <c r="B365" s="194"/>
      <c r="C365" s="194">
        <v>10</v>
      </c>
      <c r="D365" s="180">
        <v>0.1875</v>
      </c>
      <c r="E365" s="191" cm="1">
        <f t="array" ref="E365">INDEX($J$215:$J$219,MATCH(E$230,EV_charger_type,0))*INDEX(EV06_domestic_Default,$C365)*EV07_domestic_Default</f>
        <v>0</v>
      </c>
      <c r="F365" s="191" cm="1">
        <f t="array" ref="F365">INDEX($J$215:$J$219,MATCH(F$230,EV_charger_type,0))*INDEX(EV06_work,$C365)*EV07_work_Default</f>
        <v>0</v>
      </c>
      <c r="G365" s="191" cm="1">
        <f t="array" ref="G365">INDEX($J$215:$J$219,MATCH(G$230,EV_charger_type,0))*INDEX(EV06_slowfast,$C365)*EV07_slowfast_Default</f>
        <v>0</v>
      </c>
      <c r="H365" s="191" cm="1">
        <f t="array" ref="H365">INDEX($J$215:$J$219,MATCH(H$230,EV_charger_type,0))*INDEX(EV06_rapid,$C365)*EV07_rapid_Default</f>
        <v>0.95358145821120011</v>
      </c>
      <c r="I365" s="191" cm="1">
        <f t="array" ref="I365">INDEX($J$215:$J$219,MATCH(I$230,EV_charger_type,0))*INDEX(EV06_depot,$C365)*EV07_depot_Default</f>
        <v>401.95536469079042</v>
      </c>
      <c r="J365" s="192">
        <f t="shared" si="44"/>
        <v>402.90894614900162</v>
      </c>
      <c r="K365" s="192">
        <f t="shared" si="41"/>
        <v>50.363618268625203</v>
      </c>
      <c r="L365" s="194"/>
      <c r="M365" s="194"/>
      <c r="N365" s="180">
        <v>0.1875</v>
      </c>
      <c r="O365" s="191" cm="1">
        <f t="array" ref="O365">INDEX($K$215:$K$219,MATCH(O$230,EV_charger_type,0))*INDEX(EV06_domestic_lower,$C365)*EV07_domestic_lower</f>
        <v>0</v>
      </c>
      <c r="P365" s="191" cm="1">
        <f t="array" ref="P365">INDEX($K$215:$K$219,MATCH(P$230,EV_charger_type,0))*INDEX(EV06_work,$C365)*EV07_work_lower</f>
        <v>0</v>
      </c>
      <c r="Q365" s="191" cm="1">
        <f t="array" ref="Q365">INDEX($K$215:$K$219,MATCH(Q$230,EV_charger_type,0))*INDEX(EV06_slowfast,$C365)*EV07_slowfast_lower</f>
        <v>0</v>
      </c>
      <c r="R365" s="191" cm="1">
        <f t="array" ref="R365">INDEX($K$215:$K$219,MATCH(R$230,EV_charger_type,0))*INDEX(EV06_rapid,$C365)*EV07_rapid_lower</f>
        <v>0.95358145821120011</v>
      </c>
      <c r="S365" s="191" cm="1">
        <f t="array" ref="S365">INDEX($K$215:$K$219,MATCH(S$230,EV_charger_type,0))*INDEX(EV06_depot,$C365)*EV07_depot_lower</f>
        <v>401.95536469079042</v>
      </c>
      <c r="T365" s="192">
        <f t="shared" si="45"/>
        <v>402.90894614900162</v>
      </c>
      <c r="U365" s="192">
        <f t="shared" si="42"/>
        <v>50.363618268625203</v>
      </c>
      <c r="V365" s="194"/>
      <c r="W365" s="194"/>
      <c r="X365" s="180">
        <v>0.1875</v>
      </c>
      <c r="Y365" s="191" cm="1">
        <f t="array" ref="Y365">INDEX($L$215:$L$219,MATCH(Y$230,EV_charger_type,0))*INDEX(EV06_domestic_upper,$C365)*EV07_domestic_upper</f>
        <v>0</v>
      </c>
      <c r="Z365" s="191" cm="1">
        <f t="array" ref="Z365">INDEX($L$215:$L$219,MATCH(Z$230,EV_charger_type,0))*INDEX(EV06_work,$C365)*EV07_work_upper</f>
        <v>0</v>
      </c>
      <c r="AA365" s="191" cm="1">
        <f t="array" ref="AA365">INDEX($L$215:$L$219,MATCH(AA$230,EV_charger_type,0))*INDEX(EV06_slowfast,$C365)*EV07_slowfast_upper</f>
        <v>0</v>
      </c>
      <c r="AB365" s="191" cm="1">
        <f t="array" ref="AB365">INDEX($L$215:$L$219,MATCH(AB$230,EV_charger_type,0))*INDEX(EV06_rapid,$C365)*EV07_rapid_upper</f>
        <v>0.95358145821120011</v>
      </c>
      <c r="AC365" s="191" cm="1">
        <f t="array" ref="AC365">INDEX($L$215:$L$219,MATCH(AC$230,EV_charger_type,0))*INDEX(EV06_depot,$C365)*EV07_depot_upper</f>
        <v>401.95536469079042</v>
      </c>
      <c r="AD365" s="192">
        <f t="shared" si="46"/>
        <v>402.90894614900162</v>
      </c>
      <c r="AE365" s="192">
        <f t="shared" si="43"/>
        <v>50.363618268625203</v>
      </c>
      <c r="AF365" s="194"/>
      <c r="AG365" s="194"/>
    </row>
    <row r="366" spans="2:33">
      <c r="B366" s="194"/>
      <c r="C366" s="194">
        <v>11</v>
      </c>
      <c r="D366" s="180">
        <v>0.20833333333333334</v>
      </c>
      <c r="E366" s="191" cm="1">
        <f t="array" ref="E366">INDEX($J$215:$J$219,MATCH(E$230,EV_charger_type,0))*INDEX(EV06_domestic_Default,$C366)*EV07_domestic_Default</f>
        <v>0</v>
      </c>
      <c r="F366" s="191" cm="1">
        <f t="array" ref="F366">INDEX($J$215:$J$219,MATCH(F$230,EV_charger_type,0))*INDEX(EV06_work,$C366)*EV07_work_Default</f>
        <v>0</v>
      </c>
      <c r="G366" s="191" cm="1">
        <f t="array" ref="G366">INDEX($J$215:$J$219,MATCH(G$230,EV_charger_type,0))*INDEX(EV06_slowfast,$C366)*EV07_slowfast_Default</f>
        <v>0</v>
      </c>
      <c r="H366" s="191" cm="1">
        <f t="array" ref="H366">INDEX($J$215:$J$219,MATCH(H$230,EV_charger_type,0))*INDEX(EV06_rapid,$C366)*EV07_rapid_Default</f>
        <v>1.3650359591232</v>
      </c>
      <c r="I366" s="191" cm="1">
        <f t="array" ref="I366">INDEX($J$215:$J$219,MATCH(I$230,EV_charger_type,0))*INDEX(EV06_depot,$C366)*EV07_depot_Default</f>
        <v>356.64914282941442</v>
      </c>
      <c r="J366" s="192">
        <f t="shared" si="44"/>
        <v>358.01417878853761</v>
      </c>
      <c r="K366" s="192">
        <f t="shared" si="41"/>
        <v>44.751772348567201</v>
      </c>
      <c r="L366" s="194"/>
      <c r="M366" s="194"/>
      <c r="N366" s="180">
        <v>0.20833333333333334</v>
      </c>
      <c r="O366" s="191" cm="1">
        <f t="array" ref="O366">INDEX($K$215:$K$219,MATCH(O$230,EV_charger_type,0))*INDEX(EV06_domestic_lower,$C366)*EV07_domestic_lower</f>
        <v>0</v>
      </c>
      <c r="P366" s="191" cm="1">
        <f t="array" ref="P366">INDEX($K$215:$K$219,MATCH(P$230,EV_charger_type,0))*INDEX(EV06_work,$C366)*EV07_work_lower</f>
        <v>0</v>
      </c>
      <c r="Q366" s="191" cm="1">
        <f t="array" ref="Q366">INDEX($K$215:$K$219,MATCH(Q$230,EV_charger_type,0))*INDEX(EV06_slowfast,$C366)*EV07_slowfast_lower</f>
        <v>0</v>
      </c>
      <c r="R366" s="191" cm="1">
        <f t="array" ref="R366">INDEX($K$215:$K$219,MATCH(R$230,EV_charger_type,0))*INDEX(EV06_rapid,$C366)*EV07_rapid_lower</f>
        <v>1.3650359591232</v>
      </c>
      <c r="S366" s="191" cm="1">
        <f t="array" ref="S366">INDEX($K$215:$K$219,MATCH(S$230,EV_charger_type,0))*INDEX(EV06_depot,$C366)*EV07_depot_lower</f>
        <v>356.64914282941442</v>
      </c>
      <c r="T366" s="192">
        <f t="shared" si="45"/>
        <v>358.01417878853761</v>
      </c>
      <c r="U366" s="192">
        <f t="shared" si="42"/>
        <v>44.751772348567201</v>
      </c>
      <c r="V366" s="194"/>
      <c r="W366" s="194"/>
      <c r="X366" s="180">
        <v>0.20833333333333334</v>
      </c>
      <c r="Y366" s="191" cm="1">
        <f t="array" ref="Y366">INDEX($L$215:$L$219,MATCH(Y$230,EV_charger_type,0))*INDEX(EV06_domestic_upper,$C366)*EV07_domestic_upper</f>
        <v>0</v>
      </c>
      <c r="Z366" s="191" cm="1">
        <f t="array" ref="Z366">INDEX($L$215:$L$219,MATCH(Z$230,EV_charger_type,0))*INDEX(EV06_work,$C366)*EV07_work_upper</f>
        <v>0</v>
      </c>
      <c r="AA366" s="191" cm="1">
        <f t="array" ref="AA366">INDEX($L$215:$L$219,MATCH(AA$230,EV_charger_type,0))*INDEX(EV06_slowfast,$C366)*EV07_slowfast_upper</f>
        <v>0</v>
      </c>
      <c r="AB366" s="191" cm="1">
        <f t="array" ref="AB366">INDEX($L$215:$L$219,MATCH(AB$230,EV_charger_type,0))*INDEX(EV06_rapid,$C366)*EV07_rapid_upper</f>
        <v>1.3650359591232</v>
      </c>
      <c r="AC366" s="191" cm="1">
        <f t="array" ref="AC366">INDEX($L$215:$L$219,MATCH(AC$230,EV_charger_type,0))*INDEX(EV06_depot,$C366)*EV07_depot_upper</f>
        <v>356.64914282941442</v>
      </c>
      <c r="AD366" s="192">
        <f t="shared" si="46"/>
        <v>358.01417878853761</v>
      </c>
      <c r="AE366" s="192">
        <f t="shared" si="43"/>
        <v>44.751772348567201</v>
      </c>
      <c r="AF366" s="194"/>
      <c r="AG366" s="194"/>
    </row>
    <row r="367" spans="2:33">
      <c r="B367" s="194"/>
      <c r="C367" s="194">
        <v>12</v>
      </c>
      <c r="D367" s="180">
        <v>0.22916666666666666</v>
      </c>
      <c r="E367" s="191" cm="1">
        <f t="array" ref="E367">INDEX($J$215:$J$219,MATCH(E$230,EV_charger_type,0))*INDEX(EV06_domestic_Default,$C367)*EV07_domestic_Default</f>
        <v>0</v>
      </c>
      <c r="F367" s="191" cm="1">
        <f t="array" ref="F367">INDEX($J$215:$J$219,MATCH(F$230,EV_charger_type,0))*INDEX(EV06_work,$C367)*EV07_work_Default</f>
        <v>0</v>
      </c>
      <c r="G367" s="191" cm="1">
        <f t="array" ref="G367">INDEX($J$215:$J$219,MATCH(G$230,EV_charger_type,0))*INDEX(EV06_slowfast,$C367)*EV07_slowfast_Default</f>
        <v>0</v>
      </c>
      <c r="H367" s="191" cm="1">
        <f t="array" ref="H367">INDEX($J$215:$J$219,MATCH(H$230,EV_charger_type,0))*INDEX(EV06_rapid,$C367)*EV07_rapid_Default</f>
        <v>1.7764904600352001</v>
      </c>
      <c r="I367" s="191" cm="1">
        <f t="array" ref="I367">INDEX($J$215:$J$219,MATCH(I$230,EV_charger_type,0))*INDEX(EV06_depot,$C367)*EV07_depot_Default</f>
        <v>311.34568185907204</v>
      </c>
      <c r="J367" s="192">
        <f t="shared" si="44"/>
        <v>313.12217231910722</v>
      </c>
      <c r="K367" s="192">
        <f t="shared" si="41"/>
        <v>39.140271539888403</v>
      </c>
      <c r="L367" s="194"/>
      <c r="M367" s="194"/>
      <c r="N367" s="180">
        <v>0.22916666666666666</v>
      </c>
      <c r="O367" s="191" cm="1">
        <f t="array" ref="O367">INDEX($K$215:$K$219,MATCH(O$230,EV_charger_type,0))*INDEX(EV06_domestic_lower,$C367)*EV07_domestic_lower</f>
        <v>0</v>
      </c>
      <c r="P367" s="191" cm="1">
        <f t="array" ref="P367">INDEX($K$215:$K$219,MATCH(P$230,EV_charger_type,0))*INDEX(EV06_work,$C367)*EV07_work_lower</f>
        <v>0</v>
      </c>
      <c r="Q367" s="191" cm="1">
        <f t="array" ref="Q367">INDEX($K$215:$K$219,MATCH(Q$230,EV_charger_type,0))*INDEX(EV06_slowfast,$C367)*EV07_slowfast_lower</f>
        <v>0</v>
      </c>
      <c r="R367" s="191" cm="1">
        <f t="array" ref="R367">INDEX($K$215:$K$219,MATCH(R$230,EV_charger_type,0))*INDEX(EV06_rapid,$C367)*EV07_rapid_lower</f>
        <v>1.7764904600352001</v>
      </c>
      <c r="S367" s="191" cm="1">
        <f t="array" ref="S367">INDEX($K$215:$K$219,MATCH(S$230,EV_charger_type,0))*INDEX(EV06_depot,$C367)*EV07_depot_lower</f>
        <v>311.34568185907204</v>
      </c>
      <c r="T367" s="192">
        <f t="shared" si="45"/>
        <v>313.12217231910722</v>
      </c>
      <c r="U367" s="192">
        <f t="shared" si="42"/>
        <v>39.140271539888403</v>
      </c>
      <c r="V367" s="194"/>
      <c r="W367" s="194"/>
      <c r="X367" s="180">
        <v>0.22916666666666666</v>
      </c>
      <c r="Y367" s="191" cm="1">
        <f t="array" ref="Y367">INDEX($L$215:$L$219,MATCH(Y$230,EV_charger_type,0))*INDEX(EV06_domestic_upper,$C367)*EV07_domestic_upper</f>
        <v>0</v>
      </c>
      <c r="Z367" s="191" cm="1">
        <f t="array" ref="Z367">INDEX($L$215:$L$219,MATCH(Z$230,EV_charger_type,0))*INDEX(EV06_work,$C367)*EV07_work_upper</f>
        <v>0</v>
      </c>
      <c r="AA367" s="191" cm="1">
        <f t="array" ref="AA367">INDEX($L$215:$L$219,MATCH(AA$230,EV_charger_type,0))*INDEX(EV06_slowfast,$C367)*EV07_slowfast_upper</f>
        <v>0</v>
      </c>
      <c r="AB367" s="191" cm="1">
        <f t="array" ref="AB367">INDEX($L$215:$L$219,MATCH(AB$230,EV_charger_type,0))*INDEX(EV06_rapid,$C367)*EV07_rapid_upper</f>
        <v>1.7764904600352001</v>
      </c>
      <c r="AC367" s="191" cm="1">
        <f t="array" ref="AC367">INDEX($L$215:$L$219,MATCH(AC$230,EV_charger_type,0))*INDEX(EV06_depot,$C367)*EV07_depot_upper</f>
        <v>311.34568185907204</v>
      </c>
      <c r="AD367" s="192">
        <f t="shared" si="46"/>
        <v>313.12217231910722</v>
      </c>
      <c r="AE367" s="192">
        <f t="shared" si="43"/>
        <v>39.140271539888403</v>
      </c>
      <c r="AF367" s="194"/>
      <c r="AG367" s="194"/>
    </row>
    <row r="368" spans="2:33">
      <c r="B368" s="194"/>
      <c r="C368" s="194">
        <v>13</v>
      </c>
      <c r="D368" s="180">
        <v>0.25</v>
      </c>
      <c r="E368" s="191" cm="1">
        <f t="array" ref="E368">INDEX($J$215:$J$219,MATCH(E$230,EV_charger_type,0))*INDEX(EV06_domestic_Default,$C368)*EV07_domestic_Default</f>
        <v>0</v>
      </c>
      <c r="F368" s="191" cm="1">
        <f t="array" ref="F368">INDEX($J$215:$J$219,MATCH(F$230,EV_charger_type,0))*INDEX(EV06_work,$C368)*EV07_work_Default</f>
        <v>0</v>
      </c>
      <c r="G368" s="191" cm="1">
        <f t="array" ref="G368">INDEX($J$215:$J$219,MATCH(G$230,EV_charger_type,0))*INDEX(EV06_slowfast,$C368)*EV07_slowfast_Default</f>
        <v>0</v>
      </c>
      <c r="H368" s="191" cm="1">
        <f t="array" ref="H368">INDEX($J$215:$J$219,MATCH(H$230,EV_charger_type,0))*INDEX(EV06_rapid,$C368)*EV07_rapid_Default</f>
        <v>3.2113522022400001</v>
      </c>
      <c r="I368" s="191" cm="1">
        <f t="array" ref="I368">INDEX($J$215:$J$219,MATCH(I$230,EV_charger_type,0))*INDEX(EV06_depot,$C368)*EV07_depot_Default</f>
        <v>280.73844386058244</v>
      </c>
      <c r="J368" s="192">
        <f t="shared" si="44"/>
        <v>283.94979606282243</v>
      </c>
      <c r="K368" s="192">
        <f t="shared" si="41"/>
        <v>35.493724507852804</v>
      </c>
      <c r="L368" s="194"/>
      <c r="M368" s="194"/>
      <c r="N368" s="180">
        <v>0.25</v>
      </c>
      <c r="O368" s="191" cm="1">
        <f t="array" ref="O368">INDEX($K$215:$K$219,MATCH(O$230,EV_charger_type,0))*INDEX(EV06_domestic_lower,$C368)*EV07_domestic_lower</f>
        <v>0</v>
      </c>
      <c r="P368" s="191" cm="1">
        <f t="array" ref="P368">INDEX($K$215:$K$219,MATCH(P$230,EV_charger_type,0))*INDEX(EV06_work,$C368)*EV07_work_lower</f>
        <v>0</v>
      </c>
      <c r="Q368" s="191" cm="1">
        <f t="array" ref="Q368">INDEX($K$215:$K$219,MATCH(Q$230,EV_charger_type,0))*INDEX(EV06_slowfast,$C368)*EV07_slowfast_lower</f>
        <v>0</v>
      </c>
      <c r="R368" s="191" cm="1">
        <f t="array" ref="R368">INDEX($K$215:$K$219,MATCH(R$230,EV_charger_type,0))*INDEX(EV06_rapid,$C368)*EV07_rapid_lower</f>
        <v>3.2113522022400001</v>
      </c>
      <c r="S368" s="191" cm="1">
        <f t="array" ref="S368">INDEX($K$215:$K$219,MATCH(S$230,EV_charger_type,0))*INDEX(EV06_depot,$C368)*EV07_depot_lower</f>
        <v>280.73844386058244</v>
      </c>
      <c r="T368" s="192">
        <f t="shared" si="45"/>
        <v>283.94979606282243</v>
      </c>
      <c r="U368" s="192">
        <f t="shared" si="42"/>
        <v>35.493724507852804</v>
      </c>
      <c r="V368" s="194"/>
      <c r="W368" s="194"/>
      <c r="X368" s="180">
        <v>0.25</v>
      </c>
      <c r="Y368" s="191" cm="1">
        <f t="array" ref="Y368">INDEX($L$215:$L$219,MATCH(Y$230,EV_charger_type,0))*INDEX(EV06_domestic_upper,$C368)*EV07_domestic_upper</f>
        <v>0</v>
      </c>
      <c r="Z368" s="191" cm="1">
        <f t="array" ref="Z368">INDEX($L$215:$L$219,MATCH(Z$230,EV_charger_type,0))*INDEX(EV06_work,$C368)*EV07_work_upper</f>
        <v>0</v>
      </c>
      <c r="AA368" s="191" cm="1">
        <f t="array" ref="AA368">INDEX($L$215:$L$219,MATCH(AA$230,EV_charger_type,0))*INDEX(EV06_slowfast,$C368)*EV07_slowfast_upper</f>
        <v>0</v>
      </c>
      <c r="AB368" s="191" cm="1">
        <f t="array" ref="AB368">INDEX($L$215:$L$219,MATCH(AB$230,EV_charger_type,0))*INDEX(EV06_rapid,$C368)*EV07_rapid_upper</f>
        <v>3.2113522022400001</v>
      </c>
      <c r="AC368" s="191" cm="1">
        <f t="array" ref="AC368">INDEX($L$215:$L$219,MATCH(AC$230,EV_charger_type,0))*INDEX(EV06_depot,$C368)*EV07_depot_upper</f>
        <v>280.73844386058244</v>
      </c>
      <c r="AD368" s="192">
        <f t="shared" si="46"/>
        <v>283.94979606282243</v>
      </c>
      <c r="AE368" s="192">
        <f t="shared" si="43"/>
        <v>35.493724507852804</v>
      </c>
      <c r="AF368" s="194"/>
      <c r="AG368" s="194"/>
    </row>
    <row r="369" spans="2:33">
      <c r="B369" s="194"/>
      <c r="C369" s="194">
        <v>14</v>
      </c>
      <c r="D369" s="180">
        <v>0.27083333333333331</v>
      </c>
      <c r="E369" s="191" cm="1">
        <f t="array" ref="E369">INDEX($J$215:$J$219,MATCH(E$230,EV_charger_type,0))*INDEX(EV06_domestic_Default,$C369)*EV07_domestic_Default</f>
        <v>0</v>
      </c>
      <c r="F369" s="191" cm="1">
        <f t="array" ref="F369">INDEX($J$215:$J$219,MATCH(F$230,EV_charger_type,0))*INDEX(EV06_work,$C369)*EV07_work_Default</f>
        <v>0</v>
      </c>
      <c r="G369" s="191" cm="1">
        <f t="array" ref="G369">INDEX($J$215:$J$219,MATCH(G$230,EV_charger_type,0))*INDEX(EV06_slowfast,$C369)*EV07_slowfast_Default</f>
        <v>0</v>
      </c>
      <c r="H369" s="191" cm="1">
        <f t="array" ref="H369">INDEX($J$215:$J$219,MATCH(H$230,EV_charger_type,0))*INDEX(EV06_rapid,$C369)*EV07_rapid_Default</f>
        <v>4.6462139444448001</v>
      </c>
      <c r="I369" s="191" cm="1">
        <f t="array" ref="I369">INDEX($J$215:$J$219,MATCH(I$230,EV_charger_type,0))*INDEX(EV06_depot,$C369)*EV07_depot_Default</f>
        <v>250.1312058620928</v>
      </c>
      <c r="J369" s="192">
        <f t="shared" si="44"/>
        <v>254.77741980653761</v>
      </c>
      <c r="K369" s="192">
        <f t="shared" si="41"/>
        <v>31.847177475817201</v>
      </c>
      <c r="L369" s="194"/>
      <c r="M369" s="194"/>
      <c r="N369" s="180">
        <v>0.27083333333333331</v>
      </c>
      <c r="O369" s="191" cm="1">
        <f t="array" ref="O369">INDEX($K$215:$K$219,MATCH(O$230,EV_charger_type,0))*INDEX(EV06_domestic_lower,$C369)*EV07_domestic_lower</f>
        <v>0</v>
      </c>
      <c r="P369" s="191" cm="1">
        <f t="array" ref="P369">INDEX($K$215:$K$219,MATCH(P$230,EV_charger_type,0))*INDEX(EV06_work,$C369)*EV07_work_lower</f>
        <v>0</v>
      </c>
      <c r="Q369" s="191" cm="1">
        <f t="array" ref="Q369">INDEX($K$215:$K$219,MATCH(Q$230,EV_charger_type,0))*INDEX(EV06_slowfast,$C369)*EV07_slowfast_lower</f>
        <v>0</v>
      </c>
      <c r="R369" s="191" cm="1">
        <f t="array" ref="R369">INDEX($K$215:$K$219,MATCH(R$230,EV_charger_type,0))*INDEX(EV06_rapid,$C369)*EV07_rapid_lower</f>
        <v>4.6462139444448001</v>
      </c>
      <c r="S369" s="191" cm="1">
        <f t="array" ref="S369">INDEX($K$215:$K$219,MATCH(S$230,EV_charger_type,0))*INDEX(EV06_depot,$C369)*EV07_depot_lower</f>
        <v>250.1312058620928</v>
      </c>
      <c r="T369" s="192">
        <f t="shared" si="45"/>
        <v>254.77741980653761</v>
      </c>
      <c r="U369" s="192">
        <f t="shared" si="42"/>
        <v>31.847177475817201</v>
      </c>
      <c r="V369" s="194"/>
      <c r="W369" s="194"/>
      <c r="X369" s="180">
        <v>0.27083333333333331</v>
      </c>
      <c r="Y369" s="191" cm="1">
        <f t="array" ref="Y369">INDEX($L$215:$L$219,MATCH(Y$230,EV_charger_type,0))*INDEX(EV06_domestic_upper,$C369)*EV07_domestic_upper</f>
        <v>0</v>
      </c>
      <c r="Z369" s="191" cm="1">
        <f t="array" ref="Z369">INDEX($L$215:$L$219,MATCH(Z$230,EV_charger_type,0))*INDEX(EV06_work,$C369)*EV07_work_upper</f>
        <v>0</v>
      </c>
      <c r="AA369" s="191" cm="1">
        <f t="array" ref="AA369">INDEX($L$215:$L$219,MATCH(AA$230,EV_charger_type,0))*INDEX(EV06_slowfast,$C369)*EV07_slowfast_upper</f>
        <v>0</v>
      </c>
      <c r="AB369" s="191" cm="1">
        <f t="array" ref="AB369">INDEX($L$215:$L$219,MATCH(AB$230,EV_charger_type,0))*INDEX(EV06_rapid,$C369)*EV07_rapid_upper</f>
        <v>4.6462139444448001</v>
      </c>
      <c r="AC369" s="191" cm="1">
        <f t="array" ref="AC369">INDEX($L$215:$L$219,MATCH(AC$230,EV_charger_type,0))*INDEX(EV06_depot,$C369)*EV07_depot_upper</f>
        <v>250.1312058620928</v>
      </c>
      <c r="AD369" s="192">
        <f t="shared" si="46"/>
        <v>254.77741980653761</v>
      </c>
      <c r="AE369" s="192">
        <f t="shared" si="43"/>
        <v>31.847177475817201</v>
      </c>
      <c r="AF369" s="194"/>
      <c r="AG369" s="194"/>
    </row>
    <row r="370" spans="2:33">
      <c r="B370" s="194"/>
      <c r="C370" s="194">
        <v>15</v>
      </c>
      <c r="D370" s="180">
        <v>0.29166666666666669</v>
      </c>
      <c r="E370" s="191" cm="1">
        <f t="array" ref="E370">INDEX($J$215:$J$219,MATCH(E$230,EV_charger_type,0))*INDEX(EV06_domestic_Default,$C370)*EV07_domestic_Default</f>
        <v>0</v>
      </c>
      <c r="F370" s="191" cm="1">
        <f t="array" ref="F370">INDEX($J$215:$J$219,MATCH(F$230,EV_charger_type,0))*INDEX(EV06_work,$C370)*EV07_work_Default</f>
        <v>0</v>
      </c>
      <c r="G370" s="191" cm="1">
        <f t="array" ref="G370">INDEX($J$215:$J$219,MATCH(G$230,EV_charger_type,0))*INDEX(EV06_slowfast,$C370)*EV07_slowfast_Default</f>
        <v>0</v>
      </c>
      <c r="H370" s="191" cm="1">
        <f t="array" ref="H370">INDEX($J$215:$J$219,MATCH(H$230,EV_charger_type,0))*INDEX(EV06_rapid,$C370)*EV07_rapid_Default</f>
        <v>6.4821778021728003</v>
      </c>
      <c r="I370" s="191" cm="1">
        <f t="array" ref="I370">INDEX($J$215:$J$219,MATCH(I$230,EV_charger_type,0))*INDEX(EV06_depot,$C370)*EV07_depot_Default</f>
        <v>224.11809054351357</v>
      </c>
      <c r="J370" s="192">
        <f t="shared" si="44"/>
        <v>230.60026834568637</v>
      </c>
      <c r="K370" s="192">
        <f t="shared" si="41"/>
        <v>28.825033543210797</v>
      </c>
      <c r="L370" s="194"/>
      <c r="M370" s="194"/>
      <c r="N370" s="180">
        <v>0.29166666666666669</v>
      </c>
      <c r="O370" s="191" cm="1">
        <f t="array" ref="O370">INDEX($K$215:$K$219,MATCH(O$230,EV_charger_type,0))*INDEX(EV06_domestic_lower,$C370)*EV07_domestic_lower</f>
        <v>0</v>
      </c>
      <c r="P370" s="191" cm="1">
        <f t="array" ref="P370">INDEX($K$215:$K$219,MATCH(P$230,EV_charger_type,0))*INDEX(EV06_work,$C370)*EV07_work_lower</f>
        <v>0</v>
      </c>
      <c r="Q370" s="191" cm="1">
        <f t="array" ref="Q370">INDEX($K$215:$K$219,MATCH(Q$230,EV_charger_type,0))*INDEX(EV06_slowfast,$C370)*EV07_slowfast_lower</f>
        <v>0</v>
      </c>
      <c r="R370" s="191" cm="1">
        <f t="array" ref="R370">INDEX($K$215:$K$219,MATCH(R$230,EV_charger_type,0))*INDEX(EV06_rapid,$C370)*EV07_rapid_lower</f>
        <v>6.4821778021728003</v>
      </c>
      <c r="S370" s="191" cm="1">
        <f t="array" ref="S370">INDEX($K$215:$K$219,MATCH(S$230,EV_charger_type,0))*INDEX(EV06_depot,$C370)*EV07_depot_lower</f>
        <v>224.11809054351357</v>
      </c>
      <c r="T370" s="192">
        <f t="shared" si="45"/>
        <v>230.60026834568637</v>
      </c>
      <c r="U370" s="192">
        <f t="shared" si="42"/>
        <v>28.825033543210797</v>
      </c>
      <c r="V370" s="194"/>
      <c r="W370" s="194"/>
      <c r="X370" s="180">
        <v>0.29166666666666669</v>
      </c>
      <c r="Y370" s="191" cm="1">
        <f t="array" ref="Y370">INDEX($L$215:$L$219,MATCH(Y$230,EV_charger_type,0))*INDEX(EV06_domestic_upper,$C370)*EV07_domestic_upper</f>
        <v>0</v>
      </c>
      <c r="Z370" s="191" cm="1">
        <f t="array" ref="Z370">INDEX($L$215:$L$219,MATCH(Z$230,EV_charger_type,0))*INDEX(EV06_work,$C370)*EV07_work_upper</f>
        <v>0</v>
      </c>
      <c r="AA370" s="191" cm="1">
        <f t="array" ref="AA370">INDEX($L$215:$L$219,MATCH(AA$230,EV_charger_type,0))*INDEX(EV06_slowfast,$C370)*EV07_slowfast_upper</f>
        <v>0</v>
      </c>
      <c r="AB370" s="191" cm="1">
        <f t="array" ref="AB370">INDEX($L$215:$L$219,MATCH(AB$230,EV_charger_type,0))*INDEX(EV06_rapid,$C370)*EV07_rapid_upper</f>
        <v>6.4821778021728003</v>
      </c>
      <c r="AC370" s="191" cm="1">
        <f t="array" ref="AC370">INDEX($L$215:$L$219,MATCH(AC$230,EV_charger_type,0))*INDEX(EV06_depot,$C370)*EV07_depot_upper</f>
        <v>224.11809054351357</v>
      </c>
      <c r="AD370" s="192">
        <f t="shared" si="46"/>
        <v>230.60026834568637</v>
      </c>
      <c r="AE370" s="192">
        <f t="shared" si="43"/>
        <v>28.825033543210797</v>
      </c>
      <c r="AF370" s="194"/>
      <c r="AG370" s="194"/>
    </row>
    <row r="371" spans="2:33">
      <c r="B371" s="194"/>
      <c r="C371" s="194">
        <v>16</v>
      </c>
      <c r="D371" s="180">
        <v>0.3125</v>
      </c>
      <c r="E371" s="191" cm="1">
        <f t="array" ref="E371">INDEX($J$215:$J$219,MATCH(E$230,EV_charger_type,0))*INDEX(EV06_domestic_Default,$C371)*EV07_domestic_Default</f>
        <v>0</v>
      </c>
      <c r="F371" s="191" cm="1">
        <f t="array" ref="F371">INDEX($J$215:$J$219,MATCH(F$230,EV_charger_type,0))*INDEX(EV06_work,$C371)*EV07_work_Default</f>
        <v>0</v>
      </c>
      <c r="G371" s="191" cm="1">
        <f t="array" ref="G371">INDEX($J$215:$J$219,MATCH(G$230,EV_charger_type,0))*INDEX(EV06_slowfast,$C371)*EV07_slowfast_Default</f>
        <v>0</v>
      </c>
      <c r="H371" s="191" cm="1">
        <f t="array" ref="H371">INDEX($J$215:$J$219,MATCH(H$230,EV_charger_type,0))*INDEX(EV06_rapid,$C371)*EV07_rapid_Default</f>
        <v>8.3182472964864012</v>
      </c>
      <c r="I371" s="191" cm="1">
        <f t="array" ref="I371">INDEX($J$215:$J$219,MATCH(I$230,EV_charger_type,0))*INDEX(EV06_depot,$C371)*EV07_depot_Default</f>
        <v>198.1022143339008</v>
      </c>
      <c r="J371" s="192">
        <f t="shared" si="44"/>
        <v>206.42046163038719</v>
      </c>
      <c r="K371" s="192">
        <f t="shared" si="41"/>
        <v>25.802557703798399</v>
      </c>
      <c r="L371" s="194"/>
      <c r="M371" s="194"/>
      <c r="N371" s="180">
        <v>0.3125</v>
      </c>
      <c r="O371" s="191" cm="1">
        <f t="array" ref="O371">INDEX($K$215:$K$219,MATCH(O$230,EV_charger_type,0))*INDEX(EV06_domestic_lower,$C371)*EV07_domestic_lower</f>
        <v>0</v>
      </c>
      <c r="P371" s="191" cm="1">
        <f t="array" ref="P371">INDEX($K$215:$K$219,MATCH(P$230,EV_charger_type,0))*INDEX(EV06_work,$C371)*EV07_work_lower</f>
        <v>0</v>
      </c>
      <c r="Q371" s="191" cm="1">
        <f t="array" ref="Q371">INDEX($K$215:$K$219,MATCH(Q$230,EV_charger_type,0))*INDEX(EV06_slowfast,$C371)*EV07_slowfast_lower</f>
        <v>0</v>
      </c>
      <c r="R371" s="191" cm="1">
        <f t="array" ref="R371">INDEX($K$215:$K$219,MATCH(R$230,EV_charger_type,0))*INDEX(EV06_rapid,$C371)*EV07_rapid_lower</f>
        <v>8.3182472964864012</v>
      </c>
      <c r="S371" s="191" cm="1">
        <f t="array" ref="S371">INDEX($K$215:$K$219,MATCH(S$230,EV_charger_type,0))*INDEX(EV06_depot,$C371)*EV07_depot_lower</f>
        <v>198.1022143339008</v>
      </c>
      <c r="T371" s="192">
        <f t="shared" si="45"/>
        <v>206.42046163038719</v>
      </c>
      <c r="U371" s="192">
        <f t="shared" si="42"/>
        <v>25.802557703798399</v>
      </c>
      <c r="V371" s="194"/>
      <c r="W371" s="194"/>
      <c r="X371" s="180">
        <v>0.3125</v>
      </c>
      <c r="Y371" s="191" cm="1">
        <f t="array" ref="Y371">INDEX($L$215:$L$219,MATCH(Y$230,EV_charger_type,0))*INDEX(EV06_domestic_upper,$C371)*EV07_domestic_upper</f>
        <v>0</v>
      </c>
      <c r="Z371" s="191" cm="1">
        <f t="array" ref="Z371">INDEX($L$215:$L$219,MATCH(Z$230,EV_charger_type,0))*INDEX(EV06_work,$C371)*EV07_work_upper</f>
        <v>0</v>
      </c>
      <c r="AA371" s="191" cm="1">
        <f t="array" ref="AA371">INDEX($L$215:$L$219,MATCH(AA$230,EV_charger_type,0))*INDEX(EV06_slowfast,$C371)*EV07_slowfast_upper</f>
        <v>0</v>
      </c>
      <c r="AB371" s="191" cm="1">
        <f t="array" ref="AB371">INDEX($L$215:$L$219,MATCH(AB$230,EV_charger_type,0))*INDEX(EV06_rapid,$C371)*EV07_rapid_upper</f>
        <v>8.3182472964864012</v>
      </c>
      <c r="AC371" s="191" cm="1">
        <f t="array" ref="AC371">INDEX($L$215:$L$219,MATCH(AC$230,EV_charger_type,0))*INDEX(EV06_depot,$C371)*EV07_depot_upper</f>
        <v>198.1022143339008</v>
      </c>
      <c r="AD371" s="192">
        <f t="shared" si="46"/>
        <v>206.42046163038719</v>
      </c>
      <c r="AE371" s="192">
        <f t="shared" si="43"/>
        <v>25.802557703798399</v>
      </c>
      <c r="AF371" s="194"/>
      <c r="AG371" s="194"/>
    </row>
    <row r="372" spans="2:33">
      <c r="B372" s="194"/>
      <c r="C372" s="194">
        <v>17</v>
      </c>
      <c r="D372" s="180">
        <v>0.33333333333333331</v>
      </c>
      <c r="E372" s="191" cm="1">
        <f t="array" ref="E372">INDEX($J$215:$J$219,MATCH(E$230,EV_charger_type,0))*INDEX(EV06_domestic_Default,$C372)*EV07_domestic_Default</f>
        <v>0</v>
      </c>
      <c r="F372" s="191" cm="1">
        <f t="array" ref="F372">INDEX($J$215:$J$219,MATCH(F$230,EV_charger_type,0))*INDEX(EV06_work,$C372)*EV07_work_Default</f>
        <v>0</v>
      </c>
      <c r="G372" s="191" cm="1">
        <f t="array" ref="G372">INDEX($J$215:$J$219,MATCH(G$230,EV_charger_type,0))*INDEX(EV06_slowfast,$C372)*EV07_slowfast_Default</f>
        <v>0</v>
      </c>
      <c r="H372" s="191" cm="1">
        <f t="array" ref="H372">INDEX($J$215:$J$219,MATCH(H$230,EV_charger_type,0))*INDEX(EV06_rapid,$C372)*EV07_rapid_Default</f>
        <v>10.348793744889601</v>
      </c>
      <c r="I372" s="191" cm="1">
        <f t="array" ref="I372">INDEX($J$215:$J$219,MATCH(I$230,EV_charger_type,0))*INDEX(EV06_depot,$C372)*EV07_depot_Default</f>
        <v>178.83119491937279</v>
      </c>
      <c r="J372" s="192">
        <f t="shared" si="44"/>
        <v>189.1799886642624</v>
      </c>
      <c r="K372" s="192">
        <f t="shared" si="41"/>
        <v>23.6474985830328</v>
      </c>
      <c r="L372" s="194"/>
      <c r="M372" s="194"/>
      <c r="N372" s="180">
        <v>0.33333333333333331</v>
      </c>
      <c r="O372" s="191" cm="1">
        <f t="array" ref="O372">INDEX($K$215:$K$219,MATCH(O$230,EV_charger_type,0))*INDEX(EV06_domestic_lower,$C372)*EV07_domestic_lower</f>
        <v>0</v>
      </c>
      <c r="P372" s="191" cm="1">
        <f t="array" ref="P372">INDEX($K$215:$K$219,MATCH(P$230,EV_charger_type,0))*INDEX(EV06_work,$C372)*EV07_work_lower</f>
        <v>0</v>
      </c>
      <c r="Q372" s="191" cm="1">
        <f t="array" ref="Q372">INDEX($K$215:$K$219,MATCH(Q$230,EV_charger_type,0))*INDEX(EV06_slowfast,$C372)*EV07_slowfast_lower</f>
        <v>0</v>
      </c>
      <c r="R372" s="191" cm="1">
        <f t="array" ref="R372">INDEX($K$215:$K$219,MATCH(R$230,EV_charger_type,0))*INDEX(EV06_rapid,$C372)*EV07_rapid_lower</f>
        <v>10.348793744889601</v>
      </c>
      <c r="S372" s="191" cm="1">
        <f t="array" ref="S372">INDEX($K$215:$K$219,MATCH(S$230,EV_charger_type,0))*INDEX(EV06_depot,$C372)*EV07_depot_lower</f>
        <v>178.83119491937279</v>
      </c>
      <c r="T372" s="192">
        <f t="shared" si="45"/>
        <v>189.1799886642624</v>
      </c>
      <c r="U372" s="192">
        <f t="shared" si="42"/>
        <v>23.6474985830328</v>
      </c>
      <c r="V372" s="194"/>
      <c r="W372" s="194"/>
      <c r="X372" s="180">
        <v>0.33333333333333331</v>
      </c>
      <c r="Y372" s="191" cm="1">
        <f t="array" ref="Y372">INDEX($L$215:$L$219,MATCH(Y$230,EV_charger_type,0))*INDEX(EV06_domestic_upper,$C372)*EV07_domestic_upper</f>
        <v>0</v>
      </c>
      <c r="Z372" s="191" cm="1">
        <f t="array" ref="Z372">INDEX($L$215:$L$219,MATCH(Z$230,EV_charger_type,0))*INDEX(EV06_work,$C372)*EV07_work_upper</f>
        <v>0</v>
      </c>
      <c r="AA372" s="191" cm="1">
        <f t="array" ref="AA372">INDEX($L$215:$L$219,MATCH(AA$230,EV_charger_type,0))*INDEX(EV06_slowfast,$C372)*EV07_slowfast_upper</f>
        <v>0</v>
      </c>
      <c r="AB372" s="191" cm="1">
        <f t="array" ref="AB372">INDEX($L$215:$L$219,MATCH(AB$230,EV_charger_type,0))*INDEX(EV06_rapid,$C372)*EV07_rapid_upper</f>
        <v>10.348793744889601</v>
      </c>
      <c r="AC372" s="191" cm="1">
        <f t="array" ref="AC372">INDEX($L$215:$L$219,MATCH(AC$230,EV_charger_type,0))*INDEX(EV06_depot,$C372)*EV07_depot_upper</f>
        <v>178.83119491937279</v>
      </c>
      <c r="AD372" s="192">
        <f t="shared" si="46"/>
        <v>189.1799886642624</v>
      </c>
      <c r="AE372" s="192">
        <f t="shared" si="43"/>
        <v>23.6474985830328</v>
      </c>
      <c r="AF372" s="194"/>
      <c r="AG372" s="194"/>
    </row>
    <row r="373" spans="2:33">
      <c r="B373" s="194"/>
      <c r="C373" s="194">
        <v>18</v>
      </c>
      <c r="D373" s="180">
        <v>0.35416666666666669</v>
      </c>
      <c r="E373" s="191" cm="1">
        <f t="array" ref="E373">INDEX($J$215:$J$219,MATCH(E$230,EV_charger_type,0))*INDEX(EV06_domestic_Default,$C373)*EV07_domestic_Default</f>
        <v>0</v>
      </c>
      <c r="F373" s="191" cm="1">
        <f t="array" ref="F373">INDEX($J$215:$J$219,MATCH(F$230,EV_charger_type,0))*INDEX(EV06_work,$C373)*EV07_work_Default</f>
        <v>0</v>
      </c>
      <c r="G373" s="191" cm="1">
        <f t="array" ref="G373">INDEX($J$215:$J$219,MATCH(G$230,EV_charger_type,0))*INDEX(EV06_slowfast,$C373)*EV07_slowfast_Default</f>
        <v>0</v>
      </c>
      <c r="H373" s="191" cm="1">
        <f t="array" ref="H373">INDEX($J$215:$J$219,MATCH(H$230,EV_charger_type,0))*INDEX(EV06_rapid,$C373)*EV07_rapid_Default</f>
        <v>12.379340193292801</v>
      </c>
      <c r="I373" s="191" cm="1">
        <f t="array" ref="I373">INDEX($J$215:$J$219,MATCH(I$230,EV_charger_type,0))*INDEX(EV06_depot,$C373)*EV07_depot_Default</f>
        <v>159.56017550484481</v>
      </c>
      <c r="J373" s="192">
        <f t="shared" si="44"/>
        <v>171.9395156981376</v>
      </c>
      <c r="K373" s="192">
        <f t="shared" si="41"/>
        <v>21.4924394622672</v>
      </c>
      <c r="L373" s="194"/>
      <c r="M373" s="194"/>
      <c r="N373" s="180">
        <v>0.35416666666666669</v>
      </c>
      <c r="O373" s="191" cm="1">
        <f t="array" ref="O373">INDEX($K$215:$K$219,MATCH(O$230,EV_charger_type,0))*INDEX(EV06_domestic_lower,$C373)*EV07_domestic_lower</f>
        <v>0</v>
      </c>
      <c r="P373" s="191" cm="1">
        <f t="array" ref="P373">INDEX($K$215:$K$219,MATCH(P$230,EV_charger_type,0))*INDEX(EV06_work,$C373)*EV07_work_lower</f>
        <v>0</v>
      </c>
      <c r="Q373" s="191" cm="1">
        <f t="array" ref="Q373">INDEX($K$215:$K$219,MATCH(Q$230,EV_charger_type,0))*INDEX(EV06_slowfast,$C373)*EV07_slowfast_lower</f>
        <v>0</v>
      </c>
      <c r="R373" s="191" cm="1">
        <f t="array" ref="R373">INDEX($K$215:$K$219,MATCH(R$230,EV_charger_type,0))*INDEX(EV06_rapid,$C373)*EV07_rapid_lower</f>
        <v>12.379340193292801</v>
      </c>
      <c r="S373" s="191" cm="1">
        <f t="array" ref="S373">INDEX($K$215:$K$219,MATCH(S$230,EV_charger_type,0))*INDEX(EV06_depot,$C373)*EV07_depot_lower</f>
        <v>159.56017550484481</v>
      </c>
      <c r="T373" s="192">
        <f t="shared" si="45"/>
        <v>171.9395156981376</v>
      </c>
      <c r="U373" s="192">
        <f t="shared" si="42"/>
        <v>21.4924394622672</v>
      </c>
      <c r="V373" s="194"/>
      <c r="W373" s="194"/>
      <c r="X373" s="180">
        <v>0.35416666666666669</v>
      </c>
      <c r="Y373" s="191" cm="1">
        <f t="array" ref="Y373">INDEX($L$215:$L$219,MATCH(Y$230,EV_charger_type,0))*INDEX(EV06_domestic_upper,$C373)*EV07_domestic_upper</f>
        <v>0</v>
      </c>
      <c r="Z373" s="191" cm="1">
        <f t="array" ref="Z373">INDEX($L$215:$L$219,MATCH(Z$230,EV_charger_type,0))*INDEX(EV06_work,$C373)*EV07_work_upper</f>
        <v>0</v>
      </c>
      <c r="AA373" s="191" cm="1">
        <f t="array" ref="AA373">INDEX($L$215:$L$219,MATCH(AA$230,EV_charger_type,0))*INDEX(EV06_slowfast,$C373)*EV07_slowfast_upper</f>
        <v>0</v>
      </c>
      <c r="AB373" s="191" cm="1">
        <f t="array" ref="AB373">INDEX($L$215:$L$219,MATCH(AB$230,EV_charger_type,0))*INDEX(EV06_rapid,$C373)*EV07_rapid_upper</f>
        <v>12.379340193292801</v>
      </c>
      <c r="AC373" s="191" cm="1">
        <f t="array" ref="AC373">INDEX($L$215:$L$219,MATCH(AC$230,EV_charger_type,0))*INDEX(EV06_depot,$C373)*EV07_depot_upper</f>
        <v>159.56017550484481</v>
      </c>
      <c r="AD373" s="192">
        <f t="shared" si="46"/>
        <v>171.9395156981376</v>
      </c>
      <c r="AE373" s="192">
        <f t="shared" si="43"/>
        <v>21.4924394622672</v>
      </c>
      <c r="AF373" s="194"/>
      <c r="AG373" s="194"/>
    </row>
    <row r="374" spans="2:33">
      <c r="B374" s="194"/>
      <c r="C374" s="194">
        <v>19</v>
      </c>
      <c r="D374" s="180">
        <v>0.375</v>
      </c>
      <c r="E374" s="191" cm="1">
        <f t="array" ref="E374">INDEX($J$215:$J$219,MATCH(E$230,EV_charger_type,0))*INDEX(EV06_domestic_Default,$C374)*EV07_domestic_Default</f>
        <v>0</v>
      </c>
      <c r="F374" s="191" cm="1">
        <f t="array" ref="F374">INDEX($J$215:$J$219,MATCH(F$230,EV_charger_type,0))*INDEX(EV06_work,$C374)*EV07_work_Default</f>
        <v>0</v>
      </c>
      <c r="G374" s="191" cm="1">
        <f t="array" ref="G374">INDEX($J$215:$J$219,MATCH(G$230,EV_charger_type,0))*INDEX(EV06_slowfast,$C374)*EV07_slowfast_Default</f>
        <v>0</v>
      </c>
      <c r="H374" s="191" cm="1">
        <f t="array" ref="H374">INDEX($J$215:$J$219,MATCH(H$230,EV_charger_type,0))*INDEX(EV06_rapid,$C374)*EV07_rapid_Default</f>
        <v>14.198190924153602</v>
      </c>
      <c r="I374" s="191" cm="1">
        <f t="array" ref="I374">INDEX($J$215:$J$219,MATCH(I$230,EV_charger_type,0))*INDEX(EV06_depot,$C374)*EV07_depot_Default</f>
        <v>144.7065817440768</v>
      </c>
      <c r="J374" s="192">
        <f t="shared" si="44"/>
        <v>158.90477266823041</v>
      </c>
      <c r="K374" s="192">
        <f t="shared" si="41"/>
        <v>19.863096583528801</v>
      </c>
      <c r="L374" s="194"/>
      <c r="M374" s="194"/>
      <c r="N374" s="180">
        <v>0.375</v>
      </c>
      <c r="O374" s="191" cm="1">
        <f t="array" ref="O374">INDEX($K$215:$K$219,MATCH(O$230,EV_charger_type,0))*INDEX(EV06_domestic_lower,$C374)*EV07_domestic_lower</f>
        <v>0</v>
      </c>
      <c r="P374" s="191" cm="1">
        <f t="array" ref="P374">INDEX($K$215:$K$219,MATCH(P$230,EV_charger_type,0))*INDEX(EV06_work,$C374)*EV07_work_lower</f>
        <v>0</v>
      </c>
      <c r="Q374" s="191" cm="1">
        <f t="array" ref="Q374">INDEX($K$215:$K$219,MATCH(Q$230,EV_charger_type,0))*INDEX(EV06_slowfast,$C374)*EV07_slowfast_lower</f>
        <v>0</v>
      </c>
      <c r="R374" s="191" cm="1">
        <f t="array" ref="R374">INDEX($K$215:$K$219,MATCH(R$230,EV_charger_type,0))*INDEX(EV06_rapid,$C374)*EV07_rapid_lower</f>
        <v>14.198190924153602</v>
      </c>
      <c r="S374" s="191" cm="1">
        <f t="array" ref="S374">INDEX($K$215:$K$219,MATCH(S$230,EV_charger_type,0))*INDEX(EV06_depot,$C374)*EV07_depot_lower</f>
        <v>144.7065817440768</v>
      </c>
      <c r="T374" s="192">
        <f t="shared" si="45"/>
        <v>158.90477266823041</v>
      </c>
      <c r="U374" s="192">
        <f t="shared" si="42"/>
        <v>19.863096583528801</v>
      </c>
      <c r="V374" s="194"/>
      <c r="W374" s="194"/>
      <c r="X374" s="180">
        <v>0.375</v>
      </c>
      <c r="Y374" s="191" cm="1">
        <f t="array" ref="Y374">INDEX($L$215:$L$219,MATCH(Y$230,EV_charger_type,0))*INDEX(EV06_domestic_upper,$C374)*EV07_domestic_upper</f>
        <v>0</v>
      </c>
      <c r="Z374" s="191" cm="1">
        <f t="array" ref="Z374">INDEX($L$215:$L$219,MATCH(Z$230,EV_charger_type,0))*INDEX(EV06_work,$C374)*EV07_work_upper</f>
        <v>0</v>
      </c>
      <c r="AA374" s="191" cm="1">
        <f t="array" ref="AA374">INDEX($L$215:$L$219,MATCH(AA$230,EV_charger_type,0))*INDEX(EV06_slowfast,$C374)*EV07_slowfast_upper</f>
        <v>0</v>
      </c>
      <c r="AB374" s="191" cm="1">
        <f t="array" ref="AB374">INDEX($L$215:$L$219,MATCH(AB$230,EV_charger_type,0))*INDEX(EV06_rapid,$C374)*EV07_rapid_upper</f>
        <v>14.198190924153602</v>
      </c>
      <c r="AC374" s="191" cm="1">
        <f t="array" ref="AC374">INDEX($L$215:$L$219,MATCH(AC$230,EV_charger_type,0))*INDEX(EV06_depot,$C374)*EV07_depot_upper</f>
        <v>144.7065817440768</v>
      </c>
      <c r="AD374" s="192">
        <f t="shared" si="46"/>
        <v>158.90477266823041</v>
      </c>
      <c r="AE374" s="192">
        <f t="shared" si="43"/>
        <v>19.863096583528801</v>
      </c>
      <c r="AF374" s="194"/>
      <c r="AG374" s="194"/>
    </row>
    <row r="375" spans="2:33">
      <c r="B375" s="194"/>
      <c r="C375" s="194">
        <v>20</v>
      </c>
      <c r="D375" s="180">
        <v>0.39583333333333331</v>
      </c>
      <c r="E375" s="191" cm="1">
        <f t="array" ref="E375">INDEX($J$215:$J$219,MATCH(E$230,EV_charger_type,0))*INDEX(EV06_domestic_Default,$C375)*EV07_domestic_Default</f>
        <v>0</v>
      </c>
      <c r="F375" s="191" cm="1">
        <f t="array" ref="F375">INDEX($J$215:$J$219,MATCH(F$230,EV_charger_type,0))*INDEX(EV06_work,$C375)*EV07_work_Default</f>
        <v>0</v>
      </c>
      <c r="G375" s="191" cm="1">
        <f t="array" ref="G375">INDEX($J$215:$J$219,MATCH(G$230,EV_charger_type,0))*INDEX(EV06_slowfast,$C375)*EV07_slowfast_Default</f>
        <v>0</v>
      </c>
      <c r="H375" s="191" cm="1">
        <f t="array" ref="H375">INDEX($J$215:$J$219,MATCH(H$230,EV_charger_type,0))*INDEX(EV06_rapid,$C375)*EV07_rapid_Default</f>
        <v>16.017041655014399</v>
      </c>
      <c r="I375" s="191" cm="1">
        <f t="array" ref="I375">INDEX($J$215:$J$219,MATCH(I$230,EV_charger_type,0))*INDEX(EV06_depot,$C375)*EV07_depot_Default</f>
        <v>129.85298798330882</v>
      </c>
      <c r="J375" s="192">
        <f t="shared" si="44"/>
        <v>145.87002963832322</v>
      </c>
      <c r="K375" s="192">
        <f t="shared" si="41"/>
        <v>18.233753704790402</v>
      </c>
      <c r="L375" s="194"/>
      <c r="M375" s="194"/>
      <c r="N375" s="180">
        <v>0.39583333333333331</v>
      </c>
      <c r="O375" s="191" cm="1">
        <f t="array" ref="O375">INDEX($K$215:$K$219,MATCH(O$230,EV_charger_type,0))*INDEX(EV06_domestic_lower,$C375)*EV07_domestic_lower</f>
        <v>0</v>
      </c>
      <c r="P375" s="191" cm="1">
        <f t="array" ref="P375">INDEX($K$215:$K$219,MATCH(P$230,EV_charger_type,0))*INDEX(EV06_work,$C375)*EV07_work_lower</f>
        <v>0</v>
      </c>
      <c r="Q375" s="191" cm="1">
        <f t="array" ref="Q375">INDEX($K$215:$K$219,MATCH(Q$230,EV_charger_type,0))*INDEX(EV06_slowfast,$C375)*EV07_slowfast_lower</f>
        <v>0</v>
      </c>
      <c r="R375" s="191" cm="1">
        <f t="array" ref="R375">INDEX($K$215:$K$219,MATCH(R$230,EV_charger_type,0))*INDEX(EV06_rapid,$C375)*EV07_rapid_lower</f>
        <v>16.017041655014399</v>
      </c>
      <c r="S375" s="191" cm="1">
        <f t="array" ref="S375">INDEX($K$215:$K$219,MATCH(S$230,EV_charger_type,0))*INDEX(EV06_depot,$C375)*EV07_depot_lower</f>
        <v>129.85298798330882</v>
      </c>
      <c r="T375" s="192">
        <f t="shared" si="45"/>
        <v>145.87002963832322</v>
      </c>
      <c r="U375" s="192">
        <f t="shared" si="42"/>
        <v>18.233753704790402</v>
      </c>
      <c r="V375" s="194"/>
      <c r="W375" s="194"/>
      <c r="X375" s="180">
        <v>0.39583333333333331</v>
      </c>
      <c r="Y375" s="191" cm="1">
        <f t="array" ref="Y375">INDEX($L$215:$L$219,MATCH(Y$230,EV_charger_type,0))*INDEX(EV06_domestic_upper,$C375)*EV07_domestic_upper</f>
        <v>0</v>
      </c>
      <c r="Z375" s="191" cm="1">
        <f t="array" ref="Z375">INDEX($L$215:$L$219,MATCH(Z$230,EV_charger_type,0))*INDEX(EV06_work,$C375)*EV07_work_upper</f>
        <v>0</v>
      </c>
      <c r="AA375" s="191" cm="1">
        <f t="array" ref="AA375">INDEX($L$215:$L$219,MATCH(AA$230,EV_charger_type,0))*INDEX(EV06_slowfast,$C375)*EV07_slowfast_upper</f>
        <v>0</v>
      </c>
      <c r="AB375" s="191" cm="1">
        <f t="array" ref="AB375">INDEX($L$215:$L$219,MATCH(AB$230,EV_charger_type,0))*INDEX(EV06_rapid,$C375)*EV07_rapid_upper</f>
        <v>16.017041655014399</v>
      </c>
      <c r="AC375" s="191" cm="1">
        <f t="array" ref="AC375">INDEX($L$215:$L$219,MATCH(AC$230,EV_charger_type,0))*INDEX(EV06_depot,$C375)*EV07_depot_upper</f>
        <v>129.85298798330882</v>
      </c>
      <c r="AD375" s="192">
        <f t="shared" si="46"/>
        <v>145.87002963832322</v>
      </c>
      <c r="AE375" s="192">
        <f t="shared" si="43"/>
        <v>18.233753704790402</v>
      </c>
      <c r="AF375" s="194"/>
      <c r="AG375" s="194"/>
    </row>
    <row r="376" spans="2:33">
      <c r="B376" s="194"/>
      <c r="C376" s="194">
        <v>21</v>
      </c>
      <c r="D376" s="180">
        <v>0.41666666666666669</v>
      </c>
      <c r="E376" s="191" cm="1">
        <f t="array" ref="E376">INDEX($J$215:$J$219,MATCH(E$230,EV_charger_type,0))*INDEX(EV06_domestic_Default,$C376)*EV07_domestic_Default</f>
        <v>0</v>
      </c>
      <c r="F376" s="191" cm="1">
        <f t="array" ref="F376">INDEX($J$215:$J$219,MATCH(F$230,EV_charger_type,0))*INDEX(EV06_work,$C376)*EV07_work_Default</f>
        <v>0</v>
      </c>
      <c r="G376" s="191" cm="1">
        <f t="array" ref="G376">INDEX($J$215:$J$219,MATCH(G$230,EV_charger_type,0))*INDEX(EV06_slowfast,$C376)*EV07_slowfast_Default</f>
        <v>0</v>
      </c>
      <c r="H376" s="191" cm="1">
        <f t="array" ref="H376">INDEX($J$215:$J$219,MATCH(H$230,EV_charger_type,0))*INDEX(EV06_rapid,$C376)*EV07_rapid_Default</f>
        <v>16.680016866239999</v>
      </c>
      <c r="I376" s="191" cm="1">
        <f t="array" ref="I376">INDEX($J$215:$J$219,MATCH(I$230,EV_charger_type,0))*INDEX(EV06_depot,$C376)*EV07_depot_Default</f>
        <v>119.93586739061762</v>
      </c>
      <c r="J376" s="192">
        <f t="shared" si="44"/>
        <v>136.61588425685761</v>
      </c>
      <c r="K376" s="192">
        <f t="shared" si="41"/>
        <v>17.076985532107201</v>
      </c>
      <c r="L376" s="194"/>
      <c r="M376" s="194"/>
      <c r="N376" s="180">
        <v>0.41666666666666669</v>
      </c>
      <c r="O376" s="191" cm="1">
        <f t="array" ref="O376">INDEX($K$215:$K$219,MATCH(O$230,EV_charger_type,0))*INDEX(EV06_domestic_lower,$C376)*EV07_domestic_lower</f>
        <v>0</v>
      </c>
      <c r="P376" s="191" cm="1">
        <f t="array" ref="P376">INDEX($K$215:$K$219,MATCH(P$230,EV_charger_type,0))*INDEX(EV06_work,$C376)*EV07_work_lower</f>
        <v>0</v>
      </c>
      <c r="Q376" s="191" cm="1">
        <f t="array" ref="Q376">INDEX($K$215:$K$219,MATCH(Q$230,EV_charger_type,0))*INDEX(EV06_slowfast,$C376)*EV07_slowfast_lower</f>
        <v>0</v>
      </c>
      <c r="R376" s="191" cm="1">
        <f t="array" ref="R376">INDEX($K$215:$K$219,MATCH(R$230,EV_charger_type,0))*INDEX(EV06_rapid,$C376)*EV07_rapid_lower</f>
        <v>16.680016866239999</v>
      </c>
      <c r="S376" s="191" cm="1">
        <f t="array" ref="S376">INDEX($K$215:$K$219,MATCH(S$230,EV_charger_type,0))*INDEX(EV06_depot,$C376)*EV07_depot_lower</f>
        <v>119.93586739061762</v>
      </c>
      <c r="T376" s="192">
        <f t="shared" si="45"/>
        <v>136.61588425685761</v>
      </c>
      <c r="U376" s="192">
        <f t="shared" si="42"/>
        <v>17.076985532107201</v>
      </c>
      <c r="V376" s="194"/>
      <c r="W376" s="194"/>
      <c r="X376" s="180">
        <v>0.41666666666666669</v>
      </c>
      <c r="Y376" s="191" cm="1">
        <f t="array" ref="Y376">INDEX($L$215:$L$219,MATCH(Y$230,EV_charger_type,0))*INDEX(EV06_domestic_upper,$C376)*EV07_domestic_upper</f>
        <v>0</v>
      </c>
      <c r="Z376" s="191" cm="1">
        <f t="array" ref="Z376">INDEX($L$215:$L$219,MATCH(Z$230,EV_charger_type,0))*INDEX(EV06_work,$C376)*EV07_work_upper</f>
        <v>0</v>
      </c>
      <c r="AA376" s="191" cm="1">
        <f t="array" ref="AA376">INDEX($L$215:$L$219,MATCH(AA$230,EV_charger_type,0))*INDEX(EV06_slowfast,$C376)*EV07_slowfast_upper</f>
        <v>0</v>
      </c>
      <c r="AB376" s="191" cm="1">
        <f t="array" ref="AB376">INDEX($L$215:$L$219,MATCH(AB$230,EV_charger_type,0))*INDEX(EV06_rapid,$C376)*EV07_rapid_upper</f>
        <v>16.680016866239999</v>
      </c>
      <c r="AC376" s="191" cm="1">
        <f t="array" ref="AC376">INDEX($L$215:$L$219,MATCH(AC$230,EV_charger_type,0))*INDEX(EV06_depot,$C376)*EV07_depot_upper</f>
        <v>119.93586739061762</v>
      </c>
      <c r="AD376" s="192">
        <f t="shared" si="46"/>
        <v>136.61588425685761</v>
      </c>
      <c r="AE376" s="192">
        <f t="shared" si="43"/>
        <v>17.076985532107201</v>
      </c>
      <c r="AF376" s="194"/>
      <c r="AG376" s="194"/>
    </row>
    <row r="377" spans="2:33">
      <c r="B377" s="194"/>
      <c r="C377" s="194">
        <v>22</v>
      </c>
      <c r="D377" s="180">
        <v>0.4375</v>
      </c>
      <c r="E377" s="191" cm="1">
        <f t="array" ref="E377">INDEX($J$215:$J$219,MATCH(E$230,EV_charger_type,0))*INDEX(EV06_domestic_Default,$C377)*EV07_domestic_Default</f>
        <v>0</v>
      </c>
      <c r="F377" s="191" cm="1">
        <f t="array" ref="F377">INDEX($J$215:$J$219,MATCH(F$230,EV_charger_type,0))*INDEX(EV06_work,$C377)*EV07_work_Default</f>
        <v>0</v>
      </c>
      <c r="G377" s="191" cm="1">
        <f t="array" ref="G377">INDEX($J$215:$J$219,MATCH(G$230,EV_charger_type,0))*INDEX(EV06_slowfast,$C377)*EV07_slowfast_Default</f>
        <v>0</v>
      </c>
      <c r="H377" s="191" cm="1">
        <f t="array" ref="H377">INDEX($J$215:$J$219,MATCH(H$230,EV_charger_type,0))*INDEX(EV06_rapid,$C377)*EV07_rapid_Default</f>
        <v>17.342992077465603</v>
      </c>
      <c r="I377" s="191" cm="1">
        <f t="array" ref="I377">INDEX($J$215:$J$219,MATCH(I$230,EV_charger_type,0))*INDEX(EV06_depot,$C377)*EV07_depot_Default</f>
        <v>110.01874679792641</v>
      </c>
      <c r="J377" s="192">
        <f t="shared" si="44"/>
        <v>127.36173887539201</v>
      </c>
      <c r="K377" s="192">
        <f t="shared" si="41"/>
        <v>15.920217359424001</v>
      </c>
      <c r="L377" s="194"/>
      <c r="M377" s="194"/>
      <c r="N377" s="180">
        <v>0.4375</v>
      </c>
      <c r="O377" s="191" cm="1">
        <f t="array" ref="O377">INDEX($K$215:$K$219,MATCH(O$230,EV_charger_type,0))*INDEX(EV06_domestic_lower,$C377)*EV07_domestic_lower</f>
        <v>0</v>
      </c>
      <c r="P377" s="191" cm="1">
        <f t="array" ref="P377">INDEX($K$215:$K$219,MATCH(P$230,EV_charger_type,0))*INDEX(EV06_work,$C377)*EV07_work_lower</f>
        <v>0</v>
      </c>
      <c r="Q377" s="191" cm="1">
        <f t="array" ref="Q377">INDEX($K$215:$K$219,MATCH(Q$230,EV_charger_type,0))*INDEX(EV06_slowfast,$C377)*EV07_slowfast_lower</f>
        <v>0</v>
      </c>
      <c r="R377" s="191" cm="1">
        <f t="array" ref="R377">INDEX($K$215:$K$219,MATCH(R$230,EV_charger_type,0))*INDEX(EV06_rapid,$C377)*EV07_rapid_lower</f>
        <v>17.342992077465603</v>
      </c>
      <c r="S377" s="191" cm="1">
        <f t="array" ref="S377">INDEX($K$215:$K$219,MATCH(S$230,EV_charger_type,0))*INDEX(EV06_depot,$C377)*EV07_depot_lower</f>
        <v>110.01874679792641</v>
      </c>
      <c r="T377" s="192">
        <f t="shared" si="45"/>
        <v>127.36173887539201</v>
      </c>
      <c r="U377" s="192">
        <f t="shared" si="42"/>
        <v>15.920217359424001</v>
      </c>
      <c r="V377" s="194"/>
      <c r="W377" s="194"/>
      <c r="X377" s="180">
        <v>0.4375</v>
      </c>
      <c r="Y377" s="191" cm="1">
        <f t="array" ref="Y377">INDEX($L$215:$L$219,MATCH(Y$230,EV_charger_type,0))*INDEX(EV06_domestic_upper,$C377)*EV07_domestic_upper</f>
        <v>0</v>
      </c>
      <c r="Z377" s="191" cm="1">
        <f t="array" ref="Z377">INDEX($L$215:$L$219,MATCH(Z$230,EV_charger_type,0))*INDEX(EV06_work,$C377)*EV07_work_upper</f>
        <v>0</v>
      </c>
      <c r="AA377" s="191" cm="1">
        <f t="array" ref="AA377">INDEX($L$215:$L$219,MATCH(AA$230,EV_charger_type,0))*INDEX(EV06_slowfast,$C377)*EV07_slowfast_upper</f>
        <v>0</v>
      </c>
      <c r="AB377" s="191" cm="1">
        <f t="array" ref="AB377">INDEX($L$215:$L$219,MATCH(AB$230,EV_charger_type,0))*INDEX(EV06_rapid,$C377)*EV07_rapid_upper</f>
        <v>17.342992077465603</v>
      </c>
      <c r="AC377" s="191" cm="1">
        <f t="array" ref="AC377">INDEX($L$215:$L$219,MATCH(AC$230,EV_charger_type,0))*INDEX(EV06_depot,$C377)*EV07_depot_upper</f>
        <v>110.01874679792641</v>
      </c>
      <c r="AD377" s="192">
        <f t="shared" si="46"/>
        <v>127.36173887539201</v>
      </c>
      <c r="AE377" s="192">
        <f t="shared" si="43"/>
        <v>15.920217359424001</v>
      </c>
      <c r="AF377" s="194"/>
      <c r="AG377" s="194"/>
    </row>
    <row r="378" spans="2:33">
      <c r="B378" s="194"/>
      <c r="C378" s="194">
        <v>23</v>
      </c>
      <c r="D378" s="180">
        <v>0.45833333333333331</v>
      </c>
      <c r="E378" s="191" cm="1">
        <f t="array" ref="E378">INDEX($J$215:$J$219,MATCH(E$230,EV_charger_type,0))*INDEX(EV06_domestic_Default,$C378)*EV07_domestic_Default</f>
        <v>0</v>
      </c>
      <c r="F378" s="191" cm="1">
        <f t="array" ref="F378">INDEX($J$215:$J$219,MATCH(F$230,EV_charger_type,0))*INDEX(EV06_work,$C378)*EV07_work_Default</f>
        <v>0</v>
      </c>
      <c r="G378" s="191" cm="1">
        <f t="array" ref="G378">INDEX($J$215:$J$219,MATCH(G$230,EV_charger_type,0))*INDEX(EV06_slowfast,$C378)*EV07_slowfast_Default</f>
        <v>0</v>
      </c>
      <c r="H378" s="191" cm="1">
        <f t="array" ref="H378">INDEX($J$215:$J$219,MATCH(H$230,EV_charger_type,0))*INDEX(EV06_rapid,$C378)*EV07_rapid_Default</f>
        <v>18.274706762457601</v>
      </c>
      <c r="I378" s="191" cm="1">
        <f t="array" ref="I378">INDEX($J$215:$J$219,MATCH(I$230,EV_charger_type,0))*INDEX(EV06_depot,$C378)*EV07_depot_Default</f>
        <v>104.9304246230016</v>
      </c>
      <c r="J378" s="192">
        <f t="shared" si="44"/>
        <v>123.2051313854592</v>
      </c>
      <c r="K378" s="192">
        <f t="shared" si="41"/>
        <v>15.4006414231824</v>
      </c>
      <c r="L378" s="194"/>
      <c r="M378" s="194"/>
      <c r="N378" s="180">
        <v>0.45833333333333331</v>
      </c>
      <c r="O378" s="191" cm="1">
        <f t="array" ref="O378">INDEX($K$215:$K$219,MATCH(O$230,EV_charger_type,0))*INDEX(EV06_domestic_lower,$C378)*EV07_domestic_lower</f>
        <v>0</v>
      </c>
      <c r="P378" s="191" cm="1">
        <f t="array" ref="P378">INDEX($K$215:$K$219,MATCH(P$230,EV_charger_type,0))*INDEX(EV06_work,$C378)*EV07_work_lower</f>
        <v>0</v>
      </c>
      <c r="Q378" s="191" cm="1">
        <f t="array" ref="Q378">INDEX($K$215:$K$219,MATCH(Q$230,EV_charger_type,0))*INDEX(EV06_slowfast,$C378)*EV07_slowfast_lower</f>
        <v>0</v>
      </c>
      <c r="R378" s="191" cm="1">
        <f t="array" ref="R378">INDEX($K$215:$K$219,MATCH(R$230,EV_charger_type,0))*INDEX(EV06_rapid,$C378)*EV07_rapid_lower</f>
        <v>18.274706762457601</v>
      </c>
      <c r="S378" s="191" cm="1">
        <f t="array" ref="S378">INDEX($K$215:$K$219,MATCH(S$230,EV_charger_type,0))*INDEX(EV06_depot,$C378)*EV07_depot_lower</f>
        <v>104.9304246230016</v>
      </c>
      <c r="T378" s="192">
        <f t="shared" si="45"/>
        <v>123.2051313854592</v>
      </c>
      <c r="U378" s="192">
        <f t="shared" si="42"/>
        <v>15.4006414231824</v>
      </c>
      <c r="V378" s="194"/>
      <c r="W378" s="194"/>
      <c r="X378" s="180">
        <v>0.45833333333333331</v>
      </c>
      <c r="Y378" s="191" cm="1">
        <f t="array" ref="Y378">INDEX($L$215:$L$219,MATCH(Y$230,EV_charger_type,0))*INDEX(EV06_domestic_upper,$C378)*EV07_domestic_upper</f>
        <v>0</v>
      </c>
      <c r="Z378" s="191" cm="1">
        <f t="array" ref="Z378">INDEX($L$215:$L$219,MATCH(Z$230,EV_charger_type,0))*INDEX(EV06_work,$C378)*EV07_work_upper</f>
        <v>0</v>
      </c>
      <c r="AA378" s="191" cm="1">
        <f t="array" ref="AA378">INDEX($L$215:$L$219,MATCH(AA$230,EV_charger_type,0))*INDEX(EV06_slowfast,$C378)*EV07_slowfast_upper</f>
        <v>0</v>
      </c>
      <c r="AB378" s="191" cm="1">
        <f t="array" ref="AB378">INDEX($L$215:$L$219,MATCH(AB$230,EV_charger_type,0))*INDEX(EV06_rapid,$C378)*EV07_rapid_upper</f>
        <v>18.274706762457601</v>
      </c>
      <c r="AC378" s="191" cm="1">
        <f t="array" ref="AC378">INDEX($L$215:$L$219,MATCH(AC$230,EV_charger_type,0))*INDEX(EV06_depot,$C378)*EV07_depot_upper</f>
        <v>104.9304246230016</v>
      </c>
      <c r="AD378" s="192">
        <f t="shared" si="46"/>
        <v>123.2051313854592</v>
      </c>
      <c r="AE378" s="192">
        <f t="shared" si="43"/>
        <v>15.4006414231824</v>
      </c>
      <c r="AF378" s="194"/>
      <c r="AG378" s="194"/>
    </row>
    <row r="379" spans="2:33">
      <c r="B379" s="194"/>
      <c r="C379" s="194">
        <v>24</v>
      </c>
      <c r="D379" s="180">
        <v>0.47916666666666669</v>
      </c>
      <c r="E379" s="191" cm="1">
        <f t="array" ref="E379">INDEX($J$215:$J$219,MATCH(E$230,EV_charger_type,0))*INDEX(EV06_domestic_Default,$C379)*EV07_domestic_Default</f>
        <v>0</v>
      </c>
      <c r="F379" s="191" cm="1">
        <f t="array" ref="F379">INDEX($J$215:$J$219,MATCH(F$230,EV_charger_type,0))*INDEX(EV06_work,$C379)*EV07_work_Default</f>
        <v>0</v>
      </c>
      <c r="G379" s="191" cm="1">
        <f t="array" ref="G379">INDEX($J$215:$J$219,MATCH(G$230,EV_charger_type,0))*INDEX(EV06_slowfast,$C379)*EV07_slowfast_Default</f>
        <v>0</v>
      </c>
      <c r="H379" s="191" cm="1">
        <f t="array" ref="H379">INDEX($J$215:$J$219,MATCH(H$230,EV_charger_type,0))*INDEX(EV06_rapid,$C379)*EV07_rapid_Default</f>
        <v>19.206315810864002</v>
      </c>
      <c r="I379" s="191" cm="1">
        <f t="array" ref="I379">INDEX($J$215:$J$219,MATCH(I$230,EV_charger_type,0))*INDEX(EV06_depot,$C379)*EV07_depot_Default</f>
        <v>99.839341557043198</v>
      </c>
      <c r="J379" s="192">
        <f t="shared" si="44"/>
        <v>119.0456573679072</v>
      </c>
      <c r="K379" s="192">
        <f t="shared" si="41"/>
        <v>14.8807071709884</v>
      </c>
      <c r="L379" s="194"/>
      <c r="M379" s="194"/>
      <c r="N379" s="180">
        <v>0.47916666666666669</v>
      </c>
      <c r="O379" s="191" cm="1">
        <f t="array" ref="O379">INDEX($K$215:$K$219,MATCH(O$230,EV_charger_type,0))*INDEX(EV06_domestic_lower,$C379)*EV07_domestic_lower</f>
        <v>0</v>
      </c>
      <c r="P379" s="191" cm="1">
        <f t="array" ref="P379">INDEX($K$215:$K$219,MATCH(P$230,EV_charger_type,0))*INDEX(EV06_work,$C379)*EV07_work_lower</f>
        <v>0</v>
      </c>
      <c r="Q379" s="191" cm="1">
        <f t="array" ref="Q379">INDEX($K$215:$K$219,MATCH(Q$230,EV_charger_type,0))*INDEX(EV06_slowfast,$C379)*EV07_slowfast_lower</f>
        <v>0</v>
      </c>
      <c r="R379" s="191" cm="1">
        <f t="array" ref="R379">INDEX($K$215:$K$219,MATCH(R$230,EV_charger_type,0))*INDEX(EV06_rapid,$C379)*EV07_rapid_lower</f>
        <v>19.206315810864002</v>
      </c>
      <c r="S379" s="191" cm="1">
        <f t="array" ref="S379">INDEX($K$215:$K$219,MATCH(S$230,EV_charger_type,0))*INDEX(EV06_depot,$C379)*EV07_depot_lower</f>
        <v>99.839341557043198</v>
      </c>
      <c r="T379" s="192">
        <f t="shared" si="45"/>
        <v>119.0456573679072</v>
      </c>
      <c r="U379" s="192">
        <f t="shared" si="42"/>
        <v>14.8807071709884</v>
      </c>
      <c r="V379" s="194"/>
      <c r="W379" s="194"/>
      <c r="X379" s="180">
        <v>0.47916666666666669</v>
      </c>
      <c r="Y379" s="191" cm="1">
        <f t="array" ref="Y379">INDEX($L$215:$L$219,MATCH(Y$230,EV_charger_type,0))*INDEX(EV06_domestic_upper,$C379)*EV07_domestic_upper</f>
        <v>0</v>
      </c>
      <c r="Z379" s="191" cm="1">
        <f t="array" ref="Z379">INDEX($L$215:$L$219,MATCH(Z$230,EV_charger_type,0))*INDEX(EV06_work,$C379)*EV07_work_upper</f>
        <v>0</v>
      </c>
      <c r="AA379" s="191" cm="1">
        <f t="array" ref="AA379">INDEX($L$215:$L$219,MATCH(AA$230,EV_charger_type,0))*INDEX(EV06_slowfast,$C379)*EV07_slowfast_upper</f>
        <v>0</v>
      </c>
      <c r="AB379" s="191" cm="1">
        <f t="array" ref="AB379">INDEX($L$215:$L$219,MATCH(AB$230,EV_charger_type,0))*INDEX(EV06_rapid,$C379)*EV07_rapid_upper</f>
        <v>19.206315810864002</v>
      </c>
      <c r="AC379" s="191" cm="1">
        <f t="array" ref="AC379">INDEX($L$215:$L$219,MATCH(AC$230,EV_charger_type,0))*INDEX(EV06_depot,$C379)*EV07_depot_upper</f>
        <v>99.839341557043198</v>
      </c>
      <c r="AD379" s="192">
        <f t="shared" si="46"/>
        <v>119.0456573679072</v>
      </c>
      <c r="AE379" s="192">
        <f t="shared" si="43"/>
        <v>14.8807071709884</v>
      </c>
      <c r="AF379" s="194"/>
      <c r="AG379" s="194"/>
    </row>
    <row r="380" spans="2:33">
      <c r="B380" s="194"/>
      <c r="C380" s="194">
        <v>25</v>
      </c>
      <c r="D380" s="180">
        <v>0.5</v>
      </c>
      <c r="E380" s="191" cm="1">
        <f t="array" ref="E380">INDEX($J$215:$J$219,MATCH(E$230,EV_charger_type,0))*INDEX(EV06_domestic_Default,$C380)*EV07_domestic_Default</f>
        <v>0</v>
      </c>
      <c r="F380" s="191" cm="1">
        <f t="array" ref="F380">INDEX($J$215:$J$219,MATCH(F$230,EV_charger_type,0))*INDEX(EV06_work,$C380)*EV07_work_Default</f>
        <v>0</v>
      </c>
      <c r="G380" s="191" cm="1">
        <f t="array" ref="G380">INDEX($J$215:$J$219,MATCH(G$230,EV_charger_type,0))*INDEX(EV06_slowfast,$C380)*EV07_slowfast_Default</f>
        <v>0</v>
      </c>
      <c r="H380" s="191" cm="1">
        <f t="array" ref="H380">INDEX($J$215:$J$219,MATCH(H$230,EV_charger_type,0))*INDEX(EV06_rapid,$C380)*EV07_rapid_Default</f>
        <v>20.413319437929601</v>
      </c>
      <c r="I380" s="191" cm="1">
        <f t="array" ref="I380">INDEX($J$215:$J$219,MATCH(I$230,EV_charger_type,0))*INDEX(EV06_depot,$C380)*EV07_depot_Default</f>
        <v>96.752665381478408</v>
      </c>
      <c r="J380" s="192">
        <f t="shared" si="44"/>
        <v>117.16598481940801</v>
      </c>
      <c r="K380" s="192">
        <f t="shared" si="41"/>
        <v>14.645748102426001</v>
      </c>
      <c r="L380" s="194"/>
      <c r="M380" s="194"/>
      <c r="N380" s="180">
        <v>0.5</v>
      </c>
      <c r="O380" s="191" cm="1">
        <f t="array" ref="O380">INDEX($K$215:$K$219,MATCH(O$230,EV_charger_type,0))*INDEX(EV06_domestic_lower,$C380)*EV07_domestic_lower</f>
        <v>0</v>
      </c>
      <c r="P380" s="191" cm="1">
        <f t="array" ref="P380">INDEX($K$215:$K$219,MATCH(P$230,EV_charger_type,0))*INDEX(EV06_work,$C380)*EV07_work_lower</f>
        <v>0</v>
      </c>
      <c r="Q380" s="191" cm="1">
        <f t="array" ref="Q380">INDEX($K$215:$K$219,MATCH(Q$230,EV_charger_type,0))*INDEX(EV06_slowfast,$C380)*EV07_slowfast_lower</f>
        <v>0</v>
      </c>
      <c r="R380" s="191" cm="1">
        <f t="array" ref="R380">INDEX($K$215:$K$219,MATCH(R$230,EV_charger_type,0))*INDEX(EV06_rapid,$C380)*EV07_rapid_lower</f>
        <v>20.413319437929601</v>
      </c>
      <c r="S380" s="191" cm="1">
        <f t="array" ref="S380">INDEX($K$215:$K$219,MATCH(S$230,EV_charger_type,0))*INDEX(EV06_depot,$C380)*EV07_depot_lower</f>
        <v>96.752665381478408</v>
      </c>
      <c r="T380" s="192">
        <f t="shared" si="45"/>
        <v>117.16598481940801</v>
      </c>
      <c r="U380" s="192">
        <f t="shared" si="42"/>
        <v>14.645748102426001</v>
      </c>
      <c r="V380" s="194"/>
      <c r="W380" s="194"/>
      <c r="X380" s="180">
        <v>0.5</v>
      </c>
      <c r="Y380" s="191" cm="1">
        <f t="array" ref="Y380">INDEX($L$215:$L$219,MATCH(Y$230,EV_charger_type,0))*INDEX(EV06_domestic_upper,$C380)*EV07_domestic_upper</f>
        <v>0</v>
      </c>
      <c r="Z380" s="191" cm="1">
        <f t="array" ref="Z380">INDEX($L$215:$L$219,MATCH(Z$230,EV_charger_type,0))*INDEX(EV06_work,$C380)*EV07_work_upper</f>
        <v>0</v>
      </c>
      <c r="AA380" s="191" cm="1">
        <f t="array" ref="AA380">INDEX($L$215:$L$219,MATCH(AA$230,EV_charger_type,0))*INDEX(EV06_slowfast,$C380)*EV07_slowfast_upper</f>
        <v>0</v>
      </c>
      <c r="AB380" s="191" cm="1">
        <f t="array" ref="AB380">INDEX($L$215:$L$219,MATCH(AB$230,EV_charger_type,0))*INDEX(EV06_rapid,$C380)*EV07_rapid_upper</f>
        <v>20.413319437929601</v>
      </c>
      <c r="AC380" s="191" cm="1">
        <f t="array" ref="AC380">INDEX($L$215:$L$219,MATCH(AC$230,EV_charger_type,0))*INDEX(EV06_depot,$C380)*EV07_depot_upper</f>
        <v>96.752665381478408</v>
      </c>
      <c r="AD380" s="192">
        <f t="shared" si="46"/>
        <v>117.16598481940801</v>
      </c>
      <c r="AE380" s="192">
        <f t="shared" si="43"/>
        <v>14.645748102426001</v>
      </c>
      <c r="AF380" s="194"/>
      <c r="AG380" s="194"/>
    </row>
    <row r="381" spans="2:33">
      <c r="B381" s="194"/>
      <c r="C381" s="194">
        <v>26</v>
      </c>
      <c r="D381" s="180">
        <v>0.52083333333333337</v>
      </c>
      <c r="E381" s="191" cm="1">
        <f t="array" ref="E381">INDEX($J$215:$J$219,MATCH(E$230,EV_charger_type,0))*INDEX(EV06_domestic_Default,$C381)*EV07_domestic_Default</f>
        <v>0</v>
      </c>
      <c r="F381" s="191" cm="1">
        <f t="array" ref="F381">INDEX($J$215:$J$219,MATCH(F$230,EV_charger_type,0))*INDEX(EV06_work,$C381)*EV07_work_Default</f>
        <v>0</v>
      </c>
      <c r="G381" s="191" cm="1">
        <f t="array" ref="G381">INDEX($J$215:$J$219,MATCH(G$230,EV_charger_type,0))*INDEX(EV06_slowfast,$C381)*EV07_slowfast_Default</f>
        <v>0</v>
      </c>
      <c r="H381" s="191" cm="1">
        <f t="array" ref="H381">INDEX($J$215:$J$219,MATCH(H$230,EV_charger_type,0))*INDEX(EV06_rapid,$C381)*EV07_rapid_Default</f>
        <v>21.620428701580803</v>
      </c>
      <c r="I381" s="191" cm="1">
        <f t="array" ref="I381">INDEX($J$215:$J$219,MATCH(I$230,EV_charger_type,0))*INDEX(EV06_depot,$C381)*EV07_depot_Default</f>
        <v>93.668750096947207</v>
      </c>
      <c r="J381" s="192">
        <f t="shared" si="44"/>
        <v>115.28917879852801</v>
      </c>
      <c r="K381" s="192">
        <f t="shared" si="41"/>
        <v>14.411147349816002</v>
      </c>
      <c r="L381" s="194"/>
      <c r="M381" s="194"/>
      <c r="N381" s="180">
        <v>0.52083333333333337</v>
      </c>
      <c r="O381" s="191" cm="1">
        <f t="array" ref="O381">INDEX($K$215:$K$219,MATCH(O$230,EV_charger_type,0))*INDEX(EV06_domestic_lower,$C381)*EV07_domestic_lower</f>
        <v>0</v>
      </c>
      <c r="P381" s="191" cm="1">
        <f t="array" ref="P381">INDEX($K$215:$K$219,MATCH(P$230,EV_charger_type,0))*INDEX(EV06_work,$C381)*EV07_work_lower</f>
        <v>0</v>
      </c>
      <c r="Q381" s="191" cm="1">
        <f t="array" ref="Q381">INDEX($K$215:$K$219,MATCH(Q$230,EV_charger_type,0))*INDEX(EV06_slowfast,$C381)*EV07_slowfast_lower</f>
        <v>0</v>
      </c>
      <c r="R381" s="191" cm="1">
        <f t="array" ref="R381">INDEX($K$215:$K$219,MATCH(R$230,EV_charger_type,0))*INDEX(EV06_rapid,$C381)*EV07_rapid_lower</f>
        <v>21.620428701580803</v>
      </c>
      <c r="S381" s="191" cm="1">
        <f t="array" ref="S381">INDEX($K$215:$K$219,MATCH(S$230,EV_charger_type,0))*INDEX(EV06_depot,$C381)*EV07_depot_lower</f>
        <v>93.668750096947207</v>
      </c>
      <c r="T381" s="192">
        <f t="shared" si="45"/>
        <v>115.28917879852801</v>
      </c>
      <c r="U381" s="192">
        <f t="shared" si="42"/>
        <v>14.411147349816002</v>
      </c>
      <c r="V381" s="194"/>
      <c r="W381" s="194"/>
      <c r="X381" s="180">
        <v>0.52083333333333337</v>
      </c>
      <c r="Y381" s="191" cm="1">
        <f t="array" ref="Y381">INDEX($L$215:$L$219,MATCH(Y$230,EV_charger_type,0))*INDEX(EV06_domestic_upper,$C381)*EV07_domestic_upper</f>
        <v>0</v>
      </c>
      <c r="Z381" s="191" cm="1">
        <f t="array" ref="Z381">INDEX($L$215:$L$219,MATCH(Z$230,EV_charger_type,0))*INDEX(EV06_work,$C381)*EV07_work_upper</f>
        <v>0</v>
      </c>
      <c r="AA381" s="191" cm="1">
        <f t="array" ref="AA381">INDEX($L$215:$L$219,MATCH(AA$230,EV_charger_type,0))*INDEX(EV06_slowfast,$C381)*EV07_slowfast_upper</f>
        <v>0</v>
      </c>
      <c r="AB381" s="191" cm="1">
        <f t="array" ref="AB381">INDEX($L$215:$L$219,MATCH(AB$230,EV_charger_type,0))*INDEX(EV06_rapid,$C381)*EV07_rapid_upper</f>
        <v>21.620428701580803</v>
      </c>
      <c r="AC381" s="191" cm="1">
        <f t="array" ref="AC381">INDEX($L$215:$L$219,MATCH(AC$230,EV_charger_type,0))*INDEX(EV06_depot,$C381)*EV07_depot_upper</f>
        <v>93.668750096947207</v>
      </c>
      <c r="AD381" s="192">
        <f t="shared" si="46"/>
        <v>115.28917879852801</v>
      </c>
      <c r="AE381" s="192">
        <f t="shared" si="43"/>
        <v>14.411147349816002</v>
      </c>
      <c r="AF381" s="194"/>
      <c r="AG381" s="194"/>
    </row>
    <row r="382" spans="2:33">
      <c r="B382" s="194"/>
      <c r="C382" s="194">
        <v>27</v>
      </c>
      <c r="D382" s="180">
        <v>0.54166666666666663</v>
      </c>
      <c r="E382" s="191" cm="1">
        <f t="array" ref="E382">INDEX($J$215:$J$219,MATCH(E$230,EV_charger_type,0))*INDEX(EV06_domestic_Default,$C382)*EV07_domestic_Default</f>
        <v>0</v>
      </c>
      <c r="F382" s="191" cm="1">
        <f t="array" ref="F382">INDEX($J$215:$J$219,MATCH(F$230,EV_charger_type,0))*INDEX(EV06_work,$C382)*EV07_work_Default</f>
        <v>0</v>
      </c>
      <c r="G382" s="191" cm="1">
        <f t="array" ref="G382">INDEX($J$215:$J$219,MATCH(G$230,EV_charger_type,0))*INDEX(EV06_slowfast,$C382)*EV07_slowfast_Default</f>
        <v>0</v>
      </c>
      <c r="H382" s="191" cm="1">
        <f t="array" ref="H382">INDEX($J$215:$J$219,MATCH(H$230,EV_charger_type,0))*INDEX(EV06_rapid,$C382)*EV07_rapid_Default</f>
        <v>22.174070046710405</v>
      </c>
      <c r="I382" s="191" cm="1">
        <f t="array" ref="I382">INDEX($J$215:$J$219,MATCH(I$230,EV_charger_type,0))*INDEX(EV06_depot,$C382)*EV07_depot_Default</f>
        <v>92.705199126220805</v>
      </c>
      <c r="J382" s="192">
        <f t="shared" si="44"/>
        <v>114.8792691729312</v>
      </c>
      <c r="K382" s="192">
        <f t="shared" si="41"/>
        <v>14.3599086466164</v>
      </c>
      <c r="L382" s="194"/>
      <c r="M382" s="194"/>
      <c r="N382" s="180">
        <v>0.54166666666666663</v>
      </c>
      <c r="O382" s="191" cm="1">
        <f t="array" ref="O382">INDEX($K$215:$K$219,MATCH(O$230,EV_charger_type,0))*INDEX(EV06_domestic_lower,$C382)*EV07_domestic_lower</f>
        <v>0</v>
      </c>
      <c r="P382" s="191" cm="1">
        <f t="array" ref="P382">INDEX($K$215:$K$219,MATCH(P$230,EV_charger_type,0))*INDEX(EV06_work,$C382)*EV07_work_lower</f>
        <v>0</v>
      </c>
      <c r="Q382" s="191" cm="1">
        <f t="array" ref="Q382">INDEX($K$215:$K$219,MATCH(Q$230,EV_charger_type,0))*INDEX(EV06_slowfast,$C382)*EV07_slowfast_lower</f>
        <v>0</v>
      </c>
      <c r="R382" s="191" cm="1">
        <f t="array" ref="R382">INDEX($K$215:$K$219,MATCH(R$230,EV_charger_type,0))*INDEX(EV06_rapid,$C382)*EV07_rapid_lower</f>
        <v>22.174070046710405</v>
      </c>
      <c r="S382" s="191" cm="1">
        <f t="array" ref="S382">INDEX($K$215:$K$219,MATCH(S$230,EV_charger_type,0))*INDEX(EV06_depot,$C382)*EV07_depot_lower</f>
        <v>92.705199126220805</v>
      </c>
      <c r="T382" s="192">
        <f t="shared" si="45"/>
        <v>114.8792691729312</v>
      </c>
      <c r="U382" s="192">
        <f t="shared" si="42"/>
        <v>14.3599086466164</v>
      </c>
      <c r="V382" s="194"/>
      <c r="W382" s="194"/>
      <c r="X382" s="180">
        <v>0.54166666666666663</v>
      </c>
      <c r="Y382" s="191" cm="1">
        <f t="array" ref="Y382">INDEX($L$215:$L$219,MATCH(Y$230,EV_charger_type,0))*INDEX(EV06_domestic_upper,$C382)*EV07_domestic_upper</f>
        <v>0</v>
      </c>
      <c r="Z382" s="191" cm="1">
        <f t="array" ref="Z382">INDEX($L$215:$L$219,MATCH(Z$230,EV_charger_type,0))*INDEX(EV06_work,$C382)*EV07_work_upper</f>
        <v>0</v>
      </c>
      <c r="AA382" s="191" cm="1">
        <f t="array" ref="AA382">INDEX($L$215:$L$219,MATCH(AA$230,EV_charger_type,0))*INDEX(EV06_slowfast,$C382)*EV07_slowfast_upper</f>
        <v>0</v>
      </c>
      <c r="AB382" s="191" cm="1">
        <f t="array" ref="AB382">INDEX($L$215:$L$219,MATCH(AB$230,EV_charger_type,0))*INDEX(EV06_rapid,$C382)*EV07_rapid_upper</f>
        <v>22.174070046710405</v>
      </c>
      <c r="AC382" s="191" cm="1">
        <f t="array" ref="AC382">INDEX($L$215:$L$219,MATCH(AC$230,EV_charger_type,0))*INDEX(EV06_depot,$C382)*EV07_depot_upper</f>
        <v>92.705199126220805</v>
      </c>
      <c r="AD382" s="192">
        <f t="shared" si="46"/>
        <v>114.8792691729312</v>
      </c>
      <c r="AE382" s="192">
        <f t="shared" si="43"/>
        <v>14.3599086466164</v>
      </c>
      <c r="AF382" s="194"/>
      <c r="AG382" s="194"/>
    </row>
    <row r="383" spans="2:33">
      <c r="B383" s="194"/>
      <c r="C383" s="194">
        <v>28</v>
      </c>
      <c r="D383" s="180">
        <v>0.5625</v>
      </c>
      <c r="E383" s="191" cm="1">
        <f t="array" ref="E383">INDEX($J$215:$J$219,MATCH(E$230,EV_charger_type,0))*INDEX(EV06_domestic_Default,$C383)*EV07_domestic_Default</f>
        <v>0</v>
      </c>
      <c r="F383" s="191" cm="1">
        <f t="array" ref="F383">INDEX($J$215:$J$219,MATCH(F$230,EV_charger_type,0))*INDEX(EV06_work,$C383)*EV07_work_Default</f>
        <v>0</v>
      </c>
      <c r="G383" s="191" cm="1">
        <f t="array" ref="G383">INDEX($J$215:$J$219,MATCH(G$230,EV_charger_type,0))*INDEX(EV06_slowfast,$C383)*EV07_slowfast_Default</f>
        <v>0</v>
      </c>
      <c r="H383" s="191" cm="1">
        <f t="array" ref="H383">INDEX($J$215:$J$219,MATCH(H$230,EV_charger_type,0))*INDEX(EV06_rapid,$C383)*EV07_rapid_Default</f>
        <v>22.727711391840003</v>
      </c>
      <c r="I383" s="191" cm="1">
        <f t="array" ref="I383">INDEX($J$215:$J$219,MATCH(I$230,EV_charger_type,0))*INDEX(EV06_depot,$C383)*EV07_depot_Default</f>
        <v>91.741648155494403</v>
      </c>
      <c r="J383" s="192">
        <f t="shared" si="44"/>
        <v>114.46935954733441</v>
      </c>
      <c r="K383" s="192">
        <f t="shared" si="41"/>
        <v>14.308669943416801</v>
      </c>
      <c r="L383" s="194"/>
      <c r="M383" s="194"/>
      <c r="N383" s="180">
        <v>0.5625</v>
      </c>
      <c r="O383" s="191" cm="1">
        <f t="array" ref="O383">INDEX($K$215:$K$219,MATCH(O$230,EV_charger_type,0))*INDEX(EV06_domestic_lower,$C383)*EV07_domestic_lower</f>
        <v>0</v>
      </c>
      <c r="P383" s="191" cm="1">
        <f t="array" ref="P383">INDEX($K$215:$K$219,MATCH(P$230,EV_charger_type,0))*INDEX(EV06_work,$C383)*EV07_work_lower</f>
        <v>0</v>
      </c>
      <c r="Q383" s="191" cm="1">
        <f t="array" ref="Q383">INDEX($K$215:$K$219,MATCH(Q$230,EV_charger_type,0))*INDEX(EV06_slowfast,$C383)*EV07_slowfast_lower</f>
        <v>0</v>
      </c>
      <c r="R383" s="191" cm="1">
        <f t="array" ref="R383">INDEX($K$215:$K$219,MATCH(R$230,EV_charger_type,0))*INDEX(EV06_rapid,$C383)*EV07_rapid_lower</f>
        <v>22.727711391840003</v>
      </c>
      <c r="S383" s="191" cm="1">
        <f t="array" ref="S383">INDEX($K$215:$K$219,MATCH(S$230,EV_charger_type,0))*INDEX(EV06_depot,$C383)*EV07_depot_lower</f>
        <v>91.741648155494403</v>
      </c>
      <c r="T383" s="192">
        <f t="shared" si="45"/>
        <v>114.46935954733441</v>
      </c>
      <c r="U383" s="192">
        <f t="shared" si="42"/>
        <v>14.308669943416801</v>
      </c>
      <c r="V383" s="194"/>
      <c r="W383" s="194"/>
      <c r="X383" s="180">
        <v>0.5625</v>
      </c>
      <c r="Y383" s="191" cm="1">
        <f t="array" ref="Y383">INDEX($L$215:$L$219,MATCH(Y$230,EV_charger_type,0))*INDEX(EV06_domestic_upper,$C383)*EV07_domestic_upper</f>
        <v>0</v>
      </c>
      <c r="Z383" s="191" cm="1">
        <f t="array" ref="Z383">INDEX($L$215:$L$219,MATCH(Z$230,EV_charger_type,0))*INDEX(EV06_work,$C383)*EV07_work_upper</f>
        <v>0</v>
      </c>
      <c r="AA383" s="191" cm="1">
        <f t="array" ref="AA383">INDEX($L$215:$L$219,MATCH(AA$230,EV_charger_type,0))*INDEX(EV06_slowfast,$C383)*EV07_slowfast_upper</f>
        <v>0</v>
      </c>
      <c r="AB383" s="191" cm="1">
        <f t="array" ref="AB383">INDEX($L$215:$L$219,MATCH(AB$230,EV_charger_type,0))*INDEX(EV06_rapid,$C383)*EV07_rapid_upper</f>
        <v>22.727711391840003</v>
      </c>
      <c r="AC383" s="191" cm="1">
        <f t="array" ref="AC383">INDEX($L$215:$L$219,MATCH(AC$230,EV_charger_type,0))*INDEX(EV06_depot,$C383)*EV07_depot_upper</f>
        <v>91.741648155494403</v>
      </c>
      <c r="AD383" s="192">
        <f t="shared" si="46"/>
        <v>114.46935954733441</v>
      </c>
      <c r="AE383" s="192">
        <f t="shared" si="43"/>
        <v>14.308669943416801</v>
      </c>
      <c r="AF383" s="194"/>
      <c r="AG383" s="194"/>
    </row>
    <row r="384" spans="2:33">
      <c r="B384" s="194"/>
      <c r="C384" s="194">
        <v>29</v>
      </c>
      <c r="D384" s="180">
        <v>0.58333333333333337</v>
      </c>
      <c r="E384" s="191" cm="1">
        <f t="array" ref="E384">INDEX($J$215:$J$219,MATCH(E$230,EV_charger_type,0))*INDEX(EV06_domestic_Default,$C384)*EV07_domestic_Default</f>
        <v>0</v>
      </c>
      <c r="F384" s="191" cm="1">
        <f t="array" ref="F384">INDEX($J$215:$J$219,MATCH(F$230,EV_charger_type,0))*INDEX(EV06_work,$C384)*EV07_work_Default</f>
        <v>0</v>
      </c>
      <c r="G384" s="191" cm="1">
        <f t="array" ref="G384">INDEX($J$215:$J$219,MATCH(G$230,EV_charger_type,0))*INDEX(EV06_slowfast,$C384)*EV07_slowfast_Default</f>
        <v>0</v>
      </c>
      <c r="H384" s="191" cm="1">
        <f t="array" ref="H384">INDEX($J$215:$J$219,MATCH(H$230,EV_charger_type,0))*INDEX(EV06_rapid,$C384)*EV07_rapid_Default</f>
        <v>22.424534391167999</v>
      </c>
      <c r="I384" s="191" cm="1">
        <f t="array" ref="I384">INDEX($J$215:$J$219,MATCH(I$230,EV_charger_type,0))*INDEX(EV06_depot,$C384)*EV07_depot_Default</f>
        <v>93.505857525964799</v>
      </c>
      <c r="J384" s="192">
        <f t="shared" si="44"/>
        <v>115.93039191713279</v>
      </c>
      <c r="K384" s="192">
        <f t="shared" si="41"/>
        <v>14.491298989641599</v>
      </c>
      <c r="L384" s="194"/>
      <c r="M384" s="194"/>
      <c r="N384" s="180">
        <v>0.58333333333333337</v>
      </c>
      <c r="O384" s="191" cm="1">
        <f t="array" ref="O384">INDEX($K$215:$K$219,MATCH(O$230,EV_charger_type,0))*INDEX(EV06_domestic_lower,$C384)*EV07_domestic_lower</f>
        <v>0</v>
      </c>
      <c r="P384" s="191" cm="1">
        <f t="array" ref="P384">INDEX($K$215:$K$219,MATCH(P$230,EV_charger_type,0))*INDEX(EV06_work,$C384)*EV07_work_lower</f>
        <v>0</v>
      </c>
      <c r="Q384" s="191" cm="1">
        <f t="array" ref="Q384">INDEX($K$215:$K$219,MATCH(Q$230,EV_charger_type,0))*INDEX(EV06_slowfast,$C384)*EV07_slowfast_lower</f>
        <v>0</v>
      </c>
      <c r="R384" s="191" cm="1">
        <f t="array" ref="R384">INDEX($K$215:$K$219,MATCH(R$230,EV_charger_type,0))*INDEX(EV06_rapid,$C384)*EV07_rapid_lower</f>
        <v>22.424534391167999</v>
      </c>
      <c r="S384" s="191" cm="1">
        <f t="array" ref="S384">INDEX($K$215:$K$219,MATCH(S$230,EV_charger_type,0))*INDEX(EV06_depot,$C384)*EV07_depot_lower</f>
        <v>93.505857525964799</v>
      </c>
      <c r="T384" s="192">
        <f t="shared" si="45"/>
        <v>115.93039191713279</v>
      </c>
      <c r="U384" s="192">
        <f t="shared" si="42"/>
        <v>14.491298989641599</v>
      </c>
      <c r="V384" s="194"/>
      <c r="W384" s="194"/>
      <c r="X384" s="180">
        <v>0.58333333333333337</v>
      </c>
      <c r="Y384" s="191" cm="1">
        <f t="array" ref="Y384">INDEX($L$215:$L$219,MATCH(Y$230,EV_charger_type,0))*INDEX(EV06_domestic_upper,$C384)*EV07_domestic_upper</f>
        <v>0</v>
      </c>
      <c r="Z384" s="191" cm="1">
        <f t="array" ref="Z384">INDEX($L$215:$L$219,MATCH(Z$230,EV_charger_type,0))*INDEX(EV06_work,$C384)*EV07_work_upper</f>
        <v>0</v>
      </c>
      <c r="AA384" s="191" cm="1">
        <f t="array" ref="AA384">INDEX($L$215:$L$219,MATCH(AA$230,EV_charger_type,0))*INDEX(EV06_slowfast,$C384)*EV07_slowfast_upper</f>
        <v>0</v>
      </c>
      <c r="AB384" s="191" cm="1">
        <f t="array" ref="AB384">INDEX($L$215:$L$219,MATCH(AB$230,EV_charger_type,0))*INDEX(EV06_rapid,$C384)*EV07_rapid_upper</f>
        <v>22.424534391167999</v>
      </c>
      <c r="AC384" s="191" cm="1">
        <f t="array" ref="AC384">INDEX($L$215:$L$219,MATCH(AC$230,EV_charger_type,0))*INDEX(EV06_depot,$C384)*EV07_depot_upper</f>
        <v>93.505857525964799</v>
      </c>
      <c r="AD384" s="192">
        <f t="shared" si="46"/>
        <v>115.93039191713279</v>
      </c>
      <c r="AE384" s="192">
        <f t="shared" si="43"/>
        <v>14.491298989641599</v>
      </c>
      <c r="AF384" s="194"/>
      <c r="AG384" s="194"/>
    </row>
    <row r="385" spans="2:33">
      <c r="B385" s="194"/>
      <c r="C385" s="194">
        <v>30</v>
      </c>
      <c r="D385" s="180">
        <v>0.60416666666666663</v>
      </c>
      <c r="E385" s="191" cm="1">
        <f t="array" ref="E385">INDEX($J$215:$J$219,MATCH(E$230,EV_charger_type,0))*INDEX(EV06_domestic_Default,$C385)*EV07_domestic_Default</f>
        <v>0</v>
      </c>
      <c r="F385" s="191" cm="1">
        <f t="array" ref="F385">INDEX($J$215:$J$219,MATCH(F$230,EV_charger_type,0))*INDEX(EV06_work,$C385)*EV07_work_Default</f>
        <v>0</v>
      </c>
      <c r="G385" s="191" cm="1">
        <f t="array" ref="G385">INDEX($J$215:$J$219,MATCH(G$230,EV_charger_type,0))*INDEX(EV06_slowfast,$C385)*EV07_slowfast_Default</f>
        <v>0</v>
      </c>
      <c r="H385" s="191" cm="1">
        <f t="array" ref="H385">INDEX($J$215:$J$219,MATCH(H$230,EV_charger_type,0))*INDEX(EV06_rapid,$C385)*EV07_rapid_Default</f>
        <v>22.121357390496001</v>
      </c>
      <c r="I385" s="191" cm="1">
        <f t="array" ref="I385">INDEX($J$215:$J$219,MATCH(I$230,EV_charger_type,0))*INDEX(EV06_depot,$C385)*EV07_depot_Default</f>
        <v>95.27006689643521</v>
      </c>
      <c r="J385" s="192">
        <f t="shared" si="44"/>
        <v>117.39142428693121</v>
      </c>
      <c r="K385" s="192">
        <f t="shared" si="41"/>
        <v>14.673928035866401</v>
      </c>
      <c r="L385" s="194"/>
      <c r="M385" s="194"/>
      <c r="N385" s="180">
        <v>0.60416666666666663</v>
      </c>
      <c r="O385" s="191" cm="1">
        <f t="array" ref="O385">INDEX($K$215:$K$219,MATCH(O$230,EV_charger_type,0))*INDEX(EV06_domestic_lower,$C385)*EV07_domestic_lower</f>
        <v>0</v>
      </c>
      <c r="P385" s="191" cm="1">
        <f t="array" ref="P385">INDEX($K$215:$K$219,MATCH(P$230,EV_charger_type,0))*INDEX(EV06_work,$C385)*EV07_work_lower</f>
        <v>0</v>
      </c>
      <c r="Q385" s="191" cm="1">
        <f t="array" ref="Q385">INDEX($K$215:$K$219,MATCH(Q$230,EV_charger_type,0))*INDEX(EV06_slowfast,$C385)*EV07_slowfast_lower</f>
        <v>0</v>
      </c>
      <c r="R385" s="191" cm="1">
        <f t="array" ref="R385">INDEX($K$215:$K$219,MATCH(R$230,EV_charger_type,0))*INDEX(EV06_rapid,$C385)*EV07_rapid_lower</f>
        <v>22.121357390496001</v>
      </c>
      <c r="S385" s="191" cm="1">
        <f t="array" ref="S385">INDEX($K$215:$K$219,MATCH(S$230,EV_charger_type,0))*INDEX(EV06_depot,$C385)*EV07_depot_lower</f>
        <v>95.27006689643521</v>
      </c>
      <c r="T385" s="192">
        <f t="shared" si="45"/>
        <v>117.39142428693121</v>
      </c>
      <c r="U385" s="192">
        <f t="shared" si="42"/>
        <v>14.673928035866401</v>
      </c>
      <c r="V385" s="194"/>
      <c r="W385" s="194"/>
      <c r="X385" s="180">
        <v>0.60416666666666663</v>
      </c>
      <c r="Y385" s="191" cm="1">
        <f t="array" ref="Y385">INDEX($L$215:$L$219,MATCH(Y$230,EV_charger_type,0))*INDEX(EV06_domestic_upper,$C385)*EV07_domestic_upper</f>
        <v>0</v>
      </c>
      <c r="Z385" s="191" cm="1">
        <f t="array" ref="Z385">INDEX($L$215:$L$219,MATCH(Z$230,EV_charger_type,0))*INDEX(EV06_work,$C385)*EV07_work_upper</f>
        <v>0</v>
      </c>
      <c r="AA385" s="191" cm="1">
        <f t="array" ref="AA385">INDEX($L$215:$L$219,MATCH(AA$230,EV_charger_type,0))*INDEX(EV06_slowfast,$C385)*EV07_slowfast_upper</f>
        <v>0</v>
      </c>
      <c r="AB385" s="191" cm="1">
        <f t="array" ref="AB385">INDEX($L$215:$L$219,MATCH(AB$230,EV_charger_type,0))*INDEX(EV06_rapid,$C385)*EV07_rapid_upper</f>
        <v>22.121357390496001</v>
      </c>
      <c r="AC385" s="191" cm="1">
        <f t="array" ref="AC385">INDEX($L$215:$L$219,MATCH(AC$230,EV_charger_type,0))*INDEX(EV06_depot,$C385)*EV07_depot_upper</f>
        <v>95.27006689643521</v>
      </c>
      <c r="AD385" s="192">
        <f t="shared" si="46"/>
        <v>117.39142428693121</v>
      </c>
      <c r="AE385" s="192">
        <f t="shared" si="43"/>
        <v>14.673928035866401</v>
      </c>
      <c r="AF385" s="194"/>
      <c r="AG385" s="194"/>
    </row>
    <row r="386" spans="2:33">
      <c r="B386" s="194"/>
      <c r="C386" s="194">
        <v>31</v>
      </c>
      <c r="D386" s="180">
        <v>0.625</v>
      </c>
      <c r="E386" s="191" cm="1">
        <f t="array" ref="E386">INDEX($J$215:$J$219,MATCH(E$230,EV_charger_type,0))*INDEX(EV06_domestic_Default,$C386)*EV07_domestic_Default</f>
        <v>0</v>
      </c>
      <c r="F386" s="191" cm="1">
        <f t="array" ref="F386">INDEX($J$215:$J$219,MATCH(F$230,EV_charger_type,0))*INDEX(EV06_work,$C386)*EV07_work_Default</f>
        <v>0</v>
      </c>
      <c r="G386" s="191" cm="1">
        <f t="array" ref="G386">INDEX($J$215:$J$219,MATCH(G$230,EV_charger_type,0))*INDEX(EV06_slowfast,$C386)*EV07_slowfast_Default</f>
        <v>0</v>
      </c>
      <c r="H386" s="191" cm="1">
        <f t="array" ref="H386">INDEX($J$215:$J$219,MATCH(H$230,EV_charger_type,0))*INDEX(EV06_rapid,$C386)*EV07_rapid_Default</f>
        <v>21.805715272723202</v>
      </c>
      <c r="I386" s="191" cm="1">
        <f t="array" ref="I386">INDEX($J$215:$J$219,MATCH(I$230,EV_charger_type,0))*INDEX(EV06_depot,$C386)*EV07_depot_Default</f>
        <v>104.90281571266561</v>
      </c>
      <c r="J386" s="192">
        <f t="shared" si="44"/>
        <v>126.70853098538882</v>
      </c>
      <c r="K386" s="192">
        <f t="shared" si="41"/>
        <v>15.838566373173602</v>
      </c>
      <c r="L386" s="194"/>
      <c r="M386" s="194"/>
      <c r="N386" s="180">
        <v>0.625</v>
      </c>
      <c r="O386" s="191" cm="1">
        <f t="array" ref="O386">INDEX($K$215:$K$219,MATCH(O$230,EV_charger_type,0))*INDEX(EV06_domestic_lower,$C386)*EV07_domestic_lower</f>
        <v>0</v>
      </c>
      <c r="P386" s="191" cm="1">
        <f t="array" ref="P386">INDEX($K$215:$K$219,MATCH(P$230,EV_charger_type,0))*INDEX(EV06_work,$C386)*EV07_work_lower</f>
        <v>0</v>
      </c>
      <c r="Q386" s="191" cm="1">
        <f t="array" ref="Q386">INDEX($K$215:$K$219,MATCH(Q$230,EV_charger_type,0))*INDEX(EV06_slowfast,$C386)*EV07_slowfast_lower</f>
        <v>0</v>
      </c>
      <c r="R386" s="191" cm="1">
        <f t="array" ref="R386">INDEX($K$215:$K$219,MATCH(R$230,EV_charger_type,0))*INDEX(EV06_rapid,$C386)*EV07_rapid_lower</f>
        <v>21.805715272723202</v>
      </c>
      <c r="S386" s="191" cm="1">
        <f t="array" ref="S386">INDEX($K$215:$K$219,MATCH(S$230,EV_charger_type,0))*INDEX(EV06_depot,$C386)*EV07_depot_lower</f>
        <v>104.90281571266561</v>
      </c>
      <c r="T386" s="192">
        <f t="shared" si="45"/>
        <v>126.70853098538882</v>
      </c>
      <c r="U386" s="192">
        <f t="shared" si="42"/>
        <v>15.838566373173602</v>
      </c>
      <c r="V386" s="194"/>
      <c r="W386" s="194"/>
      <c r="X386" s="180">
        <v>0.625</v>
      </c>
      <c r="Y386" s="191" cm="1">
        <f t="array" ref="Y386">INDEX($L$215:$L$219,MATCH(Y$230,EV_charger_type,0))*INDEX(EV06_domestic_upper,$C386)*EV07_domestic_upper</f>
        <v>0</v>
      </c>
      <c r="Z386" s="191" cm="1">
        <f t="array" ref="Z386">INDEX($L$215:$L$219,MATCH(Z$230,EV_charger_type,0))*INDEX(EV06_work,$C386)*EV07_work_upper</f>
        <v>0</v>
      </c>
      <c r="AA386" s="191" cm="1">
        <f t="array" ref="AA386">INDEX($L$215:$L$219,MATCH(AA$230,EV_charger_type,0))*INDEX(EV06_slowfast,$C386)*EV07_slowfast_upper</f>
        <v>0</v>
      </c>
      <c r="AB386" s="191" cm="1">
        <f t="array" ref="AB386">INDEX($L$215:$L$219,MATCH(AB$230,EV_charger_type,0))*INDEX(EV06_rapid,$C386)*EV07_rapid_upper</f>
        <v>21.805715272723202</v>
      </c>
      <c r="AC386" s="191" cm="1">
        <f t="array" ref="AC386">INDEX($L$215:$L$219,MATCH(AC$230,EV_charger_type,0))*INDEX(EV06_depot,$C386)*EV07_depot_upper</f>
        <v>104.90281571266561</v>
      </c>
      <c r="AD386" s="192">
        <f t="shared" si="46"/>
        <v>126.70853098538882</v>
      </c>
      <c r="AE386" s="192">
        <f t="shared" si="43"/>
        <v>15.838566373173602</v>
      </c>
      <c r="AF386" s="194"/>
      <c r="AG386" s="194"/>
    </row>
    <row r="387" spans="2:33">
      <c r="B387" s="194"/>
      <c r="C387" s="194">
        <v>32</v>
      </c>
      <c r="D387" s="180">
        <v>0.64583333333333337</v>
      </c>
      <c r="E387" s="191" cm="1">
        <f t="array" ref="E387">INDEX($J$215:$J$219,MATCH(E$230,EV_charger_type,0))*INDEX(EV06_domestic_Default,$C387)*EV07_domestic_Default</f>
        <v>0</v>
      </c>
      <c r="F387" s="191" cm="1">
        <f t="array" ref="F387">INDEX($J$215:$J$219,MATCH(F$230,EV_charger_type,0))*INDEX(EV06_work,$C387)*EV07_work_Default</f>
        <v>0</v>
      </c>
      <c r="G387" s="191" cm="1">
        <f t="array" ref="G387">INDEX($J$215:$J$219,MATCH(G$230,EV_charger_type,0))*INDEX(EV06_slowfast,$C387)*EV07_slowfast_Default</f>
        <v>0</v>
      </c>
      <c r="H387" s="191" cm="1">
        <f t="array" ref="H387">INDEX($J$215:$J$219,MATCH(H$230,EV_charger_type,0))*INDEX(EV06_rapid,$C387)*EV07_rapid_Default</f>
        <v>21.490073154950402</v>
      </c>
      <c r="I387" s="191" cm="1">
        <f t="array" ref="I387">INDEX($J$215:$J$219,MATCH(I$230,EV_charger_type,0))*INDEX(EV06_depot,$C387)*EV07_depot_Default</f>
        <v>114.53556452889599</v>
      </c>
      <c r="J387" s="192">
        <f t="shared" si="44"/>
        <v>136.02563768384638</v>
      </c>
      <c r="K387" s="192">
        <f t="shared" si="41"/>
        <v>17.003204710480798</v>
      </c>
      <c r="L387" s="194"/>
      <c r="M387" s="194"/>
      <c r="N387" s="180">
        <v>0.64583333333333337</v>
      </c>
      <c r="O387" s="191" cm="1">
        <f t="array" ref="O387">INDEX($K$215:$K$219,MATCH(O$230,EV_charger_type,0))*INDEX(EV06_domestic_lower,$C387)*EV07_domestic_lower</f>
        <v>0</v>
      </c>
      <c r="P387" s="191" cm="1">
        <f t="array" ref="P387">INDEX($K$215:$K$219,MATCH(P$230,EV_charger_type,0))*INDEX(EV06_work,$C387)*EV07_work_lower</f>
        <v>0</v>
      </c>
      <c r="Q387" s="191" cm="1">
        <f t="array" ref="Q387">INDEX($K$215:$K$219,MATCH(Q$230,EV_charger_type,0))*INDEX(EV06_slowfast,$C387)*EV07_slowfast_lower</f>
        <v>0</v>
      </c>
      <c r="R387" s="191" cm="1">
        <f t="array" ref="R387">INDEX($K$215:$K$219,MATCH(R$230,EV_charger_type,0))*INDEX(EV06_rapid,$C387)*EV07_rapid_lower</f>
        <v>21.490073154950402</v>
      </c>
      <c r="S387" s="191" cm="1">
        <f t="array" ref="S387">INDEX($K$215:$K$219,MATCH(S$230,EV_charger_type,0))*INDEX(EV06_depot,$C387)*EV07_depot_lower</f>
        <v>114.53556452889599</v>
      </c>
      <c r="T387" s="192">
        <f t="shared" si="45"/>
        <v>136.02563768384638</v>
      </c>
      <c r="U387" s="192">
        <f t="shared" si="42"/>
        <v>17.003204710480798</v>
      </c>
      <c r="V387" s="194"/>
      <c r="W387" s="194"/>
      <c r="X387" s="180">
        <v>0.64583333333333337</v>
      </c>
      <c r="Y387" s="191" cm="1">
        <f t="array" ref="Y387">INDEX($L$215:$L$219,MATCH(Y$230,EV_charger_type,0))*INDEX(EV06_domestic_upper,$C387)*EV07_domestic_upper</f>
        <v>0</v>
      </c>
      <c r="Z387" s="191" cm="1">
        <f t="array" ref="Z387">INDEX($L$215:$L$219,MATCH(Z$230,EV_charger_type,0))*INDEX(EV06_work,$C387)*EV07_work_upper</f>
        <v>0</v>
      </c>
      <c r="AA387" s="191" cm="1">
        <f t="array" ref="AA387">INDEX($L$215:$L$219,MATCH(AA$230,EV_charger_type,0))*INDEX(EV06_slowfast,$C387)*EV07_slowfast_upper</f>
        <v>0</v>
      </c>
      <c r="AB387" s="191" cm="1">
        <f t="array" ref="AB387">INDEX($L$215:$L$219,MATCH(AB$230,EV_charger_type,0))*INDEX(EV06_rapid,$C387)*EV07_rapid_upper</f>
        <v>21.490073154950402</v>
      </c>
      <c r="AC387" s="191" cm="1">
        <f t="array" ref="AC387">INDEX($L$215:$L$219,MATCH(AC$230,EV_charger_type,0))*INDEX(EV06_depot,$C387)*EV07_depot_upper</f>
        <v>114.53556452889599</v>
      </c>
      <c r="AD387" s="192">
        <f t="shared" si="46"/>
        <v>136.02563768384638</v>
      </c>
      <c r="AE387" s="192">
        <f t="shared" si="43"/>
        <v>17.003204710480798</v>
      </c>
      <c r="AF387" s="194"/>
      <c r="AG387" s="194"/>
    </row>
    <row r="388" spans="2:33">
      <c r="B388" s="194"/>
      <c r="C388" s="194">
        <v>33</v>
      </c>
      <c r="D388" s="180">
        <v>0.66666666666666663</v>
      </c>
      <c r="E388" s="191" cm="1">
        <f t="array" ref="E388">INDEX($J$215:$J$219,MATCH(E$230,EV_charger_type,0))*INDEX(EV06_domestic_Default,$C388)*EV07_domestic_Default</f>
        <v>0</v>
      </c>
      <c r="F388" s="191" cm="1">
        <f t="array" ref="F388">INDEX($J$215:$J$219,MATCH(F$230,EV_charger_type,0))*INDEX(EV06_work,$C388)*EV07_work_Default</f>
        <v>0</v>
      </c>
      <c r="G388" s="191" cm="1">
        <f t="array" ref="G388">INDEX($J$215:$J$219,MATCH(G$230,EV_charger_type,0))*INDEX(EV06_slowfast,$C388)*EV07_slowfast_Default</f>
        <v>0</v>
      </c>
      <c r="H388" s="191" cm="1">
        <f t="array" ref="H388">INDEX($J$215:$J$219,MATCH(H$230,EV_charger_type,0))*INDEX(EV06_rapid,$C388)*EV07_rapid_Default</f>
        <v>21.254081022720001</v>
      </c>
      <c r="I388" s="191" cm="1">
        <f t="array" ref="I388">INDEX($J$215:$J$219,MATCH(I$230,EV_charger_type,0))*INDEX(EV06_depot,$C388)*EV07_depot_Default</f>
        <v>140.4078744047616</v>
      </c>
      <c r="J388" s="192">
        <f t="shared" si="44"/>
        <v>161.66195542748159</v>
      </c>
      <c r="K388" s="192">
        <f t="shared" si="41"/>
        <v>20.207744428435198</v>
      </c>
      <c r="L388" s="194"/>
      <c r="M388" s="194"/>
      <c r="N388" s="180">
        <v>0.66666666666666663</v>
      </c>
      <c r="O388" s="191" cm="1">
        <f t="array" ref="O388">INDEX($K$215:$K$219,MATCH(O$230,EV_charger_type,0))*INDEX(EV06_domestic_lower,$C388)*EV07_domestic_lower</f>
        <v>0</v>
      </c>
      <c r="P388" s="191" cm="1">
        <f t="array" ref="P388">INDEX($K$215:$K$219,MATCH(P$230,EV_charger_type,0))*INDEX(EV06_work,$C388)*EV07_work_lower</f>
        <v>0</v>
      </c>
      <c r="Q388" s="191" cm="1">
        <f t="array" ref="Q388">INDEX($K$215:$K$219,MATCH(Q$230,EV_charger_type,0))*INDEX(EV06_slowfast,$C388)*EV07_slowfast_lower</f>
        <v>0</v>
      </c>
      <c r="R388" s="191" cm="1">
        <f t="array" ref="R388">INDEX($K$215:$K$219,MATCH(R$230,EV_charger_type,0))*INDEX(EV06_rapid,$C388)*EV07_rapid_lower</f>
        <v>21.254081022720001</v>
      </c>
      <c r="S388" s="191" cm="1">
        <f t="array" ref="S388">INDEX($K$215:$K$219,MATCH(S$230,EV_charger_type,0))*INDEX(EV06_depot,$C388)*EV07_depot_lower</f>
        <v>140.4078744047616</v>
      </c>
      <c r="T388" s="192">
        <f t="shared" si="45"/>
        <v>161.66195542748159</v>
      </c>
      <c r="U388" s="192">
        <f t="shared" si="42"/>
        <v>20.207744428435198</v>
      </c>
      <c r="V388" s="194"/>
      <c r="W388" s="194"/>
      <c r="X388" s="180">
        <v>0.66666666666666663</v>
      </c>
      <c r="Y388" s="191" cm="1">
        <f t="array" ref="Y388">INDEX($L$215:$L$219,MATCH(Y$230,EV_charger_type,0))*INDEX(EV06_domestic_upper,$C388)*EV07_domestic_upper</f>
        <v>0</v>
      </c>
      <c r="Z388" s="191" cm="1">
        <f t="array" ref="Z388">INDEX($L$215:$L$219,MATCH(Z$230,EV_charger_type,0))*INDEX(EV06_work,$C388)*EV07_work_upper</f>
        <v>0</v>
      </c>
      <c r="AA388" s="191" cm="1">
        <f t="array" ref="AA388">INDEX($L$215:$L$219,MATCH(AA$230,EV_charger_type,0))*INDEX(EV06_slowfast,$C388)*EV07_slowfast_upper</f>
        <v>0</v>
      </c>
      <c r="AB388" s="191" cm="1">
        <f t="array" ref="AB388">INDEX($L$215:$L$219,MATCH(AB$230,EV_charger_type,0))*INDEX(EV06_rapid,$C388)*EV07_rapid_upper</f>
        <v>21.254081022720001</v>
      </c>
      <c r="AC388" s="191" cm="1">
        <f t="array" ref="AC388">INDEX($L$215:$L$219,MATCH(AC$230,EV_charger_type,0))*INDEX(EV06_depot,$C388)*EV07_depot_upper</f>
        <v>140.4078744047616</v>
      </c>
      <c r="AD388" s="192">
        <f t="shared" si="46"/>
        <v>161.66195542748159</v>
      </c>
      <c r="AE388" s="192">
        <f t="shared" si="43"/>
        <v>20.207744428435198</v>
      </c>
      <c r="AF388" s="194"/>
      <c r="AG388" s="194"/>
    </row>
    <row r="389" spans="2:33">
      <c r="B389" s="194"/>
      <c r="C389" s="194">
        <v>34</v>
      </c>
      <c r="D389" s="180">
        <v>0.6875</v>
      </c>
      <c r="E389" s="191" cm="1">
        <f t="array" ref="E389">INDEX($J$215:$J$219,MATCH(E$230,EV_charger_type,0))*INDEX(EV06_domestic_Default,$C389)*EV07_domestic_Default</f>
        <v>0</v>
      </c>
      <c r="F389" s="191" cm="1">
        <f t="array" ref="F389">INDEX($J$215:$J$219,MATCH(F$230,EV_charger_type,0))*INDEX(EV06_work,$C389)*EV07_work_Default</f>
        <v>0</v>
      </c>
      <c r="G389" s="191" cm="1">
        <f t="array" ref="G389">INDEX($J$215:$J$219,MATCH(G$230,EV_charger_type,0))*INDEX(EV06_slowfast,$C389)*EV07_slowfast_Default</f>
        <v>0</v>
      </c>
      <c r="H389" s="191" cm="1">
        <f t="array" ref="H389">INDEX($J$215:$J$219,MATCH(H$230,EV_charger_type,0))*INDEX(EV06_rapid,$C389)*EV07_rapid_Default</f>
        <v>21.018194527075202</v>
      </c>
      <c r="I389" s="191" cm="1">
        <f t="array" ref="I389">INDEX($J$215:$J$219,MATCH(I$230,EV_charger_type,0))*INDEX(EV06_depot,$C389)*EV07_depot_Default</f>
        <v>166.2801842806272</v>
      </c>
      <c r="J389" s="192">
        <f t="shared" si="44"/>
        <v>187.29837880770239</v>
      </c>
      <c r="K389" s="192">
        <f t="shared" si="41"/>
        <v>23.412297350962799</v>
      </c>
      <c r="L389" s="194"/>
      <c r="M389" s="194"/>
      <c r="N389" s="180">
        <v>0.6875</v>
      </c>
      <c r="O389" s="191" cm="1">
        <f t="array" ref="O389">INDEX($K$215:$K$219,MATCH(O$230,EV_charger_type,0))*INDEX(EV06_domestic_lower,$C389)*EV07_domestic_lower</f>
        <v>0</v>
      </c>
      <c r="P389" s="191" cm="1">
        <f t="array" ref="P389">INDEX($K$215:$K$219,MATCH(P$230,EV_charger_type,0))*INDEX(EV06_work,$C389)*EV07_work_lower</f>
        <v>0</v>
      </c>
      <c r="Q389" s="191" cm="1">
        <f t="array" ref="Q389">INDEX($K$215:$K$219,MATCH(Q$230,EV_charger_type,0))*INDEX(EV06_slowfast,$C389)*EV07_slowfast_lower</f>
        <v>0</v>
      </c>
      <c r="R389" s="191" cm="1">
        <f t="array" ref="R389">INDEX($K$215:$K$219,MATCH(R$230,EV_charger_type,0))*INDEX(EV06_rapid,$C389)*EV07_rapid_lower</f>
        <v>21.018194527075202</v>
      </c>
      <c r="S389" s="191" cm="1">
        <f t="array" ref="S389">INDEX($K$215:$K$219,MATCH(S$230,EV_charger_type,0))*INDEX(EV06_depot,$C389)*EV07_depot_lower</f>
        <v>166.2801842806272</v>
      </c>
      <c r="T389" s="192">
        <f t="shared" si="45"/>
        <v>187.29837880770239</v>
      </c>
      <c r="U389" s="192">
        <f t="shared" si="42"/>
        <v>23.412297350962799</v>
      </c>
      <c r="V389" s="194"/>
      <c r="W389" s="194"/>
      <c r="X389" s="180">
        <v>0.6875</v>
      </c>
      <c r="Y389" s="191" cm="1">
        <f t="array" ref="Y389">INDEX($L$215:$L$219,MATCH(Y$230,EV_charger_type,0))*INDEX(EV06_domestic_upper,$C389)*EV07_domestic_upper</f>
        <v>0</v>
      </c>
      <c r="Z389" s="191" cm="1">
        <f t="array" ref="Z389">INDEX($L$215:$L$219,MATCH(Z$230,EV_charger_type,0))*INDEX(EV06_work,$C389)*EV07_work_upper</f>
        <v>0</v>
      </c>
      <c r="AA389" s="191" cm="1">
        <f t="array" ref="AA389">INDEX($L$215:$L$219,MATCH(AA$230,EV_charger_type,0))*INDEX(EV06_slowfast,$C389)*EV07_slowfast_upper</f>
        <v>0</v>
      </c>
      <c r="AB389" s="191" cm="1">
        <f t="array" ref="AB389">INDEX($L$215:$L$219,MATCH(AB$230,EV_charger_type,0))*INDEX(EV06_rapid,$C389)*EV07_rapid_upper</f>
        <v>21.018194527075202</v>
      </c>
      <c r="AC389" s="191" cm="1">
        <f t="array" ref="AC389">INDEX($L$215:$L$219,MATCH(AC$230,EV_charger_type,0))*INDEX(EV06_depot,$C389)*EV07_depot_upper</f>
        <v>166.2801842806272</v>
      </c>
      <c r="AD389" s="192">
        <f t="shared" si="46"/>
        <v>187.29837880770239</v>
      </c>
      <c r="AE389" s="192">
        <f t="shared" si="43"/>
        <v>23.412297350962799</v>
      </c>
      <c r="AF389" s="194"/>
      <c r="AG389" s="194"/>
    </row>
    <row r="390" spans="2:33">
      <c r="B390" s="194"/>
      <c r="C390" s="194">
        <v>35</v>
      </c>
      <c r="D390" s="180">
        <v>0.70833333333333337</v>
      </c>
      <c r="E390" s="191" cm="1">
        <f t="array" ref="E390">INDEX($J$215:$J$219,MATCH(E$230,EV_charger_type,0))*INDEX(EV06_domestic_Default,$C390)*EV07_domestic_Default</f>
        <v>0</v>
      </c>
      <c r="F390" s="191" cm="1">
        <f t="array" ref="F390">INDEX($J$215:$J$219,MATCH(F$230,EV_charger_type,0))*INDEX(EV06_work,$C390)*EV07_work_Default</f>
        <v>0</v>
      </c>
      <c r="G390" s="191" cm="1">
        <f t="array" ref="G390">INDEX($J$215:$J$219,MATCH(G$230,EV_charger_type,0))*INDEX(EV06_slowfast,$C390)*EV07_slowfast_Default</f>
        <v>0</v>
      </c>
      <c r="H390" s="191" cm="1">
        <f t="array" ref="H390">INDEX($J$215:$J$219,MATCH(H$230,EV_charger_type,0))*INDEX(EV06_rapid,$C390)*EV07_rapid_Default</f>
        <v>20.935586717136001</v>
      </c>
      <c r="I390" s="191" cm="1">
        <f t="array" ref="I390">INDEX($J$215:$J$219,MATCH(I$230,EV_charger_type,0))*INDEX(EV06_depot,$C390)*EV07_depot_Default</f>
        <v>218.76472282936319</v>
      </c>
      <c r="J390" s="192">
        <f t="shared" si="44"/>
        <v>239.7003095464992</v>
      </c>
      <c r="K390" s="192">
        <f t="shared" si="41"/>
        <v>29.9625386933124</v>
      </c>
      <c r="L390" s="194"/>
      <c r="M390" s="194"/>
      <c r="N390" s="180">
        <v>0.70833333333333337</v>
      </c>
      <c r="O390" s="191" cm="1">
        <f t="array" ref="O390">INDEX($K$215:$K$219,MATCH(O$230,EV_charger_type,0))*INDEX(EV06_domestic_lower,$C390)*EV07_domestic_lower</f>
        <v>0</v>
      </c>
      <c r="P390" s="191" cm="1">
        <f t="array" ref="P390">INDEX($K$215:$K$219,MATCH(P$230,EV_charger_type,0))*INDEX(EV06_work,$C390)*EV07_work_lower</f>
        <v>0</v>
      </c>
      <c r="Q390" s="191" cm="1">
        <f t="array" ref="Q390">INDEX($K$215:$K$219,MATCH(Q$230,EV_charger_type,0))*INDEX(EV06_slowfast,$C390)*EV07_slowfast_lower</f>
        <v>0</v>
      </c>
      <c r="R390" s="191" cm="1">
        <f t="array" ref="R390">INDEX($K$215:$K$219,MATCH(R$230,EV_charger_type,0))*INDEX(EV06_rapid,$C390)*EV07_rapid_lower</f>
        <v>20.935586717136001</v>
      </c>
      <c r="S390" s="191" cm="1">
        <f t="array" ref="S390">INDEX($K$215:$K$219,MATCH(S$230,EV_charger_type,0))*INDEX(EV06_depot,$C390)*EV07_depot_lower</f>
        <v>218.76472282936319</v>
      </c>
      <c r="T390" s="192">
        <f t="shared" si="45"/>
        <v>239.7003095464992</v>
      </c>
      <c r="U390" s="192">
        <f t="shared" si="42"/>
        <v>29.9625386933124</v>
      </c>
      <c r="V390" s="194"/>
      <c r="W390" s="194"/>
      <c r="X390" s="180">
        <v>0.70833333333333337</v>
      </c>
      <c r="Y390" s="191" cm="1">
        <f t="array" ref="Y390">INDEX($L$215:$L$219,MATCH(Y$230,EV_charger_type,0))*INDEX(EV06_domestic_upper,$C390)*EV07_domestic_upper</f>
        <v>0</v>
      </c>
      <c r="Z390" s="191" cm="1">
        <f t="array" ref="Z390">INDEX($L$215:$L$219,MATCH(Z$230,EV_charger_type,0))*INDEX(EV06_work,$C390)*EV07_work_upper</f>
        <v>0</v>
      </c>
      <c r="AA390" s="191" cm="1">
        <f t="array" ref="AA390">INDEX($L$215:$L$219,MATCH(AA$230,EV_charger_type,0))*INDEX(EV06_slowfast,$C390)*EV07_slowfast_upper</f>
        <v>0</v>
      </c>
      <c r="AB390" s="191" cm="1">
        <f t="array" ref="AB390">INDEX($L$215:$L$219,MATCH(AB$230,EV_charger_type,0))*INDEX(EV06_rapid,$C390)*EV07_rapid_upper</f>
        <v>20.935586717136001</v>
      </c>
      <c r="AC390" s="191" cm="1">
        <f t="array" ref="AC390">INDEX($L$215:$L$219,MATCH(AC$230,EV_charger_type,0))*INDEX(EV06_depot,$C390)*EV07_depot_upper</f>
        <v>218.76472282936319</v>
      </c>
      <c r="AD390" s="192">
        <f t="shared" si="46"/>
        <v>239.7003095464992</v>
      </c>
      <c r="AE390" s="192">
        <f t="shared" si="43"/>
        <v>29.9625386933124</v>
      </c>
      <c r="AF390" s="194"/>
      <c r="AG390" s="194"/>
    </row>
    <row r="391" spans="2:33">
      <c r="B391" s="194"/>
      <c r="C391" s="194">
        <v>36</v>
      </c>
      <c r="D391" s="180">
        <v>0.72916666666666663</v>
      </c>
      <c r="E391" s="191" cm="1">
        <f t="array" ref="E391">INDEX($J$215:$J$219,MATCH(E$230,EV_charger_type,0))*INDEX(EV06_domestic_Default,$C391)*EV07_domestic_Default</f>
        <v>0</v>
      </c>
      <c r="F391" s="191" cm="1">
        <f t="array" ref="F391">INDEX($J$215:$J$219,MATCH(F$230,EV_charger_type,0))*INDEX(EV06_work,$C391)*EV07_work_Default</f>
        <v>0</v>
      </c>
      <c r="G391" s="191" cm="1">
        <f t="array" ref="G391">INDEX($J$215:$J$219,MATCH(G$230,EV_charger_type,0))*INDEX(EV06_slowfast,$C391)*EV07_slowfast_Default</f>
        <v>0</v>
      </c>
      <c r="H391" s="191" cm="1">
        <f t="array" ref="H391">INDEX($J$215:$J$219,MATCH(H$230,EV_charger_type,0))*INDEX(EV06_rapid,$C391)*EV07_rapid_Default</f>
        <v>20.8529789071968</v>
      </c>
      <c r="I391" s="191" cm="1">
        <f t="array" ref="I391">INDEX($J$215:$J$219,MATCH(I$230,EV_charger_type,0))*INDEX(EV06_depot,$C391)*EV07_depot_Default</f>
        <v>271.24650048706559</v>
      </c>
      <c r="J391" s="192">
        <f t="shared" si="44"/>
        <v>292.0994793942624</v>
      </c>
      <c r="K391" s="192">
        <f t="shared" si="41"/>
        <v>36.5124349242828</v>
      </c>
      <c r="L391" s="194"/>
      <c r="M391" s="194"/>
      <c r="N391" s="180">
        <v>0.72916666666666663</v>
      </c>
      <c r="O391" s="191" cm="1">
        <f t="array" ref="O391">INDEX($K$215:$K$219,MATCH(O$230,EV_charger_type,0))*INDEX(EV06_domestic_lower,$C391)*EV07_domestic_lower</f>
        <v>0</v>
      </c>
      <c r="P391" s="191" cm="1">
        <f t="array" ref="P391">INDEX($K$215:$K$219,MATCH(P$230,EV_charger_type,0))*INDEX(EV06_work,$C391)*EV07_work_lower</f>
        <v>0</v>
      </c>
      <c r="Q391" s="191" cm="1">
        <f t="array" ref="Q391">INDEX($K$215:$K$219,MATCH(Q$230,EV_charger_type,0))*INDEX(EV06_slowfast,$C391)*EV07_slowfast_lower</f>
        <v>0</v>
      </c>
      <c r="R391" s="191" cm="1">
        <f t="array" ref="R391">INDEX($K$215:$K$219,MATCH(R$230,EV_charger_type,0))*INDEX(EV06_rapid,$C391)*EV07_rapid_lower</f>
        <v>20.8529789071968</v>
      </c>
      <c r="S391" s="191" cm="1">
        <f t="array" ref="S391">INDEX($K$215:$K$219,MATCH(S$230,EV_charger_type,0))*INDEX(EV06_depot,$C391)*EV07_depot_lower</f>
        <v>271.24650048706559</v>
      </c>
      <c r="T391" s="192">
        <f t="shared" si="45"/>
        <v>292.0994793942624</v>
      </c>
      <c r="U391" s="192">
        <f t="shared" si="42"/>
        <v>36.5124349242828</v>
      </c>
      <c r="V391" s="194"/>
      <c r="W391" s="194"/>
      <c r="X391" s="180">
        <v>0.72916666666666663</v>
      </c>
      <c r="Y391" s="191" cm="1">
        <f t="array" ref="Y391">INDEX($L$215:$L$219,MATCH(Y$230,EV_charger_type,0))*INDEX(EV06_domestic_upper,$C391)*EV07_domestic_upper</f>
        <v>0</v>
      </c>
      <c r="Z391" s="191" cm="1">
        <f t="array" ref="Z391">INDEX($L$215:$L$219,MATCH(Z$230,EV_charger_type,0))*INDEX(EV06_work,$C391)*EV07_work_upper</f>
        <v>0</v>
      </c>
      <c r="AA391" s="191" cm="1">
        <f t="array" ref="AA391">INDEX($L$215:$L$219,MATCH(AA$230,EV_charger_type,0))*INDEX(EV06_slowfast,$C391)*EV07_slowfast_upper</f>
        <v>0</v>
      </c>
      <c r="AB391" s="191" cm="1">
        <f t="array" ref="AB391">INDEX($L$215:$L$219,MATCH(AB$230,EV_charger_type,0))*INDEX(EV06_rapid,$C391)*EV07_rapid_upper</f>
        <v>20.8529789071968</v>
      </c>
      <c r="AC391" s="191" cm="1">
        <f t="array" ref="AC391">INDEX($L$215:$L$219,MATCH(AC$230,EV_charger_type,0))*INDEX(EV06_depot,$C391)*EV07_depot_upper</f>
        <v>271.24650048706559</v>
      </c>
      <c r="AD391" s="192">
        <f t="shared" si="46"/>
        <v>292.0994793942624</v>
      </c>
      <c r="AE391" s="192">
        <f t="shared" si="43"/>
        <v>36.5124349242828</v>
      </c>
      <c r="AF391" s="194"/>
      <c r="AG391" s="194"/>
    </row>
    <row r="392" spans="2:33">
      <c r="B392" s="194"/>
      <c r="C392" s="194">
        <v>37</v>
      </c>
      <c r="D392" s="180">
        <v>0.75</v>
      </c>
      <c r="E392" s="191" cm="1">
        <f t="array" ref="E392">INDEX($J$215:$J$219,MATCH(E$230,EV_charger_type,0))*INDEX(EV06_domestic_Default,$C392)*EV07_domestic_Default</f>
        <v>0</v>
      </c>
      <c r="F392" s="191" cm="1">
        <f t="array" ref="F392">INDEX($J$215:$J$219,MATCH(F$230,EV_charger_type,0))*INDEX(EV06_work,$C392)*EV07_work_Default</f>
        <v>0</v>
      </c>
      <c r="G392" s="191" cm="1">
        <f t="array" ref="G392">INDEX($J$215:$J$219,MATCH(G$230,EV_charger_type,0))*INDEX(EV06_slowfast,$C392)*EV07_slowfast_Default</f>
        <v>0</v>
      </c>
      <c r="H392" s="191" cm="1">
        <f t="array" ref="H392">INDEX($J$215:$J$219,MATCH(H$230,EV_charger_type,0))*INDEX(EV06_rapid,$C392)*EV07_rapid_Default</f>
        <v>20.622902423759999</v>
      </c>
      <c r="I392" s="191" cm="1">
        <f t="array" ref="I392">INDEX($J$215:$J$219,MATCH(I$230,EV_charger_type,0))*INDEX(EV06_depot,$C392)*EV07_depot_Default</f>
        <v>347.33941826411524</v>
      </c>
      <c r="J392" s="192">
        <f t="shared" si="44"/>
        <v>367.96232068787526</v>
      </c>
      <c r="K392" s="192">
        <f t="shared" si="41"/>
        <v>45.995290085984408</v>
      </c>
      <c r="L392" s="194"/>
      <c r="M392" s="194"/>
      <c r="N392" s="180">
        <v>0.75</v>
      </c>
      <c r="O392" s="191" cm="1">
        <f t="array" ref="O392">INDEX($K$215:$K$219,MATCH(O$230,EV_charger_type,0))*INDEX(EV06_domestic_lower,$C392)*EV07_domestic_lower</f>
        <v>0</v>
      </c>
      <c r="P392" s="191" cm="1">
        <f t="array" ref="P392">INDEX($K$215:$K$219,MATCH(P$230,EV_charger_type,0))*INDEX(EV06_work,$C392)*EV07_work_lower</f>
        <v>0</v>
      </c>
      <c r="Q392" s="191" cm="1">
        <f t="array" ref="Q392">INDEX($K$215:$K$219,MATCH(Q$230,EV_charger_type,0))*INDEX(EV06_slowfast,$C392)*EV07_slowfast_lower</f>
        <v>0</v>
      </c>
      <c r="R392" s="191" cm="1">
        <f t="array" ref="R392">INDEX($K$215:$K$219,MATCH(R$230,EV_charger_type,0))*INDEX(EV06_rapid,$C392)*EV07_rapid_lower</f>
        <v>20.622902423759999</v>
      </c>
      <c r="S392" s="191" cm="1">
        <f t="array" ref="S392">INDEX($K$215:$K$219,MATCH(S$230,EV_charger_type,0))*INDEX(EV06_depot,$C392)*EV07_depot_lower</f>
        <v>347.33941826411524</v>
      </c>
      <c r="T392" s="192">
        <f t="shared" si="45"/>
        <v>367.96232068787526</v>
      </c>
      <c r="U392" s="192">
        <f t="shared" si="42"/>
        <v>45.995290085984408</v>
      </c>
      <c r="V392" s="194"/>
      <c r="W392" s="194"/>
      <c r="X392" s="180">
        <v>0.75</v>
      </c>
      <c r="Y392" s="191" cm="1">
        <f t="array" ref="Y392">INDEX($L$215:$L$219,MATCH(Y$230,EV_charger_type,0))*INDEX(EV06_domestic_upper,$C392)*EV07_domestic_upper</f>
        <v>0</v>
      </c>
      <c r="Z392" s="191" cm="1">
        <f t="array" ref="Z392">INDEX($L$215:$L$219,MATCH(Z$230,EV_charger_type,0))*INDEX(EV06_work,$C392)*EV07_work_upper</f>
        <v>0</v>
      </c>
      <c r="AA392" s="191" cm="1">
        <f t="array" ref="AA392">INDEX($L$215:$L$219,MATCH(AA$230,EV_charger_type,0))*INDEX(EV06_slowfast,$C392)*EV07_slowfast_upper</f>
        <v>0</v>
      </c>
      <c r="AB392" s="191" cm="1">
        <f t="array" ref="AB392">INDEX($L$215:$L$219,MATCH(AB$230,EV_charger_type,0))*INDEX(EV06_rapid,$C392)*EV07_rapid_upper</f>
        <v>20.622902423759999</v>
      </c>
      <c r="AC392" s="191" cm="1">
        <f t="array" ref="AC392">INDEX($L$215:$L$219,MATCH(AC$230,EV_charger_type,0))*INDEX(EV06_depot,$C392)*EV07_depot_upper</f>
        <v>347.33941826411524</v>
      </c>
      <c r="AD392" s="192">
        <f t="shared" si="46"/>
        <v>367.96232068787526</v>
      </c>
      <c r="AE392" s="192">
        <f t="shared" si="43"/>
        <v>45.995290085984408</v>
      </c>
      <c r="AF392" s="194"/>
      <c r="AG392" s="194"/>
    </row>
    <row r="393" spans="2:33">
      <c r="B393" s="194"/>
      <c r="C393" s="194">
        <v>38</v>
      </c>
      <c r="D393" s="180">
        <v>0.77083333333333337</v>
      </c>
      <c r="E393" s="191" cm="1">
        <f t="array" ref="E393">INDEX($J$215:$J$219,MATCH(E$230,EV_charger_type,0))*INDEX(EV06_domestic_Default,$C393)*EV07_domestic_Default</f>
        <v>0</v>
      </c>
      <c r="F393" s="191" cm="1">
        <f t="array" ref="F393">INDEX($J$215:$J$219,MATCH(F$230,EV_charger_type,0))*INDEX(EV06_work,$C393)*EV07_work_Default</f>
        <v>0</v>
      </c>
      <c r="G393" s="191" cm="1">
        <f t="array" ref="G393">INDEX($J$215:$J$219,MATCH(G$230,EV_charger_type,0))*INDEX(EV06_slowfast,$C393)*EV07_slowfast_Default</f>
        <v>0</v>
      </c>
      <c r="H393" s="191" cm="1">
        <f t="array" ref="H393">INDEX($J$215:$J$219,MATCH(H$230,EV_charger_type,0))*INDEX(EV06_rapid,$C393)*EV07_rapid_Default</f>
        <v>20.392720303737601</v>
      </c>
      <c r="I393" s="191" cm="1">
        <f t="array" ref="I393">INDEX($J$215:$J$219,MATCH(I$230,EV_charger_type,0))*INDEX(EV06_depot,$C393)*EV07_depot_Default</f>
        <v>423.43233604116483</v>
      </c>
      <c r="J393" s="192">
        <f t="shared" si="44"/>
        <v>443.82505634490241</v>
      </c>
      <c r="K393" s="192">
        <f t="shared" si="41"/>
        <v>55.478132043112801</v>
      </c>
      <c r="L393" s="194"/>
      <c r="M393" s="194"/>
      <c r="N393" s="180">
        <v>0.77083333333333337</v>
      </c>
      <c r="O393" s="191" cm="1">
        <f t="array" ref="O393">INDEX($K$215:$K$219,MATCH(O$230,EV_charger_type,0))*INDEX(EV06_domestic_lower,$C393)*EV07_domestic_lower</f>
        <v>0</v>
      </c>
      <c r="P393" s="191" cm="1">
        <f t="array" ref="P393">INDEX($K$215:$K$219,MATCH(P$230,EV_charger_type,0))*INDEX(EV06_work,$C393)*EV07_work_lower</f>
        <v>0</v>
      </c>
      <c r="Q393" s="191" cm="1">
        <f t="array" ref="Q393">INDEX($K$215:$K$219,MATCH(Q$230,EV_charger_type,0))*INDEX(EV06_slowfast,$C393)*EV07_slowfast_lower</f>
        <v>0</v>
      </c>
      <c r="R393" s="191" cm="1">
        <f t="array" ref="R393">INDEX($K$215:$K$219,MATCH(R$230,EV_charger_type,0))*INDEX(EV06_rapid,$C393)*EV07_rapid_lower</f>
        <v>20.392720303737601</v>
      </c>
      <c r="S393" s="191" cm="1">
        <f t="array" ref="S393">INDEX($K$215:$K$219,MATCH(S$230,EV_charger_type,0))*INDEX(EV06_depot,$C393)*EV07_depot_lower</f>
        <v>423.43233604116483</v>
      </c>
      <c r="T393" s="192">
        <f t="shared" si="45"/>
        <v>443.82505634490241</v>
      </c>
      <c r="U393" s="192">
        <f t="shared" si="42"/>
        <v>55.478132043112801</v>
      </c>
      <c r="V393" s="194"/>
      <c r="W393" s="194"/>
      <c r="X393" s="180">
        <v>0.77083333333333337</v>
      </c>
      <c r="Y393" s="191" cm="1">
        <f t="array" ref="Y393">INDEX($L$215:$L$219,MATCH(Y$230,EV_charger_type,0))*INDEX(EV06_domestic_upper,$C393)*EV07_domestic_upper</f>
        <v>0</v>
      </c>
      <c r="Z393" s="191" cm="1">
        <f t="array" ref="Z393">INDEX($L$215:$L$219,MATCH(Z$230,EV_charger_type,0))*INDEX(EV06_work,$C393)*EV07_work_upper</f>
        <v>0</v>
      </c>
      <c r="AA393" s="191" cm="1">
        <f t="array" ref="AA393">INDEX($L$215:$L$219,MATCH(AA$230,EV_charger_type,0))*INDEX(EV06_slowfast,$C393)*EV07_slowfast_upper</f>
        <v>0</v>
      </c>
      <c r="AB393" s="191" cm="1">
        <f t="array" ref="AB393">INDEX($L$215:$L$219,MATCH(AB$230,EV_charger_type,0))*INDEX(EV06_rapid,$C393)*EV07_rapid_upper</f>
        <v>20.392720303737601</v>
      </c>
      <c r="AC393" s="191" cm="1">
        <f t="array" ref="AC393">INDEX($L$215:$L$219,MATCH(AC$230,EV_charger_type,0))*INDEX(EV06_depot,$C393)*EV07_depot_upper</f>
        <v>423.43233604116483</v>
      </c>
      <c r="AD393" s="192">
        <f t="shared" si="46"/>
        <v>443.82505634490241</v>
      </c>
      <c r="AE393" s="192">
        <f t="shared" si="43"/>
        <v>55.478132043112801</v>
      </c>
      <c r="AF393" s="194"/>
      <c r="AG393" s="194"/>
    </row>
    <row r="394" spans="2:33">
      <c r="B394" s="194"/>
      <c r="C394" s="194">
        <v>39</v>
      </c>
      <c r="D394" s="180">
        <v>0.79166666666666663</v>
      </c>
      <c r="E394" s="191" cm="1">
        <f t="array" ref="E394">INDEX($J$215:$J$219,MATCH(E$230,EV_charger_type,0))*INDEX(EV06_domestic_Default,$C394)*EV07_domestic_Default</f>
        <v>0</v>
      </c>
      <c r="F394" s="191" cm="1">
        <f t="array" ref="F394">INDEX($J$215:$J$219,MATCH(F$230,EV_charger_type,0))*INDEX(EV06_work,$C394)*EV07_work_Default</f>
        <v>0</v>
      </c>
      <c r="G394" s="191" cm="1">
        <f t="array" ref="G394">INDEX($J$215:$J$219,MATCH(G$230,EV_charger_type,0))*INDEX(EV06_slowfast,$C394)*EV07_slowfast_Default</f>
        <v>0</v>
      </c>
      <c r="H394" s="191" cm="1">
        <f t="array" ref="H394">INDEX($J$215:$J$219,MATCH(H$230,EV_charger_type,0))*INDEX(EV06_rapid,$C394)*EV07_rapid_Default</f>
        <v>18.965992578624004</v>
      </c>
      <c r="I394" s="191" cm="1">
        <f t="array" ref="I394">INDEX($J$215:$J$219,MATCH(I$230,EV_charger_type,0))*INDEX(EV06_depot,$C394)*EV07_depot_Default</f>
        <v>467.11515397478405</v>
      </c>
      <c r="J394" s="192">
        <f t="shared" si="44"/>
        <v>486.08114655340808</v>
      </c>
      <c r="K394" s="192">
        <f t="shared" si="41"/>
        <v>60.760143319176009</v>
      </c>
      <c r="L394" s="194"/>
      <c r="M394" s="194"/>
      <c r="N394" s="180">
        <v>0.79166666666666663</v>
      </c>
      <c r="O394" s="191" cm="1">
        <f t="array" ref="O394">INDEX($K$215:$K$219,MATCH(O$230,EV_charger_type,0))*INDEX(EV06_domestic_lower,$C394)*EV07_domestic_lower</f>
        <v>0</v>
      </c>
      <c r="P394" s="191" cm="1">
        <f t="array" ref="P394">INDEX($K$215:$K$219,MATCH(P$230,EV_charger_type,0))*INDEX(EV06_work,$C394)*EV07_work_lower</f>
        <v>0</v>
      </c>
      <c r="Q394" s="191" cm="1">
        <f t="array" ref="Q394">INDEX($K$215:$K$219,MATCH(Q$230,EV_charger_type,0))*INDEX(EV06_slowfast,$C394)*EV07_slowfast_lower</f>
        <v>0</v>
      </c>
      <c r="R394" s="191" cm="1">
        <f t="array" ref="R394">INDEX($K$215:$K$219,MATCH(R$230,EV_charger_type,0))*INDEX(EV06_rapid,$C394)*EV07_rapid_lower</f>
        <v>18.965992578624004</v>
      </c>
      <c r="S394" s="191" cm="1">
        <f t="array" ref="S394">INDEX($K$215:$K$219,MATCH(S$230,EV_charger_type,0))*INDEX(EV06_depot,$C394)*EV07_depot_lower</f>
        <v>467.11515397478405</v>
      </c>
      <c r="T394" s="192">
        <f t="shared" si="45"/>
        <v>486.08114655340808</v>
      </c>
      <c r="U394" s="192">
        <f t="shared" si="42"/>
        <v>60.760143319176009</v>
      </c>
      <c r="V394" s="194"/>
      <c r="W394" s="194"/>
      <c r="X394" s="180">
        <v>0.79166666666666663</v>
      </c>
      <c r="Y394" s="191" cm="1">
        <f t="array" ref="Y394">INDEX($L$215:$L$219,MATCH(Y$230,EV_charger_type,0))*INDEX(EV06_domestic_upper,$C394)*EV07_domestic_upper</f>
        <v>0</v>
      </c>
      <c r="Z394" s="191" cm="1">
        <f t="array" ref="Z394">INDEX($L$215:$L$219,MATCH(Z$230,EV_charger_type,0))*INDEX(EV06_work,$C394)*EV07_work_upper</f>
        <v>0</v>
      </c>
      <c r="AA394" s="191" cm="1">
        <f t="array" ref="AA394">INDEX($L$215:$L$219,MATCH(AA$230,EV_charger_type,0))*INDEX(EV06_slowfast,$C394)*EV07_slowfast_upper</f>
        <v>0</v>
      </c>
      <c r="AB394" s="191" cm="1">
        <f t="array" ref="AB394">INDEX($L$215:$L$219,MATCH(AB$230,EV_charger_type,0))*INDEX(EV06_rapid,$C394)*EV07_rapid_upper</f>
        <v>18.965992578624004</v>
      </c>
      <c r="AC394" s="191" cm="1">
        <f t="array" ref="AC394">INDEX($L$215:$L$219,MATCH(AC$230,EV_charger_type,0))*INDEX(EV06_depot,$C394)*EV07_depot_upper</f>
        <v>467.11515397478405</v>
      </c>
      <c r="AD394" s="192">
        <f t="shared" si="46"/>
        <v>486.08114655340808</v>
      </c>
      <c r="AE394" s="192">
        <f t="shared" si="43"/>
        <v>60.760143319176009</v>
      </c>
      <c r="AF394" s="194"/>
      <c r="AG394" s="194"/>
    </row>
    <row r="395" spans="2:33">
      <c r="B395" s="194"/>
      <c r="C395" s="194">
        <v>40</v>
      </c>
      <c r="D395" s="180">
        <v>0.8125</v>
      </c>
      <c r="E395" s="191" cm="1">
        <f t="array" ref="E395">INDEX($J$215:$J$219,MATCH(E$230,EV_charger_type,0))*INDEX(EV06_domestic_Default,$C395)*EV07_domestic_Default</f>
        <v>0</v>
      </c>
      <c r="F395" s="191" cm="1">
        <f t="array" ref="F395">INDEX($J$215:$J$219,MATCH(F$230,EV_charger_type,0))*INDEX(EV06_work,$C395)*EV07_work_Default</f>
        <v>0</v>
      </c>
      <c r="G395" s="191" cm="1">
        <f t="array" ref="G395">INDEX($J$215:$J$219,MATCH(G$230,EV_charger_type,0))*INDEX(EV06_slowfast,$C395)*EV07_slowfast_Default</f>
        <v>0</v>
      </c>
      <c r="H395" s="191" cm="1">
        <f t="array" ref="H395">INDEX($J$215:$J$219,MATCH(H$230,EV_charger_type,0))*INDEX(EV06_rapid,$C395)*EV07_rapid_Default</f>
        <v>17.539264853510399</v>
      </c>
      <c r="I395" s="191" cm="1">
        <f t="array" ref="I395">INDEX($J$215:$J$219,MATCH(I$230,EV_charger_type,0))*INDEX(EV06_depot,$C395)*EV07_depot_Default</f>
        <v>510.79797190840321</v>
      </c>
      <c r="J395" s="192">
        <f t="shared" si="44"/>
        <v>528.33723676191357</v>
      </c>
      <c r="K395" s="192">
        <f t="shared" si="41"/>
        <v>66.042154595239197</v>
      </c>
      <c r="L395" s="194"/>
      <c r="M395" s="194"/>
      <c r="N395" s="180">
        <v>0.8125</v>
      </c>
      <c r="O395" s="191" cm="1">
        <f t="array" ref="O395">INDEX($K$215:$K$219,MATCH(O$230,EV_charger_type,0))*INDEX(EV06_domestic_lower,$C395)*EV07_domestic_lower</f>
        <v>0</v>
      </c>
      <c r="P395" s="191" cm="1">
        <f t="array" ref="P395">INDEX($K$215:$K$219,MATCH(P$230,EV_charger_type,0))*INDEX(EV06_work,$C395)*EV07_work_lower</f>
        <v>0</v>
      </c>
      <c r="Q395" s="191" cm="1">
        <f t="array" ref="Q395">INDEX($K$215:$K$219,MATCH(Q$230,EV_charger_type,0))*INDEX(EV06_slowfast,$C395)*EV07_slowfast_lower</f>
        <v>0</v>
      </c>
      <c r="R395" s="191" cm="1">
        <f t="array" ref="R395">INDEX($K$215:$K$219,MATCH(R$230,EV_charger_type,0))*INDEX(EV06_rapid,$C395)*EV07_rapid_lower</f>
        <v>17.539264853510399</v>
      </c>
      <c r="S395" s="191" cm="1">
        <f t="array" ref="S395">INDEX($K$215:$K$219,MATCH(S$230,EV_charger_type,0))*INDEX(EV06_depot,$C395)*EV07_depot_lower</f>
        <v>510.79797190840321</v>
      </c>
      <c r="T395" s="192">
        <f t="shared" si="45"/>
        <v>528.33723676191357</v>
      </c>
      <c r="U395" s="192">
        <f t="shared" si="42"/>
        <v>66.042154595239197</v>
      </c>
      <c r="V395" s="194"/>
      <c r="W395" s="194"/>
      <c r="X395" s="180">
        <v>0.8125</v>
      </c>
      <c r="Y395" s="191" cm="1">
        <f t="array" ref="Y395">INDEX($L$215:$L$219,MATCH(Y$230,EV_charger_type,0))*INDEX(EV06_domestic_upper,$C395)*EV07_domestic_upper</f>
        <v>0</v>
      </c>
      <c r="Z395" s="191" cm="1">
        <f t="array" ref="Z395">INDEX($L$215:$L$219,MATCH(Z$230,EV_charger_type,0))*INDEX(EV06_work,$C395)*EV07_work_upper</f>
        <v>0</v>
      </c>
      <c r="AA395" s="191" cm="1">
        <f t="array" ref="AA395">INDEX($L$215:$L$219,MATCH(AA$230,EV_charger_type,0))*INDEX(EV06_slowfast,$C395)*EV07_slowfast_upper</f>
        <v>0</v>
      </c>
      <c r="AB395" s="191" cm="1">
        <f t="array" ref="AB395">INDEX($L$215:$L$219,MATCH(AB$230,EV_charger_type,0))*INDEX(EV06_rapid,$C395)*EV07_rapid_upper</f>
        <v>17.539264853510399</v>
      </c>
      <c r="AC395" s="191" cm="1">
        <f t="array" ref="AC395">INDEX($L$215:$L$219,MATCH(AC$230,EV_charger_type,0))*INDEX(EV06_depot,$C395)*EV07_depot_upper</f>
        <v>510.79797190840321</v>
      </c>
      <c r="AD395" s="192">
        <f t="shared" si="46"/>
        <v>528.33723676191357</v>
      </c>
      <c r="AE395" s="192">
        <f t="shared" si="43"/>
        <v>66.042154595239197</v>
      </c>
      <c r="AF395" s="194"/>
      <c r="AG395" s="194"/>
    </row>
    <row r="396" spans="2:33">
      <c r="B396" s="194"/>
      <c r="C396" s="194">
        <v>41</v>
      </c>
      <c r="D396" s="180">
        <v>0.83333333333333337</v>
      </c>
      <c r="E396" s="191" cm="1">
        <f t="array" ref="E396">INDEX($J$215:$J$219,MATCH(E$230,EV_charger_type,0))*INDEX(EV06_domestic_Default,$C396)*EV07_domestic_Default</f>
        <v>0</v>
      </c>
      <c r="F396" s="191" cm="1">
        <f t="array" ref="F396">INDEX($J$215:$J$219,MATCH(F$230,EV_charger_type,0))*INDEX(EV06_work,$C396)*EV07_work_Default</f>
        <v>0</v>
      </c>
      <c r="G396" s="191" cm="1">
        <f t="array" ref="G396">INDEX($J$215:$J$219,MATCH(G$230,EV_charger_type,0))*INDEX(EV06_slowfast,$C396)*EV07_slowfast_Default</f>
        <v>0</v>
      </c>
      <c r="H396" s="191" cm="1">
        <f t="array" ref="H396">INDEX($J$215:$J$219,MATCH(H$230,EV_charger_type,0))*INDEX(EV06_rapid,$C396)*EV07_rapid_Default</f>
        <v>15.620693185843203</v>
      </c>
      <c r="I396" s="191" cm="1">
        <f t="array" ref="I396">INDEX($J$215:$J$219,MATCH(I$230,EV_charger_type,0))*INDEX(EV06_depot,$C396)*EV07_depot_Default</f>
        <v>522.34953999298568</v>
      </c>
      <c r="J396" s="192">
        <f t="shared" si="44"/>
        <v>537.97023317882883</v>
      </c>
      <c r="K396" s="192">
        <f t="shared" si="41"/>
        <v>67.246279147353604</v>
      </c>
      <c r="L396" s="194"/>
      <c r="M396" s="194"/>
      <c r="N396" s="180">
        <v>0.83333333333333337</v>
      </c>
      <c r="O396" s="191" cm="1">
        <f t="array" ref="O396">INDEX($K$215:$K$219,MATCH(O$230,EV_charger_type,0))*INDEX(EV06_domestic_lower,$C396)*EV07_domestic_lower</f>
        <v>0</v>
      </c>
      <c r="P396" s="191" cm="1">
        <f t="array" ref="P396">INDEX($K$215:$K$219,MATCH(P$230,EV_charger_type,0))*INDEX(EV06_work,$C396)*EV07_work_lower</f>
        <v>0</v>
      </c>
      <c r="Q396" s="191" cm="1">
        <f t="array" ref="Q396">INDEX($K$215:$K$219,MATCH(Q$230,EV_charger_type,0))*INDEX(EV06_slowfast,$C396)*EV07_slowfast_lower</f>
        <v>0</v>
      </c>
      <c r="R396" s="191" cm="1">
        <f t="array" ref="R396">INDEX($K$215:$K$219,MATCH(R$230,EV_charger_type,0))*INDEX(EV06_rapid,$C396)*EV07_rapid_lower</f>
        <v>15.620693185843203</v>
      </c>
      <c r="S396" s="191" cm="1">
        <f t="array" ref="S396">INDEX($K$215:$K$219,MATCH(S$230,EV_charger_type,0))*INDEX(EV06_depot,$C396)*EV07_depot_lower</f>
        <v>522.34953999298568</v>
      </c>
      <c r="T396" s="192">
        <f t="shared" si="45"/>
        <v>537.97023317882883</v>
      </c>
      <c r="U396" s="192">
        <f t="shared" si="42"/>
        <v>67.246279147353604</v>
      </c>
      <c r="V396" s="194"/>
      <c r="W396" s="194"/>
      <c r="X396" s="180">
        <v>0.83333333333333337</v>
      </c>
      <c r="Y396" s="191" cm="1">
        <f t="array" ref="Y396">INDEX($L$215:$L$219,MATCH(Y$230,EV_charger_type,0))*INDEX(EV06_domestic_upper,$C396)*EV07_domestic_upper</f>
        <v>0</v>
      </c>
      <c r="Z396" s="191" cm="1">
        <f t="array" ref="Z396">INDEX($L$215:$L$219,MATCH(Z$230,EV_charger_type,0))*INDEX(EV06_work,$C396)*EV07_work_upper</f>
        <v>0</v>
      </c>
      <c r="AA396" s="191" cm="1">
        <f t="array" ref="AA396">INDEX($L$215:$L$219,MATCH(AA$230,EV_charger_type,0))*INDEX(EV06_slowfast,$C396)*EV07_slowfast_upper</f>
        <v>0</v>
      </c>
      <c r="AB396" s="191" cm="1">
        <f t="array" ref="AB396">INDEX($L$215:$L$219,MATCH(AB$230,EV_charger_type,0))*INDEX(EV06_rapid,$C396)*EV07_rapid_upper</f>
        <v>15.620693185843203</v>
      </c>
      <c r="AC396" s="191" cm="1">
        <f t="array" ref="AC396">INDEX($L$215:$L$219,MATCH(AC$230,EV_charger_type,0))*INDEX(EV06_depot,$C396)*EV07_depot_upper</f>
        <v>522.34953999298568</v>
      </c>
      <c r="AD396" s="192">
        <f t="shared" si="46"/>
        <v>537.97023317882883</v>
      </c>
      <c r="AE396" s="192">
        <f t="shared" si="43"/>
        <v>67.246279147353604</v>
      </c>
      <c r="AF396" s="194"/>
      <c r="AG396" s="194"/>
    </row>
    <row r="397" spans="2:33">
      <c r="B397" s="194"/>
      <c r="C397" s="194">
        <v>42</v>
      </c>
      <c r="D397" s="180">
        <v>0.85416666666666663</v>
      </c>
      <c r="E397" s="191" cm="1">
        <f t="array" ref="E397">INDEX($J$215:$J$219,MATCH(E$230,EV_charger_type,0))*INDEX(EV06_domestic_Default,$C397)*EV07_domestic_Default</f>
        <v>0</v>
      </c>
      <c r="F397" s="191" cm="1">
        <f t="array" ref="F397">INDEX($J$215:$J$219,MATCH(F$230,EV_charger_type,0))*INDEX(EV06_work,$C397)*EV07_work_Default</f>
        <v>0</v>
      </c>
      <c r="G397" s="191" cm="1">
        <f t="array" ref="G397">INDEX($J$215:$J$219,MATCH(G$230,EV_charger_type,0))*INDEX(EV06_slowfast,$C397)*EV07_slowfast_Default</f>
        <v>0</v>
      </c>
      <c r="H397" s="191" cm="1">
        <f t="array" ref="H397">INDEX($J$215:$J$219,MATCH(H$230,EV_charger_type,0))*INDEX(EV06_rapid,$C397)*EV07_rapid_Default</f>
        <v>13.7020158815904</v>
      </c>
      <c r="I397" s="191" cm="1">
        <f t="array" ref="I397">INDEX($J$215:$J$219,MATCH(I$230,EV_charger_type,0))*INDEX(EV06_depot,$C397)*EV07_depot_Default</f>
        <v>533.89834718653447</v>
      </c>
      <c r="J397" s="192">
        <f t="shared" si="44"/>
        <v>547.60036306812492</v>
      </c>
      <c r="K397" s="192">
        <f t="shared" si="41"/>
        <v>68.450045383515615</v>
      </c>
      <c r="L397" s="194"/>
      <c r="M397" s="194"/>
      <c r="N397" s="180">
        <v>0.85416666666666663</v>
      </c>
      <c r="O397" s="191" cm="1">
        <f t="array" ref="O397">INDEX($K$215:$K$219,MATCH(O$230,EV_charger_type,0))*INDEX(EV06_domestic_lower,$C397)*EV07_domestic_lower</f>
        <v>0</v>
      </c>
      <c r="P397" s="191" cm="1">
        <f t="array" ref="P397">INDEX($K$215:$K$219,MATCH(P$230,EV_charger_type,0))*INDEX(EV06_work,$C397)*EV07_work_lower</f>
        <v>0</v>
      </c>
      <c r="Q397" s="191" cm="1">
        <f t="array" ref="Q397">INDEX($K$215:$K$219,MATCH(Q$230,EV_charger_type,0))*INDEX(EV06_slowfast,$C397)*EV07_slowfast_lower</f>
        <v>0</v>
      </c>
      <c r="R397" s="191" cm="1">
        <f t="array" ref="R397">INDEX($K$215:$K$219,MATCH(R$230,EV_charger_type,0))*INDEX(EV06_rapid,$C397)*EV07_rapid_lower</f>
        <v>13.7020158815904</v>
      </c>
      <c r="S397" s="191" cm="1">
        <f t="array" ref="S397">INDEX($K$215:$K$219,MATCH(S$230,EV_charger_type,0))*INDEX(EV06_depot,$C397)*EV07_depot_lower</f>
        <v>533.89834718653447</v>
      </c>
      <c r="T397" s="192">
        <f t="shared" si="45"/>
        <v>547.60036306812492</v>
      </c>
      <c r="U397" s="192">
        <f t="shared" si="42"/>
        <v>68.450045383515615</v>
      </c>
      <c r="V397" s="194"/>
      <c r="W397" s="194"/>
      <c r="X397" s="180">
        <v>0.85416666666666663</v>
      </c>
      <c r="Y397" s="191" cm="1">
        <f t="array" ref="Y397">INDEX($L$215:$L$219,MATCH(Y$230,EV_charger_type,0))*INDEX(EV06_domestic_upper,$C397)*EV07_domestic_upper</f>
        <v>0</v>
      </c>
      <c r="Z397" s="191" cm="1">
        <f t="array" ref="Z397">INDEX($L$215:$L$219,MATCH(Z$230,EV_charger_type,0))*INDEX(EV06_work,$C397)*EV07_work_upper</f>
        <v>0</v>
      </c>
      <c r="AA397" s="191" cm="1">
        <f t="array" ref="AA397">INDEX($L$215:$L$219,MATCH(AA$230,EV_charger_type,0))*INDEX(EV06_slowfast,$C397)*EV07_slowfast_upper</f>
        <v>0</v>
      </c>
      <c r="AB397" s="191" cm="1">
        <f t="array" ref="AB397">INDEX($L$215:$L$219,MATCH(AB$230,EV_charger_type,0))*INDEX(EV06_rapid,$C397)*EV07_rapid_upper</f>
        <v>13.7020158815904</v>
      </c>
      <c r="AC397" s="191" cm="1">
        <f t="array" ref="AC397">INDEX($L$215:$L$219,MATCH(AC$230,EV_charger_type,0))*INDEX(EV06_depot,$C397)*EV07_depot_upper</f>
        <v>533.89834718653447</v>
      </c>
      <c r="AD397" s="192">
        <f t="shared" si="46"/>
        <v>547.60036306812492</v>
      </c>
      <c r="AE397" s="192">
        <f t="shared" si="43"/>
        <v>68.450045383515615</v>
      </c>
      <c r="AF397" s="194"/>
      <c r="AG397" s="194"/>
    </row>
    <row r="398" spans="2:33">
      <c r="B398" s="194"/>
      <c r="C398" s="194">
        <v>43</v>
      </c>
      <c r="D398" s="180">
        <v>0.875</v>
      </c>
      <c r="E398" s="191" cm="1">
        <f t="array" ref="E398">INDEX($J$215:$J$219,MATCH(E$230,EV_charger_type,0))*INDEX(EV06_domestic_Default,$C398)*EV07_domestic_Default</f>
        <v>0</v>
      </c>
      <c r="F398" s="191" cm="1">
        <f t="array" ref="F398">INDEX($J$215:$J$219,MATCH(F$230,EV_charger_type,0))*INDEX(EV06_work,$C398)*EV07_work_Default</f>
        <v>0</v>
      </c>
      <c r="G398" s="191" cm="1">
        <f t="array" ref="G398">INDEX($J$215:$J$219,MATCH(G$230,EV_charger_type,0))*INDEX(EV06_slowfast,$C398)*EV07_slowfast_Default</f>
        <v>0</v>
      </c>
      <c r="H398" s="191" cm="1">
        <f t="array" ref="H398">INDEX($J$215:$J$219,MATCH(H$230,EV_charger_type,0))*INDEX(EV06_rapid,$C398)*EV07_rapid_Default</f>
        <v>11.754816699225602</v>
      </c>
      <c r="I398" s="191" cm="1">
        <f t="array" ref="I398">INDEX($J$215:$J$219,MATCH(I$230,EV_charger_type,0))*INDEX(EV06_depot,$C398)*EV07_depot_Default</f>
        <v>541.78345197849603</v>
      </c>
      <c r="J398" s="192">
        <f t="shared" si="44"/>
        <v>553.53826867772159</v>
      </c>
      <c r="K398" s="192">
        <f t="shared" si="41"/>
        <v>69.192283584715199</v>
      </c>
      <c r="L398" s="194"/>
      <c r="M398" s="194"/>
      <c r="N398" s="180">
        <v>0.875</v>
      </c>
      <c r="O398" s="191" cm="1">
        <f t="array" ref="O398">INDEX($K$215:$K$219,MATCH(O$230,EV_charger_type,0))*INDEX(EV06_domestic_lower,$C398)*EV07_domestic_lower</f>
        <v>0</v>
      </c>
      <c r="P398" s="191" cm="1">
        <f t="array" ref="P398">INDEX($K$215:$K$219,MATCH(P$230,EV_charger_type,0))*INDEX(EV06_work,$C398)*EV07_work_lower</f>
        <v>0</v>
      </c>
      <c r="Q398" s="191" cm="1">
        <f t="array" ref="Q398">INDEX($K$215:$K$219,MATCH(Q$230,EV_charger_type,0))*INDEX(EV06_slowfast,$C398)*EV07_slowfast_lower</f>
        <v>0</v>
      </c>
      <c r="R398" s="191" cm="1">
        <f t="array" ref="R398">INDEX($K$215:$K$219,MATCH(R$230,EV_charger_type,0))*INDEX(EV06_rapid,$C398)*EV07_rapid_lower</f>
        <v>11.754816699225602</v>
      </c>
      <c r="S398" s="191" cm="1">
        <f t="array" ref="S398">INDEX($K$215:$K$219,MATCH(S$230,EV_charger_type,0))*INDEX(EV06_depot,$C398)*EV07_depot_lower</f>
        <v>541.78345197849603</v>
      </c>
      <c r="T398" s="192">
        <f t="shared" si="45"/>
        <v>553.53826867772159</v>
      </c>
      <c r="U398" s="192">
        <f t="shared" si="42"/>
        <v>69.192283584715199</v>
      </c>
      <c r="V398" s="194"/>
      <c r="W398" s="194"/>
      <c r="X398" s="180">
        <v>0.875</v>
      </c>
      <c r="Y398" s="191" cm="1">
        <f t="array" ref="Y398">INDEX($L$215:$L$219,MATCH(Y$230,EV_charger_type,0))*INDEX(EV06_domestic_upper,$C398)*EV07_domestic_upper</f>
        <v>0</v>
      </c>
      <c r="Z398" s="191" cm="1">
        <f t="array" ref="Z398">INDEX($L$215:$L$219,MATCH(Z$230,EV_charger_type,0))*INDEX(EV06_work,$C398)*EV07_work_upper</f>
        <v>0</v>
      </c>
      <c r="AA398" s="191" cm="1">
        <f t="array" ref="AA398">INDEX($L$215:$L$219,MATCH(AA$230,EV_charger_type,0))*INDEX(EV06_slowfast,$C398)*EV07_slowfast_upper</f>
        <v>0</v>
      </c>
      <c r="AB398" s="191" cm="1">
        <f t="array" ref="AB398">INDEX($L$215:$L$219,MATCH(AB$230,EV_charger_type,0))*INDEX(EV06_rapid,$C398)*EV07_rapid_upper</f>
        <v>11.754816699225602</v>
      </c>
      <c r="AC398" s="191" cm="1">
        <f t="array" ref="AC398">INDEX($L$215:$L$219,MATCH(AC$230,EV_charger_type,0))*INDEX(EV06_depot,$C398)*EV07_depot_upper</f>
        <v>541.78345197849603</v>
      </c>
      <c r="AD398" s="192">
        <f t="shared" si="46"/>
        <v>553.53826867772159</v>
      </c>
      <c r="AE398" s="192">
        <f t="shared" si="43"/>
        <v>69.192283584715199</v>
      </c>
      <c r="AF398" s="194"/>
      <c r="AG398" s="194"/>
    </row>
    <row r="399" spans="2:33">
      <c r="B399" s="194"/>
      <c r="C399" s="194">
        <v>44</v>
      </c>
      <c r="D399" s="180">
        <v>0.89583333333333337</v>
      </c>
      <c r="E399" s="191" cm="1">
        <f t="array" ref="E399">INDEX($J$215:$J$219,MATCH(E$230,EV_charger_type,0))*INDEX(EV06_domestic_Default,$C399)*EV07_domestic_Default</f>
        <v>0</v>
      </c>
      <c r="F399" s="191" cm="1">
        <f t="array" ref="F399">INDEX($J$215:$J$219,MATCH(F$230,EV_charger_type,0))*INDEX(EV06_work,$C399)*EV07_work_Default</f>
        <v>0</v>
      </c>
      <c r="G399" s="191" cm="1">
        <f t="array" ref="G399">INDEX($J$215:$J$219,MATCH(G$230,EV_charger_type,0))*INDEX(EV06_slowfast,$C399)*EV07_slowfast_Default</f>
        <v>0</v>
      </c>
      <c r="H399" s="191" cm="1">
        <f t="array" ref="H399">INDEX($J$215:$J$219,MATCH(H$230,EV_charger_type,0))*INDEX(EV06_rapid,$C399)*EV07_rapid_Default</f>
        <v>9.8076175168608017</v>
      </c>
      <c r="I399" s="191" cm="1">
        <f t="array" ref="I399">INDEX($J$215:$J$219,MATCH(I$230,EV_charger_type,0))*INDEX(EV06_depot,$C399)*EV07_depot_Default</f>
        <v>549.66855677045771</v>
      </c>
      <c r="J399" s="192">
        <f t="shared" si="44"/>
        <v>559.47617428731849</v>
      </c>
      <c r="K399" s="192">
        <f t="shared" si="41"/>
        <v>69.934521785914811</v>
      </c>
      <c r="L399" s="194"/>
      <c r="M399" s="194"/>
      <c r="N399" s="180">
        <v>0.89583333333333337</v>
      </c>
      <c r="O399" s="191" cm="1">
        <f t="array" ref="O399">INDEX($K$215:$K$219,MATCH(O$230,EV_charger_type,0))*INDEX(EV06_domestic_lower,$C399)*EV07_domestic_lower</f>
        <v>0</v>
      </c>
      <c r="P399" s="191" cm="1">
        <f t="array" ref="P399">INDEX($K$215:$K$219,MATCH(P$230,EV_charger_type,0))*INDEX(EV06_work,$C399)*EV07_work_lower</f>
        <v>0</v>
      </c>
      <c r="Q399" s="191" cm="1">
        <f t="array" ref="Q399">INDEX($K$215:$K$219,MATCH(Q$230,EV_charger_type,0))*INDEX(EV06_slowfast,$C399)*EV07_slowfast_lower</f>
        <v>0</v>
      </c>
      <c r="R399" s="191" cm="1">
        <f t="array" ref="R399">INDEX($K$215:$K$219,MATCH(R$230,EV_charger_type,0))*INDEX(EV06_rapid,$C399)*EV07_rapid_lower</f>
        <v>9.8076175168608017</v>
      </c>
      <c r="S399" s="191" cm="1">
        <f t="array" ref="S399">INDEX($K$215:$K$219,MATCH(S$230,EV_charger_type,0))*INDEX(EV06_depot,$C399)*EV07_depot_lower</f>
        <v>549.66855677045771</v>
      </c>
      <c r="T399" s="192">
        <f t="shared" si="45"/>
        <v>559.47617428731849</v>
      </c>
      <c r="U399" s="192">
        <f t="shared" si="42"/>
        <v>69.934521785914811</v>
      </c>
      <c r="V399" s="194"/>
      <c r="W399" s="194"/>
      <c r="X399" s="180">
        <v>0.89583333333333337</v>
      </c>
      <c r="Y399" s="191" cm="1">
        <f t="array" ref="Y399">INDEX($L$215:$L$219,MATCH(Y$230,EV_charger_type,0))*INDEX(EV06_domestic_upper,$C399)*EV07_domestic_upper</f>
        <v>0</v>
      </c>
      <c r="Z399" s="191" cm="1">
        <f t="array" ref="Z399">INDEX($L$215:$L$219,MATCH(Z$230,EV_charger_type,0))*INDEX(EV06_work,$C399)*EV07_work_upper</f>
        <v>0</v>
      </c>
      <c r="AA399" s="191" cm="1">
        <f t="array" ref="AA399">INDEX($L$215:$L$219,MATCH(AA$230,EV_charger_type,0))*INDEX(EV06_slowfast,$C399)*EV07_slowfast_upper</f>
        <v>0</v>
      </c>
      <c r="AB399" s="191" cm="1">
        <f t="array" ref="AB399">INDEX($L$215:$L$219,MATCH(AB$230,EV_charger_type,0))*INDEX(EV06_rapid,$C399)*EV07_rapid_upper</f>
        <v>9.8076175168608017</v>
      </c>
      <c r="AC399" s="191" cm="1">
        <f t="array" ref="AC399">INDEX($L$215:$L$219,MATCH(AC$230,EV_charger_type,0))*INDEX(EV06_depot,$C399)*EV07_depot_upper</f>
        <v>549.66855677045771</v>
      </c>
      <c r="AD399" s="192">
        <f t="shared" si="46"/>
        <v>559.47617428731849</v>
      </c>
      <c r="AE399" s="192">
        <f t="shared" si="43"/>
        <v>69.934521785914811</v>
      </c>
      <c r="AF399" s="194"/>
      <c r="AG399" s="194"/>
    </row>
    <row r="400" spans="2:33">
      <c r="B400" s="194"/>
      <c r="C400" s="194">
        <v>45</v>
      </c>
      <c r="D400" s="180">
        <v>0.91666666666666663</v>
      </c>
      <c r="E400" s="191" cm="1">
        <f t="array" ref="E400">INDEX($J$215:$J$219,MATCH(E$230,EV_charger_type,0))*INDEX(EV06_domestic_Default,$C400)*EV07_domestic_Default</f>
        <v>0</v>
      </c>
      <c r="F400" s="191" cm="1">
        <f t="array" ref="F400">INDEX($J$215:$J$219,MATCH(F$230,EV_charger_type,0))*INDEX(EV06_work,$C400)*EV07_work_Default</f>
        <v>0</v>
      </c>
      <c r="G400" s="191" cm="1">
        <f t="array" ref="G400">INDEX($J$215:$J$219,MATCH(G$230,EV_charger_type,0))*INDEX(EV06_slowfast,$C400)*EV07_slowfast_Default</f>
        <v>0</v>
      </c>
      <c r="H400" s="191" cm="1">
        <f t="array" ref="H400">INDEX($J$215:$J$219,MATCH(H$230,EV_charger_type,0))*INDEX(EV06_rapid,$C400)*EV07_rapid_Default</f>
        <v>8.1523978570944013</v>
      </c>
      <c r="I400" s="191" cm="1">
        <f t="array" ref="I400">INDEX($J$215:$J$219,MATCH(I$230,EV_charger_type,0))*INDEX(EV06_depot,$C400)*EV07_depot_Default</f>
        <v>547.47364839874558</v>
      </c>
      <c r="J400" s="192">
        <f t="shared" si="44"/>
        <v>555.62604625584004</v>
      </c>
      <c r="K400" s="192">
        <f t="shared" si="41"/>
        <v>69.453255781980005</v>
      </c>
      <c r="L400" s="194"/>
      <c r="M400" s="194"/>
      <c r="N400" s="180">
        <v>0.91666666666666663</v>
      </c>
      <c r="O400" s="191" cm="1">
        <f t="array" ref="O400">INDEX($K$215:$K$219,MATCH(O$230,EV_charger_type,0))*INDEX(EV06_domestic_lower,$C400)*EV07_domestic_lower</f>
        <v>0</v>
      </c>
      <c r="P400" s="191" cm="1">
        <f t="array" ref="P400">INDEX($K$215:$K$219,MATCH(P$230,EV_charger_type,0))*INDEX(EV06_work,$C400)*EV07_work_lower</f>
        <v>0</v>
      </c>
      <c r="Q400" s="191" cm="1">
        <f t="array" ref="Q400">INDEX($K$215:$K$219,MATCH(Q$230,EV_charger_type,0))*INDEX(EV06_slowfast,$C400)*EV07_slowfast_lower</f>
        <v>0</v>
      </c>
      <c r="R400" s="191" cm="1">
        <f t="array" ref="R400">INDEX($K$215:$K$219,MATCH(R$230,EV_charger_type,0))*INDEX(EV06_rapid,$C400)*EV07_rapid_lower</f>
        <v>8.1523978570944013</v>
      </c>
      <c r="S400" s="191" cm="1">
        <f t="array" ref="S400">INDEX($K$215:$K$219,MATCH(S$230,EV_charger_type,0))*INDEX(EV06_depot,$C400)*EV07_depot_lower</f>
        <v>547.47364839874558</v>
      </c>
      <c r="T400" s="192">
        <f t="shared" si="45"/>
        <v>555.62604625584004</v>
      </c>
      <c r="U400" s="192">
        <f t="shared" si="42"/>
        <v>69.453255781980005</v>
      </c>
      <c r="V400" s="194"/>
      <c r="W400" s="194"/>
      <c r="X400" s="180">
        <v>0.91666666666666663</v>
      </c>
      <c r="Y400" s="191" cm="1">
        <f t="array" ref="Y400">INDEX($L$215:$L$219,MATCH(Y$230,EV_charger_type,0))*INDEX(EV06_domestic_upper,$C400)*EV07_domestic_upper</f>
        <v>0</v>
      </c>
      <c r="Z400" s="191" cm="1">
        <f t="array" ref="Z400">INDEX($L$215:$L$219,MATCH(Z$230,EV_charger_type,0))*INDEX(EV06_work,$C400)*EV07_work_upper</f>
        <v>0</v>
      </c>
      <c r="AA400" s="191" cm="1">
        <f t="array" ref="AA400">INDEX($L$215:$L$219,MATCH(AA$230,EV_charger_type,0))*INDEX(EV06_slowfast,$C400)*EV07_slowfast_upper</f>
        <v>0</v>
      </c>
      <c r="AB400" s="191" cm="1">
        <f t="array" ref="AB400">INDEX($L$215:$L$219,MATCH(AB$230,EV_charger_type,0))*INDEX(EV06_rapid,$C400)*EV07_rapid_upper</f>
        <v>8.1523978570944013</v>
      </c>
      <c r="AC400" s="191" cm="1">
        <f t="array" ref="AC400">INDEX($L$215:$L$219,MATCH(AC$230,EV_charger_type,0))*INDEX(EV06_depot,$C400)*EV07_depot_upper</f>
        <v>547.47364839874558</v>
      </c>
      <c r="AD400" s="192">
        <f t="shared" si="46"/>
        <v>555.62604625584004</v>
      </c>
      <c r="AE400" s="192">
        <f t="shared" si="43"/>
        <v>69.453255781980005</v>
      </c>
      <c r="AF400" s="194"/>
      <c r="AG400" s="194"/>
    </row>
    <row r="401" spans="2:33">
      <c r="B401" s="194"/>
      <c r="C401" s="194">
        <v>46</v>
      </c>
      <c r="D401" s="180">
        <v>0.9375</v>
      </c>
      <c r="E401" s="191" cm="1">
        <f t="array" ref="E401">INDEX($J$215:$J$219,MATCH(E$230,EV_charger_type,0))*INDEX(EV06_domestic_Default,$C401)*EV07_domestic_Default</f>
        <v>0</v>
      </c>
      <c r="F401" s="191" cm="1">
        <f t="array" ref="F401">INDEX($J$215:$J$219,MATCH(F$230,EV_charger_type,0))*INDEX(EV06_work,$C401)*EV07_work_Default</f>
        <v>0</v>
      </c>
      <c r="G401" s="191" cm="1">
        <f t="array" ref="G401">INDEX($J$215:$J$219,MATCH(G$230,EV_charger_type,0))*INDEX(EV06_slowfast,$C401)*EV07_slowfast_Default</f>
        <v>0</v>
      </c>
      <c r="H401" s="191" cm="1">
        <f t="array" ref="H401">INDEX($J$215:$J$219,MATCH(H$230,EV_charger_type,0))*INDEX(EV06_rapid,$C401)*EV07_rapid_Default</f>
        <v>6.4971781973280001</v>
      </c>
      <c r="I401" s="191" cm="1">
        <f t="array" ref="I401">INDEX($J$215:$J$219,MATCH(I$230,EV_charger_type,0))*INDEX(EV06_depot,$C401)*EV07_depot_Default</f>
        <v>545.27874002703368</v>
      </c>
      <c r="J401" s="192">
        <f t="shared" si="44"/>
        <v>551.7759182243617</v>
      </c>
      <c r="K401" s="192">
        <f t="shared" si="41"/>
        <v>68.971989778045213</v>
      </c>
      <c r="L401" s="194"/>
      <c r="M401" s="194"/>
      <c r="N401" s="180">
        <v>0.9375</v>
      </c>
      <c r="O401" s="191" cm="1">
        <f t="array" ref="O401">INDEX($K$215:$K$219,MATCH(O$230,EV_charger_type,0))*INDEX(EV06_domestic_lower,$C401)*EV07_domestic_lower</f>
        <v>0</v>
      </c>
      <c r="P401" s="191" cm="1">
        <f t="array" ref="P401">INDEX($K$215:$K$219,MATCH(P$230,EV_charger_type,0))*INDEX(EV06_work,$C401)*EV07_work_lower</f>
        <v>0</v>
      </c>
      <c r="Q401" s="191" cm="1">
        <f t="array" ref="Q401">INDEX($K$215:$K$219,MATCH(Q$230,EV_charger_type,0))*INDEX(EV06_slowfast,$C401)*EV07_slowfast_lower</f>
        <v>0</v>
      </c>
      <c r="R401" s="191" cm="1">
        <f t="array" ref="R401">INDEX($K$215:$K$219,MATCH(R$230,EV_charger_type,0))*INDEX(EV06_rapid,$C401)*EV07_rapid_lower</f>
        <v>6.4971781973280001</v>
      </c>
      <c r="S401" s="191" cm="1">
        <f t="array" ref="S401">INDEX($K$215:$K$219,MATCH(S$230,EV_charger_type,0))*INDEX(EV06_depot,$C401)*EV07_depot_lower</f>
        <v>545.27874002703368</v>
      </c>
      <c r="T401" s="192">
        <f t="shared" si="45"/>
        <v>551.7759182243617</v>
      </c>
      <c r="U401" s="192">
        <f t="shared" si="42"/>
        <v>68.971989778045213</v>
      </c>
      <c r="V401" s="194"/>
      <c r="W401" s="194"/>
      <c r="X401" s="180">
        <v>0.9375</v>
      </c>
      <c r="Y401" s="191" cm="1">
        <f t="array" ref="Y401">INDEX($L$215:$L$219,MATCH(Y$230,EV_charger_type,0))*INDEX(EV06_domestic_upper,$C401)*EV07_domestic_upper</f>
        <v>0</v>
      </c>
      <c r="Z401" s="191" cm="1">
        <f t="array" ref="Z401">INDEX($L$215:$L$219,MATCH(Z$230,EV_charger_type,0))*INDEX(EV06_work,$C401)*EV07_work_upper</f>
        <v>0</v>
      </c>
      <c r="AA401" s="191" cm="1">
        <f t="array" ref="AA401">INDEX($L$215:$L$219,MATCH(AA$230,EV_charger_type,0))*INDEX(EV06_slowfast,$C401)*EV07_slowfast_upper</f>
        <v>0</v>
      </c>
      <c r="AB401" s="191" cm="1">
        <f t="array" ref="AB401">INDEX($L$215:$L$219,MATCH(AB$230,EV_charger_type,0))*INDEX(EV06_rapid,$C401)*EV07_rapid_upper</f>
        <v>6.4971781973280001</v>
      </c>
      <c r="AC401" s="191" cm="1">
        <f t="array" ref="AC401">INDEX($L$215:$L$219,MATCH(AC$230,EV_charger_type,0))*INDEX(EV06_depot,$C401)*EV07_depot_upper</f>
        <v>545.27874002703368</v>
      </c>
      <c r="AD401" s="192">
        <f t="shared" si="46"/>
        <v>551.7759182243617</v>
      </c>
      <c r="AE401" s="192">
        <f t="shared" si="43"/>
        <v>68.971989778045213</v>
      </c>
      <c r="AF401" s="194"/>
      <c r="AG401" s="194"/>
    </row>
    <row r="402" spans="2:33">
      <c r="B402" s="194"/>
      <c r="C402" s="194">
        <v>47</v>
      </c>
      <c r="D402" s="180">
        <v>0.95833333333333337</v>
      </c>
      <c r="E402" s="191" cm="1">
        <f t="array" ref="E402">INDEX($J$215:$J$219,MATCH(E$230,EV_charger_type,0))*INDEX(EV06_domestic_Default,$C402)*EV07_domestic_Default</f>
        <v>0</v>
      </c>
      <c r="F402" s="191" cm="1">
        <f t="array" ref="F402">INDEX($J$215:$J$219,MATCH(F$230,EV_charger_type,0))*INDEX(EV06_work,$C402)*EV07_work_Default</f>
        <v>0</v>
      </c>
      <c r="G402" s="191" cm="1">
        <f t="array" ref="G402">INDEX($J$215:$J$219,MATCH(G$230,EV_charger_type,0))*INDEX(EV06_slowfast,$C402)*EV07_slowfast_Default</f>
        <v>0</v>
      </c>
      <c r="H402" s="191" cm="1">
        <f t="array" ref="H402">INDEX($J$215:$J$219,MATCH(H$230,EV_charger_type,0))*INDEX(EV06_rapid,$C402)*EV07_rapid_Default</f>
        <v>5.4528549120864005</v>
      </c>
      <c r="I402" s="191" cm="1">
        <f t="array" ref="I402">INDEX($J$215:$J$219,MATCH(I$230,EV_charger_type,0))*INDEX(EV06_depot,$C402)*EV07_depot_Default</f>
        <v>544.65753954447359</v>
      </c>
      <c r="J402" s="192">
        <f t="shared" si="44"/>
        <v>550.11039445656002</v>
      </c>
      <c r="K402" s="192">
        <f t="shared" si="41"/>
        <v>68.763799307070002</v>
      </c>
      <c r="L402" s="194"/>
      <c r="M402" s="194"/>
      <c r="N402" s="180">
        <v>0.95833333333333337</v>
      </c>
      <c r="O402" s="191" cm="1">
        <f t="array" ref="O402">INDEX($K$215:$K$219,MATCH(O$230,EV_charger_type,0))*INDEX(EV06_domestic_lower,$C402)*EV07_domestic_lower</f>
        <v>0</v>
      </c>
      <c r="P402" s="191" cm="1">
        <f t="array" ref="P402">INDEX($K$215:$K$219,MATCH(P$230,EV_charger_type,0))*INDEX(EV06_work,$C402)*EV07_work_lower</f>
        <v>0</v>
      </c>
      <c r="Q402" s="191" cm="1">
        <f t="array" ref="Q402">INDEX($K$215:$K$219,MATCH(Q$230,EV_charger_type,0))*INDEX(EV06_slowfast,$C402)*EV07_slowfast_lower</f>
        <v>0</v>
      </c>
      <c r="R402" s="191" cm="1">
        <f t="array" ref="R402">INDEX($K$215:$K$219,MATCH(R$230,EV_charger_type,0))*INDEX(EV06_rapid,$C402)*EV07_rapid_lower</f>
        <v>5.4528549120864005</v>
      </c>
      <c r="S402" s="191" cm="1">
        <f t="array" ref="S402">INDEX($K$215:$K$219,MATCH(S$230,EV_charger_type,0))*INDEX(EV06_depot,$C402)*EV07_depot_lower</f>
        <v>544.65753954447359</v>
      </c>
      <c r="T402" s="192">
        <f t="shared" si="45"/>
        <v>550.11039445656002</v>
      </c>
      <c r="U402" s="192">
        <f t="shared" si="42"/>
        <v>68.763799307070002</v>
      </c>
      <c r="V402" s="194"/>
      <c r="W402" s="194"/>
      <c r="X402" s="180">
        <v>0.95833333333333337</v>
      </c>
      <c r="Y402" s="191" cm="1">
        <f t="array" ref="Y402">INDEX($L$215:$L$219,MATCH(Y$230,EV_charger_type,0))*INDEX(EV06_domestic_upper,$C402)*EV07_domestic_upper</f>
        <v>0</v>
      </c>
      <c r="Z402" s="191" cm="1">
        <f t="array" ref="Z402">INDEX($L$215:$L$219,MATCH(Z$230,EV_charger_type,0))*INDEX(EV06_work,$C402)*EV07_work_upper</f>
        <v>0</v>
      </c>
      <c r="AA402" s="191" cm="1">
        <f t="array" ref="AA402">INDEX($L$215:$L$219,MATCH(AA$230,EV_charger_type,0))*INDEX(EV06_slowfast,$C402)*EV07_slowfast_upper</f>
        <v>0</v>
      </c>
      <c r="AB402" s="191" cm="1">
        <f t="array" ref="AB402">INDEX($L$215:$L$219,MATCH(AB$230,EV_charger_type,0))*INDEX(EV06_rapid,$C402)*EV07_rapid_upper</f>
        <v>5.4528549120864005</v>
      </c>
      <c r="AC402" s="191" cm="1">
        <f t="array" ref="AC402">INDEX($L$215:$L$219,MATCH(AC$230,EV_charger_type,0))*INDEX(EV06_depot,$C402)*EV07_depot_upper</f>
        <v>544.65753954447359</v>
      </c>
      <c r="AD402" s="192">
        <f t="shared" si="46"/>
        <v>550.11039445656002</v>
      </c>
      <c r="AE402" s="192">
        <f t="shared" si="43"/>
        <v>68.763799307070002</v>
      </c>
      <c r="AF402" s="194"/>
      <c r="AG402" s="194"/>
    </row>
    <row r="403" spans="2:33">
      <c r="B403" s="194"/>
      <c r="C403" s="194">
        <v>48</v>
      </c>
      <c r="D403" s="180">
        <v>0.97916666666666663</v>
      </c>
      <c r="E403" s="191" cm="1">
        <f t="array" ref="E403">INDEX($J$215:$J$219,MATCH(E$230,EV_charger_type,0))*INDEX(EV06_domestic_Default,$C403)*EV07_domestic_Default</f>
        <v>0</v>
      </c>
      <c r="F403" s="191" cm="1">
        <f t="array" ref="F403">INDEX($J$215:$J$219,MATCH(F$230,EV_charger_type,0))*INDEX(EV06_work,$C403)*EV07_work_Default</f>
        <v>0</v>
      </c>
      <c r="G403" s="191" cm="1">
        <f t="array" ref="G403">INDEX($J$215:$J$219,MATCH(G$230,EV_charger_type,0))*INDEX(EV06_slowfast,$C403)*EV07_slowfast_Default</f>
        <v>0</v>
      </c>
      <c r="H403" s="191" cm="1">
        <f t="array" ref="H403">INDEX($J$215:$J$219,MATCH(H$230,EV_charger_type,0))*INDEX(EV06_rapid,$C403)*EV07_rapid_Default</f>
        <v>4.4084259902592002</v>
      </c>
      <c r="I403" s="191" cm="1">
        <f t="array" ref="I403">INDEX($J$215:$J$219,MATCH(I$230,EV_charger_type,0))*INDEX(EV06_depot,$C403)*EV07_depot_Default</f>
        <v>544.03909995294714</v>
      </c>
      <c r="J403" s="192">
        <f t="shared" si="44"/>
        <v>548.4475259432063</v>
      </c>
      <c r="K403" s="192">
        <f t="shared" si="41"/>
        <v>68.555940742900788</v>
      </c>
      <c r="L403" s="194"/>
      <c r="M403" s="194"/>
      <c r="N403" s="180">
        <v>0.97916666666666663</v>
      </c>
      <c r="O403" s="191" cm="1">
        <f t="array" ref="O403">INDEX($K$215:$K$219,MATCH(O$230,EV_charger_type,0))*INDEX(EV06_domestic_lower,$C403)*EV07_domestic_lower</f>
        <v>0</v>
      </c>
      <c r="P403" s="191" cm="1">
        <f t="array" ref="P403">INDEX($K$215:$K$219,MATCH(P$230,EV_charger_type,0))*INDEX(EV06_work,$C403)*EV07_work_lower</f>
        <v>0</v>
      </c>
      <c r="Q403" s="191" cm="1">
        <f t="array" ref="Q403">INDEX($K$215:$K$219,MATCH(Q$230,EV_charger_type,0))*INDEX(EV06_slowfast,$C403)*EV07_slowfast_lower</f>
        <v>0</v>
      </c>
      <c r="R403" s="191" cm="1">
        <f t="array" ref="R403">INDEX($K$215:$K$219,MATCH(R$230,EV_charger_type,0))*INDEX(EV06_rapid,$C403)*EV07_rapid_lower</f>
        <v>4.4084259902592002</v>
      </c>
      <c r="S403" s="191" cm="1">
        <f t="array" ref="S403">INDEX($K$215:$K$219,MATCH(S$230,EV_charger_type,0))*INDEX(EV06_depot,$C403)*EV07_depot_lower</f>
        <v>544.03909995294714</v>
      </c>
      <c r="T403" s="192">
        <f t="shared" si="45"/>
        <v>548.4475259432063</v>
      </c>
      <c r="U403" s="192">
        <f t="shared" si="42"/>
        <v>68.555940742900788</v>
      </c>
      <c r="V403" s="194"/>
      <c r="W403" s="194"/>
      <c r="X403" s="180">
        <v>0.97916666666666663</v>
      </c>
      <c r="Y403" s="191" cm="1">
        <f t="array" ref="Y403">INDEX($L$215:$L$219,MATCH(Y$230,EV_charger_type,0))*INDEX(EV06_domestic_upper,$C403)*EV07_domestic_upper</f>
        <v>0</v>
      </c>
      <c r="Z403" s="191" cm="1">
        <f t="array" ref="Z403">INDEX($L$215:$L$219,MATCH(Z$230,EV_charger_type,0))*INDEX(EV06_work,$C403)*EV07_work_upper</f>
        <v>0</v>
      </c>
      <c r="AA403" s="191" cm="1">
        <f t="array" ref="AA403">INDEX($L$215:$L$219,MATCH(AA$230,EV_charger_type,0))*INDEX(EV06_slowfast,$C403)*EV07_slowfast_upper</f>
        <v>0</v>
      </c>
      <c r="AB403" s="191" cm="1">
        <f t="array" ref="AB403">INDEX($L$215:$L$219,MATCH(AB$230,EV_charger_type,0))*INDEX(EV06_rapid,$C403)*EV07_rapid_upper</f>
        <v>4.4084259902592002</v>
      </c>
      <c r="AC403" s="191" cm="1">
        <f t="array" ref="AC403">INDEX($L$215:$L$219,MATCH(AC$230,EV_charger_type,0))*INDEX(EV06_depot,$C403)*EV07_depot_upper</f>
        <v>544.03909995294714</v>
      </c>
      <c r="AD403" s="192">
        <f t="shared" si="46"/>
        <v>548.4475259432063</v>
      </c>
      <c r="AE403" s="192">
        <f t="shared" si="43"/>
        <v>68.555940742900788</v>
      </c>
      <c r="AF403" s="194"/>
      <c r="AG403" s="194"/>
    </row>
    <row r="404" spans="2:33">
      <c r="B404" s="194"/>
      <c r="C404" s="194"/>
      <c r="D404" s="194"/>
      <c r="E404" s="194"/>
      <c r="F404" s="194"/>
      <c r="G404" s="194"/>
      <c r="H404" s="194"/>
      <c r="I404" s="194"/>
      <c r="J404" s="194"/>
      <c r="K404" s="194"/>
      <c r="L404" s="194"/>
      <c r="M404" s="194"/>
      <c r="N404" s="194"/>
      <c r="O404" s="194"/>
      <c r="P404" s="194"/>
      <c r="Q404" s="194"/>
      <c r="R404" s="194"/>
      <c r="S404" s="194"/>
      <c r="T404" s="194"/>
      <c r="U404" s="194"/>
      <c r="V404" s="194"/>
      <c r="W404" s="194"/>
      <c r="X404" s="194"/>
      <c r="Y404" s="194"/>
      <c r="Z404" s="194"/>
      <c r="AA404" s="194"/>
      <c r="AB404" s="194"/>
      <c r="AC404" s="194"/>
      <c r="AD404" s="194"/>
      <c r="AE404" s="194"/>
      <c r="AF404" s="194"/>
      <c r="AG404" s="194"/>
    </row>
    <row r="405" spans="2:33">
      <c r="B405" s="194"/>
      <c r="C405" s="194"/>
      <c r="D405" s="194"/>
      <c r="E405" s="194"/>
      <c r="F405" s="194"/>
      <c r="G405" s="194"/>
      <c r="H405" s="194"/>
      <c r="I405" s="194"/>
      <c r="J405" s="194"/>
      <c r="K405" s="194"/>
      <c r="L405" s="194"/>
      <c r="M405" s="194"/>
      <c r="N405" s="194"/>
      <c r="O405" s="194"/>
      <c r="P405" s="194"/>
      <c r="Q405" s="194"/>
      <c r="R405" s="194"/>
      <c r="S405" s="194"/>
      <c r="T405" s="194"/>
      <c r="U405" s="194"/>
      <c r="V405" s="194"/>
      <c r="W405" s="194"/>
      <c r="X405" s="194"/>
      <c r="Y405" s="194"/>
      <c r="Z405" s="194"/>
      <c r="AA405" s="194"/>
      <c r="AB405" s="194"/>
      <c r="AC405" s="194"/>
      <c r="AD405" s="194"/>
      <c r="AE405" s="194"/>
      <c r="AF405" s="194"/>
      <c r="AG405" s="194"/>
    </row>
    <row r="406" spans="2:33">
      <c r="B406" s="194"/>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c r="AB406" s="194"/>
      <c r="AC406" s="194"/>
      <c r="AD406" s="194"/>
      <c r="AE406" s="194"/>
      <c r="AF406" s="194"/>
      <c r="AG406" s="194"/>
    </row>
  </sheetData>
  <protectedRanges>
    <protectedRange sqref="E136:J136 H81:I132 H134:I134" name="Range1_1"/>
    <protectedRange sqref="G81:G84" name="Range1_2"/>
  </protectedRanges>
  <mergeCells count="21">
    <mergeCell ref="C118:C122"/>
    <mergeCell ref="C111:C112"/>
    <mergeCell ref="C31:E32"/>
    <mergeCell ref="C113:C117"/>
    <mergeCell ref="G54:I54"/>
    <mergeCell ref="C343:C346"/>
    <mergeCell ref="I4:J4"/>
    <mergeCell ref="I5:J5"/>
    <mergeCell ref="I6:J6"/>
    <mergeCell ref="I7:J7"/>
    <mergeCell ref="I8:J8"/>
    <mergeCell ref="C208:C211"/>
    <mergeCell ref="C214:C217"/>
    <mergeCell ref="C281:C284"/>
    <mergeCell ref="C134:C136"/>
    <mergeCell ref="C123:C127"/>
    <mergeCell ref="C128:C132"/>
    <mergeCell ref="C81:C84"/>
    <mergeCell ref="C85:C86"/>
    <mergeCell ref="C87:C90"/>
    <mergeCell ref="C91:C110"/>
  </mergeCells>
  <phoneticPr fontId="43" type="noConversion"/>
  <conditionalFormatting sqref="D37:D41">
    <cfRule type="cellIs" dxfId="12" priority="1" operator="equal">
      <formula>"N"</formula>
    </cfRule>
    <cfRule type="cellIs" dxfId="11" priority="2" operator="equal">
      <formula>"Y"</formula>
    </cfRule>
  </conditionalFormatting>
  <dataValidations count="8">
    <dataValidation type="list" allowBlank="1" showInputMessage="1" showErrorMessage="1" sqref="C22" xr:uid="{6E3392BF-623C-46D9-A629-304E3311E23D}">
      <formula1>year_list</formula1>
    </dataValidation>
    <dataValidation type="list" allowBlank="1" showInputMessage="1" showErrorMessage="1" sqref="C16" xr:uid="{ACF7C0BE-A94E-46DF-AEE0-80F394CBDB49}">
      <formula1>Licence_areas</formula1>
    </dataValidation>
    <dataValidation type="list" allowBlank="1" showInputMessage="1" showErrorMessage="1" sqref="E136:J136 I134" xr:uid="{62CEC58B-45DD-4E32-97CA-7E176B821852}">
      <formula1>EV_Flex</formula1>
    </dataValidation>
    <dataValidation type="list" allowBlank="1" showInputMessage="1" showErrorMessage="1" sqref="O349:S349 E230:I230 O230:S230 Y349:AC349 Y230:AC230 E349:I349 E225:I225 O225:S225 O292:S292 E292:I292 Y292:AC292 Y225:AC225 E287:I287 O287:S287 O354:S354 E354:I354 Y354:AC354 Y287:AC287 L134:N134 E135:J135" xr:uid="{B899BB38-CDD1-42EF-A0A5-1B2C7F5E985F}">
      <formula1>EV_charger_type</formula1>
    </dataValidation>
    <dataValidation type="list" allowBlank="1" showInputMessage="1" showErrorMessage="1" sqref="C19" xr:uid="{ED2E9E28-9FD3-4A81-A552-8CF488D03D13}">
      <formula1>rep_days_selection</formula1>
    </dataValidation>
    <dataValidation type="list" allowBlank="1" showInputMessage="1" showErrorMessage="1" sqref="F26" xr:uid="{5D57DB1A-7DE5-4480-B387-78B1E45D7562}">
      <formula1>onoff_switch</formula1>
    </dataValidation>
    <dataValidation type="list" allowBlank="1" showInputMessage="1" showErrorMessage="1" sqref="H134" xr:uid="{A43F863C-FF42-4BC6-A7DA-9AE0AD7A1172}">
      <formula1>rep_days</formula1>
    </dataValidation>
    <dataValidation type="list" allowBlank="1" showInputMessage="1" showErrorMessage="1" sqref="F134:G134" xr:uid="{E90F8AB3-4D69-4A27-8C39-ABFEB710AB1A}">
      <formula1>EV_BBs</formula1>
    </dataValidation>
  </dataValidations>
  <hyperlinks>
    <hyperlink ref="A2" location="Contents!A1" display="Back to contents" xr:uid="{6285A07F-4132-4242-87F3-FF97BE438C57}"/>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D6C52-253E-4A14-BD73-A2DD8AAEB362}">
  <sheetPr>
    <tabColor theme="8"/>
  </sheetPr>
  <dimension ref="A1:V21"/>
  <sheetViews>
    <sheetView zoomScale="70" zoomScaleNormal="70" workbookViewId="0">
      <pane xSplit="2" ySplit="3" topLeftCell="C4" activePane="bottomRight" state="frozen"/>
      <selection pane="bottomRight"/>
      <selection pane="bottomLeft" activeCell="C8" sqref="C8"/>
      <selection pane="topRight" activeCell="C8" sqref="C8"/>
    </sheetView>
  </sheetViews>
  <sheetFormatPr defaultRowHeight="20.45" outlineLevelCol="1"/>
  <cols>
    <col min="1" max="1" width="14.8984375" customWidth="1"/>
    <col min="2" max="2" width="20.19921875" customWidth="1"/>
    <col min="3" max="3" width="34.5" customWidth="1"/>
    <col min="4" max="4" width="42.5" customWidth="1"/>
    <col min="5" max="5" width="20.19921875" customWidth="1"/>
    <col min="6" max="6" width="43.8984375" customWidth="1"/>
    <col min="7" max="7" width="25.8984375" customWidth="1"/>
    <col min="8" max="8" width="91.5" customWidth="1"/>
    <col min="9" max="9" width="52" customWidth="1"/>
    <col min="10" max="10" width="20.19921875" customWidth="1"/>
    <col min="11" max="11" width="40.5" customWidth="1" outlineLevel="1"/>
    <col min="12" max="12" width="11.5" customWidth="1" outlineLevel="1"/>
    <col min="13" max="13" width="20.19921875" customWidth="1" outlineLevel="1"/>
    <col min="14" max="14" width="10.19921875" customWidth="1" outlineLevel="1"/>
    <col min="15" max="15" width="20.19921875" customWidth="1" outlineLevel="1"/>
    <col min="16" max="16" width="9.19921875" customWidth="1" outlineLevel="1"/>
    <col min="17" max="17" width="37.8984375" customWidth="1" outlineLevel="1"/>
    <col min="18" max="18" width="11.5" customWidth="1" outlineLevel="1"/>
    <col min="19" max="19" width="32.19921875" customWidth="1" outlineLevel="1"/>
    <col min="20" max="20" width="11" customWidth="1" outlineLevel="1"/>
    <col min="21" max="21" width="36.8984375" customWidth="1" outlineLevel="1"/>
    <col min="22" max="22" width="12.19921875" customWidth="1" outlineLevel="1"/>
    <col min="23" max="23" width="9.19921875" customWidth="1"/>
  </cols>
  <sheetData>
    <row r="1" spans="1:22" s="90" customFormat="1" ht="45" customHeight="1">
      <c r="A1" s="87" t="s">
        <v>30</v>
      </c>
    </row>
    <row r="2" spans="1:22" ht="25.15" customHeight="1" thickBot="1">
      <c r="A2" s="98" t="s">
        <v>57</v>
      </c>
    </row>
    <row r="3" spans="1:22" ht="21" thickBot="1">
      <c r="A3" s="4" t="s">
        <v>150</v>
      </c>
      <c r="B3" s="4" t="s">
        <v>18</v>
      </c>
      <c r="C3" s="5" t="s">
        <v>163</v>
      </c>
      <c r="D3" s="5" t="s">
        <v>7</v>
      </c>
      <c r="E3" s="6" t="s">
        <v>340</v>
      </c>
      <c r="F3" s="6" t="s">
        <v>341</v>
      </c>
      <c r="G3" s="6" t="s">
        <v>342</v>
      </c>
      <c r="H3" s="7" t="s">
        <v>343</v>
      </c>
      <c r="I3" s="7" t="s">
        <v>344</v>
      </c>
      <c r="J3" s="7" t="s">
        <v>345</v>
      </c>
      <c r="K3" s="6" t="s">
        <v>346</v>
      </c>
      <c r="L3" s="6" t="s">
        <v>347</v>
      </c>
      <c r="M3" s="6" t="s">
        <v>348</v>
      </c>
      <c r="N3" s="6" t="s">
        <v>347</v>
      </c>
      <c r="O3" s="6" t="s">
        <v>349</v>
      </c>
      <c r="P3" s="6" t="s">
        <v>347</v>
      </c>
      <c r="Q3" s="6" t="s">
        <v>350</v>
      </c>
      <c r="R3" s="6" t="s">
        <v>347</v>
      </c>
      <c r="S3" s="6" t="s">
        <v>351</v>
      </c>
      <c r="T3" s="6" t="s">
        <v>347</v>
      </c>
      <c r="U3" s="6" t="s">
        <v>352</v>
      </c>
      <c r="V3" s="6" t="s">
        <v>347</v>
      </c>
    </row>
    <row r="4" spans="1:22" ht="57" customHeight="1" thickBot="1">
      <c r="A4" s="379" t="s">
        <v>31</v>
      </c>
      <c r="B4" s="379" t="s">
        <v>653</v>
      </c>
      <c r="C4" s="384" t="s">
        <v>654</v>
      </c>
      <c r="D4" s="384" t="s">
        <v>655</v>
      </c>
      <c r="E4" s="384" t="s">
        <v>656</v>
      </c>
      <c r="F4" s="15" t="s">
        <v>657</v>
      </c>
      <c r="G4" s="10" t="s">
        <v>658</v>
      </c>
      <c r="H4" s="347" t="s">
        <v>659</v>
      </c>
      <c r="I4" s="347" t="s">
        <v>660</v>
      </c>
      <c r="J4" s="353">
        <f t="shared" ref="J4:J17" si="0">IFERROR(ROUND(AVERAGEIF(L4:V4,"&lt;&gt;0"),0),"NA")</f>
        <v>3</v>
      </c>
      <c r="K4" s="384" t="s">
        <v>661</v>
      </c>
      <c r="L4" s="382">
        <v>2</v>
      </c>
      <c r="M4" s="382" t="s">
        <v>662</v>
      </c>
      <c r="N4" s="382">
        <v>3</v>
      </c>
      <c r="O4" s="382" t="s">
        <v>663</v>
      </c>
      <c r="P4" s="382">
        <v>2</v>
      </c>
      <c r="Q4" s="382" t="s">
        <v>664</v>
      </c>
      <c r="R4" s="382">
        <v>3</v>
      </c>
      <c r="S4" s="382" t="s">
        <v>665</v>
      </c>
      <c r="T4" s="382" t="s">
        <v>167</v>
      </c>
      <c r="U4" s="382" t="s">
        <v>666</v>
      </c>
      <c r="V4" s="382" t="s">
        <v>167</v>
      </c>
    </row>
    <row r="5" spans="1:22" ht="57" customHeight="1" thickBot="1">
      <c r="A5" s="373"/>
      <c r="B5" s="373"/>
      <c r="C5" s="348"/>
      <c r="D5" s="348"/>
      <c r="E5" s="348"/>
      <c r="F5" s="9" t="s">
        <v>667</v>
      </c>
      <c r="G5" s="10" t="s">
        <v>668</v>
      </c>
      <c r="H5" s="348"/>
      <c r="I5" s="348"/>
      <c r="J5" s="354"/>
      <c r="K5" s="348"/>
      <c r="L5" s="345"/>
      <c r="M5" s="345"/>
      <c r="N5" s="345"/>
      <c r="O5" s="345"/>
      <c r="P5" s="345"/>
      <c r="Q5" s="345"/>
      <c r="R5" s="345"/>
      <c r="S5" s="345"/>
      <c r="T5" s="345"/>
      <c r="U5" s="345"/>
      <c r="V5" s="345"/>
    </row>
    <row r="6" spans="1:22" ht="99.6" thickBot="1">
      <c r="A6" s="12" t="s">
        <v>32</v>
      </c>
      <c r="B6" s="12" t="s">
        <v>249</v>
      </c>
      <c r="C6" s="13" t="s">
        <v>669</v>
      </c>
      <c r="D6" s="13" t="s">
        <v>670</v>
      </c>
      <c r="E6" s="13" t="s">
        <v>403</v>
      </c>
      <c r="F6" s="13" t="s">
        <v>671</v>
      </c>
      <c r="G6" s="22" t="s">
        <v>422</v>
      </c>
      <c r="H6" s="23" t="s">
        <v>672</v>
      </c>
      <c r="I6" s="13" t="s">
        <v>673</v>
      </c>
      <c r="J6" s="11">
        <f>IFERROR(ROUND(AVERAGEIF(L6:V6,"&lt;&gt;0"),0),"NA")</f>
        <v>2</v>
      </c>
      <c r="K6" s="13" t="s">
        <v>674</v>
      </c>
      <c r="L6" s="9">
        <v>2</v>
      </c>
      <c r="M6" s="18" t="s">
        <v>675</v>
      </c>
      <c r="N6" s="9">
        <v>1</v>
      </c>
      <c r="O6" s="13" t="s">
        <v>676</v>
      </c>
      <c r="P6" s="9">
        <v>3</v>
      </c>
      <c r="Q6" s="13" t="s">
        <v>381</v>
      </c>
      <c r="R6" s="9" t="s">
        <v>167</v>
      </c>
      <c r="S6" s="18" t="s">
        <v>677</v>
      </c>
      <c r="T6" s="9">
        <v>2</v>
      </c>
      <c r="U6" s="13" t="s">
        <v>365</v>
      </c>
      <c r="V6" s="9" t="s">
        <v>167</v>
      </c>
    </row>
    <row r="7" spans="1:22" ht="119.45" thickBot="1">
      <c r="A7" s="8" t="s">
        <v>33</v>
      </c>
      <c r="B7" s="8" t="s">
        <v>678</v>
      </c>
      <c r="C7" s="9" t="s">
        <v>679</v>
      </c>
      <c r="D7" s="9" t="s">
        <v>680</v>
      </c>
      <c r="E7" s="15" t="s">
        <v>269</v>
      </c>
      <c r="F7" s="15" t="s">
        <v>681</v>
      </c>
      <c r="G7" s="10" t="s">
        <v>682</v>
      </c>
      <c r="H7" s="11" t="s">
        <v>683</v>
      </c>
      <c r="I7" s="15" t="s">
        <v>684</v>
      </c>
      <c r="J7" s="11">
        <f t="shared" si="0"/>
        <v>3</v>
      </c>
      <c r="K7" s="15" t="s">
        <v>685</v>
      </c>
      <c r="L7" s="9">
        <v>3</v>
      </c>
      <c r="M7" s="15" t="s">
        <v>686</v>
      </c>
      <c r="N7" s="9">
        <v>3</v>
      </c>
      <c r="O7" s="15" t="s">
        <v>687</v>
      </c>
      <c r="P7" s="9">
        <v>3</v>
      </c>
      <c r="Q7" s="15" t="s">
        <v>688</v>
      </c>
      <c r="R7" s="9">
        <v>3</v>
      </c>
      <c r="S7" s="15" t="s">
        <v>689</v>
      </c>
      <c r="T7" s="9" t="s">
        <v>167</v>
      </c>
      <c r="U7" s="15" t="s">
        <v>690</v>
      </c>
      <c r="V7" s="9">
        <v>2</v>
      </c>
    </row>
    <row r="8" spans="1:22" ht="92.65" customHeight="1" thickBot="1">
      <c r="A8" s="362" t="s">
        <v>34</v>
      </c>
      <c r="B8" s="362" t="s">
        <v>691</v>
      </c>
      <c r="C8" s="340" t="s">
        <v>692</v>
      </c>
      <c r="D8" s="340" t="s">
        <v>693</v>
      </c>
      <c r="E8" s="340" t="s">
        <v>694</v>
      </c>
      <c r="F8" s="13" t="s">
        <v>695</v>
      </c>
      <c r="G8" s="22" t="s">
        <v>696</v>
      </c>
      <c r="H8" s="340" t="s">
        <v>697</v>
      </c>
      <c r="I8" s="340" t="s">
        <v>698</v>
      </c>
      <c r="J8" s="352">
        <f t="shared" si="0"/>
        <v>3</v>
      </c>
      <c r="K8" s="340" t="s">
        <v>685</v>
      </c>
      <c r="L8" s="412">
        <v>3</v>
      </c>
      <c r="M8" s="340" t="s">
        <v>686</v>
      </c>
      <c r="N8" s="346">
        <v>3</v>
      </c>
      <c r="O8" s="340" t="s">
        <v>687</v>
      </c>
      <c r="P8" s="412">
        <v>3</v>
      </c>
      <c r="Q8" s="340" t="s">
        <v>699</v>
      </c>
      <c r="R8" s="346">
        <v>3</v>
      </c>
      <c r="S8" s="340" t="s">
        <v>689</v>
      </c>
      <c r="T8" s="346">
        <v>1</v>
      </c>
      <c r="U8" s="340" t="s">
        <v>700</v>
      </c>
      <c r="V8" s="343">
        <v>2</v>
      </c>
    </row>
    <row r="9" spans="1:22" ht="92.65" customHeight="1" thickBot="1">
      <c r="A9" s="364"/>
      <c r="B9" s="364"/>
      <c r="C9" s="342"/>
      <c r="D9" s="342"/>
      <c r="E9" s="342"/>
      <c r="F9" s="13" t="s">
        <v>701</v>
      </c>
      <c r="G9" s="14" t="s">
        <v>702</v>
      </c>
      <c r="H9" s="342"/>
      <c r="I9" s="342"/>
      <c r="J9" s="354"/>
      <c r="K9" s="342"/>
      <c r="L9" s="413"/>
      <c r="M9" s="342"/>
      <c r="N9" s="348"/>
      <c r="O9" s="342"/>
      <c r="P9" s="413"/>
      <c r="Q9" s="342"/>
      <c r="R9" s="348"/>
      <c r="S9" s="342"/>
      <c r="T9" s="348"/>
      <c r="U9" s="342"/>
      <c r="V9" s="345"/>
    </row>
    <row r="10" spans="1:22" ht="197.65" customHeight="1" thickBot="1">
      <c r="A10" s="372" t="s">
        <v>35</v>
      </c>
      <c r="B10" s="372" t="s">
        <v>291</v>
      </c>
      <c r="C10" s="346" t="s">
        <v>703</v>
      </c>
      <c r="D10" s="346" t="s">
        <v>680</v>
      </c>
      <c r="E10" s="406" t="s">
        <v>704</v>
      </c>
      <c r="F10" s="15" t="s">
        <v>705</v>
      </c>
      <c r="G10" s="10" t="s">
        <v>706</v>
      </c>
      <c r="H10" s="406" t="s">
        <v>707</v>
      </c>
      <c r="I10" s="414" t="s">
        <v>708</v>
      </c>
      <c r="J10" s="414">
        <f t="shared" si="0"/>
        <v>3</v>
      </c>
      <c r="K10" s="414" t="s">
        <v>709</v>
      </c>
      <c r="L10" s="406">
        <v>3</v>
      </c>
      <c r="M10" s="406" t="s">
        <v>710</v>
      </c>
      <c r="N10" s="406">
        <v>2</v>
      </c>
      <c r="O10" s="406" t="s">
        <v>711</v>
      </c>
      <c r="P10" s="406">
        <v>3</v>
      </c>
      <c r="Q10" s="406" t="s">
        <v>712</v>
      </c>
      <c r="R10" s="406">
        <v>3</v>
      </c>
      <c r="S10" s="406" t="s">
        <v>713</v>
      </c>
      <c r="T10" s="406">
        <v>2</v>
      </c>
      <c r="U10" s="406" t="s">
        <v>714</v>
      </c>
      <c r="V10" s="406">
        <v>2</v>
      </c>
    </row>
    <row r="11" spans="1:22" ht="141" customHeight="1" thickBot="1">
      <c r="A11" s="373"/>
      <c r="B11" s="373"/>
      <c r="C11" s="348"/>
      <c r="D11" s="348"/>
      <c r="E11" s="407"/>
      <c r="F11" s="15" t="s">
        <v>715</v>
      </c>
      <c r="G11" s="10" t="s">
        <v>716</v>
      </c>
      <c r="H11" s="407"/>
      <c r="I11" s="386"/>
      <c r="J11" s="386"/>
      <c r="K11" s="386"/>
      <c r="L11" s="407"/>
      <c r="M11" s="407"/>
      <c r="N11" s="407"/>
      <c r="O11" s="407"/>
      <c r="P11" s="407"/>
      <c r="Q11" s="407"/>
      <c r="R11" s="407"/>
      <c r="S11" s="407"/>
      <c r="T11" s="407"/>
      <c r="U11" s="407"/>
      <c r="V11" s="407"/>
    </row>
    <row r="12" spans="1:22" ht="80.650000000000006" customHeight="1" thickBot="1">
      <c r="A12" s="362" t="s">
        <v>36</v>
      </c>
      <c r="B12" s="362" t="s">
        <v>296</v>
      </c>
      <c r="C12" s="340" t="s">
        <v>717</v>
      </c>
      <c r="D12" s="340" t="s">
        <v>718</v>
      </c>
      <c r="E12" s="340" t="s">
        <v>719</v>
      </c>
      <c r="F12" s="13" t="s">
        <v>720</v>
      </c>
      <c r="G12" s="16" t="s">
        <v>696</v>
      </c>
      <c r="H12" s="357" t="s">
        <v>721</v>
      </c>
      <c r="I12" s="408" t="s">
        <v>722</v>
      </c>
      <c r="J12" s="368">
        <f t="shared" si="0"/>
        <v>3</v>
      </c>
      <c r="K12" s="370" t="s">
        <v>685</v>
      </c>
      <c r="L12" s="343">
        <v>3</v>
      </c>
      <c r="M12" s="370" t="s">
        <v>686</v>
      </c>
      <c r="N12" s="343">
        <v>3</v>
      </c>
      <c r="O12" s="370" t="s">
        <v>687</v>
      </c>
      <c r="P12" s="410">
        <v>3</v>
      </c>
      <c r="Q12" s="370" t="s">
        <v>723</v>
      </c>
      <c r="R12" s="343">
        <v>3</v>
      </c>
      <c r="S12" s="370" t="s">
        <v>689</v>
      </c>
      <c r="T12" s="343">
        <v>1</v>
      </c>
      <c r="U12" s="408" t="s">
        <v>724</v>
      </c>
      <c r="V12" s="343">
        <v>2</v>
      </c>
    </row>
    <row r="13" spans="1:22" ht="79.900000000000006" thickBot="1">
      <c r="A13" s="364"/>
      <c r="B13" s="364"/>
      <c r="C13" s="342"/>
      <c r="D13" s="342"/>
      <c r="E13" s="342"/>
      <c r="F13" s="13" t="s">
        <v>725</v>
      </c>
      <c r="G13" s="16" t="s">
        <v>726</v>
      </c>
      <c r="H13" s="358"/>
      <c r="I13" s="409"/>
      <c r="J13" s="369"/>
      <c r="K13" s="371"/>
      <c r="L13" s="345"/>
      <c r="M13" s="371"/>
      <c r="N13" s="345"/>
      <c r="O13" s="371"/>
      <c r="P13" s="411"/>
      <c r="Q13" s="371"/>
      <c r="R13" s="345"/>
      <c r="S13" s="371"/>
      <c r="T13" s="345"/>
      <c r="U13" s="409"/>
      <c r="V13" s="345"/>
    </row>
    <row r="14" spans="1:22" ht="60" thickBot="1">
      <c r="A14" s="372" t="s">
        <v>37</v>
      </c>
      <c r="B14" s="372" t="s">
        <v>418</v>
      </c>
      <c r="C14" s="346" t="s">
        <v>727</v>
      </c>
      <c r="D14" s="346" t="s">
        <v>728</v>
      </c>
      <c r="E14" s="346" t="s">
        <v>403</v>
      </c>
      <c r="F14" s="24" t="s">
        <v>720</v>
      </c>
      <c r="G14" s="26" t="s">
        <v>696</v>
      </c>
      <c r="H14" s="352" t="s">
        <v>729</v>
      </c>
      <c r="I14" s="352" t="s">
        <v>722</v>
      </c>
      <c r="J14" s="352">
        <f t="shared" si="0"/>
        <v>2</v>
      </c>
      <c r="K14" s="352" t="s">
        <v>685</v>
      </c>
      <c r="L14" s="346">
        <v>3</v>
      </c>
      <c r="M14" s="352" t="s">
        <v>686</v>
      </c>
      <c r="N14" s="346">
        <v>3</v>
      </c>
      <c r="O14" s="352" t="s">
        <v>687</v>
      </c>
      <c r="P14" s="346">
        <v>3</v>
      </c>
      <c r="Q14" s="352" t="s">
        <v>730</v>
      </c>
      <c r="R14" s="346">
        <v>2</v>
      </c>
      <c r="S14" s="352" t="s">
        <v>731</v>
      </c>
      <c r="T14" s="346">
        <v>1</v>
      </c>
      <c r="U14" s="352" t="s">
        <v>724</v>
      </c>
      <c r="V14" s="343">
        <v>2</v>
      </c>
    </row>
    <row r="15" spans="1:22" ht="79.900000000000006" thickBot="1">
      <c r="A15" s="373"/>
      <c r="B15" s="373"/>
      <c r="C15" s="348"/>
      <c r="D15" s="348"/>
      <c r="E15" s="348"/>
      <c r="F15" s="11" t="s">
        <v>732</v>
      </c>
      <c r="G15" s="26" t="s">
        <v>726</v>
      </c>
      <c r="H15" s="354"/>
      <c r="I15" s="354"/>
      <c r="J15" s="354"/>
      <c r="K15" s="354"/>
      <c r="L15" s="348"/>
      <c r="M15" s="354"/>
      <c r="N15" s="348"/>
      <c r="O15" s="354"/>
      <c r="P15" s="348"/>
      <c r="Q15" s="354"/>
      <c r="R15" s="348"/>
      <c r="S15" s="354"/>
      <c r="T15" s="348"/>
      <c r="U15" s="354"/>
      <c r="V15" s="345"/>
    </row>
    <row r="16" spans="1:22" ht="178.9" thickBot="1">
      <c r="A16" s="12" t="s">
        <v>38</v>
      </c>
      <c r="B16" s="12" t="s">
        <v>301</v>
      </c>
      <c r="C16" s="13" t="s">
        <v>733</v>
      </c>
      <c r="D16" s="13" t="s">
        <v>680</v>
      </c>
      <c r="E16" s="13" t="s">
        <v>443</v>
      </c>
      <c r="F16" s="13" t="s">
        <v>734</v>
      </c>
      <c r="G16" s="22" t="s">
        <v>696</v>
      </c>
      <c r="H16" s="27" t="s">
        <v>735</v>
      </c>
      <c r="I16" s="27" t="s">
        <v>736</v>
      </c>
      <c r="J16" s="11">
        <f t="shared" si="0"/>
        <v>3</v>
      </c>
      <c r="K16" s="13" t="s">
        <v>685</v>
      </c>
      <c r="L16" s="9">
        <v>3</v>
      </c>
      <c r="M16" s="18" t="s">
        <v>686</v>
      </c>
      <c r="N16" s="9">
        <v>3</v>
      </c>
      <c r="O16" s="13" t="s">
        <v>687</v>
      </c>
      <c r="P16" s="21">
        <v>3</v>
      </c>
      <c r="Q16" s="13" t="s">
        <v>723</v>
      </c>
      <c r="R16" s="9">
        <v>3</v>
      </c>
      <c r="S16" s="18" t="s">
        <v>689</v>
      </c>
      <c r="T16" s="9">
        <v>1</v>
      </c>
      <c r="U16" s="27" t="s">
        <v>724</v>
      </c>
      <c r="V16" s="9">
        <v>2</v>
      </c>
    </row>
    <row r="17" spans="1:22" ht="99.6" thickBot="1">
      <c r="A17" s="8" t="s">
        <v>39</v>
      </c>
      <c r="B17" s="8" t="s">
        <v>306</v>
      </c>
      <c r="C17" s="9" t="s">
        <v>737</v>
      </c>
      <c r="D17" s="9" t="s">
        <v>680</v>
      </c>
      <c r="E17" s="15" t="s">
        <v>738</v>
      </c>
      <c r="F17" s="24" t="s">
        <v>734</v>
      </c>
      <c r="G17" s="26" t="s">
        <v>696</v>
      </c>
      <c r="H17" s="24" t="s">
        <v>739</v>
      </c>
      <c r="I17" s="24" t="s">
        <v>740</v>
      </c>
      <c r="J17" s="11">
        <f t="shared" si="0"/>
        <v>2</v>
      </c>
      <c r="K17" s="24" t="s">
        <v>685</v>
      </c>
      <c r="L17" s="9">
        <v>3</v>
      </c>
      <c r="M17" s="24" t="s">
        <v>686</v>
      </c>
      <c r="N17" s="9">
        <v>3</v>
      </c>
      <c r="O17" s="24" t="s">
        <v>687</v>
      </c>
      <c r="P17" s="9">
        <v>3</v>
      </c>
      <c r="Q17" s="24" t="s">
        <v>741</v>
      </c>
      <c r="R17" s="9">
        <v>2</v>
      </c>
      <c r="S17" s="24" t="s">
        <v>731</v>
      </c>
      <c r="T17" s="9">
        <v>1</v>
      </c>
      <c r="U17" s="24" t="s">
        <v>724</v>
      </c>
      <c r="V17" s="9">
        <v>2</v>
      </c>
    </row>
    <row r="21" spans="1:22">
      <c r="L21" s="307"/>
    </row>
  </sheetData>
  <mergeCells count="100">
    <mergeCell ref="H4:H5"/>
    <mergeCell ref="A4:A5"/>
    <mergeCell ref="B4:B5"/>
    <mergeCell ref="C4:C5"/>
    <mergeCell ref="D4:D5"/>
    <mergeCell ref="E4:E5"/>
    <mergeCell ref="J4:J5"/>
    <mergeCell ref="K4:K5"/>
    <mergeCell ref="L4:L5"/>
    <mergeCell ref="M4:M5"/>
    <mergeCell ref="N4:N5"/>
    <mergeCell ref="U4:U5"/>
    <mergeCell ref="V4:V5"/>
    <mergeCell ref="E8:E9"/>
    <mergeCell ref="D8:D9"/>
    <mergeCell ref="C8:C9"/>
    <mergeCell ref="M8:M9"/>
    <mergeCell ref="N8:N9"/>
    <mergeCell ref="O8:O9"/>
    <mergeCell ref="Q8:Q9"/>
    <mergeCell ref="O4:O5"/>
    <mergeCell ref="P4:P5"/>
    <mergeCell ref="Q4:Q5"/>
    <mergeCell ref="R4:R5"/>
    <mergeCell ref="S4:S5"/>
    <mergeCell ref="T4:T5"/>
    <mergeCell ref="I4:I5"/>
    <mergeCell ref="M12:M13"/>
    <mergeCell ref="N12:N13"/>
    <mergeCell ref="A10:A11"/>
    <mergeCell ref="U8:U9"/>
    <mergeCell ref="V8:V9"/>
    <mergeCell ref="A8:A9"/>
    <mergeCell ref="H8:H9"/>
    <mergeCell ref="I8:I9"/>
    <mergeCell ref="J8:J9"/>
    <mergeCell ref="K8:K9"/>
    <mergeCell ref="L8:L9"/>
    <mergeCell ref="B8:B9"/>
    <mergeCell ref="S12:S13"/>
    <mergeCell ref="T12:T13"/>
    <mergeCell ref="I12:I13"/>
    <mergeCell ref="A12:A13"/>
    <mergeCell ref="P8:P9"/>
    <mergeCell ref="R8:R9"/>
    <mergeCell ref="S8:S9"/>
    <mergeCell ref="T8:T9"/>
    <mergeCell ref="H12:H13"/>
    <mergeCell ref="K12:K13"/>
    <mergeCell ref="L12:L13"/>
    <mergeCell ref="H10:H11"/>
    <mergeCell ref="I10:I11"/>
    <mergeCell ref="J10:J11"/>
    <mergeCell ref="K10:K11"/>
    <mergeCell ref="L10:L11"/>
    <mergeCell ref="M10:M11"/>
    <mergeCell ref="N10:N11"/>
    <mergeCell ref="O10:O11"/>
    <mergeCell ref="P10:P11"/>
    <mergeCell ref="E12:E13"/>
    <mergeCell ref="D12:D13"/>
    <mergeCell ref="C12:C13"/>
    <mergeCell ref="B12:B13"/>
    <mergeCell ref="J12:J13"/>
    <mergeCell ref="P14:P15"/>
    <mergeCell ref="O12:O13"/>
    <mergeCell ref="P12:P13"/>
    <mergeCell ref="Q12:Q13"/>
    <mergeCell ref="R12:R13"/>
    <mergeCell ref="A14:A15"/>
    <mergeCell ref="H14:H15"/>
    <mergeCell ref="I14:I15"/>
    <mergeCell ref="J14:J15"/>
    <mergeCell ref="K14:K15"/>
    <mergeCell ref="B14:B15"/>
    <mergeCell ref="E14:E15"/>
    <mergeCell ref="D14:D15"/>
    <mergeCell ref="C14:C15"/>
    <mergeCell ref="B10:B11"/>
    <mergeCell ref="C10:C11"/>
    <mergeCell ref="D10:D11"/>
    <mergeCell ref="E10:E11"/>
    <mergeCell ref="V14:V15"/>
    <mergeCell ref="L14:L15"/>
    <mergeCell ref="Q14:Q15"/>
    <mergeCell ref="R14:R15"/>
    <mergeCell ref="S14:S15"/>
    <mergeCell ref="T14:T15"/>
    <mergeCell ref="U14:U15"/>
    <mergeCell ref="U12:U13"/>
    <mergeCell ref="V12:V13"/>
    <mergeCell ref="M14:M15"/>
    <mergeCell ref="N14:N15"/>
    <mergeCell ref="O14:O15"/>
    <mergeCell ref="V10:V11"/>
    <mergeCell ref="Q10:Q11"/>
    <mergeCell ref="R10:R11"/>
    <mergeCell ref="S10:S11"/>
    <mergeCell ref="T10:T11"/>
    <mergeCell ref="U10:U11"/>
  </mergeCells>
  <phoneticPr fontId="3" type="noConversion"/>
  <conditionalFormatting sqref="J4 L4 N4 P4 R4 T4 V4 J6:J8 L6:L8 N6:N8 P6:P8 R6:R8 T6:T8 V6:V8 J10 L10 N10 P10 R10 T10 V10 J12 L12 N12 P12 R12 T12 V12 J14 L14 N14 P14 R14 T14 V14 J16:J17 L16:L17 N16:N17 P16:P17 R16:R17 T16:T17 V16:V17">
    <cfRule type="cellIs" dxfId="10" priority="1" operator="equal">
      <formula>"NA"</formula>
    </cfRule>
    <cfRule type="cellIs" dxfId="9" priority="2" operator="equal">
      <formula>3</formula>
    </cfRule>
    <cfRule type="cellIs" dxfId="8" priority="3" operator="equal">
      <formula>2</formula>
    </cfRule>
    <cfRule type="cellIs" dxfId="7" priority="4" operator="equal">
      <formula>1</formula>
    </cfRule>
  </conditionalFormatting>
  <dataValidations count="1">
    <dataValidation type="list" allowBlank="1" showInputMessage="1" showErrorMessage="1" sqref="R16:R17 T16:T17 P16:P17 L16:L17 N16:N17 L4 N4 P4 R4 T4 V4 L6:L8 N6:N8 P6:P8 R6:R8 T6:T8 V6:V8 V16:V17 L12 N12 P12 R12 T12 L14 N14 P14 R14 T14 V14 L10 N10 P10 R10 T10 V10 V12" xr:uid="{E015CABC-E362-4914-8CC6-0B4CF161466E}">
      <formula1>RAG_list</formula1>
    </dataValidation>
  </dataValidations>
  <hyperlinks>
    <hyperlink ref="G4" r:id="rId1" xr:uid="{813ADE0E-86B6-41F0-A42A-6731B7BBBEFE}"/>
    <hyperlink ref="G7" r:id="rId2" xr:uid="{5852FD19-0645-4A32-8927-EC989604ED91}"/>
    <hyperlink ref="G10" r:id="rId3" xr:uid="{902E6289-9420-4D13-9745-C39ACF94915D}"/>
    <hyperlink ref="G16" r:id="rId4" xr:uid="{5696D3E3-3999-471C-AB2B-FFD94109B2F9}"/>
    <hyperlink ref="G17" r:id="rId5" xr:uid="{4CA1CEBB-E85F-4414-858E-A615A5CBA340}"/>
    <hyperlink ref="G12" r:id="rId6" xr:uid="{9C658EEE-6DE3-4BBF-A4A4-E6E596E4E473}"/>
    <hyperlink ref="A2" location="Contents!A1" display="Back to contents" xr:uid="{F3888913-63E5-4158-8696-6D8B5B399710}"/>
    <hyperlink ref="G5" r:id="rId7" xr:uid="{388C83AF-3B78-4303-B98D-C1ACD332B0EE}"/>
    <hyperlink ref="G9" r:id="rId8" xr:uid="{A4A285D5-091A-407C-B42C-416C31CFAAC6}"/>
    <hyperlink ref="G8" r:id="rId9" xr:uid="{98A58FF8-3F89-424F-BDC1-4750B9C23FE6}"/>
    <hyperlink ref="G13" r:id="rId10" xr:uid="{645A131C-30AD-4F51-B194-3357D6AE3CE5}"/>
    <hyperlink ref="G15" r:id="rId11" xr:uid="{C567E90F-0233-4BF2-A366-CDB1E1446508}"/>
    <hyperlink ref="G14" r:id="rId12" xr:uid="{A159D19B-8BD8-4197-8045-008313BCDE00}"/>
    <hyperlink ref="G11" r:id="rId13" xr:uid="{ECCEF97E-CB43-40D4-AE08-C8C067086F8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AA10A-6505-4E9D-A4BE-54337C9C6E89}">
  <sheetPr>
    <tabColor theme="8"/>
  </sheetPr>
  <dimension ref="A1:L52"/>
  <sheetViews>
    <sheetView showGridLines="0" workbookViewId="0">
      <pane ySplit="3" topLeftCell="A4" activePane="bottomLeft" state="frozen"/>
      <selection pane="bottomLeft"/>
      <selection activeCell="C8" sqref="C8"/>
    </sheetView>
  </sheetViews>
  <sheetFormatPr defaultRowHeight="20.45"/>
  <cols>
    <col min="1" max="1" width="31.19921875" customWidth="1"/>
    <col min="2" max="2" width="11.5" customWidth="1"/>
    <col min="3" max="3" width="33.8984375" customWidth="1"/>
    <col min="4" max="4" width="21" customWidth="1"/>
    <col min="5" max="6" width="20.8984375" customWidth="1"/>
    <col min="7" max="7" width="21.8984375" customWidth="1"/>
    <col min="8" max="8" width="30.8984375" customWidth="1"/>
    <col min="9" max="9" width="18.8984375" customWidth="1"/>
    <col min="10" max="10" width="23.8984375" customWidth="1"/>
    <col min="11" max="11" width="19.8984375" customWidth="1"/>
    <col min="12" max="12" width="14.8984375" customWidth="1"/>
  </cols>
  <sheetData>
    <row r="1" spans="1:12">
      <c r="A1" s="98" t="s">
        <v>57</v>
      </c>
    </row>
    <row r="2" spans="1:12">
      <c r="A2" s="98" t="s">
        <v>742</v>
      </c>
    </row>
    <row r="3" spans="1:12">
      <c r="A3" s="51" t="s">
        <v>162</v>
      </c>
      <c r="B3" s="51" t="s">
        <v>211</v>
      </c>
      <c r="C3" s="51" t="s">
        <v>18</v>
      </c>
      <c r="D3" s="51" t="s">
        <v>340</v>
      </c>
      <c r="E3" s="51" t="s">
        <v>166</v>
      </c>
      <c r="F3" s="51" t="s">
        <v>481</v>
      </c>
      <c r="G3" s="51" t="s">
        <v>115</v>
      </c>
      <c r="H3" s="51" t="s">
        <v>483</v>
      </c>
      <c r="I3" s="51" t="s">
        <v>743</v>
      </c>
      <c r="J3" s="51" t="s">
        <v>485</v>
      </c>
      <c r="K3" s="51" t="s">
        <v>214</v>
      </c>
      <c r="L3" s="51" t="s">
        <v>215</v>
      </c>
    </row>
    <row r="4" spans="1:12">
      <c r="A4" s="36" t="str">
        <f>_xlfn.CONCAT(B4,"_",INDEX(dwelling_categories_short,MATCH(G4,dwelling_categories,0)),"_",INDEX(rep_days_short,MATCH(H4,rep_days,0)),"_",INDEX(HP_behaviours_short,MATCH(I4,HP_behaviours,0)),"_",J4, "_", INDEX(new_build_short,MATCH(L4,new_build_status,0)))</f>
        <v>HP01_DC1_NA_ALL_GB_EXIST</v>
      </c>
      <c r="B4" s="36" t="s">
        <v>31</v>
      </c>
      <c r="C4" s="36" t="s">
        <v>653</v>
      </c>
      <c r="D4" s="36" t="s">
        <v>656</v>
      </c>
      <c r="E4" s="36" t="s">
        <v>231</v>
      </c>
      <c r="F4" s="36" t="s">
        <v>250</v>
      </c>
      <c r="G4" s="36" t="s">
        <v>233</v>
      </c>
      <c r="H4" s="36" t="s">
        <v>269</v>
      </c>
      <c r="I4" s="36" t="s">
        <v>267</v>
      </c>
      <c r="J4" s="36" t="s">
        <v>130</v>
      </c>
      <c r="K4" s="36" t="s">
        <v>236</v>
      </c>
      <c r="L4" s="36" t="s">
        <v>237</v>
      </c>
    </row>
    <row r="5" spans="1:12">
      <c r="A5" s="36" t="str">
        <f t="shared" ref="A5:A13" si="0">_xlfn.CONCAT(B5,"_",INDEX(dwelling_categories_short,MATCH(G5,dwelling_categories,0)),"_",INDEX(rep_days_short,MATCH(H5,rep_days,0)),"_",INDEX(HP_behaviours_short,MATCH(I5,HP_behaviours,0)),"_",J5, "_", INDEX(new_build_short,MATCH(L5,new_build_status,0)))</f>
        <v>HP01_DC2_NA_ALL_GB_EXIST</v>
      </c>
      <c r="B5" s="36" t="s">
        <v>31</v>
      </c>
      <c r="C5" s="36" t="s">
        <v>653</v>
      </c>
      <c r="D5" s="36" t="s">
        <v>656</v>
      </c>
      <c r="E5" s="36" t="s">
        <v>231</v>
      </c>
      <c r="F5" s="36" t="s">
        <v>250</v>
      </c>
      <c r="G5" s="36" t="s">
        <v>252</v>
      </c>
      <c r="H5" s="36" t="s">
        <v>269</v>
      </c>
      <c r="I5" s="36" t="s">
        <v>267</v>
      </c>
      <c r="J5" s="36" t="s">
        <v>130</v>
      </c>
      <c r="K5" s="36" t="s">
        <v>236</v>
      </c>
      <c r="L5" s="36" t="s">
        <v>237</v>
      </c>
    </row>
    <row r="6" spans="1:12">
      <c r="A6" s="36" t="str">
        <f t="shared" si="0"/>
        <v>HP01_DC3_NA_ALL_GB_EXIST</v>
      </c>
      <c r="B6" s="36" t="s">
        <v>31</v>
      </c>
      <c r="C6" s="36" t="s">
        <v>653</v>
      </c>
      <c r="D6" s="36" t="s">
        <v>656</v>
      </c>
      <c r="E6" s="36" t="s">
        <v>231</v>
      </c>
      <c r="F6" s="36" t="s">
        <v>250</v>
      </c>
      <c r="G6" s="36" t="s">
        <v>270</v>
      </c>
      <c r="H6" s="36" t="s">
        <v>269</v>
      </c>
      <c r="I6" s="36" t="s">
        <v>267</v>
      </c>
      <c r="J6" s="36" t="s">
        <v>130</v>
      </c>
      <c r="K6" s="36" t="s">
        <v>236</v>
      </c>
      <c r="L6" s="36" t="s">
        <v>237</v>
      </c>
    </row>
    <row r="7" spans="1:12">
      <c r="A7" s="36" t="str">
        <f t="shared" si="0"/>
        <v>HP01_DC4_NA_ALL_GB_EXIST</v>
      </c>
      <c r="B7" s="36" t="s">
        <v>31</v>
      </c>
      <c r="C7" s="36" t="s">
        <v>653</v>
      </c>
      <c r="D7" s="36" t="s">
        <v>656</v>
      </c>
      <c r="E7" s="36" t="s">
        <v>231</v>
      </c>
      <c r="F7" s="36" t="s">
        <v>250</v>
      </c>
      <c r="G7" s="36" t="s">
        <v>282</v>
      </c>
      <c r="H7" s="36" t="s">
        <v>269</v>
      </c>
      <c r="I7" s="36" t="s">
        <v>267</v>
      </c>
      <c r="J7" s="36" t="s">
        <v>130</v>
      </c>
      <c r="K7" s="36" t="s">
        <v>236</v>
      </c>
      <c r="L7" s="36" t="s">
        <v>237</v>
      </c>
    </row>
    <row r="8" spans="1:12">
      <c r="A8" s="36" t="str">
        <f t="shared" si="0"/>
        <v>HP01_DC1_NA_ALL_GB_NEW</v>
      </c>
      <c r="B8" s="36" t="s">
        <v>31</v>
      </c>
      <c r="C8" s="36" t="s">
        <v>653</v>
      </c>
      <c r="D8" s="36" t="s">
        <v>656</v>
      </c>
      <c r="E8" s="36" t="s">
        <v>231</v>
      </c>
      <c r="F8" s="36" t="s">
        <v>250</v>
      </c>
      <c r="G8" s="36" t="s">
        <v>233</v>
      </c>
      <c r="H8" s="36" t="s">
        <v>269</v>
      </c>
      <c r="I8" s="36" t="s">
        <v>267</v>
      </c>
      <c r="J8" s="36" t="s">
        <v>130</v>
      </c>
      <c r="K8" s="36" t="s">
        <v>236</v>
      </c>
      <c r="L8" s="36" t="s">
        <v>257</v>
      </c>
    </row>
    <row r="9" spans="1:12">
      <c r="A9" s="36" t="str">
        <f t="shared" si="0"/>
        <v>HP01_DC2_NA_ALL_GB_NEW</v>
      </c>
      <c r="B9" s="36" t="s">
        <v>31</v>
      </c>
      <c r="C9" s="36" t="s">
        <v>653</v>
      </c>
      <c r="D9" s="36" t="s">
        <v>656</v>
      </c>
      <c r="E9" s="36" t="s">
        <v>231</v>
      </c>
      <c r="F9" s="36" t="s">
        <v>250</v>
      </c>
      <c r="G9" s="36" t="s">
        <v>252</v>
      </c>
      <c r="H9" s="36" t="s">
        <v>269</v>
      </c>
      <c r="I9" s="36" t="s">
        <v>267</v>
      </c>
      <c r="J9" s="36" t="s">
        <v>130</v>
      </c>
      <c r="K9" s="36" t="s">
        <v>236</v>
      </c>
      <c r="L9" s="36" t="s">
        <v>257</v>
      </c>
    </row>
    <row r="10" spans="1:12">
      <c r="A10" s="36" t="str">
        <f t="shared" si="0"/>
        <v>HP01_DC3_NA_ALL_GB_NEW</v>
      </c>
      <c r="B10" s="36" t="s">
        <v>31</v>
      </c>
      <c r="C10" s="36" t="s">
        <v>653</v>
      </c>
      <c r="D10" s="36" t="s">
        <v>656</v>
      </c>
      <c r="E10" s="36" t="s">
        <v>231</v>
      </c>
      <c r="F10" s="36" t="s">
        <v>250</v>
      </c>
      <c r="G10" s="36" t="s">
        <v>270</v>
      </c>
      <c r="H10" s="36" t="s">
        <v>269</v>
      </c>
      <c r="I10" s="36" t="s">
        <v>267</v>
      </c>
      <c r="J10" s="36" t="s">
        <v>130</v>
      </c>
      <c r="K10" s="36" t="s">
        <v>236</v>
      </c>
      <c r="L10" s="36" t="s">
        <v>257</v>
      </c>
    </row>
    <row r="11" spans="1:12">
      <c r="A11" s="36" t="str">
        <f t="shared" si="0"/>
        <v>HP01_DC4_NA_ALL_GB_NEW</v>
      </c>
      <c r="B11" s="36" t="s">
        <v>31</v>
      </c>
      <c r="C11" s="36" t="s">
        <v>653</v>
      </c>
      <c r="D11" s="36" t="s">
        <v>656</v>
      </c>
      <c r="E11" s="36" t="s">
        <v>231</v>
      </c>
      <c r="F11" s="36" t="s">
        <v>250</v>
      </c>
      <c r="G11" s="36" t="s">
        <v>282</v>
      </c>
      <c r="H11" s="36" t="s">
        <v>269</v>
      </c>
      <c r="I11" s="36" t="s">
        <v>267</v>
      </c>
      <c r="J11" s="36" t="s">
        <v>130</v>
      </c>
      <c r="K11" s="36" t="s">
        <v>236</v>
      </c>
      <c r="L11" s="36" t="s">
        <v>257</v>
      </c>
    </row>
    <row r="12" spans="1:12">
      <c r="A12" s="36" t="str">
        <f t="shared" si="0"/>
        <v>HP02_ALL_NA_ALL_GB_EXIST</v>
      </c>
      <c r="B12" s="36" t="s">
        <v>32</v>
      </c>
      <c r="C12" s="36" t="s">
        <v>249</v>
      </c>
      <c r="D12" s="36" t="s">
        <v>403</v>
      </c>
      <c r="E12" s="36" t="s">
        <v>231</v>
      </c>
      <c r="F12" s="36" t="s">
        <v>250</v>
      </c>
      <c r="G12" s="36" t="s">
        <v>267</v>
      </c>
      <c r="H12" s="36" t="s">
        <v>269</v>
      </c>
      <c r="I12" s="36" t="s">
        <v>267</v>
      </c>
      <c r="J12" s="36" t="s">
        <v>130</v>
      </c>
      <c r="K12" s="36" t="s">
        <v>256</v>
      </c>
      <c r="L12" s="36" t="s">
        <v>237</v>
      </c>
    </row>
    <row r="13" spans="1:12">
      <c r="A13" s="36" t="str">
        <f t="shared" si="0"/>
        <v>HP02_ALL_NA_ALL_GB_NEW</v>
      </c>
      <c r="B13" s="36" t="s">
        <v>32</v>
      </c>
      <c r="C13" s="36" t="s">
        <v>249</v>
      </c>
      <c r="D13" s="36" t="s">
        <v>403</v>
      </c>
      <c r="E13" s="36" t="s">
        <v>231</v>
      </c>
      <c r="F13" s="36" t="s">
        <v>250</v>
      </c>
      <c r="G13" s="36" t="s">
        <v>267</v>
      </c>
      <c r="H13" s="36" t="s">
        <v>269</v>
      </c>
      <c r="I13" s="36" t="s">
        <v>267</v>
      </c>
      <c r="J13" s="36" t="s">
        <v>130</v>
      </c>
      <c r="K13" s="36" t="s">
        <v>236</v>
      </c>
      <c r="L13" s="36" t="s">
        <v>257</v>
      </c>
    </row>
    <row r="14" spans="1:12">
      <c r="A14" s="36" t="str">
        <f t="shared" ref="A14:A52" si="1">_xlfn.CONCAT(B14,"_",INDEX(dwelling_categories_short,MATCH(G14,dwelling_categories,0)),"_",INDEX(rep_days_short,MATCH(H14,rep_days,0)),"_",INDEX(HP_behaviours_short,MATCH(I14,HP_behaviours,0)),"_",J14)</f>
        <v>HP03_ALL_WP_ALL_Region</v>
      </c>
      <c r="B14" s="36" t="s">
        <v>33</v>
      </c>
      <c r="C14" s="36" t="s">
        <v>678</v>
      </c>
      <c r="D14" s="36" t="s">
        <v>744</v>
      </c>
      <c r="E14" s="36" t="s">
        <v>231</v>
      </c>
      <c r="F14" s="36" t="s">
        <v>250</v>
      </c>
      <c r="G14" s="36" t="s">
        <v>267</v>
      </c>
      <c r="H14" s="36" t="s">
        <v>235</v>
      </c>
      <c r="I14" s="36" t="s">
        <v>267</v>
      </c>
      <c r="J14" s="36" t="s">
        <v>255</v>
      </c>
      <c r="K14" s="36" t="s">
        <v>236</v>
      </c>
      <c r="L14" s="36"/>
    </row>
    <row r="15" spans="1:12">
      <c r="A15" s="36" t="str">
        <f t="shared" si="1"/>
        <v>HP03_ALL_SP_ALL_Region</v>
      </c>
      <c r="B15" s="36" t="s">
        <v>33</v>
      </c>
      <c r="C15" s="36" t="s">
        <v>678</v>
      </c>
      <c r="D15" s="36" t="s">
        <v>744</v>
      </c>
      <c r="E15" s="36" t="s">
        <v>231</v>
      </c>
      <c r="F15" s="36" t="s">
        <v>250</v>
      </c>
      <c r="G15" s="36" t="s">
        <v>267</v>
      </c>
      <c r="H15" s="36" t="s">
        <v>254</v>
      </c>
      <c r="I15" s="36" t="s">
        <v>267</v>
      </c>
      <c r="J15" s="36" t="s">
        <v>255</v>
      </c>
      <c r="K15" s="36" t="s">
        <v>236</v>
      </c>
      <c r="L15" s="36"/>
    </row>
    <row r="16" spans="1:12">
      <c r="A16" s="36" t="str">
        <f t="shared" si="1"/>
        <v>HP03_ALL_SSP_ALL_Region</v>
      </c>
      <c r="B16" s="36" t="s">
        <v>33</v>
      </c>
      <c r="C16" s="36" t="s">
        <v>678</v>
      </c>
      <c r="D16" s="36" t="s">
        <v>744</v>
      </c>
      <c r="E16" s="36" t="s">
        <v>231</v>
      </c>
      <c r="F16" s="36" t="s">
        <v>250</v>
      </c>
      <c r="G16" s="36" t="s">
        <v>267</v>
      </c>
      <c r="H16" s="36" t="s">
        <v>273</v>
      </c>
      <c r="I16" s="36" t="s">
        <v>267</v>
      </c>
      <c r="J16" s="36" t="s">
        <v>255</v>
      </c>
      <c r="K16" s="36" t="s">
        <v>236</v>
      </c>
      <c r="L16" s="36"/>
    </row>
    <row r="17" spans="1:12">
      <c r="A17" s="36" t="str">
        <f t="shared" si="1"/>
        <v>HP03_ALL_MIN_ALL_Region</v>
      </c>
      <c r="B17" s="36" t="s">
        <v>33</v>
      </c>
      <c r="C17" s="36" t="s">
        <v>678</v>
      </c>
      <c r="D17" s="36" t="s">
        <v>744</v>
      </c>
      <c r="E17" s="36" t="s">
        <v>231</v>
      </c>
      <c r="F17" s="36" t="s">
        <v>250</v>
      </c>
      <c r="G17" s="36" t="s">
        <v>267</v>
      </c>
      <c r="H17" s="36" t="s">
        <v>284</v>
      </c>
      <c r="I17" s="36" t="s">
        <v>267</v>
      </c>
      <c r="J17" s="36" t="s">
        <v>255</v>
      </c>
      <c r="K17" s="36" t="s">
        <v>236</v>
      </c>
      <c r="L17" s="36"/>
    </row>
    <row r="18" spans="1:12">
      <c r="A18" s="36" t="str">
        <f t="shared" si="1"/>
        <v>HP04_ALL_WP_ALL_GB</v>
      </c>
      <c r="B18" s="36" t="s">
        <v>34</v>
      </c>
      <c r="C18" s="36" t="s">
        <v>691</v>
      </c>
      <c r="D18" s="36" t="s">
        <v>745</v>
      </c>
      <c r="E18" s="36" t="s">
        <v>231</v>
      </c>
      <c r="F18" s="36" t="s">
        <v>250</v>
      </c>
      <c r="G18" s="36" t="s">
        <v>267</v>
      </c>
      <c r="H18" s="36" t="s">
        <v>235</v>
      </c>
      <c r="I18" s="36" t="s">
        <v>267</v>
      </c>
      <c r="J18" s="36" t="s">
        <v>130</v>
      </c>
      <c r="K18" s="36" t="s">
        <v>236</v>
      </c>
      <c r="L18" s="36"/>
    </row>
    <row r="19" spans="1:12">
      <c r="A19" s="36" t="str">
        <f t="shared" si="1"/>
        <v>HP04_ALL_SP_ALL_GB</v>
      </c>
      <c r="B19" s="36" t="s">
        <v>34</v>
      </c>
      <c r="C19" s="36" t="s">
        <v>691</v>
      </c>
      <c r="D19" s="36" t="s">
        <v>746</v>
      </c>
      <c r="E19" s="36" t="s">
        <v>231</v>
      </c>
      <c r="F19" s="36" t="s">
        <v>250</v>
      </c>
      <c r="G19" s="36" t="s">
        <v>267</v>
      </c>
      <c r="H19" s="36" t="s">
        <v>254</v>
      </c>
      <c r="I19" s="36" t="s">
        <v>267</v>
      </c>
      <c r="J19" s="36" t="s">
        <v>130</v>
      </c>
      <c r="K19" s="36" t="s">
        <v>236</v>
      </c>
      <c r="L19" s="36"/>
    </row>
    <row r="20" spans="1:12">
      <c r="A20" s="36" t="str">
        <f t="shared" si="1"/>
        <v>HP04_ALL_SSP_ALL_GB</v>
      </c>
      <c r="B20" s="36" t="s">
        <v>34</v>
      </c>
      <c r="C20" s="36" t="s">
        <v>691</v>
      </c>
      <c r="D20" s="36" t="s">
        <v>745</v>
      </c>
      <c r="E20" s="36" t="s">
        <v>231</v>
      </c>
      <c r="F20" s="36" t="s">
        <v>250</v>
      </c>
      <c r="G20" s="36" t="s">
        <v>267</v>
      </c>
      <c r="H20" s="36" t="s">
        <v>273</v>
      </c>
      <c r="I20" s="36" t="s">
        <v>267</v>
      </c>
      <c r="J20" s="36" t="s">
        <v>130</v>
      </c>
      <c r="K20" s="36" t="s">
        <v>236</v>
      </c>
      <c r="L20" s="36"/>
    </row>
    <row r="21" spans="1:12">
      <c r="A21" s="36" t="str">
        <f t="shared" si="1"/>
        <v>HP04_ALL_MIN_ALL_GB</v>
      </c>
      <c r="B21" s="36" t="s">
        <v>34</v>
      </c>
      <c r="C21" s="36" t="s">
        <v>691</v>
      </c>
      <c r="D21" s="36" t="s">
        <v>746</v>
      </c>
      <c r="E21" s="36" t="s">
        <v>231</v>
      </c>
      <c r="F21" s="36" t="s">
        <v>250</v>
      </c>
      <c r="G21" s="36" t="s">
        <v>267</v>
      </c>
      <c r="H21" s="36" t="s">
        <v>284</v>
      </c>
      <c r="I21" s="36" t="s">
        <v>267</v>
      </c>
      <c r="J21" s="36" t="s">
        <v>130</v>
      </c>
      <c r="K21" s="36" t="s">
        <v>236</v>
      </c>
      <c r="L21" s="36"/>
    </row>
    <row r="22" spans="1:12">
      <c r="A22" s="36" t="str">
        <f t="shared" si="1"/>
        <v>HP05_NA_WP_NA_Region</v>
      </c>
      <c r="B22" s="36" t="s">
        <v>35</v>
      </c>
      <c r="C22" s="36" t="s">
        <v>291</v>
      </c>
      <c r="D22" s="36" t="s">
        <v>747</v>
      </c>
      <c r="E22" s="36" t="s">
        <v>269</v>
      </c>
      <c r="F22" s="36" t="s">
        <v>269</v>
      </c>
      <c r="G22" s="36" t="s">
        <v>269</v>
      </c>
      <c r="H22" s="36" t="s">
        <v>235</v>
      </c>
      <c r="I22" s="36" t="s">
        <v>269</v>
      </c>
      <c r="J22" s="36" t="s">
        <v>255</v>
      </c>
      <c r="K22" s="36" t="s">
        <v>236</v>
      </c>
      <c r="L22" s="36"/>
    </row>
    <row r="23" spans="1:12">
      <c r="A23" s="36" t="str">
        <f t="shared" si="1"/>
        <v>HP05_NA_SP_NA_Region</v>
      </c>
      <c r="B23" s="36" t="s">
        <v>35</v>
      </c>
      <c r="C23" s="36" t="s">
        <v>291</v>
      </c>
      <c r="D23" s="36" t="s">
        <v>747</v>
      </c>
      <c r="E23" s="36" t="s">
        <v>269</v>
      </c>
      <c r="F23" s="36" t="s">
        <v>269</v>
      </c>
      <c r="G23" s="36" t="s">
        <v>269</v>
      </c>
      <c r="H23" s="36" t="s">
        <v>254</v>
      </c>
      <c r="I23" s="36" t="s">
        <v>269</v>
      </c>
      <c r="J23" s="36" t="s">
        <v>255</v>
      </c>
      <c r="K23" s="36" t="s">
        <v>236</v>
      </c>
      <c r="L23" s="36"/>
    </row>
    <row r="24" spans="1:12">
      <c r="A24" s="36" t="str">
        <f t="shared" si="1"/>
        <v>HP05_NA_SSP_NA_Region</v>
      </c>
      <c r="B24" s="36" t="s">
        <v>35</v>
      </c>
      <c r="C24" s="36" t="s">
        <v>291</v>
      </c>
      <c r="D24" s="36" t="s">
        <v>747</v>
      </c>
      <c r="E24" s="36" t="s">
        <v>269</v>
      </c>
      <c r="F24" s="36" t="s">
        <v>269</v>
      </c>
      <c r="G24" s="36" t="s">
        <v>269</v>
      </c>
      <c r="H24" s="36" t="s">
        <v>273</v>
      </c>
      <c r="I24" s="36" t="s">
        <v>269</v>
      </c>
      <c r="J24" s="36" t="s">
        <v>255</v>
      </c>
      <c r="K24" s="36" t="s">
        <v>236</v>
      </c>
      <c r="L24" s="36"/>
    </row>
    <row r="25" spans="1:12">
      <c r="A25" s="36" t="str">
        <f t="shared" si="1"/>
        <v>HP05_NA_MIN_NA_Region</v>
      </c>
      <c r="B25" s="36" t="s">
        <v>35</v>
      </c>
      <c r="C25" s="36" t="s">
        <v>291</v>
      </c>
      <c r="D25" s="36" t="s">
        <v>747</v>
      </c>
      <c r="E25" s="36" t="s">
        <v>269</v>
      </c>
      <c r="F25" s="36" t="s">
        <v>269</v>
      </c>
      <c r="G25" s="36" t="s">
        <v>269</v>
      </c>
      <c r="H25" s="36" t="s">
        <v>284</v>
      </c>
      <c r="I25" s="36" t="s">
        <v>269</v>
      </c>
      <c r="J25" s="36" t="s">
        <v>255</v>
      </c>
      <c r="K25" s="36" t="s">
        <v>236</v>
      </c>
      <c r="L25" s="36"/>
    </row>
    <row r="26" spans="1:12">
      <c r="A26" s="36" t="str">
        <f>_xlfn.CONCAT(B26,"_",INDEX(dwelling_categories_short,MATCH(G26,dwelling_categories,0)),"_",INDEX(rep_days_short,MATCH(H26,rep_days,0)),"_",INDEX(HP_behaviours_short,MATCH(I26,HP_behaviours,0)),"_",J26)</f>
        <v>HP05_ALL_WP_WA_GB</v>
      </c>
      <c r="B26" s="36" t="s">
        <v>35</v>
      </c>
      <c r="C26" s="36" t="s">
        <v>296</v>
      </c>
      <c r="D26" s="36" t="s">
        <v>748</v>
      </c>
      <c r="E26" s="36" t="s">
        <v>231</v>
      </c>
      <c r="F26" s="36" t="s">
        <v>250</v>
      </c>
      <c r="G26" s="36" t="s">
        <v>267</v>
      </c>
      <c r="H26" s="36" t="s">
        <v>235</v>
      </c>
      <c r="I26" s="36" t="s">
        <v>292</v>
      </c>
      <c r="J26" s="36" t="s">
        <v>130</v>
      </c>
      <c r="K26" s="36" t="s">
        <v>274</v>
      </c>
      <c r="L26" s="36"/>
    </row>
    <row r="27" spans="1:12">
      <c r="A27" s="36" t="str">
        <f t="shared" si="1"/>
        <v>HP06_ALL_WP_BHV1_GB</v>
      </c>
      <c r="B27" s="36" t="s">
        <v>36</v>
      </c>
      <c r="C27" s="36" t="s">
        <v>296</v>
      </c>
      <c r="D27" s="36" t="s">
        <v>748</v>
      </c>
      <c r="E27" s="36" t="s">
        <v>231</v>
      </c>
      <c r="F27" s="36" t="s">
        <v>250</v>
      </c>
      <c r="G27" s="36" t="s">
        <v>267</v>
      </c>
      <c r="H27" s="36" t="s">
        <v>235</v>
      </c>
      <c r="I27" s="36" t="s">
        <v>234</v>
      </c>
      <c r="J27" s="36" t="s">
        <v>130</v>
      </c>
      <c r="K27" s="36" t="s">
        <v>274</v>
      </c>
      <c r="L27" s="36"/>
    </row>
    <row r="28" spans="1:12">
      <c r="A28" s="36" t="str">
        <f t="shared" si="1"/>
        <v>HP06_ALL_WP_BHV2_GB</v>
      </c>
      <c r="B28" s="36" t="s">
        <v>36</v>
      </c>
      <c r="C28" s="36" t="s">
        <v>296</v>
      </c>
      <c r="D28" s="36" t="s">
        <v>748</v>
      </c>
      <c r="E28" s="36" t="s">
        <v>231</v>
      </c>
      <c r="F28" s="36" t="s">
        <v>250</v>
      </c>
      <c r="G28" s="36" t="s">
        <v>267</v>
      </c>
      <c r="H28" s="36" t="s">
        <v>235</v>
      </c>
      <c r="I28" s="36" t="s">
        <v>253</v>
      </c>
      <c r="J28" s="36" t="s">
        <v>130</v>
      </c>
      <c r="K28" s="36" t="s">
        <v>274</v>
      </c>
      <c r="L28" s="36"/>
    </row>
    <row r="29" spans="1:12">
      <c r="A29" s="36" t="str">
        <f t="shared" si="1"/>
        <v>HP06_ALL_WP_BHV3_GB</v>
      </c>
      <c r="B29" s="36" t="s">
        <v>36</v>
      </c>
      <c r="C29" s="36" t="s">
        <v>296</v>
      </c>
      <c r="D29" s="36" t="s">
        <v>748</v>
      </c>
      <c r="E29" s="36" t="s">
        <v>231</v>
      </c>
      <c r="F29" s="36" t="s">
        <v>250</v>
      </c>
      <c r="G29" s="36" t="s">
        <v>267</v>
      </c>
      <c r="H29" s="36" t="s">
        <v>235</v>
      </c>
      <c r="I29" s="36" t="s">
        <v>272</v>
      </c>
      <c r="J29" s="36" t="s">
        <v>130</v>
      </c>
      <c r="K29" s="36" t="s">
        <v>274</v>
      </c>
      <c r="L29" s="36"/>
    </row>
    <row r="30" spans="1:12">
      <c r="A30" s="36" t="str">
        <f>_xlfn.CONCAT(B30,"_",INDEX(dwelling_categories_short,MATCH(G30,dwelling_categories,0)),"_",INDEX(rep_days_short,MATCH(H30,rep_days,0)),"_",INDEX(HP_behaviours_short,MATCH(I30,HP_behaviours,0)),"_",J30)</f>
        <v>HP07_ALL_SP_WA_GB</v>
      </c>
      <c r="B30" s="36" t="s">
        <v>37</v>
      </c>
      <c r="C30" s="36" t="s">
        <v>296</v>
      </c>
      <c r="D30" s="36" t="s">
        <v>748</v>
      </c>
      <c r="E30" s="36" t="s">
        <v>231</v>
      </c>
      <c r="F30" s="36" t="s">
        <v>250</v>
      </c>
      <c r="G30" s="36" t="s">
        <v>267</v>
      </c>
      <c r="H30" s="36" t="s">
        <v>254</v>
      </c>
      <c r="I30" s="36" t="s">
        <v>292</v>
      </c>
      <c r="J30" s="36" t="s">
        <v>130</v>
      </c>
      <c r="K30" s="36" t="s">
        <v>274</v>
      </c>
      <c r="L30" s="36"/>
    </row>
    <row r="31" spans="1:12">
      <c r="A31" s="36" t="str">
        <f t="shared" si="1"/>
        <v>HP06_ALL_SP_BHV1_GB</v>
      </c>
      <c r="B31" s="36" t="s">
        <v>36</v>
      </c>
      <c r="C31" s="36" t="s">
        <v>296</v>
      </c>
      <c r="D31" s="36" t="s">
        <v>748</v>
      </c>
      <c r="E31" s="36" t="s">
        <v>231</v>
      </c>
      <c r="F31" s="36" t="s">
        <v>250</v>
      </c>
      <c r="G31" s="36" t="s">
        <v>267</v>
      </c>
      <c r="H31" s="36" t="s">
        <v>254</v>
      </c>
      <c r="I31" s="36" t="s">
        <v>234</v>
      </c>
      <c r="J31" s="36" t="s">
        <v>130</v>
      </c>
      <c r="K31" s="36" t="s">
        <v>274</v>
      </c>
      <c r="L31" s="36"/>
    </row>
    <row r="32" spans="1:12">
      <c r="A32" s="36" t="str">
        <f t="shared" si="1"/>
        <v>HP06_ALL_SP_BHV2_GB</v>
      </c>
      <c r="B32" s="36" t="s">
        <v>36</v>
      </c>
      <c r="C32" s="36" t="s">
        <v>296</v>
      </c>
      <c r="D32" s="36" t="s">
        <v>748</v>
      </c>
      <c r="E32" s="36" t="s">
        <v>231</v>
      </c>
      <c r="F32" s="36" t="s">
        <v>250</v>
      </c>
      <c r="G32" s="36" t="s">
        <v>267</v>
      </c>
      <c r="H32" s="36" t="s">
        <v>254</v>
      </c>
      <c r="I32" s="36" t="s">
        <v>253</v>
      </c>
      <c r="J32" s="36" t="s">
        <v>130</v>
      </c>
      <c r="K32" s="36" t="s">
        <v>274</v>
      </c>
      <c r="L32" s="36"/>
    </row>
    <row r="33" spans="1:12">
      <c r="A33" s="36" t="str">
        <f t="shared" si="1"/>
        <v>HP06_ALL_SP_BHV3_GB</v>
      </c>
      <c r="B33" s="36" t="s">
        <v>36</v>
      </c>
      <c r="C33" s="36" t="s">
        <v>296</v>
      </c>
      <c r="D33" s="36" t="s">
        <v>748</v>
      </c>
      <c r="E33" s="36" t="s">
        <v>231</v>
      </c>
      <c r="F33" s="36" t="s">
        <v>250</v>
      </c>
      <c r="G33" s="36" t="s">
        <v>267</v>
      </c>
      <c r="H33" s="36" t="s">
        <v>254</v>
      </c>
      <c r="I33" s="36" t="s">
        <v>272</v>
      </c>
      <c r="J33" s="36" t="s">
        <v>130</v>
      </c>
      <c r="K33" s="36" t="s">
        <v>274</v>
      </c>
      <c r="L33" s="36"/>
    </row>
    <row r="34" spans="1:12">
      <c r="A34" s="36" t="str">
        <f>_xlfn.CONCAT(B34,"_",INDEX(dwelling_categories_short,MATCH(G34,dwelling_categories,0)),"_",INDEX(rep_days_short,MATCH(H34,rep_days,0)),"_",INDEX(HP_behaviours_short,MATCH(I34,HP_behaviours,0)),"_",J34)</f>
        <v>HP07_ALL_SSP_WA_GB</v>
      </c>
      <c r="B34" s="36" t="s">
        <v>37</v>
      </c>
      <c r="C34" s="36" t="s">
        <v>296</v>
      </c>
      <c r="D34" s="36" t="s">
        <v>748</v>
      </c>
      <c r="E34" s="36" t="s">
        <v>231</v>
      </c>
      <c r="F34" s="36" t="s">
        <v>250</v>
      </c>
      <c r="G34" s="36" t="s">
        <v>267</v>
      </c>
      <c r="H34" s="36" t="s">
        <v>273</v>
      </c>
      <c r="I34" s="36" t="s">
        <v>292</v>
      </c>
      <c r="J34" s="36" t="s">
        <v>130</v>
      </c>
      <c r="K34" s="36" t="s">
        <v>274</v>
      </c>
      <c r="L34" s="36"/>
    </row>
    <row r="35" spans="1:12">
      <c r="A35" s="36" t="str">
        <f t="shared" si="1"/>
        <v>HP06_ALL_SSP_BHV1_GB</v>
      </c>
      <c r="B35" s="36" t="s">
        <v>36</v>
      </c>
      <c r="C35" s="36" t="s">
        <v>296</v>
      </c>
      <c r="D35" s="36" t="s">
        <v>748</v>
      </c>
      <c r="E35" s="36" t="s">
        <v>231</v>
      </c>
      <c r="F35" s="36" t="s">
        <v>250</v>
      </c>
      <c r="G35" s="36" t="s">
        <v>267</v>
      </c>
      <c r="H35" s="36" t="s">
        <v>273</v>
      </c>
      <c r="I35" s="36" t="s">
        <v>234</v>
      </c>
      <c r="J35" s="36" t="s">
        <v>130</v>
      </c>
      <c r="K35" s="36" t="s">
        <v>274</v>
      </c>
      <c r="L35" s="36"/>
    </row>
    <row r="36" spans="1:12">
      <c r="A36" s="36" t="str">
        <f t="shared" si="1"/>
        <v>HP06_ALL_SSP_BHV2_GB</v>
      </c>
      <c r="B36" s="36" t="s">
        <v>36</v>
      </c>
      <c r="C36" s="36" t="s">
        <v>296</v>
      </c>
      <c r="D36" s="36" t="s">
        <v>748</v>
      </c>
      <c r="E36" s="36" t="s">
        <v>231</v>
      </c>
      <c r="F36" s="36" t="s">
        <v>250</v>
      </c>
      <c r="G36" s="36" t="s">
        <v>267</v>
      </c>
      <c r="H36" s="36" t="s">
        <v>273</v>
      </c>
      <c r="I36" s="36" t="s">
        <v>253</v>
      </c>
      <c r="J36" s="36" t="s">
        <v>130</v>
      </c>
      <c r="K36" s="36" t="s">
        <v>274</v>
      </c>
      <c r="L36" s="36"/>
    </row>
    <row r="37" spans="1:12">
      <c r="A37" s="36" t="str">
        <f t="shared" si="1"/>
        <v>HP06_ALL_SSP_BHV3_GB</v>
      </c>
      <c r="B37" s="36" t="s">
        <v>36</v>
      </c>
      <c r="C37" s="36" t="s">
        <v>296</v>
      </c>
      <c r="D37" s="36" t="s">
        <v>748</v>
      </c>
      <c r="E37" s="36" t="s">
        <v>231</v>
      </c>
      <c r="F37" s="36" t="s">
        <v>250</v>
      </c>
      <c r="G37" s="36" t="s">
        <v>267</v>
      </c>
      <c r="H37" s="36" t="s">
        <v>273</v>
      </c>
      <c r="I37" s="36" t="s">
        <v>272</v>
      </c>
      <c r="J37" s="36" t="s">
        <v>130</v>
      </c>
      <c r="K37" s="36" t="s">
        <v>274</v>
      </c>
      <c r="L37" s="36"/>
    </row>
    <row r="38" spans="1:12">
      <c r="A38" s="36" t="str">
        <f>_xlfn.CONCAT(B38,"_",INDEX(dwelling_categories_short,MATCH(G38,dwelling_categories,0)),"_",INDEX(rep_days_short,MATCH(H38,rep_days,0)),"_",INDEX(HP_behaviours_short,MATCH(I38,HP_behaviours,0)),"_",J38)</f>
        <v>HP07_ALL_MIN_WA_GB</v>
      </c>
      <c r="B38" s="36" t="s">
        <v>37</v>
      </c>
      <c r="C38" s="36" t="s">
        <v>296</v>
      </c>
      <c r="D38" s="36" t="s">
        <v>748</v>
      </c>
      <c r="E38" s="36" t="s">
        <v>231</v>
      </c>
      <c r="F38" s="36" t="s">
        <v>250</v>
      </c>
      <c r="G38" s="36" t="s">
        <v>267</v>
      </c>
      <c r="H38" s="36" t="s">
        <v>284</v>
      </c>
      <c r="I38" s="36" t="s">
        <v>292</v>
      </c>
      <c r="J38" s="36" t="s">
        <v>130</v>
      </c>
      <c r="K38" s="36" t="s">
        <v>274</v>
      </c>
      <c r="L38" s="36"/>
    </row>
    <row r="39" spans="1:12">
      <c r="A39" s="36" t="str">
        <f t="shared" si="1"/>
        <v>HP06_ALL_MIN_BHV1_GB</v>
      </c>
      <c r="B39" s="36" t="s">
        <v>36</v>
      </c>
      <c r="C39" s="36" t="s">
        <v>296</v>
      </c>
      <c r="D39" s="36" t="s">
        <v>748</v>
      </c>
      <c r="E39" s="36" t="s">
        <v>231</v>
      </c>
      <c r="F39" s="36" t="s">
        <v>250</v>
      </c>
      <c r="G39" s="36" t="s">
        <v>267</v>
      </c>
      <c r="H39" s="36" t="s">
        <v>284</v>
      </c>
      <c r="I39" s="36" t="s">
        <v>234</v>
      </c>
      <c r="J39" s="36" t="s">
        <v>130</v>
      </c>
      <c r="K39" s="36" t="s">
        <v>274</v>
      </c>
      <c r="L39" s="36"/>
    </row>
    <row r="40" spans="1:12">
      <c r="A40" s="36" t="str">
        <f t="shared" si="1"/>
        <v>HP06_ALL_MIN_BHV2_GB</v>
      </c>
      <c r="B40" s="36" t="s">
        <v>36</v>
      </c>
      <c r="C40" s="36" t="s">
        <v>296</v>
      </c>
      <c r="D40" s="36" t="s">
        <v>748</v>
      </c>
      <c r="E40" s="36" t="s">
        <v>231</v>
      </c>
      <c r="F40" s="36" t="s">
        <v>250</v>
      </c>
      <c r="G40" s="36" t="s">
        <v>267</v>
      </c>
      <c r="H40" s="36" t="s">
        <v>284</v>
      </c>
      <c r="I40" s="36" t="s">
        <v>253</v>
      </c>
      <c r="J40" s="36" t="s">
        <v>130</v>
      </c>
      <c r="K40" s="36" t="s">
        <v>274</v>
      </c>
      <c r="L40" s="36"/>
    </row>
    <row r="41" spans="1:12">
      <c r="A41" s="36" t="str">
        <f t="shared" si="1"/>
        <v>HP06_ALL_MIN_BHV3_GB</v>
      </c>
      <c r="B41" s="36" t="s">
        <v>36</v>
      </c>
      <c r="C41" s="36" t="s">
        <v>296</v>
      </c>
      <c r="D41" s="36" t="s">
        <v>748</v>
      </c>
      <c r="E41" s="36" t="s">
        <v>231</v>
      </c>
      <c r="F41" s="36" t="s">
        <v>250</v>
      </c>
      <c r="G41" s="36" t="s">
        <v>267</v>
      </c>
      <c r="H41" s="36" t="s">
        <v>284</v>
      </c>
      <c r="I41" s="36" t="s">
        <v>272</v>
      </c>
      <c r="J41" s="36" t="s">
        <v>130</v>
      </c>
      <c r="K41" s="36" t="s">
        <v>274</v>
      </c>
      <c r="L41" s="36"/>
    </row>
    <row r="42" spans="1:12">
      <c r="A42" s="36" t="str">
        <f t="shared" si="1"/>
        <v>HP07_ALL_ALL_BHV1_GB</v>
      </c>
      <c r="B42" s="36" t="s">
        <v>37</v>
      </c>
      <c r="C42" s="36" t="s">
        <v>418</v>
      </c>
      <c r="D42" s="36" t="s">
        <v>403</v>
      </c>
      <c r="E42" s="36" t="s">
        <v>231</v>
      </c>
      <c r="F42" s="36" t="s">
        <v>250</v>
      </c>
      <c r="G42" s="36" t="s">
        <v>267</v>
      </c>
      <c r="H42" s="36" t="s">
        <v>267</v>
      </c>
      <c r="I42" s="36" t="s">
        <v>234</v>
      </c>
      <c r="J42" s="36" t="s">
        <v>130</v>
      </c>
      <c r="K42" s="36" t="s">
        <v>236</v>
      </c>
      <c r="L42" s="36"/>
    </row>
    <row r="43" spans="1:12">
      <c r="A43" s="36" t="str">
        <f t="shared" si="1"/>
        <v>HP07_ALL_ALL_BHV2_GB</v>
      </c>
      <c r="B43" s="36" t="s">
        <v>37</v>
      </c>
      <c r="C43" s="36" t="s">
        <v>418</v>
      </c>
      <c r="D43" s="36" t="s">
        <v>403</v>
      </c>
      <c r="E43" s="36" t="s">
        <v>231</v>
      </c>
      <c r="F43" s="36" t="s">
        <v>250</v>
      </c>
      <c r="G43" s="36" t="s">
        <v>267</v>
      </c>
      <c r="H43" s="36" t="s">
        <v>267</v>
      </c>
      <c r="I43" s="36" t="s">
        <v>253</v>
      </c>
      <c r="J43" s="36" t="s">
        <v>130</v>
      </c>
      <c r="K43" s="36" t="s">
        <v>236</v>
      </c>
      <c r="L43" s="36"/>
    </row>
    <row r="44" spans="1:12">
      <c r="A44" s="36" t="str">
        <f t="shared" si="1"/>
        <v>HP07_ALL_ALL_BHV3_GB</v>
      </c>
      <c r="B44" s="36" t="s">
        <v>37</v>
      </c>
      <c r="C44" s="36" t="s">
        <v>418</v>
      </c>
      <c r="D44" s="36" t="s">
        <v>403</v>
      </c>
      <c r="E44" s="36" t="s">
        <v>231</v>
      </c>
      <c r="F44" s="36" t="s">
        <v>250</v>
      </c>
      <c r="G44" s="36" t="s">
        <v>267</v>
      </c>
      <c r="H44" s="36" t="s">
        <v>267</v>
      </c>
      <c r="I44" s="36" t="s">
        <v>272</v>
      </c>
      <c r="J44" s="36" t="s">
        <v>130</v>
      </c>
      <c r="K44" s="36" t="s">
        <v>236</v>
      </c>
      <c r="L44" s="36"/>
    </row>
    <row r="45" spans="1:12">
      <c r="A45" s="36" t="str">
        <f t="shared" si="1"/>
        <v>HP08_ALL_WP_ALL_GB</v>
      </c>
      <c r="B45" s="36" t="s">
        <v>38</v>
      </c>
      <c r="C45" s="36" t="s">
        <v>301</v>
      </c>
      <c r="D45" s="36" t="s">
        <v>443</v>
      </c>
      <c r="E45" s="36" t="s">
        <v>231</v>
      </c>
      <c r="F45" s="36" t="s">
        <v>250</v>
      </c>
      <c r="G45" s="36" t="s">
        <v>267</v>
      </c>
      <c r="H45" s="36" t="s">
        <v>235</v>
      </c>
      <c r="I45" s="36" t="s">
        <v>267</v>
      </c>
      <c r="J45" s="36" t="s">
        <v>130</v>
      </c>
      <c r="K45" s="36" t="s">
        <v>236</v>
      </c>
      <c r="L45" s="36"/>
    </row>
    <row r="46" spans="1:12">
      <c r="A46" s="36" t="str">
        <f t="shared" si="1"/>
        <v>HP08_ALL_SP_ALL_GB</v>
      </c>
      <c r="B46" s="36" t="s">
        <v>38</v>
      </c>
      <c r="C46" s="36" t="s">
        <v>301</v>
      </c>
      <c r="D46" s="36" t="s">
        <v>443</v>
      </c>
      <c r="E46" s="36" t="s">
        <v>231</v>
      </c>
      <c r="F46" s="36" t="s">
        <v>250</v>
      </c>
      <c r="G46" s="36" t="s">
        <v>267</v>
      </c>
      <c r="H46" s="36" t="s">
        <v>254</v>
      </c>
      <c r="I46" s="36" t="s">
        <v>267</v>
      </c>
      <c r="J46" s="36" t="s">
        <v>130</v>
      </c>
      <c r="K46" s="36" t="s">
        <v>236</v>
      </c>
      <c r="L46" s="36"/>
    </row>
    <row r="47" spans="1:12">
      <c r="A47" s="36" t="str">
        <f t="shared" si="1"/>
        <v>HP08_ALL_SSP_ALL_GB</v>
      </c>
      <c r="B47" s="36" t="s">
        <v>38</v>
      </c>
      <c r="C47" s="36" t="s">
        <v>301</v>
      </c>
      <c r="D47" s="36" t="s">
        <v>443</v>
      </c>
      <c r="E47" s="36" t="s">
        <v>231</v>
      </c>
      <c r="F47" s="36" t="s">
        <v>250</v>
      </c>
      <c r="G47" s="36" t="s">
        <v>267</v>
      </c>
      <c r="H47" s="36" t="s">
        <v>273</v>
      </c>
      <c r="I47" s="36" t="s">
        <v>267</v>
      </c>
      <c r="J47" s="36" t="s">
        <v>130</v>
      </c>
      <c r="K47" s="36" t="s">
        <v>236</v>
      </c>
      <c r="L47" s="36"/>
    </row>
    <row r="48" spans="1:12">
      <c r="A48" s="36" t="str">
        <f t="shared" si="1"/>
        <v>HP08_ALL_MIN_ALL_GB</v>
      </c>
      <c r="B48" s="36" t="s">
        <v>38</v>
      </c>
      <c r="C48" s="36" t="s">
        <v>301</v>
      </c>
      <c r="D48" s="36" t="s">
        <v>443</v>
      </c>
      <c r="E48" s="36" t="s">
        <v>231</v>
      </c>
      <c r="F48" s="36" t="s">
        <v>250</v>
      </c>
      <c r="G48" s="36" t="s">
        <v>267</v>
      </c>
      <c r="H48" s="36" t="s">
        <v>284</v>
      </c>
      <c r="I48" s="36" t="s">
        <v>267</v>
      </c>
      <c r="J48" s="36" t="s">
        <v>130</v>
      </c>
      <c r="K48" s="36" t="s">
        <v>236</v>
      </c>
      <c r="L48" s="36"/>
    </row>
    <row r="49" spans="1:12">
      <c r="A49" s="36" t="str">
        <f t="shared" si="1"/>
        <v>HP09_ALL_WP_ALL_GB</v>
      </c>
      <c r="B49" s="36" t="s">
        <v>39</v>
      </c>
      <c r="C49" s="36" t="s">
        <v>306</v>
      </c>
      <c r="D49" s="36" t="s">
        <v>749</v>
      </c>
      <c r="E49" s="36" t="s">
        <v>231</v>
      </c>
      <c r="F49" s="36" t="s">
        <v>250</v>
      </c>
      <c r="G49" s="36" t="s">
        <v>267</v>
      </c>
      <c r="H49" s="36" t="s">
        <v>235</v>
      </c>
      <c r="I49" s="36" t="s">
        <v>267</v>
      </c>
      <c r="J49" s="36" t="s">
        <v>130</v>
      </c>
      <c r="K49" s="36" t="s">
        <v>236</v>
      </c>
      <c r="L49" s="36"/>
    </row>
    <row r="50" spans="1:12">
      <c r="A50" s="36" t="str">
        <f t="shared" si="1"/>
        <v>HP09_ALL_SP_ALL_GB</v>
      </c>
      <c r="B50" s="36" t="s">
        <v>39</v>
      </c>
      <c r="C50" s="36" t="s">
        <v>306</v>
      </c>
      <c r="D50" s="36" t="s">
        <v>749</v>
      </c>
      <c r="E50" s="36" t="s">
        <v>231</v>
      </c>
      <c r="F50" s="36" t="s">
        <v>250</v>
      </c>
      <c r="G50" s="36" t="s">
        <v>267</v>
      </c>
      <c r="H50" s="36" t="s">
        <v>254</v>
      </c>
      <c r="I50" s="36" t="s">
        <v>267</v>
      </c>
      <c r="J50" s="36" t="s">
        <v>130</v>
      </c>
      <c r="K50" s="36" t="s">
        <v>236</v>
      </c>
      <c r="L50" s="36"/>
    </row>
    <row r="51" spans="1:12">
      <c r="A51" s="36" t="str">
        <f t="shared" si="1"/>
        <v>HP09_ALL_SSP_ALL_GB</v>
      </c>
      <c r="B51" s="36" t="s">
        <v>39</v>
      </c>
      <c r="C51" s="36" t="s">
        <v>306</v>
      </c>
      <c r="D51" s="36" t="s">
        <v>749</v>
      </c>
      <c r="E51" s="36" t="s">
        <v>231</v>
      </c>
      <c r="F51" s="36" t="s">
        <v>250</v>
      </c>
      <c r="G51" s="36" t="s">
        <v>267</v>
      </c>
      <c r="H51" s="36" t="s">
        <v>273</v>
      </c>
      <c r="I51" s="36" t="s">
        <v>267</v>
      </c>
      <c r="J51" s="36" t="s">
        <v>130</v>
      </c>
      <c r="K51" s="36" t="s">
        <v>236</v>
      </c>
      <c r="L51" s="36"/>
    </row>
    <row r="52" spans="1:12">
      <c r="A52" s="36" t="str">
        <f t="shared" si="1"/>
        <v>HP09_ALL_MIN_ALL_GB</v>
      </c>
      <c r="B52" s="36" t="s">
        <v>39</v>
      </c>
      <c r="C52" s="36" t="s">
        <v>306</v>
      </c>
      <c r="D52" s="36" t="s">
        <v>749</v>
      </c>
      <c r="E52" s="36" t="s">
        <v>231</v>
      </c>
      <c r="F52" s="36" t="s">
        <v>250</v>
      </c>
      <c r="G52" s="36" t="s">
        <v>267</v>
      </c>
      <c r="H52" s="36" t="s">
        <v>284</v>
      </c>
      <c r="I52" s="36" t="s">
        <v>267</v>
      </c>
      <c r="J52" s="36" t="s">
        <v>130</v>
      </c>
      <c r="K52" s="36" t="s">
        <v>236</v>
      </c>
      <c r="L52" s="36"/>
    </row>
  </sheetData>
  <phoneticPr fontId="3" type="noConversion"/>
  <dataValidations count="6">
    <dataValidation type="list" allowBlank="1" showInputMessage="1" showErrorMessage="1" sqref="J4:J52" xr:uid="{FB61E760-7C4C-4DEA-98C8-43B0ACF8EB97}">
      <formula1>spatial_res</formula1>
    </dataValidation>
    <dataValidation type="list" allowBlank="1" showInputMessage="1" showErrorMessage="1" sqref="H4:H52" xr:uid="{53683C25-FB35-4148-97FB-2F855E5DA396}">
      <formula1>rep_days</formula1>
    </dataValidation>
    <dataValidation type="list" allowBlank="1" showInputMessage="1" showErrorMessage="1" sqref="I4:I52" xr:uid="{A3B4FBAE-556F-4BD3-905B-C96ED1DFE4FB}">
      <formula1>HP_behaviours</formula1>
    </dataValidation>
    <dataValidation type="list" allowBlank="1" showInputMessage="1" showErrorMessage="1" sqref="E4:F52" xr:uid="{FEC2C37F-41C5-4771-B1C4-C0C6971B7CAF}">
      <formula1>HP_BBs</formula1>
    </dataValidation>
    <dataValidation type="list" allowBlank="1" showInputMessage="1" showErrorMessage="1" sqref="G4:G52" xr:uid="{336FDFF9-18AE-41FB-80F7-7452658DDDE5}">
      <formula1>dwelling_categories</formula1>
    </dataValidation>
    <dataValidation type="list" allowBlank="1" showInputMessage="1" showErrorMessage="1" sqref="K4:K52" xr:uid="{8518C21C-FC4F-478F-B7B4-15629759B648}">
      <formula1>temporal_res</formula1>
    </dataValidation>
  </dataValidations>
  <hyperlinks>
    <hyperlink ref="A1" location="Contents!A1" display="Back to contents" xr:uid="{30D985DE-62A0-44B7-89B7-771F6FAD6DCF}"/>
    <hyperlink ref="A2" location="'HP CPA Summary Table'!A1" display="Back to HP CPA Summary Table" xr:uid="{F10840B8-2207-4AD5-9560-7BE824D65EAD}"/>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4CF95-D23D-409F-B150-A5CD7FB37174}">
  <sheetPr>
    <tabColor theme="8"/>
  </sheetPr>
  <dimension ref="A1:AJ4"/>
  <sheetViews>
    <sheetView zoomScale="80" zoomScaleNormal="80" workbookViewId="0"/>
  </sheetViews>
  <sheetFormatPr defaultColWidth="8.8984375" defaultRowHeight="20.45"/>
  <cols>
    <col min="1" max="16384" width="8.8984375" style="3"/>
  </cols>
  <sheetData>
    <row r="1" spans="1:36" ht="31.9">
      <c r="A1" s="162" t="s">
        <v>14</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row>
    <row r="3" spans="1:36">
      <c r="A3" s="163" t="s">
        <v>57</v>
      </c>
    </row>
    <row r="4" spans="1:36" ht="23.65" customHeight="1">
      <c r="A4" s="163" t="s">
        <v>742</v>
      </c>
    </row>
  </sheetData>
  <hyperlinks>
    <hyperlink ref="A3" location="Contents!A1" display="Back to contents" xr:uid="{EE07E8CD-56E9-47B3-9E34-ED51754ABB4C}"/>
    <hyperlink ref="A4" location="'HP CPA Summary Table'!A1" display="Back to HP CPA Summary Table" xr:uid="{2DE00EF4-96D7-49F6-A686-3E5D15D00755}"/>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F7B3-660A-4752-AC8D-C8546A87BDEC}">
  <sheetPr>
    <tabColor theme="8" tint="0.79998168889431442"/>
  </sheetPr>
  <dimension ref="A1:L11"/>
  <sheetViews>
    <sheetView showGridLines="0" zoomScaleNormal="100" workbookViewId="0">
      <pane xSplit="1" ySplit="3" topLeftCell="B4" activePane="bottomRight" state="frozen"/>
      <selection pane="bottomRight"/>
      <selection pane="bottomLeft"/>
      <selection pane="topRight"/>
    </sheetView>
  </sheetViews>
  <sheetFormatPr defaultRowHeight="20.45"/>
  <cols>
    <col min="1" max="1" width="33.8984375" customWidth="1"/>
    <col min="2" max="2" width="8.19921875" customWidth="1"/>
    <col min="3" max="4" width="12.19921875" customWidth="1"/>
    <col min="5" max="5" width="21.5" customWidth="1"/>
    <col min="6" max="6" width="22.8984375" customWidth="1"/>
    <col min="7" max="7" width="24.19921875" customWidth="1"/>
    <col min="8" max="8" width="30.5" customWidth="1"/>
    <col min="9" max="9" width="19.5" customWidth="1"/>
    <col min="10" max="10" width="15.8984375" customWidth="1"/>
    <col min="11" max="11" width="18" bestFit="1" customWidth="1"/>
    <col min="12" max="12" width="18.5" bestFit="1" customWidth="1"/>
  </cols>
  <sheetData>
    <row r="1" spans="1:12">
      <c r="A1" s="98" t="s">
        <v>57</v>
      </c>
    </row>
    <row r="2" spans="1:12">
      <c r="A2" s="98" t="s">
        <v>742</v>
      </c>
    </row>
    <row r="3" spans="1:12" ht="24.6" customHeight="1">
      <c r="A3" s="170" t="s">
        <v>162</v>
      </c>
      <c r="B3" s="170" t="s">
        <v>340</v>
      </c>
      <c r="C3" s="170" t="s">
        <v>166</v>
      </c>
      <c r="D3" s="170" t="s">
        <v>172</v>
      </c>
      <c r="E3" s="170" t="s">
        <v>115</v>
      </c>
      <c r="F3" s="170" t="s">
        <v>483</v>
      </c>
      <c r="G3" s="170" t="s">
        <v>743</v>
      </c>
      <c r="H3" s="170" t="s">
        <v>485</v>
      </c>
      <c r="I3" s="170" t="s">
        <v>215</v>
      </c>
      <c r="J3" s="170" t="s">
        <v>488</v>
      </c>
      <c r="K3" s="170" t="s">
        <v>489</v>
      </c>
      <c r="L3" s="170" t="s">
        <v>490</v>
      </c>
    </row>
    <row r="4" spans="1:12">
      <c r="A4" s="36" t="str">
        <f t="shared" ref="A4:A11" si="0">_xlfn.CONCAT("HP01_",INDEX(dwelling_categories_short,MATCH(E4,dwelling_categories,0)),"_",INDEX(rep_days_short,MATCH(F4,rep_days,0)),"_",INDEX(HP_behaviours_short,MATCH(G4,HP_behaviours,0)),"_",H4, "_", INDEX(new_build_short,MATCH(I4,new_build_status,0)))</f>
        <v>HP01_DC1_NA_ALL_GB_EXIST</v>
      </c>
      <c r="B4" s="36" t="s">
        <v>656</v>
      </c>
      <c r="C4" s="36" t="s">
        <v>231</v>
      </c>
      <c r="D4" s="36" t="s">
        <v>250</v>
      </c>
      <c r="E4" s="36" t="s">
        <v>233</v>
      </c>
      <c r="F4" s="36" t="s">
        <v>269</v>
      </c>
      <c r="G4" s="36" t="s">
        <v>267</v>
      </c>
      <c r="H4" s="36" t="s">
        <v>130</v>
      </c>
      <c r="I4" s="36" t="s">
        <v>237</v>
      </c>
      <c r="J4" s="36">
        <v>13.6</v>
      </c>
      <c r="K4" s="2">
        <v>12.6</v>
      </c>
      <c r="L4" s="2">
        <v>14.6</v>
      </c>
    </row>
    <row r="5" spans="1:12">
      <c r="A5" s="36" t="str">
        <f t="shared" si="0"/>
        <v>HP01_DC2_NA_ALL_GB_EXIST</v>
      </c>
      <c r="B5" s="36" t="s">
        <v>656</v>
      </c>
      <c r="C5" s="36" t="s">
        <v>231</v>
      </c>
      <c r="D5" s="36" t="s">
        <v>250</v>
      </c>
      <c r="E5" s="36" t="s">
        <v>252</v>
      </c>
      <c r="F5" s="36" t="s">
        <v>269</v>
      </c>
      <c r="G5" s="36" t="s">
        <v>267</v>
      </c>
      <c r="H5" s="36" t="s">
        <v>130</v>
      </c>
      <c r="I5" s="36" t="s">
        <v>237</v>
      </c>
      <c r="J5" s="36">
        <v>8.6999999999999993</v>
      </c>
      <c r="K5" s="2">
        <v>7.9</v>
      </c>
      <c r="L5" s="2">
        <v>9.5</v>
      </c>
    </row>
    <row r="6" spans="1:12">
      <c r="A6" s="36" t="str">
        <f t="shared" si="0"/>
        <v>HP01_DC3_NA_ALL_GB_EXIST</v>
      </c>
      <c r="B6" s="36" t="s">
        <v>656</v>
      </c>
      <c r="C6" s="36" t="s">
        <v>231</v>
      </c>
      <c r="D6" s="36" t="s">
        <v>250</v>
      </c>
      <c r="E6" s="36" t="s">
        <v>270</v>
      </c>
      <c r="F6" s="36" t="s">
        <v>269</v>
      </c>
      <c r="G6" s="36" t="s">
        <v>267</v>
      </c>
      <c r="H6" s="36" t="s">
        <v>130</v>
      </c>
      <c r="I6" s="36" t="s">
        <v>237</v>
      </c>
      <c r="J6" s="36">
        <v>6.3</v>
      </c>
      <c r="K6" s="2">
        <v>5.9</v>
      </c>
      <c r="L6" s="2">
        <v>6.7</v>
      </c>
    </row>
    <row r="7" spans="1:12">
      <c r="A7" s="36" t="str">
        <f t="shared" si="0"/>
        <v>HP01_DC4_NA_ALL_GB_EXIST</v>
      </c>
      <c r="B7" s="36" t="s">
        <v>656</v>
      </c>
      <c r="C7" s="36" t="s">
        <v>231</v>
      </c>
      <c r="D7" s="36" t="s">
        <v>250</v>
      </c>
      <c r="E7" s="36" t="s">
        <v>282</v>
      </c>
      <c r="F7" s="36" t="s">
        <v>269</v>
      </c>
      <c r="G7" s="36" t="s">
        <v>267</v>
      </c>
      <c r="H7" s="36" t="s">
        <v>130</v>
      </c>
      <c r="I7" s="36" t="s">
        <v>237</v>
      </c>
      <c r="J7" s="36">
        <v>4.4000000000000004</v>
      </c>
      <c r="K7" s="277">
        <v>4</v>
      </c>
      <c r="L7" s="2">
        <v>4.8</v>
      </c>
    </row>
    <row r="8" spans="1:12">
      <c r="A8" s="36" t="str">
        <f t="shared" si="0"/>
        <v>HP01_DC1_NA_ALL_GB_NEW</v>
      </c>
      <c r="B8" s="36" t="s">
        <v>656</v>
      </c>
      <c r="C8" s="36" t="s">
        <v>231</v>
      </c>
      <c r="D8" s="36" t="s">
        <v>250</v>
      </c>
      <c r="E8" s="36" t="s">
        <v>233</v>
      </c>
      <c r="F8" s="36" t="s">
        <v>269</v>
      </c>
      <c r="G8" s="36" t="s">
        <v>267</v>
      </c>
      <c r="H8" s="36" t="s">
        <v>130</v>
      </c>
      <c r="I8" s="36" t="s">
        <v>257</v>
      </c>
      <c r="J8" s="36">
        <v>9.9</v>
      </c>
      <c r="K8" s="2" t="s">
        <v>269</v>
      </c>
      <c r="L8" s="2" t="s">
        <v>269</v>
      </c>
    </row>
    <row r="9" spans="1:12">
      <c r="A9" s="36" t="str">
        <f t="shared" si="0"/>
        <v>HP01_DC2_NA_ALL_GB_NEW</v>
      </c>
      <c r="B9" s="36" t="s">
        <v>656</v>
      </c>
      <c r="C9" s="36" t="s">
        <v>231</v>
      </c>
      <c r="D9" s="36" t="s">
        <v>250</v>
      </c>
      <c r="E9" s="36" t="s">
        <v>252</v>
      </c>
      <c r="F9" s="36" t="s">
        <v>269</v>
      </c>
      <c r="G9" s="36" t="s">
        <v>267</v>
      </c>
      <c r="H9" s="36" t="s">
        <v>130</v>
      </c>
      <c r="I9" s="36" t="s">
        <v>257</v>
      </c>
      <c r="J9" s="36">
        <v>4.2</v>
      </c>
      <c r="K9" s="2" t="s">
        <v>269</v>
      </c>
      <c r="L9" s="2" t="s">
        <v>269</v>
      </c>
    </row>
    <row r="10" spans="1:12">
      <c r="A10" s="36" t="str">
        <f t="shared" si="0"/>
        <v>HP01_DC3_NA_ALL_GB_NEW</v>
      </c>
      <c r="B10" s="36" t="s">
        <v>656</v>
      </c>
      <c r="C10" s="36" t="s">
        <v>231</v>
      </c>
      <c r="D10" s="36" t="s">
        <v>250</v>
      </c>
      <c r="E10" s="36" t="s">
        <v>270</v>
      </c>
      <c r="F10" s="36" t="s">
        <v>269</v>
      </c>
      <c r="G10" s="36" t="s">
        <v>267</v>
      </c>
      <c r="H10" s="36" t="s">
        <v>130</v>
      </c>
      <c r="I10" s="36" t="s">
        <v>257</v>
      </c>
      <c r="J10" s="36">
        <v>4</v>
      </c>
      <c r="K10" s="2" t="s">
        <v>269</v>
      </c>
      <c r="L10" s="2" t="s">
        <v>269</v>
      </c>
    </row>
    <row r="11" spans="1:12">
      <c r="A11" s="36" t="str">
        <f t="shared" si="0"/>
        <v>HP01_DC4_NA_ALL_GB_NEW</v>
      </c>
      <c r="B11" s="36" t="s">
        <v>656</v>
      </c>
      <c r="C11" s="36" t="s">
        <v>231</v>
      </c>
      <c r="D11" s="36" t="s">
        <v>250</v>
      </c>
      <c r="E11" s="36" t="s">
        <v>282</v>
      </c>
      <c r="F11" s="36" t="s">
        <v>269</v>
      </c>
      <c r="G11" s="36" t="s">
        <v>267</v>
      </c>
      <c r="H11" s="36" t="s">
        <v>130</v>
      </c>
      <c r="I11" s="36" t="s">
        <v>257</v>
      </c>
      <c r="J11" s="36">
        <v>2.1</v>
      </c>
      <c r="K11" s="2" t="s">
        <v>269</v>
      </c>
      <c r="L11" s="2" t="s">
        <v>269</v>
      </c>
    </row>
  </sheetData>
  <hyperlinks>
    <hyperlink ref="A1" location="Contents!A1" display="Back to contents" xr:uid="{F7D6DCAD-8C93-44E0-AB4D-44BFD75AB21D}"/>
    <hyperlink ref="A2" location="'HP CPA Summary Table'!A1" display="Back to HP CPA Summary Table" xr:uid="{06B12434-BA49-4B82-AE2D-89261560B34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6199-0101-474F-A47F-60BFBE5BC6BC}">
  <sheetPr>
    <tabColor theme="8" tint="0.79998168889431442"/>
  </sheetPr>
  <dimension ref="A1:K31"/>
  <sheetViews>
    <sheetView showGridLines="0" workbookViewId="0">
      <pane xSplit="1" ySplit="3" topLeftCell="B4" activePane="bottomRight" state="frozen"/>
      <selection pane="bottomRight"/>
      <selection pane="bottomLeft"/>
      <selection pane="topRight"/>
    </sheetView>
  </sheetViews>
  <sheetFormatPr defaultRowHeight="20.45"/>
  <cols>
    <col min="1" max="1" width="32.8984375" customWidth="1"/>
    <col min="2" max="2" width="5.8984375" customWidth="1"/>
    <col min="3" max="4" width="12.19921875" customWidth="1"/>
    <col min="5" max="5" width="24.19921875" customWidth="1"/>
    <col min="6" max="6" width="22.8984375" customWidth="1"/>
    <col min="7" max="7" width="24.19921875" customWidth="1"/>
    <col min="8" max="8" width="30.5" customWidth="1"/>
    <col min="9" max="9" width="19.5" customWidth="1"/>
    <col min="10" max="10" width="10.19921875" customWidth="1"/>
    <col min="11" max="11" width="15.8984375" customWidth="1"/>
  </cols>
  <sheetData>
    <row r="1" spans="1:11">
      <c r="A1" s="98" t="s">
        <v>57</v>
      </c>
    </row>
    <row r="2" spans="1:11">
      <c r="A2" s="98" t="s">
        <v>742</v>
      </c>
    </row>
    <row r="3" spans="1:11">
      <c r="A3" s="170" t="s">
        <v>162</v>
      </c>
      <c r="B3" s="170" t="s">
        <v>340</v>
      </c>
      <c r="C3" s="170" t="s">
        <v>166</v>
      </c>
      <c r="D3" s="170" t="s">
        <v>172</v>
      </c>
      <c r="E3" s="170" t="s">
        <v>115</v>
      </c>
      <c r="F3" s="170" t="s">
        <v>483</v>
      </c>
      <c r="G3" s="170" t="s">
        <v>743</v>
      </c>
      <c r="H3" s="170" t="s">
        <v>485</v>
      </c>
      <c r="I3" s="170" t="s">
        <v>215</v>
      </c>
      <c r="J3" s="170" t="s">
        <v>491</v>
      </c>
      <c r="K3" s="170" t="s">
        <v>488</v>
      </c>
    </row>
    <row r="4" spans="1:11">
      <c r="A4" s="36" t="str">
        <f t="shared" ref="A4:A31" si="0">_xlfn.CONCAT("HP02_",INDEX(dwelling_categories_short,MATCH(E4,dwelling_categories,0)),"_",INDEX(rep_days_short,MATCH(F4,rep_days,0)),"_",INDEX(HP_behaviours_short,MATCH(G4,HP_behaviours,0)),"_",H4, "_", INDEX(new_build_short,MATCH(I4,new_build_status,0)))</f>
        <v>HP02_ALL_NA_ALL_GB_EXIST</v>
      </c>
      <c r="B4" s="36" t="s">
        <v>403</v>
      </c>
      <c r="C4" s="36" t="s">
        <v>231</v>
      </c>
      <c r="D4" s="36" t="s">
        <v>250</v>
      </c>
      <c r="E4" s="36" t="s">
        <v>267</v>
      </c>
      <c r="F4" s="36" t="s">
        <v>269</v>
      </c>
      <c r="G4" s="36" t="s">
        <v>267</v>
      </c>
      <c r="H4" s="36" t="s">
        <v>130</v>
      </c>
      <c r="I4" s="36" t="s">
        <v>237</v>
      </c>
      <c r="J4" s="36">
        <v>2024</v>
      </c>
      <c r="K4" s="74">
        <v>1.01</v>
      </c>
    </row>
    <row r="5" spans="1:11">
      <c r="A5" s="36" t="str">
        <f t="shared" si="0"/>
        <v>HP02_ALL_NA_ALL_GB_EXIST</v>
      </c>
      <c r="B5" s="36" t="s">
        <v>403</v>
      </c>
      <c r="C5" s="36" t="s">
        <v>231</v>
      </c>
      <c r="D5" s="36" t="s">
        <v>250</v>
      </c>
      <c r="E5" s="36" t="s">
        <v>267</v>
      </c>
      <c r="F5" s="36" t="s">
        <v>269</v>
      </c>
      <c r="G5" s="36" t="s">
        <v>267</v>
      </c>
      <c r="H5" s="36" t="s">
        <v>130</v>
      </c>
      <c r="I5" s="36" t="s">
        <v>237</v>
      </c>
      <c r="J5" s="36">
        <v>2025</v>
      </c>
      <c r="K5" s="74">
        <v>1</v>
      </c>
    </row>
    <row r="6" spans="1:11">
      <c r="A6" s="36" t="str">
        <f t="shared" si="0"/>
        <v>HP02_ALL_NA_ALL_GB_EXIST</v>
      </c>
      <c r="B6" s="36" t="s">
        <v>403</v>
      </c>
      <c r="C6" s="36" t="s">
        <v>231</v>
      </c>
      <c r="D6" s="36" t="s">
        <v>250</v>
      </c>
      <c r="E6" s="36" t="s">
        <v>267</v>
      </c>
      <c r="F6" s="36" t="s">
        <v>269</v>
      </c>
      <c r="G6" s="36" t="s">
        <v>267</v>
      </c>
      <c r="H6" s="36" t="s">
        <v>130</v>
      </c>
      <c r="I6" s="36" t="s">
        <v>237</v>
      </c>
      <c r="J6" s="36">
        <v>2026</v>
      </c>
      <c r="K6" s="74">
        <v>0.99045454545454548</v>
      </c>
    </row>
    <row r="7" spans="1:11">
      <c r="A7" s="36" t="str">
        <f t="shared" si="0"/>
        <v>HP02_ALL_NA_ALL_GB_EXIST</v>
      </c>
      <c r="B7" s="36" t="s">
        <v>403</v>
      </c>
      <c r="C7" s="36" t="s">
        <v>231</v>
      </c>
      <c r="D7" s="36" t="s">
        <v>250</v>
      </c>
      <c r="E7" s="36" t="s">
        <v>267</v>
      </c>
      <c r="F7" s="36" t="s">
        <v>269</v>
      </c>
      <c r="G7" s="36" t="s">
        <v>267</v>
      </c>
      <c r="H7" s="36" t="s">
        <v>130</v>
      </c>
      <c r="I7" s="36" t="s">
        <v>237</v>
      </c>
      <c r="J7" s="36">
        <v>2027</v>
      </c>
      <c r="K7" s="74">
        <v>0.98090909090909095</v>
      </c>
    </row>
    <row r="8" spans="1:11">
      <c r="A8" s="36" t="str">
        <f t="shared" si="0"/>
        <v>HP02_ALL_NA_ALL_GB_EXIST</v>
      </c>
      <c r="B8" s="36" t="s">
        <v>403</v>
      </c>
      <c r="C8" s="36" t="s">
        <v>231</v>
      </c>
      <c r="D8" s="36" t="s">
        <v>250</v>
      </c>
      <c r="E8" s="36" t="s">
        <v>267</v>
      </c>
      <c r="F8" s="36" t="s">
        <v>269</v>
      </c>
      <c r="G8" s="36" t="s">
        <v>267</v>
      </c>
      <c r="H8" s="36" t="s">
        <v>130</v>
      </c>
      <c r="I8" s="36" t="s">
        <v>237</v>
      </c>
      <c r="J8" s="36">
        <v>2028</v>
      </c>
      <c r="K8" s="74">
        <v>0.97136363636363632</v>
      </c>
    </row>
    <row r="9" spans="1:11">
      <c r="A9" s="36" t="str">
        <f t="shared" si="0"/>
        <v>HP02_ALL_NA_ALL_GB_EXIST</v>
      </c>
      <c r="B9" s="36" t="s">
        <v>403</v>
      </c>
      <c r="C9" s="36" t="s">
        <v>231</v>
      </c>
      <c r="D9" s="36" t="s">
        <v>250</v>
      </c>
      <c r="E9" s="36" t="s">
        <v>267</v>
      </c>
      <c r="F9" s="36" t="s">
        <v>269</v>
      </c>
      <c r="G9" s="36" t="s">
        <v>267</v>
      </c>
      <c r="H9" s="36" t="s">
        <v>130</v>
      </c>
      <c r="I9" s="36" t="s">
        <v>237</v>
      </c>
      <c r="J9" s="36">
        <v>2029</v>
      </c>
      <c r="K9" s="74">
        <v>0.96181818181818179</v>
      </c>
    </row>
    <row r="10" spans="1:11">
      <c r="A10" s="36" t="str">
        <f t="shared" si="0"/>
        <v>HP02_ALL_NA_ALL_GB_EXIST</v>
      </c>
      <c r="B10" s="36" t="s">
        <v>403</v>
      </c>
      <c r="C10" s="36" t="s">
        <v>231</v>
      </c>
      <c r="D10" s="36" t="s">
        <v>250</v>
      </c>
      <c r="E10" s="36" t="s">
        <v>267</v>
      </c>
      <c r="F10" s="36" t="s">
        <v>269</v>
      </c>
      <c r="G10" s="36" t="s">
        <v>267</v>
      </c>
      <c r="H10" s="36" t="s">
        <v>130</v>
      </c>
      <c r="I10" s="36" t="s">
        <v>237</v>
      </c>
      <c r="J10" s="36">
        <v>2030</v>
      </c>
      <c r="K10" s="74">
        <v>0.95227272727272727</v>
      </c>
    </row>
    <row r="11" spans="1:11">
      <c r="A11" s="36" t="str">
        <f t="shared" si="0"/>
        <v>HP02_ALL_NA_ALL_GB_EXIST</v>
      </c>
      <c r="B11" s="36" t="s">
        <v>403</v>
      </c>
      <c r="C11" s="36" t="s">
        <v>231</v>
      </c>
      <c r="D11" s="36" t="s">
        <v>250</v>
      </c>
      <c r="E11" s="36" t="s">
        <v>267</v>
      </c>
      <c r="F11" s="36" t="s">
        <v>269</v>
      </c>
      <c r="G11" s="36" t="s">
        <v>267</v>
      </c>
      <c r="H11" s="36" t="s">
        <v>130</v>
      </c>
      <c r="I11" s="36" t="s">
        <v>237</v>
      </c>
      <c r="J11" s="36">
        <v>2031</v>
      </c>
      <c r="K11" s="74">
        <v>0.94272727272727275</v>
      </c>
    </row>
    <row r="12" spans="1:11">
      <c r="A12" s="36" t="str">
        <f t="shared" si="0"/>
        <v>HP02_ALL_NA_ALL_GB_EXIST</v>
      </c>
      <c r="B12" s="36" t="s">
        <v>403</v>
      </c>
      <c r="C12" s="36" t="s">
        <v>231</v>
      </c>
      <c r="D12" s="36" t="s">
        <v>250</v>
      </c>
      <c r="E12" s="36" t="s">
        <v>267</v>
      </c>
      <c r="F12" s="36" t="s">
        <v>269</v>
      </c>
      <c r="G12" s="36" t="s">
        <v>267</v>
      </c>
      <c r="H12" s="36" t="s">
        <v>130</v>
      </c>
      <c r="I12" s="36" t="s">
        <v>237</v>
      </c>
      <c r="J12" s="36">
        <v>2032</v>
      </c>
      <c r="K12" s="74">
        <v>0.93318181818181822</v>
      </c>
    </row>
    <row r="13" spans="1:11">
      <c r="A13" s="36" t="str">
        <f t="shared" si="0"/>
        <v>HP02_ALL_NA_ALL_GB_EXIST</v>
      </c>
      <c r="B13" s="36" t="s">
        <v>403</v>
      </c>
      <c r="C13" s="36" t="s">
        <v>231</v>
      </c>
      <c r="D13" s="36" t="s">
        <v>250</v>
      </c>
      <c r="E13" s="36" t="s">
        <v>267</v>
      </c>
      <c r="F13" s="36" t="s">
        <v>269</v>
      </c>
      <c r="G13" s="36" t="s">
        <v>267</v>
      </c>
      <c r="H13" s="36" t="s">
        <v>130</v>
      </c>
      <c r="I13" s="36" t="s">
        <v>237</v>
      </c>
      <c r="J13" s="36">
        <v>2033</v>
      </c>
      <c r="K13" s="74">
        <v>0.92363636363636359</v>
      </c>
    </row>
    <row r="14" spans="1:11">
      <c r="A14" s="36" t="str">
        <f t="shared" si="0"/>
        <v>HP02_ALL_NA_ALL_GB_EXIST</v>
      </c>
      <c r="B14" s="36" t="s">
        <v>403</v>
      </c>
      <c r="C14" s="36" t="s">
        <v>231</v>
      </c>
      <c r="D14" s="36" t="s">
        <v>250</v>
      </c>
      <c r="E14" s="36" t="s">
        <v>267</v>
      </c>
      <c r="F14" s="36" t="s">
        <v>269</v>
      </c>
      <c r="G14" s="36" t="s">
        <v>267</v>
      </c>
      <c r="H14" s="36" t="s">
        <v>130</v>
      </c>
      <c r="I14" s="36" t="s">
        <v>237</v>
      </c>
      <c r="J14" s="36">
        <v>2034</v>
      </c>
      <c r="K14" s="74">
        <v>0.91409090909090907</v>
      </c>
    </row>
    <row r="15" spans="1:11">
      <c r="A15" s="36" t="str">
        <f t="shared" si="0"/>
        <v>HP02_ALL_NA_ALL_GB_EXIST</v>
      </c>
      <c r="B15" s="36" t="s">
        <v>403</v>
      </c>
      <c r="C15" s="36" t="s">
        <v>231</v>
      </c>
      <c r="D15" s="36" t="s">
        <v>250</v>
      </c>
      <c r="E15" s="36" t="s">
        <v>267</v>
      </c>
      <c r="F15" s="36" t="s">
        <v>269</v>
      </c>
      <c r="G15" s="36" t="s">
        <v>267</v>
      </c>
      <c r="H15" s="36" t="s">
        <v>130</v>
      </c>
      <c r="I15" s="36" t="s">
        <v>237</v>
      </c>
      <c r="J15" s="36">
        <v>2035</v>
      </c>
      <c r="K15" s="74">
        <v>0.90454545454545454</v>
      </c>
    </row>
    <row r="16" spans="1:11">
      <c r="A16" s="36" t="str">
        <f t="shared" si="0"/>
        <v>HP02_ALL_NA_ALL_GB_EXIST</v>
      </c>
      <c r="B16" s="36" t="s">
        <v>403</v>
      </c>
      <c r="C16" s="36" t="s">
        <v>231</v>
      </c>
      <c r="D16" s="36" t="s">
        <v>250</v>
      </c>
      <c r="E16" s="36" t="s">
        <v>267</v>
      </c>
      <c r="F16" s="36" t="s">
        <v>269</v>
      </c>
      <c r="G16" s="36" t="s">
        <v>267</v>
      </c>
      <c r="H16" s="36" t="s">
        <v>130</v>
      </c>
      <c r="I16" s="36" t="s">
        <v>237</v>
      </c>
      <c r="J16" s="36">
        <v>2036</v>
      </c>
      <c r="K16" s="74">
        <v>0.89500000000000002</v>
      </c>
    </row>
    <row r="17" spans="1:11">
      <c r="A17" s="36" t="str">
        <f t="shared" si="0"/>
        <v>HP02_ALL_NA_ALL_GB_EXIST</v>
      </c>
      <c r="B17" s="36" t="s">
        <v>403</v>
      </c>
      <c r="C17" s="36" t="s">
        <v>231</v>
      </c>
      <c r="D17" s="36" t="s">
        <v>250</v>
      </c>
      <c r="E17" s="36" t="s">
        <v>267</v>
      </c>
      <c r="F17" s="36" t="s">
        <v>269</v>
      </c>
      <c r="G17" s="36" t="s">
        <v>267</v>
      </c>
      <c r="H17" s="36" t="s">
        <v>130</v>
      </c>
      <c r="I17" s="36" t="s">
        <v>237</v>
      </c>
      <c r="J17" s="36">
        <v>2037</v>
      </c>
      <c r="K17" s="74">
        <v>0.89500000000000002</v>
      </c>
    </row>
    <row r="18" spans="1:11">
      <c r="A18" s="36" t="str">
        <f t="shared" si="0"/>
        <v>HP02_ALL_NA_ALL_GB_EXIST</v>
      </c>
      <c r="B18" s="36" t="s">
        <v>403</v>
      </c>
      <c r="C18" s="36" t="s">
        <v>231</v>
      </c>
      <c r="D18" s="36" t="s">
        <v>250</v>
      </c>
      <c r="E18" s="36" t="s">
        <v>267</v>
      </c>
      <c r="F18" s="36" t="s">
        <v>269</v>
      </c>
      <c r="G18" s="36" t="s">
        <v>267</v>
      </c>
      <c r="H18" s="36" t="s">
        <v>130</v>
      </c>
      <c r="I18" s="36" t="s">
        <v>237</v>
      </c>
      <c r="J18" s="36">
        <v>2038</v>
      </c>
      <c r="K18" s="74">
        <v>0.89500000000000002</v>
      </c>
    </row>
    <row r="19" spans="1:11">
      <c r="A19" s="36" t="str">
        <f t="shared" si="0"/>
        <v>HP02_ALL_NA_ALL_GB_EXIST</v>
      </c>
      <c r="B19" s="36" t="s">
        <v>403</v>
      </c>
      <c r="C19" s="36" t="s">
        <v>231</v>
      </c>
      <c r="D19" s="36" t="s">
        <v>250</v>
      </c>
      <c r="E19" s="36" t="s">
        <v>267</v>
      </c>
      <c r="F19" s="36" t="s">
        <v>269</v>
      </c>
      <c r="G19" s="36" t="s">
        <v>267</v>
      </c>
      <c r="H19" s="36" t="s">
        <v>130</v>
      </c>
      <c r="I19" s="36" t="s">
        <v>237</v>
      </c>
      <c r="J19" s="36">
        <v>2039</v>
      </c>
      <c r="K19" s="74">
        <v>0.89500000000000002</v>
      </c>
    </row>
    <row r="20" spans="1:11">
      <c r="A20" s="36" t="str">
        <f t="shared" si="0"/>
        <v>HP02_ALL_NA_ALL_GB_EXIST</v>
      </c>
      <c r="B20" s="36" t="s">
        <v>403</v>
      </c>
      <c r="C20" s="36" t="s">
        <v>231</v>
      </c>
      <c r="D20" s="36" t="s">
        <v>250</v>
      </c>
      <c r="E20" s="36" t="s">
        <v>267</v>
      </c>
      <c r="F20" s="36" t="s">
        <v>269</v>
      </c>
      <c r="G20" s="36" t="s">
        <v>267</v>
      </c>
      <c r="H20" s="36" t="s">
        <v>130</v>
      </c>
      <c r="I20" s="36" t="s">
        <v>237</v>
      </c>
      <c r="J20" s="36">
        <v>2040</v>
      </c>
      <c r="K20" s="74">
        <v>0.89500000000000002</v>
      </c>
    </row>
    <row r="21" spans="1:11">
      <c r="A21" s="36" t="str">
        <f t="shared" si="0"/>
        <v>HP02_ALL_NA_ALL_GB_EXIST</v>
      </c>
      <c r="B21" s="36" t="s">
        <v>403</v>
      </c>
      <c r="C21" s="36" t="s">
        <v>231</v>
      </c>
      <c r="D21" s="36" t="s">
        <v>250</v>
      </c>
      <c r="E21" s="36" t="s">
        <v>267</v>
      </c>
      <c r="F21" s="36" t="s">
        <v>269</v>
      </c>
      <c r="G21" s="36" t="s">
        <v>267</v>
      </c>
      <c r="H21" s="36" t="s">
        <v>130</v>
      </c>
      <c r="I21" s="36" t="s">
        <v>237</v>
      </c>
      <c r="J21" s="36">
        <v>2041</v>
      </c>
      <c r="K21" s="74">
        <v>0.89500000000000002</v>
      </c>
    </row>
    <row r="22" spans="1:11">
      <c r="A22" s="36" t="str">
        <f t="shared" si="0"/>
        <v>HP02_ALL_NA_ALL_GB_EXIST</v>
      </c>
      <c r="B22" s="36" t="s">
        <v>403</v>
      </c>
      <c r="C22" s="36" t="s">
        <v>231</v>
      </c>
      <c r="D22" s="36" t="s">
        <v>250</v>
      </c>
      <c r="E22" s="36" t="s">
        <v>267</v>
      </c>
      <c r="F22" s="36" t="s">
        <v>269</v>
      </c>
      <c r="G22" s="36" t="s">
        <v>267</v>
      </c>
      <c r="H22" s="36" t="s">
        <v>130</v>
      </c>
      <c r="I22" s="36" t="s">
        <v>237</v>
      </c>
      <c r="J22" s="36">
        <v>2042</v>
      </c>
      <c r="K22" s="74">
        <v>0.89500000000000002</v>
      </c>
    </row>
    <row r="23" spans="1:11">
      <c r="A23" s="36" t="str">
        <f t="shared" si="0"/>
        <v>HP02_ALL_NA_ALL_GB_EXIST</v>
      </c>
      <c r="B23" s="36" t="s">
        <v>403</v>
      </c>
      <c r="C23" s="36" t="s">
        <v>231</v>
      </c>
      <c r="D23" s="36" t="s">
        <v>250</v>
      </c>
      <c r="E23" s="36" t="s">
        <v>267</v>
      </c>
      <c r="F23" s="36" t="s">
        <v>269</v>
      </c>
      <c r="G23" s="36" t="s">
        <v>267</v>
      </c>
      <c r="H23" s="36" t="s">
        <v>130</v>
      </c>
      <c r="I23" s="36" t="s">
        <v>237</v>
      </c>
      <c r="J23" s="36">
        <v>2043</v>
      </c>
      <c r="K23" s="74">
        <v>0.89500000000000002</v>
      </c>
    </row>
    <row r="24" spans="1:11">
      <c r="A24" s="36" t="str">
        <f t="shared" si="0"/>
        <v>HP02_ALL_NA_ALL_GB_EXIST</v>
      </c>
      <c r="B24" s="36" t="s">
        <v>403</v>
      </c>
      <c r="C24" s="36" t="s">
        <v>231</v>
      </c>
      <c r="D24" s="36" t="s">
        <v>250</v>
      </c>
      <c r="E24" s="36" t="s">
        <v>267</v>
      </c>
      <c r="F24" s="36" t="s">
        <v>269</v>
      </c>
      <c r="G24" s="36" t="s">
        <v>267</v>
      </c>
      <c r="H24" s="36" t="s">
        <v>130</v>
      </c>
      <c r="I24" s="36" t="s">
        <v>237</v>
      </c>
      <c r="J24" s="36">
        <v>2044</v>
      </c>
      <c r="K24" s="74">
        <v>0.89500000000000002</v>
      </c>
    </row>
    <row r="25" spans="1:11">
      <c r="A25" s="36" t="str">
        <f t="shared" si="0"/>
        <v>HP02_ALL_NA_ALL_GB_EXIST</v>
      </c>
      <c r="B25" s="36" t="s">
        <v>403</v>
      </c>
      <c r="C25" s="36" t="s">
        <v>231</v>
      </c>
      <c r="D25" s="36" t="s">
        <v>250</v>
      </c>
      <c r="E25" s="36" t="s">
        <v>267</v>
      </c>
      <c r="F25" s="36" t="s">
        <v>269</v>
      </c>
      <c r="G25" s="36" t="s">
        <v>267</v>
      </c>
      <c r="H25" s="36" t="s">
        <v>130</v>
      </c>
      <c r="I25" s="36" t="s">
        <v>237</v>
      </c>
      <c r="J25" s="36">
        <v>2045</v>
      </c>
      <c r="K25" s="74">
        <v>0.89500000000000002</v>
      </c>
    </row>
    <row r="26" spans="1:11">
      <c r="A26" s="36" t="str">
        <f t="shared" si="0"/>
        <v>HP02_ALL_NA_ALL_GB_EXIST</v>
      </c>
      <c r="B26" s="36" t="s">
        <v>403</v>
      </c>
      <c r="C26" s="36" t="s">
        <v>231</v>
      </c>
      <c r="D26" s="36" t="s">
        <v>250</v>
      </c>
      <c r="E26" s="36" t="s">
        <v>267</v>
      </c>
      <c r="F26" s="36" t="s">
        <v>269</v>
      </c>
      <c r="G26" s="36" t="s">
        <v>267</v>
      </c>
      <c r="H26" s="36" t="s">
        <v>130</v>
      </c>
      <c r="I26" s="36" t="s">
        <v>237</v>
      </c>
      <c r="J26" s="36">
        <v>2046</v>
      </c>
      <c r="K26" s="74">
        <v>0.89500000000000002</v>
      </c>
    </row>
    <row r="27" spans="1:11">
      <c r="A27" s="36" t="str">
        <f t="shared" si="0"/>
        <v>HP02_ALL_NA_ALL_GB_EXIST</v>
      </c>
      <c r="B27" s="36" t="s">
        <v>403</v>
      </c>
      <c r="C27" s="36" t="s">
        <v>231</v>
      </c>
      <c r="D27" s="36" t="s">
        <v>250</v>
      </c>
      <c r="E27" s="36" t="s">
        <v>267</v>
      </c>
      <c r="F27" s="36" t="s">
        <v>269</v>
      </c>
      <c r="G27" s="36" t="s">
        <v>267</v>
      </c>
      <c r="H27" s="36" t="s">
        <v>130</v>
      </c>
      <c r="I27" s="36" t="s">
        <v>237</v>
      </c>
      <c r="J27" s="36">
        <v>2047</v>
      </c>
      <c r="K27" s="74">
        <v>0.89500000000000002</v>
      </c>
    </row>
    <row r="28" spans="1:11">
      <c r="A28" s="36" t="str">
        <f t="shared" si="0"/>
        <v>HP02_ALL_NA_ALL_GB_EXIST</v>
      </c>
      <c r="B28" s="36" t="s">
        <v>403</v>
      </c>
      <c r="C28" s="36" t="s">
        <v>231</v>
      </c>
      <c r="D28" s="36" t="s">
        <v>250</v>
      </c>
      <c r="E28" s="36" t="s">
        <v>267</v>
      </c>
      <c r="F28" s="36" t="s">
        <v>269</v>
      </c>
      <c r="G28" s="36" t="s">
        <v>267</v>
      </c>
      <c r="H28" s="36" t="s">
        <v>130</v>
      </c>
      <c r="I28" s="36" t="s">
        <v>237</v>
      </c>
      <c r="J28" s="36">
        <v>2048</v>
      </c>
      <c r="K28" s="74">
        <v>0.89500000000000002</v>
      </c>
    </row>
    <row r="29" spans="1:11">
      <c r="A29" s="36" t="str">
        <f t="shared" si="0"/>
        <v>HP02_ALL_NA_ALL_GB_EXIST</v>
      </c>
      <c r="B29" s="36" t="s">
        <v>403</v>
      </c>
      <c r="C29" s="36" t="s">
        <v>231</v>
      </c>
      <c r="D29" s="36" t="s">
        <v>250</v>
      </c>
      <c r="E29" s="36" t="s">
        <v>267</v>
      </c>
      <c r="F29" s="36" t="s">
        <v>269</v>
      </c>
      <c r="G29" s="36" t="s">
        <v>267</v>
      </c>
      <c r="H29" s="36" t="s">
        <v>130</v>
      </c>
      <c r="I29" s="36" t="s">
        <v>237</v>
      </c>
      <c r="J29" s="36">
        <v>2049</v>
      </c>
      <c r="K29" s="74">
        <v>0.89500000000000002</v>
      </c>
    </row>
    <row r="30" spans="1:11">
      <c r="A30" s="36" t="str">
        <f t="shared" si="0"/>
        <v>HP02_ALL_NA_ALL_GB_EXIST</v>
      </c>
      <c r="B30" s="36" t="s">
        <v>403</v>
      </c>
      <c r="C30" s="36" t="s">
        <v>231</v>
      </c>
      <c r="D30" s="36" t="s">
        <v>250</v>
      </c>
      <c r="E30" s="36" t="s">
        <v>267</v>
      </c>
      <c r="F30" s="36" t="s">
        <v>269</v>
      </c>
      <c r="G30" s="36" t="s">
        <v>267</v>
      </c>
      <c r="H30" s="36" t="s">
        <v>130</v>
      </c>
      <c r="I30" s="36" t="s">
        <v>237</v>
      </c>
      <c r="J30" s="36">
        <v>2050</v>
      </c>
      <c r="K30" s="74">
        <v>0.89500000000000002</v>
      </c>
    </row>
    <row r="31" spans="1:11">
      <c r="A31" s="36" t="str">
        <f t="shared" si="0"/>
        <v>HP02_ALL_NA_ALL_GB_NEW</v>
      </c>
      <c r="B31" s="36" t="s">
        <v>403</v>
      </c>
      <c r="C31" s="36" t="s">
        <v>231</v>
      </c>
      <c r="D31" s="36" t="s">
        <v>250</v>
      </c>
      <c r="E31" s="36" t="s">
        <v>267</v>
      </c>
      <c r="F31" s="36" t="s">
        <v>269</v>
      </c>
      <c r="G31" s="36" t="s">
        <v>267</v>
      </c>
      <c r="H31" s="36" t="s">
        <v>130</v>
      </c>
      <c r="I31" s="36" t="s">
        <v>257</v>
      </c>
      <c r="J31" s="36" t="s">
        <v>750</v>
      </c>
      <c r="K31" s="53">
        <v>1</v>
      </c>
    </row>
  </sheetData>
  <hyperlinks>
    <hyperlink ref="A1" location="Contents!A1" display="Back to contents" xr:uid="{6537676E-328B-49E5-A646-36B7844ED27C}"/>
    <hyperlink ref="A2" location="'HP CPA Summary Table'!A1" display="Back to HP CPA Summary Table" xr:uid="{53C0220B-6842-4CBA-8C03-58742DC1E2E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74D2-58E1-4663-A6ED-2CE4D74268A5}">
  <sheetPr>
    <tabColor theme="8" tint="0.79998168889431442"/>
  </sheetPr>
  <dimension ref="A1:I59"/>
  <sheetViews>
    <sheetView showGridLines="0" workbookViewId="0">
      <pane xSplit="1" ySplit="3" topLeftCell="B4" activePane="bottomRight" state="frozen"/>
      <selection pane="bottomRight"/>
      <selection pane="bottomLeft"/>
      <selection pane="topRight"/>
    </sheetView>
  </sheetViews>
  <sheetFormatPr defaultRowHeight="20.45"/>
  <cols>
    <col min="1" max="1" width="37.19921875" customWidth="1"/>
    <col min="2" max="2" width="13.5" customWidth="1"/>
    <col min="3" max="4" width="12.19921875" customWidth="1"/>
    <col min="5" max="5" width="24.19921875" customWidth="1"/>
    <col min="6" max="6" width="40.19921875" customWidth="1"/>
    <col min="7" max="7" width="24.19921875" customWidth="1"/>
    <col min="8" max="8" width="32.5" customWidth="1"/>
    <col min="9" max="9" width="15.8984375" customWidth="1"/>
  </cols>
  <sheetData>
    <row r="1" spans="1:9">
      <c r="A1" s="98" t="s">
        <v>57</v>
      </c>
    </row>
    <row r="2" spans="1:9">
      <c r="A2" s="98" t="s">
        <v>742</v>
      </c>
    </row>
    <row r="3" spans="1:9">
      <c r="A3" s="170" t="s">
        <v>162</v>
      </c>
      <c r="B3" s="170" t="s">
        <v>340</v>
      </c>
      <c r="C3" s="170" t="s">
        <v>166</v>
      </c>
      <c r="D3" s="170" t="s">
        <v>172</v>
      </c>
      <c r="E3" s="170" t="s">
        <v>115</v>
      </c>
      <c r="F3" s="170" t="s">
        <v>483</v>
      </c>
      <c r="G3" s="170" t="s">
        <v>743</v>
      </c>
      <c r="H3" s="170" t="s">
        <v>487</v>
      </c>
      <c r="I3" s="170" t="s">
        <v>488</v>
      </c>
    </row>
    <row r="4" spans="1:9">
      <c r="A4" s="36" t="str">
        <f t="shared" ref="A4:A35" si="0">_xlfn.CONCAT("HP03_",INDEX(dwelling_categories_short,MATCH(E4,dwelling_categories,0)),"_",INDEX(rep_days_short,MATCH(F4,rep_days,0)),"_",INDEX(HP_behaviours_short,MATCH(G4,HP_behaviours,0)),"_",INDEX(Licence_areas_short,MATCH(H4,Licence_areas,0)))</f>
        <v>HP03_ALL_WP_ALL_EastMids</v>
      </c>
      <c r="B4" s="36" t="s">
        <v>744</v>
      </c>
      <c r="C4" s="36" t="s">
        <v>231</v>
      </c>
      <c r="D4" s="36" t="s">
        <v>250</v>
      </c>
      <c r="E4" s="36" t="s">
        <v>267</v>
      </c>
      <c r="F4" s="36" t="s">
        <v>235</v>
      </c>
      <c r="G4" s="36" t="s">
        <v>267</v>
      </c>
      <c r="H4" s="36" t="s">
        <v>240</v>
      </c>
      <c r="I4" s="75">
        <v>2.57</v>
      </c>
    </row>
    <row r="5" spans="1:9">
      <c r="A5" s="36" t="str">
        <f t="shared" si="0"/>
        <v>HP03_ALL_WP_ALL_East</v>
      </c>
      <c r="B5" s="36" t="s">
        <v>744</v>
      </c>
      <c r="C5" s="36" t="s">
        <v>231</v>
      </c>
      <c r="D5" s="36" t="s">
        <v>250</v>
      </c>
      <c r="E5" s="36" t="s">
        <v>267</v>
      </c>
      <c r="F5" s="36" t="s">
        <v>235</v>
      </c>
      <c r="G5" s="36" t="s">
        <v>267</v>
      </c>
      <c r="H5" s="36" t="s">
        <v>260</v>
      </c>
      <c r="I5" s="75">
        <v>2.58</v>
      </c>
    </row>
    <row r="6" spans="1:9">
      <c r="A6" s="36" t="str">
        <f t="shared" si="0"/>
        <v>HP03_ALL_WP_ALL_London</v>
      </c>
      <c r="B6" s="36" t="s">
        <v>744</v>
      </c>
      <c r="C6" s="36" t="s">
        <v>231</v>
      </c>
      <c r="D6" s="36" t="s">
        <v>250</v>
      </c>
      <c r="E6" s="36" t="s">
        <v>267</v>
      </c>
      <c r="F6" s="36" t="s">
        <v>235</v>
      </c>
      <c r="G6" s="36" t="s">
        <v>267</v>
      </c>
      <c r="H6" s="36" t="s">
        <v>275</v>
      </c>
      <c r="I6" s="75">
        <v>2.66</v>
      </c>
    </row>
    <row r="7" spans="1:9">
      <c r="A7" s="36" t="str">
        <f t="shared" si="0"/>
        <v>HP03_ALL_WP_ALL_MersNWales</v>
      </c>
      <c r="B7" s="36" t="s">
        <v>744</v>
      </c>
      <c r="C7" s="36" t="s">
        <v>231</v>
      </c>
      <c r="D7" s="36" t="s">
        <v>250</v>
      </c>
      <c r="E7" s="36" t="s">
        <v>267</v>
      </c>
      <c r="F7" s="36" t="s">
        <v>235</v>
      </c>
      <c r="G7" s="36" t="s">
        <v>267</v>
      </c>
      <c r="H7" s="36" t="s">
        <v>286</v>
      </c>
      <c r="I7" s="75">
        <v>2.59</v>
      </c>
    </row>
    <row r="8" spans="1:9">
      <c r="A8" s="36" t="str">
        <f t="shared" si="0"/>
        <v>HP03_ALL_WP_ALL_Wmids</v>
      </c>
      <c r="B8" s="36" t="s">
        <v>744</v>
      </c>
      <c r="C8" s="36" t="s">
        <v>231</v>
      </c>
      <c r="D8" s="36" t="s">
        <v>250</v>
      </c>
      <c r="E8" s="36" t="s">
        <v>267</v>
      </c>
      <c r="F8" s="36" t="s">
        <v>235</v>
      </c>
      <c r="G8" s="36" t="s">
        <v>267</v>
      </c>
      <c r="H8" s="36" t="s">
        <v>294</v>
      </c>
      <c r="I8" s="75">
        <v>2.5499999999999998</v>
      </c>
    </row>
    <row r="9" spans="1:9">
      <c r="A9" s="36" t="str">
        <f t="shared" si="0"/>
        <v>HP03_ALL_WP_ALL_NorthScot</v>
      </c>
      <c r="B9" s="36" t="s">
        <v>744</v>
      </c>
      <c r="C9" s="36" t="s">
        <v>231</v>
      </c>
      <c r="D9" s="36" t="s">
        <v>250</v>
      </c>
      <c r="E9" s="36" t="s">
        <v>267</v>
      </c>
      <c r="F9" s="36" t="s">
        <v>235</v>
      </c>
      <c r="G9" s="36" t="s">
        <v>267</v>
      </c>
      <c r="H9" s="36" t="s">
        <v>299</v>
      </c>
      <c r="I9" s="75">
        <v>2.48</v>
      </c>
    </row>
    <row r="10" spans="1:9">
      <c r="A10" s="36" t="str">
        <f t="shared" si="0"/>
        <v>HP03_ALL_WP_ALL_NorthWest</v>
      </c>
      <c r="B10" s="36" t="s">
        <v>744</v>
      </c>
      <c r="C10" s="36" t="s">
        <v>231</v>
      </c>
      <c r="D10" s="36" t="s">
        <v>250</v>
      </c>
      <c r="E10" s="36" t="s">
        <v>267</v>
      </c>
      <c r="F10" s="36" t="s">
        <v>235</v>
      </c>
      <c r="G10" s="36" t="s">
        <v>267</v>
      </c>
      <c r="H10" s="36" t="s">
        <v>305</v>
      </c>
      <c r="I10" s="75">
        <v>2.5099999999999998</v>
      </c>
    </row>
    <row r="11" spans="1:9">
      <c r="A11" s="36" t="str">
        <f t="shared" si="0"/>
        <v>HP03_ALL_WP_ALL_North</v>
      </c>
      <c r="B11" s="36" t="s">
        <v>744</v>
      </c>
      <c r="C11" s="36" t="s">
        <v>231</v>
      </c>
      <c r="D11" s="36" t="s">
        <v>250</v>
      </c>
      <c r="E11" s="36" t="s">
        <v>267</v>
      </c>
      <c r="F11" s="36" t="s">
        <v>235</v>
      </c>
      <c r="G11" s="36" t="s">
        <v>267</v>
      </c>
      <c r="H11" s="36" t="s">
        <v>308</v>
      </c>
      <c r="I11" s="75">
        <v>2.4900000000000002</v>
      </c>
    </row>
    <row r="12" spans="1:9">
      <c r="A12" s="36" t="str">
        <f t="shared" si="0"/>
        <v>HP03_ALL_WP_ALL_SouthEast</v>
      </c>
      <c r="B12" s="36" t="s">
        <v>744</v>
      </c>
      <c r="C12" s="36" t="s">
        <v>231</v>
      </c>
      <c r="D12" s="36" t="s">
        <v>250</v>
      </c>
      <c r="E12" s="36" t="s">
        <v>267</v>
      </c>
      <c r="F12" s="36" t="s">
        <v>235</v>
      </c>
      <c r="G12" s="36" t="s">
        <v>267</v>
      </c>
      <c r="H12" s="36" t="s">
        <v>313</v>
      </c>
      <c r="I12" s="75">
        <v>2.61</v>
      </c>
    </row>
    <row r="13" spans="1:9">
      <c r="A13" s="36" t="str">
        <f t="shared" si="0"/>
        <v>HP03_ALL_WP_ALL_SouthScot</v>
      </c>
      <c r="B13" s="36" t="s">
        <v>744</v>
      </c>
      <c r="C13" s="36" t="s">
        <v>231</v>
      </c>
      <c r="D13" s="36" t="s">
        <v>250</v>
      </c>
      <c r="E13" s="36" t="s">
        <v>267</v>
      </c>
      <c r="F13" s="36" t="s">
        <v>235</v>
      </c>
      <c r="G13" s="36" t="s">
        <v>267</v>
      </c>
      <c r="H13" s="36" t="s">
        <v>318</v>
      </c>
      <c r="I13" s="75">
        <v>2.48</v>
      </c>
    </row>
    <row r="14" spans="1:9">
      <c r="A14" s="36" t="str">
        <f t="shared" si="0"/>
        <v>HP03_ALL_WP_ALL_SouthWales</v>
      </c>
      <c r="B14" s="36" t="s">
        <v>744</v>
      </c>
      <c r="C14" s="36" t="s">
        <v>231</v>
      </c>
      <c r="D14" s="36" t="s">
        <v>250</v>
      </c>
      <c r="E14" s="36" t="s">
        <v>267</v>
      </c>
      <c r="F14" s="36" t="s">
        <v>235</v>
      </c>
      <c r="G14" s="36" t="s">
        <v>267</v>
      </c>
      <c r="H14" s="36" t="s">
        <v>321</v>
      </c>
      <c r="I14" s="75">
        <v>2.56</v>
      </c>
    </row>
    <row r="15" spans="1:9">
      <c r="A15" s="36" t="str">
        <f t="shared" si="0"/>
        <v>HP03_ALL_WP_ALL_SouthWest</v>
      </c>
      <c r="B15" s="36" t="s">
        <v>744</v>
      </c>
      <c r="C15" s="36" t="s">
        <v>231</v>
      </c>
      <c r="D15" s="36" t="s">
        <v>250</v>
      </c>
      <c r="E15" s="36" t="s">
        <v>267</v>
      </c>
      <c r="F15" s="36" t="s">
        <v>235</v>
      </c>
      <c r="G15" s="36" t="s">
        <v>267</v>
      </c>
      <c r="H15" s="36" t="s">
        <v>323</v>
      </c>
      <c r="I15" s="75">
        <v>2.69</v>
      </c>
    </row>
    <row r="16" spans="1:9">
      <c r="A16" s="36" t="str">
        <f t="shared" si="0"/>
        <v>HP03_ALL_WP_ALL_South</v>
      </c>
      <c r="B16" s="36" t="s">
        <v>744</v>
      </c>
      <c r="C16" s="36" t="s">
        <v>231</v>
      </c>
      <c r="D16" s="36" t="s">
        <v>250</v>
      </c>
      <c r="E16" s="36" t="s">
        <v>267</v>
      </c>
      <c r="F16" s="36" t="s">
        <v>235</v>
      </c>
      <c r="G16" s="36" t="s">
        <v>267</v>
      </c>
      <c r="H16" s="36" t="s">
        <v>324</v>
      </c>
      <c r="I16" s="75">
        <v>2.59</v>
      </c>
    </row>
    <row r="17" spans="1:9">
      <c r="A17" s="36" t="str">
        <f t="shared" si="0"/>
        <v>HP03_ALL_WP_ALL_Yorkshire</v>
      </c>
      <c r="B17" s="36" t="s">
        <v>744</v>
      </c>
      <c r="C17" s="36" t="s">
        <v>231</v>
      </c>
      <c r="D17" s="36" t="s">
        <v>250</v>
      </c>
      <c r="E17" s="36" t="s">
        <v>267</v>
      </c>
      <c r="F17" s="36" t="s">
        <v>235</v>
      </c>
      <c r="G17" s="36" t="s">
        <v>267</v>
      </c>
      <c r="H17" s="36" t="s">
        <v>326</v>
      </c>
      <c r="I17" s="75">
        <v>2.57</v>
      </c>
    </row>
    <row r="18" spans="1:9">
      <c r="A18" s="36" t="str">
        <f t="shared" si="0"/>
        <v>HP03_ALL_SP_ALL_EastMids</v>
      </c>
      <c r="B18" s="36" t="s">
        <v>744</v>
      </c>
      <c r="C18" s="36" t="s">
        <v>231</v>
      </c>
      <c r="D18" s="36" t="s">
        <v>250</v>
      </c>
      <c r="E18" s="36" t="s">
        <v>267</v>
      </c>
      <c r="F18" s="36" t="s">
        <v>254</v>
      </c>
      <c r="G18" s="36" t="s">
        <v>267</v>
      </c>
      <c r="H18" s="36" t="s">
        <v>240</v>
      </c>
      <c r="I18" s="75">
        <v>2.83</v>
      </c>
    </row>
    <row r="19" spans="1:9">
      <c r="A19" s="36" t="str">
        <f t="shared" si="0"/>
        <v>HP03_ALL_SP_ALL_East</v>
      </c>
      <c r="B19" s="36" t="s">
        <v>744</v>
      </c>
      <c r="C19" s="36" t="s">
        <v>231</v>
      </c>
      <c r="D19" s="36" t="s">
        <v>250</v>
      </c>
      <c r="E19" s="36" t="s">
        <v>267</v>
      </c>
      <c r="F19" s="36" t="s">
        <v>254</v>
      </c>
      <c r="G19" s="36" t="s">
        <v>267</v>
      </c>
      <c r="H19" s="36" t="s">
        <v>260</v>
      </c>
      <c r="I19" s="75">
        <v>2.83</v>
      </c>
    </row>
    <row r="20" spans="1:9">
      <c r="A20" s="36" t="str">
        <f t="shared" si="0"/>
        <v>HP03_ALL_SP_ALL_London</v>
      </c>
      <c r="B20" s="36" t="s">
        <v>744</v>
      </c>
      <c r="C20" s="36" t="s">
        <v>231</v>
      </c>
      <c r="D20" s="36" t="s">
        <v>250</v>
      </c>
      <c r="E20" s="36" t="s">
        <v>267</v>
      </c>
      <c r="F20" s="36" t="s">
        <v>254</v>
      </c>
      <c r="G20" s="36" t="s">
        <v>267</v>
      </c>
      <c r="H20" s="36" t="s">
        <v>275</v>
      </c>
      <c r="I20" s="75">
        <v>2.83</v>
      </c>
    </row>
    <row r="21" spans="1:9">
      <c r="A21" s="36" t="str">
        <f t="shared" si="0"/>
        <v>HP03_ALL_SP_ALL_MersNWales</v>
      </c>
      <c r="B21" s="36" t="s">
        <v>744</v>
      </c>
      <c r="C21" s="36" t="s">
        <v>231</v>
      </c>
      <c r="D21" s="36" t="s">
        <v>250</v>
      </c>
      <c r="E21" s="36" t="s">
        <v>267</v>
      </c>
      <c r="F21" s="36" t="s">
        <v>254</v>
      </c>
      <c r="G21" s="36" t="s">
        <v>267</v>
      </c>
      <c r="H21" s="36" t="s">
        <v>286</v>
      </c>
      <c r="I21" s="75">
        <v>2.83</v>
      </c>
    </row>
    <row r="22" spans="1:9">
      <c r="A22" s="36" t="str">
        <f t="shared" si="0"/>
        <v>HP03_ALL_SP_ALL_Wmids</v>
      </c>
      <c r="B22" s="36" t="s">
        <v>744</v>
      </c>
      <c r="C22" s="36" t="s">
        <v>231</v>
      </c>
      <c r="D22" s="36" t="s">
        <v>250</v>
      </c>
      <c r="E22" s="36" t="s">
        <v>267</v>
      </c>
      <c r="F22" s="36" t="s">
        <v>254</v>
      </c>
      <c r="G22" s="36" t="s">
        <v>267</v>
      </c>
      <c r="H22" s="36" t="s">
        <v>294</v>
      </c>
      <c r="I22" s="75">
        <v>2.83</v>
      </c>
    </row>
    <row r="23" spans="1:9">
      <c r="A23" s="36" t="str">
        <f t="shared" si="0"/>
        <v>HP03_ALL_SP_ALL_NorthScot</v>
      </c>
      <c r="B23" s="36" t="s">
        <v>744</v>
      </c>
      <c r="C23" s="36" t="s">
        <v>231</v>
      </c>
      <c r="D23" s="36" t="s">
        <v>250</v>
      </c>
      <c r="E23" s="36" t="s">
        <v>267</v>
      </c>
      <c r="F23" s="36" t="s">
        <v>254</v>
      </c>
      <c r="G23" s="36" t="s">
        <v>267</v>
      </c>
      <c r="H23" s="36" t="s">
        <v>299</v>
      </c>
      <c r="I23" s="75">
        <v>2.83</v>
      </c>
    </row>
    <row r="24" spans="1:9">
      <c r="A24" s="36" t="str">
        <f t="shared" si="0"/>
        <v>HP03_ALL_SP_ALL_NorthWest</v>
      </c>
      <c r="B24" s="36" t="s">
        <v>744</v>
      </c>
      <c r="C24" s="36" t="s">
        <v>231</v>
      </c>
      <c r="D24" s="36" t="s">
        <v>250</v>
      </c>
      <c r="E24" s="36" t="s">
        <v>267</v>
      </c>
      <c r="F24" s="36" t="s">
        <v>254</v>
      </c>
      <c r="G24" s="36" t="s">
        <v>267</v>
      </c>
      <c r="H24" s="36" t="s">
        <v>305</v>
      </c>
      <c r="I24" s="75">
        <v>2.83</v>
      </c>
    </row>
    <row r="25" spans="1:9">
      <c r="A25" s="36" t="str">
        <f t="shared" si="0"/>
        <v>HP03_ALL_SP_ALL_North</v>
      </c>
      <c r="B25" s="36" t="s">
        <v>744</v>
      </c>
      <c r="C25" s="36" t="s">
        <v>231</v>
      </c>
      <c r="D25" s="36" t="s">
        <v>250</v>
      </c>
      <c r="E25" s="36" t="s">
        <v>267</v>
      </c>
      <c r="F25" s="36" t="s">
        <v>254</v>
      </c>
      <c r="G25" s="36" t="s">
        <v>267</v>
      </c>
      <c r="H25" s="36" t="s">
        <v>308</v>
      </c>
      <c r="I25" s="75">
        <v>2.83</v>
      </c>
    </row>
    <row r="26" spans="1:9">
      <c r="A26" s="36" t="str">
        <f t="shared" si="0"/>
        <v>HP03_ALL_SP_ALL_SouthEast</v>
      </c>
      <c r="B26" s="36" t="s">
        <v>744</v>
      </c>
      <c r="C26" s="36" t="s">
        <v>231</v>
      </c>
      <c r="D26" s="36" t="s">
        <v>250</v>
      </c>
      <c r="E26" s="36" t="s">
        <v>267</v>
      </c>
      <c r="F26" s="36" t="s">
        <v>254</v>
      </c>
      <c r="G26" s="36" t="s">
        <v>267</v>
      </c>
      <c r="H26" s="36" t="s">
        <v>313</v>
      </c>
      <c r="I26" s="75">
        <v>2.83</v>
      </c>
    </row>
    <row r="27" spans="1:9">
      <c r="A27" s="36" t="str">
        <f t="shared" si="0"/>
        <v>HP03_ALL_SP_ALL_SouthScot</v>
      </c>
      <c r="B27" s="36" t="s">
        <v>744</v>
      </c>
      <c r="C27" s="36" t="s">
        <v>231</v>
      </c>
      <c r="D27" s="36" t="s">
        <v>250</v>
      </c>
      <c r="E27" s="36" t="s">
        <v>267</v>
      </c>
      <c r="F27" s="36" t="s">
        <v>254</v>
      </c>
      <c r="G27" s="36" t="s">
        <v>267</v>
      </c>
      <c r="H27" s="36" t="s">
        <v>318</v>
      </c>
      <c r="I27" s="75">
        <v>2.83</v>
      </c>
    </row>
    <row r="28" spans="1:9">
      <c r="A28" s="36" t="str">
        <f t="shared" si="0"/>
        <v>HP03_ALL_SP_ALL_SouthWales</v>
      </c>
      <c r="B28" s="36" t="s">
        <v>744</v>
      </c>
      <c r="C28" s="36" t="s">
        <v>231</v>
      </c>
      <c r="D28" s="36" t="s">
        <v>250</v>
      </c>
      <c r="E28" s="36" t="s">
        <v>267</v>
      </c>
      <c r="F28" s="36" t="s">
        <v>254</v>
      </c>
      <c r="G28" s="36" t="s">
        <v>267</v>
      </c>
      <c r="H28" s="36" t="s">
        <v>321</v>
      </c>
      <c r="I28" s="75">
        <v>2.83</v>
      </c>
    </row>
    <row r="29" spans="1:9">
      <c r="A29" s="36" t="str">
        <f t="shared" si="0"/>
        <v>HP03_ALL_SP_ALL_SouthWest</v>
      </c>
      <c r="B29" s="36" t="s">
        <v>744</v>
      </c>
      <c r="C29" s="36" t="s">
        <v>231</v>
      </c>
      <c r="D29" s="36" t="s">
        <v>250</v>
      </c>
      <c r="E29" s="36" t="s">
        <v>267</v>
      </c>
      <c r="F29" s="36" t="s">
        <v>254</v>
      </c>
      <c r="G29" s="36" t="s">
        <v>267</v>
      </c>
      <c r="H29" s="36" t="s">
        <v>323</v>
      </c>
      <c r="I29" s="75">
        <v>2.83</v>
      </c>
    </row>
    <row r="30" spans="1:9">
      <c r="A30" s="36" t="str">
        <f t="shared" si="0"/>
        <v>HP03_ALL_SP_ALL_South</v>
      </c>
      <c r="B30" s="36" t="s">
        <v>744</v>
      </c>
      <c r="C30" s="36" t="s">
        <v>231</v>
      </c>
      <c r="D30" s="36" t="s">
        <v>250</v>
      </c>
      <c r="E30" s="36" t="s">
        <v>267</v>
      </c>
      <c r="F30" s="36" t="s">
        <v>254</v>
      </c>
      <c r="G30" s="36" t="s">
        <v>267</v>
      </c>
      <c r="H30" s="36" t="s">
        <v>324</v>
      </c>
      <c r="I30" s="75">
        <v>2.83</v>
      </c>
    </row>
    <row r="31" spans="1:9">
      <c r="A31" s="36" t="str">
        <f t="shared" si="0"/>
        <v>HP03_ALL_SP_ALL_Yorkshire</v>
      </c>
      <c r="B31" s="36" t="s">
        <v>744</v>
      </c>
      <c r="C31" s="36" t="s">
        <v>231</v>
      </c>
      <c r="D31" s="36" t="s">
        <v>250</v>
      </c>
      <c r="E31" s="36" t="s">
        <v>267</v>
      </c>
      <c r="F31" s="36" t="s">
        <v>254</v>
      </c>
      <c r="G31" s="36" t="s">
        <v>267</v>
      </c>
      <c r="H31" s="36" t="s">
        <v>326</v>
      </c>
      <c r="I31" s="75">
        <v>2.83</v>
      </c>
    </row>
    <row r="32" spans="1:9">
      <c r="A32" s="36" t="str">
        <f t="shared" si="0"/>
        <v>HP03_ALL_SSP_ALL_EastMids</v>
      </c>
      <c r="B32" s="36" t="s">
        <v>744</v>
      </c>
      <c r="C32" s="36" t="s">
        <v>231</v>
      </c>
      <c r="D32" s="36" t="s">
        <v>250</v>
      </c>
      <c r="E32" s="36" t="s">
        <v>267</v>
      </c>
      <c r="F32" s="36" t="s">
        <v>273</v>
      </c>
      <c r="G32" s="36" t="s">
        <v>267</v>
      </c>
      <c r="H32" s="36" t="s">
        <v>240</v>
      </c>
      <c r="I32" s="75">
        <v>3.23</v>
      </c>
    </row>
    <row r="33" spans="1:9">
      <c r="A33" s="36" t="str">
        <f t="shared" si="0"/>
        <v>HP03_ALL_SSP_ALL_East</v>
      </c>
      <c r="B33" s="36" t="s">
        <v>744</v>
      </c>
      <c r="C33" s="36" t="s">
        <v>231</v>
      </c>
      <c r="D33" s="36" t="s">
        <v>250</v>
      </c>
      <c r="E33" s="36" t="s">
        <v>267</v>
      </c>
      <c r="F33" s="36" t="s">
        <v>273</v>
      </c>
      <c r="G33" s="36" t="s">
        <v>267</v>
      </c>
      <c r="H33" s="36" t="s">
        <v>260</v>
      </c>
      <c r="I33" s="75">
        <v>3.25</v>
      </c>
    </row>
    <row r="34" spans="1:9">
      <c r="A34" s="36" t="str">
        <f t="shared" si="0"/>
        <v>HP03_ALL_SSP_ALL_London</v>
      </c>
      <c r="B34" s="36" t="s">
        <v>744</v>
      </c>
      <c r="C34" s="36" t="s">
        <v>231</v>
      </c>
      <c r="D34" s="36" t="s">
        <v>250</v>
      </c>
      <c r="E34" s="36" t="s">
        <v>267</v>
      </c>
      <c r="F34" s="36" t="s">
        <v>273</v>
      </c>
      <c r="G34" s="36" t="s">
        <v>267</v>
      </c>
      <c r="H34" s="36" t="s">
        <v>275</v>
      </c>
      <c r="I34" s="75">
        <v>3.32</v>
      </c>
    </row>
    <row r="35" spans="1:9">
      <c r="A35" s="36" t="str">
        <f t="shared" si="0"/>
        <v>HP03_ALL_SSP_ALL_MersNWales</v>
      </c>
      <c r="B35" s="36" t="s">
        <v>744</v>
      </c>
      <c r="C35" s="36" t="s">
        <v>231</v>
      </c>
      <c r="D35" s="36" t="s">
        <v>250</v>
      </c>
      <c r="E35" s="36" t="s">
        <v>267</v>
      </c>
      <c r="F35" s="36" t="s">
        <v>273</v>
      </c>
      <c r="G35" s="36" t="s">
        <v>267</v>
      </c>
      <c r="H35" s="36" t="s">
        <v>286</v>
      </c>
      <c r="I35" s="75">
        <v>3.18</v>
      </c>
    </row>
    <row r="36" spans="1:9">
      <c r="A36" s="36" t="str">
        <f t="shared" ref="A36:A59" si="1">_xlfn.CONCAT("HP03_",INDEX(dwelling_categories_short,MATCH(E36,dwelling_categories,0)),"_",INDEX(rep_days_short,MATCH(F36,rep_days,0)),"_",INDEX(HP_behaviours_short,MATCH(G36,HP_behaviours,0)),"_",INDEX(Licence_areas_short,MATCH(H36,Licence_areas,0)))</f>
        <v>HP03_ALL_SSP_ALL_Wmids</v>
      </c>
      <c r="B36" s="36" t="s">
        <v>744</v>
      </c>
      <c r="C36" s="36" t="s">
        <v>231</v>
      </c>
      <c r="D36" s="36" t="s">
        <v>250</v>
      </c>
      <c r="E36" s="36" t="s">
        <v>267</v>
      </c>
      <c r="F36" s="36" t="s">
        <v>273</v>
      </c>
      <c r="G36" s="36" t="s">
        <v>267</v>
      </c>
      <c r="H36" s="36" t="s">
        <v>294</v>
      </c>
      <c r="I36" s="75">
        <v>3.2</v>
      </c>
    </row>
    <row r="37" spans="1:9">
      <c r="A37" s="36" t="str">
        <f t="shared" si="1"/>
        <v>HP03_ALL_SSP_ALL_NorthScot</v>
      </c>
      <c r="B37" s="36" t="s">
        <v>744</v>
      </c>
      <c r="C37" s="36" t="s">
        <v>231</v>
      </c>
      <c r="D37" s="36" t="s">
        <v>250</v>
      </c>
      <c r="E37" s="36" t="s">
        <v>267</v>
      </c>
      <c r="F37" s="36" t="s">
        <v>273</v>
      </c>
      <c r="G37" s="36" t="s">
        <v>267</v>
      </c>
      <c r="H37" s="36" t="s">
        <v>299</v>
      </c>
      <c r="I37" s="75">
        <v>2.97</v>
      </c>
    </row>
    <row r="38" spans="1:9">
      <c r="A38" s="36" t="str">
        <f t="shared" si="1"/>
        <v>HP03_ALL_SSP_ALL_NorthWest</v>
      </c>
      <c r="B38" s="36" t="s">
        <v>744</v>
      </c>
      <c r="C38" s="36" t="s">
        <v>231</v>
      </c>
      <c r="D38" s="36" t="s">
        <v>250</v>
      </c>
      <c r="E38" s="36" t="s">
        <v>267</v>
      </c>
      <c r="F38" s="36" t="s">
        <v>273</v>
      </c>
      <c r="G38" s="36" t="s">
        <v>267</v>
      </c>
      <c r="H38" s="36" t="s">
        <v>305</v>
      </c>
      <c r="I38" s="75">
        <v>3.1</v>
      </c>
    </row>
    <row r="39" spans="1:9">
      <c r="A39" s="36" t="str">
        <f t="shared" si="1"/>
        <v>HP03_ALL_SSP_ALL_North</v>
      </c>
      <c r="B39" s="36" t="s">
        <v>744</v>
      </c>
      <c r="C39" s="36" t="s">
        <v>231</v>
      </c>
      <c r="D39" s="36" t="s">
        <v>250</v>
      </c>
      <c r="E39" s="36" t="s">
        <v>267</v>
      </c>
      <c r="F39" s="36" t="s">
        <v>273</v>
      </c>
      <c r="G39" s="36" t="s">
        <v>267</v>
      </c>
      <c r="H39" s="36" t="s">
        <v>308</v>
      </c>
      <c r="I39" s="75">
        <v>3.08</v>
      </c>
    </row>
    <row r="40" spans="1:9">
      <c r="A40" s="36" t="str">
        <f t="shared" si="1"/>
        <v>HP03_ALL_SSP_ALL_SouthEast</v>
      </c>
      <c r="B40" s="36" t="s">
        <v>744</v>
      </c>
      <c r="C40" s="36" t="s">
        <v>231</v>
      </c>
      <c r="D40" s="36" t="s">
        <v>250</v>
      </c>
      <c r="E40" s="36" t="s">
        <v>267</v>
      </c>
      <c r="F40" s="36" t="s">
        <v>273</v>
      </c>
      <c r="G40" s="36" t="s">
        <v>267</v>
      </c>
      <c r="H40" s="36" t="s">
        <v>313</v>
      </c>
      <c r="I40" s="75">
        <v>3.27</v>
      </c>
    </row>
    <row r="41" spans="1:9">
      <c r="A41" s="36" t="str">
        <f t="shared" si="1"/>
        <v>HP03_ALL_SSP_ALL_SouthScot</v>
      </c>
      <c r="B41" s="36" t="s">
        <v>744</v>
      </c>
      <c r="C41" s="36" t="s">
        <v>231</v>
      </c>
      <c r="D41" s="36" t="s">
        <v>250</v>
      </c>
      <c r="E41" s="36" t="s">
        <v>267</v>
      </c>
      <c r="F41" s="36" t="s">
        <v>273</v>
      </c>
      <c r="G41" s="36" t="s">
        <v>267</v>
      </c>
      <c r="H41" s="36" t="s">
        <v>318</v>
      </c>
      <c r="I41" s="75">
        <v>3.03</v>
      </c>
    </row>
    <row r="42" spans="1:9">
      <c r="A42" s="36" t="str">
        <f t="shared" si="1"/>
        <v>HP03_ALL_SSP_ALL_SouthWales</v>
      </c>
      <c r="B42" s="36" t="s">
        <v>744</v>
      </c>
      <c r="C42" s="36" t="s">
        <v>231</v>
      </c>
      <c r="D42" s="36" t="s">
        <v>250</v>
      </c>
      <c r="E42" s="36" t="s">
        <v>267</v>
      </c>
      <c r="F42" s="36" t="s">
        <v>273</v>
      </c>
      <c r="G42" s="36" t="s">
        <v>267</v>
      </c>
      <c r="H42" s="36" t="s">
        <v>321</v>
      </c>
      <c r="I42" s="75">
        <v>3.16</v>
      </c>
    </row>
    <row r="43" spans="1:9">
      <c r="A43" s="36" t="str">
        <f t="shared" si="1"/>
        <v>HP03_ALL_SSP_ALL_SouthWest</v>
      </c>
      <c r="B43" s="36" t="s">
        <v>744</v>
      </c>
      <c r="C43" s="36" t="s">
        <v>231</v>
      </c>
      <c r="D43" s="36" t="s">
        <v>250</v>
      </c>
      <c r="E43" s="36" t="s">
        <v>267</v>
      </c>
      <c r="F43" s="36" t="s">
        <v>273</v>
      </c>
      <c r="G43" s="36" t="s">
        <v>267</v>
      </c>
      <c r="H43" s="36" t="s">
        <v>323</v>
      </c>
      <c r="I43" s="75">
        <v>3.27</v>
      </c>
    </row>
    <row r="44" spans="1:9">
      <c r="A44" s="36" t="str">
        <f t="shared" si="1"/>
        <v>HP03_ALL_SSP_ALL_South</v>
      </c>
      <c r="B44" s="36" t="s">
        <v>744</v>
      </c>
      <c r="C44" s="36" t="s">
        <v>231</v>
      </c>
      <c r="D44" s="36" t="s">
        <v>250</v>
      </c>
      <c r="E44" s="36" t="s">
        <v>267</v>
      </c>
      <c r="F44" s="36" t="s">
        <v>273</v>
      </c>
      <c r="G44" s="36" t="s">
        <v>267</v>
      </c>
      <c r="H44" s="36" t="s">
        <v>324</v>
      </c>
      <c r="I44" s="75">
        <v>3.23</v>
      </c>
    </row>
    <row r="45" spans="1:9">
      <c r="A45" s="36" t="str">
        <f t="shared" si="1"/>
        <v>HP03_ALL_SSP_ALL_Yorkshire</v>
      </c>
      <c r="B45" s="36" t="s">
        <v>744</v>
      </c>
      <c r="C45" s="36" t="s">
        <v>231</v>
      </c>
      <c r="D45" s="36" t="s">
        <v>250</v>
      </c>
      <c r="E45" s="36" t="s">
        <v>267</v>
      </c>
      <c r="F45" s="36" t="s">
        <v>273</v>
      </c>
      <c r="G45" s="36" t="s">
        <v>267</v>
      </c>
      <c r="H45" s="36" t="s">
        <v>326</v>
      </c>
      <c r="I45" s="75">
        <v>3.21</v>
      </c>
    </row>
    <row r="46" spans="1:9">
      <c r="A46" s="36" t="str">
        <f t="shared" si="1"/>
        <v>HP03_ALL_MIN_ALL_EastMids</v>
      </c>
      <c r="B46" s="36" t="s">
        <v>744</v>
      </c>
      <c r="C46" s="36" t="s">
        <v>231</v>
      </c>
      <c r="D46" s="36" t="s">
        <v>250</v>
      </c>
      <c r="E46" s="36" t="s">
        <v>267</v>
      </c>
      <c r="F46" s="36" t="s">
        <v>284</v>
      </c>
      <c r="G46" s="36" t="s">
        <v>267</v>
      </c>
      <c r="H46" s="36" t="s">
        <v>240</v>
      </c>
      <c r="I46" s="75">
        <v>2.83</v>
      </c>
    </row>
    <row r="47" spans="1:9">
      <c r="A47" s="36" t="str">
        <f t="shared" si="1"/>
        <v>HP03_ALL_MIN_ALL_East</v>
      </c>
      <c r="B47" s="36" t="s">
        <v>744</v>
      </c>
      <c r="C47" s="36" t="s">
        <v>231</v>
      </c>
      <c r="D47" s="36" t="s">
        <v>250</v>
      </c>
      <c r="E47" s="36" t="s">
        <v>267</v>
      </c>
      <c r="F47" s="36" t="s">
        <v>284</v>
      </c>
      <c r="G47" s="36" t="s">
        <v>267</v>
      </c>
      <c r="H47" s="36" t="s">
        <v>260</v>
      </c>
      <c r="I47" s="75">
        <v>2.83</v>
      </c>
    </row>
    <row r="48" spans="1:9">
      <c r="A48" s="36" t="str">
        <f t="shared" si="1"/>
        <v>HP03_ALL_MIN_ALL_London</v>
      </c>
      <c r="B48" s="36" t="s">
        <v>744</v>
      </c>
      <c r="C48" s="36" t="s">
        <v>231</v>
      </c>
      <c r="D48" s="36" t="s">
        <v>250</v>
      </c>
      <c r="E48" s="36" t="s">
        <v>267</v>
      </c>
      <c r="F48" s="36" t="s">
        <v>284</v>
      </c>
      <c r="G48" s="36" t="s">
        <v>267</v>
      </c>
      <c r="H48" s="36" t="s">
        <v>275</v>
      </c>
      <c r="I48" s="75">
        <v>2.83</v>
      </c>
    </row>
    <row r="49" spans="1:9">
      <c r="A49" s="36" t="str">
        <f t="shared" si="1"/>
        <v>HP03_ALL_MIN_ALL_MersNWales</v>
      </c>
      <c r="B49" s="36" t="s">
        <v>744</v>
      </c>
      <c r="C49" s="36" t="s">
        <v>231</v>
      </c>
      <c r="D49" s="36" t="s">
        <v>250</v>
      </c>
      <c r="E49" s="36" t="s">
        <v>267</v>
      </c>
      <c r="F49" s="36" t="s">
        <v>284</v>
      </c>
      <c r="G49" s="36" t="s">
        <v>267</v>
      </c>
      <c r="H49" s="36" t="s">
        <v>286</v>
      </c>
      <c r="I49" s="75">
        <v>2.83</v>
      </c>
    </row>
    <row r="50" spans="1:9">
      <c r="A50" s="36" t="str">
        <f t="shared" si="1"/>
        <v>HP03_ALL_MIN_ALL_Wmids</v>
      </c>
      <c r="B50" s="36" t="s">
        <v>744</v>
      </c>
      <c r="C50" s="36" t="s">
        <v>231</v>
      </c>
      <c r="D50" s="36" t="s">
        <v>250</v>
      </c>
      <c r="E50" s="36" t="s">
        <v>267</v>
      </c>
      <c r="F50" s="36" t="s">
        <v>284</v>
      </c>
      <c r="G50" s="36" t="s">
        <v>267</v>
      </c>
      <c r="H50" s="36" t="s">
        <v>294</v>
      </c>
      <c r="I50" s="75">
        <v>2.83</v>
      </c>
    </row>
    <row r="51" spans="1:9">
      <c r="A51" s="36" t="str">
        <f t="shared" si="1"/>
        <v>HP03_ALL_MIN_ALL_NorthScot</v>
      </c>
      <c r="B51" s="36" t="s">
        <v>744</v>
      </c>
      <c r="C51" s="36" t="s">
        <v>231</v>
      </c>
      <c r="D51" s="36" t="s">
        <v>250</v>
      </c>
      <c r="E51" s="36" t="s">
        <v>267</v>
      </c>
      <c r="F51" s="36" t="s">
        <v>284</v>
      </c>
      <c r="G51" s="36" t="s">
        <v>267</v>
      </c>
      <c r="H51" s="36" t="s">
        <v>299</v>
      </c>
      <c r="I51" s="75">
        <v>2.83</v>
      </c>
    </row>
    <row r="52" spans="1:9">
      <c r="A52" s="36" t="str">
        <f t="shared" si="1"/>
        <v>HP03_ALL_MIN_ALL_NorthWest</v>
      </c>
      <c r="B52" s="36" t="s">
        <v>744</v>
      </c>
      <c r="C52" s="36" t="s">
        <v>231</v>
      </c>
      <c r="D52" s="36" t="s">
        <v>250</v>
      </c>
      <c r="E52" s="36" t="s">
        <v>267</v>
      </c>
      <c r="F52" s="36" t="s">
        <v>284</v>
      </c>
      <c r="G52" s="36" t="s">
        <v>267</v>
      </c>
      <c r="H52" s="36" t="s">
        <v>305</v>
      </c>
      <c r="I52" s="75">
        <v>2.83</v>
      </c>
    </row>
    <row r="53" spans="1:9">
      <c r="A53" s="36" t="str">
        <f t="shared" si="1"/>
        <v>HP03_ALL_MIN_ALL_North</v>
      </c>
      <c r="B53" s="36" t="s">
        <v>744</v>
      </c>
      <c r="C53" s="36" t="s">
        <v>231</v>
      </c>
      <c r="D53" s="36" t="s">
        <v>250</v>
      </c>
      <c r="E53" s="36" t="s">
        <v>267</v>
      </c>
      <c r="F53" s="36" t="s">
        <v>284</v>
      </c>
      <c r="G53" s="36" t="s">
        <v>267</v>
      </c>
      <c r="H53" s="36" t="s">
        <v>308</v>
      </c>
      <c r="I53" s="75">
        <v>2.83</v>
      </c>
    </row>
    <row r="54" spans="1:9">
      <c r="A54" s="36" t="str">
        <f t="shared" si="1"/>
        <v>HP03_ALL_MIN_ALL_SouthEast</v>
      </c>
      <c r="B54" s="36" t="s">
        <v>744</v>
      </c>
      <c r="C54" s="36" t="s">
        <v>231</v>
      </c>
      <c r="D54" s="36" t="s">
        <v>250</v>
      </c>
      <c r="E54" s="36" t="s">
        <v>267</v>
      </c>
      <c r="F54" s="36" t="s">
        <v>284</v>
      </c>
      <c r="G54" s="36" t="s">
        <v>267</v>
      </c>
      <c r="H54" s="36" t="s">
        <v>313</v>
      </c>
      <c r="I54" s="75">
        <v>2.83</v>
      </c>
    </row>
    <row r="55" spans="1:9">
      <c r="A55" s="36" t="str">
        <f t="shared" si="1"/>
        <v>HP03_ALL_MIN_ALL_SouthScot</v>
      </c>
      <c r="B55" s="36" t="s">
        <v>744</v>
      </c>
      <c r="C55" s="36" t="s">
        <v>231</v>
      </c>
      <c r="D55" s="36" t="s">
        <v>250</v>
      </c>
      <c r="E55" s="36" t="s">
        <v>267</v>
      </c>
      <c r="F55" s="36" t="s">
        <v>284</v>
      </c>
      <c r="G55" s="36" t="s">
        <v>267</v>
      </c>
      <c r="H55" s="36" t="s">
        <v>318</v>
      </c>
      <c r="I55" s="75">
        <v>2.83</v>
      </c>
    </row>
    <row r="56" spans="1:9">
      <c r="A56" s="36" t="str">
        <f t="shared" si="1"/>
        <v>HP03_ALL_MIN_ALL_SouthWales</v>
      </c>
      <c r="B56" s="36" t="s">
        <v>744</v>
      </c>
      <c r="C56" s="36" t="s">
        <v>231</v>
      </c>
      <c r="D56" s="36" t="s">
        <v>250</v>
      </c>
      <c r="E56" s="36" t="s">
        <v>267</v>
      </c>
      <c r="F56" s="36" t="s">
        <v>284</v>
      </c>
      <c r="G56" s="36" t="s">
        <v>267</v>
      </c>
      <c r="H56" s="36" t="s">
        <v>321</v>
      </c>
      <c r="I56" s="75">
        <v>2.83</v>
      </c>
    </row>
    <row r="57" spans="1:9">
      <c r="A57" s="36" t="str">
        <f t="shared" si="1"/>
        <v>HP03_ALL_MIN_ALL_SouthWest</v>
      </c>
      <c r="B57" s="36" t="s">
        <v>744</v>
      </c>
      <c r="C57" s="36" t="s">
        <v>231</v>
      </c>
      <c r="D57" s="36" t="s">
        <v>250</v>
      </c>
      <c r="E57" s="36" t="s">
        <v>267</v>
      </c>
      <c r="F57" s="36" t="s">
        <v>284</v>
      </c>
      <c r="G57" s="36" t="s">
        <v>267</v>
      </c>
      <c r="H57" s="36" t="s">
        <v>323</v>
      </c>
      <c r="I57" s="75">
        <v>2.83</v>
      </c>
    </row>
    <row r="58" spans="1:9">
      <c r="A58" s="36" t="str">
        <f t="shared" si="1"/>
        <v>HP03_ALL_MIN_ALL_South</v>
      </c>
      <c r="B58" s="36" t="s">
        <v>744</v>
      </c>
      <c r="C58" s="36" t="s">
        <v>231</v>
      </c>
      <c r="D58" s="36" t="s">
        <v>250</v>
      </c>
      <c r="E58" s="36" t="s">
        <v>267</v>
      </c>
      <c r="F58" s="36" t="s">
        <v>284</v>
      </c>
      <c r="G58" s="36" t="s">
        <v>267</v>
      </c>
      <c r="H58" s="36" t="s">
        <v>324</v>
      </c>
      <c r="I58" s="75">
        <v>2.83</v>
      </c>
    </row>
    <row r="59" spans="1:9">
      <c r="A59" s="36" t="str">
        <f t="shared" si="1"/>
        <v>HP03_ALL_MIN_ALL_Yorkshire</v>
      </c>
      <c r="B59" s="36" t="s">
        <v>744</v>
      </c>
      <c r="C59" s="36" t="s">
        <v>231</v>
      </c>
      <c r="D59" s="36" t="s">
        <v>250</v>
      </c>
      <c r="E59" s="36" t="s">
        <v>267</v>
      </c>
      <c r="F59" s="36" t="s">
        <v>284</v>
      </c>
      <c r="G59" s="36" t="s">
        <v>267</v>
      </c>
      <c r="H59" s="36" t="s">
        <v>326</v>
      </c>
      <c r="I59" s="75">
        <v>2.83</v>
      </c>
    </row>
  </sheetData>
  <hyperlinks>
    <hyperlink ref="A1" location="Contents!A1" display="Back to contents" xr:uid="{3C67A038-D0F8-4C45-B3A4-10A89CF18EC6}"/>
    <hyperlink ref="A2" location="'HP CPA Summary Table'!A1" display="Back to HP CPA Summary Table" xr:uid="{5E09035D-CE27-476F-A09A-80FCB47E2F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4A870-5D92-4451-806E-D04C7F62C91D}">
  <sheetPr>
    <tabColor rgb="FF7A3864"/>
  </sheetPr>
  <dimension ref="A1:P53"/>
  <sheetViews>
    <sheetView zoomScale="60" zoomScaleNormal="60" workbookViewId="0">
      <pane ySplit="3" topLeftCell="A4" activePane="bottomLeft" state="frozen"/>
      <selection pane="bottomLeft"/>
    </sheetView>
  </sheetViews>
  <sheetFormatPr defaultColWidth="9.19921875" defaultRowHeight="20.45"/>
  <cols>
    <col min="1" max="1" width="9.5" style="29" customWidth="1"/>
    <col min="2" max="2" width="18.796875" style="29" customWidth="1"/>
    <col min="3" max="3" width="19.8984375" style="29" customWidth="1"/>
    <col min="4" max="4" width="207.8984375" style="29" customWidth="1"/>
    <col min="5" max="5" width="15.19921875" style="29" customWidth="1"/>
    <col min="6" max="6" width="120.5" style="29" customWidth="1"/>
    <col min="7" max="16384" width="9.19921875" style="29"/>
  </cols>
  <sheetData>
    <row r="1" spans="1:16" s="89" customFormat="1" ht="35.1" customHeight="1">
      <c r="A1" s="154" t="s">
        <v>4</v>
      </c>
      <c r="B1" s="164"/>
      <c r="C1" s="155"/>
      <c r="D1" s="155"/>
      <c r="E1" s="155"/>
      <c r="F1" s="155"/>
      <c r="G1" s="155"/>
      <c r="H1" s="155"/>
      <c r="I1" s="155"/>
      <c r="J1" s="155"/>
      <c r="K1" s="155"/>
      <c r="L1" s="155"/>
      <c r="M1" s="155"/>
      <c r="N1" s="155"/>
      <c r="O1" s="155"/>
      <c r="P1" s="155"/>
    </row>
    <row r="2" spans="1:16">
      <c r="A2" s="156" t="s">
        <v>57</v>
      </c>
      <c r="B2" s="30"/>
      <c r="C2" s="30"/>
      <c r="D2" s="30"/>
      <c r="E2" s="30"/>
      <c r="F2" s="30"/>
      <c r="G2" s="30"/>
      <c r="H2" s="30"/>
      <c r="I2" s="30"/>
      <c r="J2" s="30"/>
      <c r="K2" s="30"/>
      <c r="L2" s="30"/>
    </row>
    <row r="3" spans="1:16">
      <c r="A3" s="171" t="s">
        <v>3</v>
      </c>
      <c r="B3" s="171" t="s">
        <v>58</v>
      </c>
      <c r="C3" s="171" t="s">
        <v>59</v>
      </c>
      <c r="D3" s="171" t="s">
        <v>60</v>
      </c>
    </row>
    <row r="4" spans="1:16">
      <c r="A4" s="272">
        <v>1</v>
      </c>
      <c r="B4" s="274">
        <v>46052</v>
      </c>
      <c r="C4" s="316" t="s">
        <v>61</v>
      </c>
      <c r="D4" s="273" t="s">
        <v>62</v>
      </c>
    </row>
    <row r="5" spans="1:16">
      <c r="A5" s="331"/>
      <c r="B5" s="330"/>
      <c r="C5" s="329"/>
      <c r="D5" s="308"/>
    </row>
    <row r="6" spans="1:16">
      <c r="A6" s="331"/>
      <c r="B6" s="330"/>
      <c r="C6" s="329"/>
      <c r="D6" s="314"/>
    </row>
    <row r="7" spans="1:16">
      <c r="A7" s="331"/>
      <c r="B7" s="330"/>
      <c r="C7" s="329"/>
      <c r="D7" s="315"/>
    </row>
    <row r="8" spans="1:16">
      <c r="A8" s="331"/>
      <c r="B8" s="330"/>
      <c r="C8" s="329"/>
      <c r="D8" s="314"/>
    </row>
    <row r="9" spans="1:16">
      <c r="A9" s="331"/>
      <c r="B9" s="330"/>
      <c r="C9" s="329"/>
      <c r="D9" s="309"/>
    </row>
    <row r="10" spans="1:16">
      <c r="A10" s="331"/>
      <c r="B10" s="330"/>
      <c r="C10" s="329"/>
      <c r="D10" s="309"/>
    </row>
    <row r="11" spans="1:16">
      <c r="A11" s="331"/>
      <c r="B11" s="330"/>
      <c r="C11" s="329"/>
      <c r="D11" s="309"/>
    </row>
    <row r="12" spans="1:16">
      <c r="A12" s="331"/>
      <c r="B12" s="330"/>
      <c r="C12" s="329"/>
      <c r="D12" s="309"/>
    </row>
    <row r="13" spans="1:16" ht="21.6" customHeight="1">
      <c r="A13" s="331"/>
      <c r="B13" s="330"/>
      <c r="C13" s="329"/>
      <c r="D13" s="310"/>
    </row>
    <row r="14" spans="1:16">
      <c r="A14" s="331"/>
      <c r="B14" s="330"/>
      <c r="C14" s="329"/>
      <c r="D14" s="310"/>
    </row>
    <row r="15" spans="1:16">
      <c r="A15" s="331"/>
      <c r="B15" s="330"/>
      <c r="C15" s="329"/>
      <c r="D15" s="309"/>
    </row>
    <row r="16" spans="1:16">
      <c r="A16" s="331"/>
      <c r="B16" s="330"/>
      <c r="C16" s="329"/>
      <c r="D16" s="309"/>
    </row>
    <row r="17" spans="1:16">
      <c r="A17" s="331"/>
      <c r="B17" s="330"/>
      <c r="C17" s="329"/>
      <c r="D17" s="311"/>
    </row>
    <row r="18" spans="1:16" ht="21.6" customHeight="1">
      <c r="A18" s="331"/>
      <c r="B18" s="330"/>
      <c r="C18" s="329"/>
      <c r="D18" s="308"/>
    </row>
    <row r="19" spans="1:16">
      <c r="A19" s="331"/>
      <c r="B19" s="330"/>
      <c r="C19" s="329"/>
      <c r="D19" s="312"/>
    </row>
    <row r="20" spans="1:16" ht="36.75" customHeight="1">
      <c r="A20" s="331"/>
      <c r="B20" s="330"/>
      <c r="C20" s="329"/>
      <c r="D20" s="308"/>
    </row>
    <row r="21" spans="1:16">
      <c r="A21" s="331"/>
      <c r="B21" s="330"/>
      <c r="C21" s="329"/>
      <c r="D21" s="308"/>
    </row>
    <row r="22" spans="1:16">
      <c r="A22" s="331"/>
      <c r="B22" s="330"/>
      <c r="C22" s="329"/>
      <c r="D22" s="308"/>
    </row>
    <row r="23" spans="1:16">
      <c r="A23" s="327"/>
      <c r="B23" s="328"/>
      <c r="C23" s="332"/>
      <c r="D23" s="308"/>
    </row>
    <row r="24" spans="1:16">
      <c r="A24" s="327"/>
      <c r="B24" s="328"/>
      <c r="C24" s="332"/>
    </row>
    <row r="25" spans="1:16">
      <c r="A25" s="327"/>
      <c r="B25" s="328"/>
      <c r="C25" s="332"/>
    </row>
    <row r="26" spans="1:16">
      <c r="A26" s="327"/>
      <c r="B26" s="328"/>
      <c r="C26" s="332"/>
      <c r="D26" s="3"/>
    </row>
    <row r="27" spans="1:16">
      <c r="A27" s="325"/>
      <c r="B27" s="326"/>
      <c r="C27" s="325"/>
    </row>
    <row r="28" spans="1:16">
      <c r="A28" s="325"/>
      <c r="B28" s="326"/>
      <c r="C28" s="325"/>
    </row>
    <row r="29" spans="1:16">
      <c r="A29" s="325"/>
      <c r="B29" s="326"/>
      <c r="C29" s="325"/>
      <c r="D29" s="3"/>
    </row>
    <row r="30" spans="1:16">
      <c r="A30" s="325"/>
      <c r="B30" s="326"/>
      <c r="C30" s="325"/>
      <c r="D30" s="3"/>
      <c r="E30" s="3"/>
      <c r="F30" s="3"/>
      <c r="G30" s="3"/>
      <c r="H30" s="3"/>
      <c r="I30" s="3"/>
      <c r="J30" s="3"/>
      <c r="K30" s="3"/>
      <c r="L30" s="3"/>
      <c r="M30" s="3"/>
      <c r="N30" s="3"/>
      <c r="O30" s="3"/>
      <c r="P30" s="3"/>
    </row>
    <row r="31" spans="1:16">
      <c r="A31" s="325"/>
      <c r="B31" s="326"/>
      <c r="C31" s="325"/>
      <c r="D31" s="3"/>
    </row>
    <row r="32" spans="1:16">
      <c r="A32" s="327"/>
      <c r="B32" s="328"/>
      <c r="C32" s="327"/>
    </row>
    <row r="33" spans="1:4">
      <c r="A33" s="327"/>
      <c r="B33" s="328"/>
      <c r="C33" s="327"/>
    </row>
    <row r="34" spans="1:4">
      <c r="A34" s="327"/>
      <c r="B34" s="328"/>
      <c r="C34" s="327"/>
    </row>
    <row r="35" spans="1:4">
      <c r="A35" s="327"/>
      <c r="B35" s="328"/>
      <c r="C35" s="327"/>
    </row>
    <row r="36" spans="1:4">
      <c r="A36" s="327"/>
      <c r="B36" s="328"/>
      <c r="C36" s="327"/>
    </row>
    <row r="37" spans="1:4">
      <c r="A37" s="327"/>
      <c r="B37" s="328"/>
      <c r="C37" s="327"/>
    </row>
    <row r="38" spans="1:4">
      <c r="A38" s="327"/>
      <c r="B38" s="328"/>
      <c r="C38" s="327"/>
    </row>
    <row r="39" spans="1:4">
      <c r="A39" s="327"/>
      <c r="B39" s="328"/>
      <c r="C39" s="327"/>
    </row>
    <row r="40" spans="1:4">
      <c r="A40" s="327"/>
      <c r="B40" s="328"/>
      <c r="C40" s="327"/>
    </row>
    <row r="41" spans="1:4">
      <c r="A41" s="327"/>
      <c r="B41" s="328"/>
      <c r="C41" s="327"/>
    </row>
    <row r="42" spans="1:4">
      <c r="A42" s="325"/>
      <c r="B42" s="326"/>
      <c r="C42" s="325"/>
      <c r="D42" s="3"/>
    </row>
    <row r="43" spans="1:4">
      <c r="A43" s="325"/>
      <c r="B43" s="326"/>
      <c r="C43" s="325"/>
      <c r="D43" s="3"/>
    </row>
    <row r="44" spans="1:4">
      <c r="A44" s="325"/>
      <c r="B44" s="326"/>
      <c r="C44" s="325"/>
      <c r="D44" s="3"/>
    </row>
    <row r="45" spans="1:4">
      <c r="A45" s="325"/>
      <c r="B45" s="326"/>
      <c r="C45" s="325"/>
      <c r="D45" s="3"/>
    </row>
    <row r="46" spans="1:4">
      <c r="A46" s="325"/>
      <c r="B46" s="326"/>
      <c r="C46" s="325"/>
      <c r="D46" s="3"/>
    </row>
    <row r="47" spans="1:4">
      <c r="A47" s="325"/>
      <c r="B47" s="326"/>
      <c r="C47" s="325"/>
      <c r="D47" s="3"/>
    </row>
    <row r="48" spans="1:4">
      <c r="A48" s="325"/>
      <c r="B48" s="326"/>
      <c r="C48" s="325"/>
      <c r="D48" s="3"/>
    </row>
    <row r="49" spans="1:4">
      <c r="A49" s="325"/>
      <c r="B49" s="326"/>
      <c r="C49" s="325"/>
      <c r="D49" s="313"/>
    </row>
    <row r="50" spans="1:4">
      <c r="A50" s="325"/>
      <c r="B50" s="326"/>
      <c r="C50" s="325"/>
      <c r="D50" s="313"/>
    </row>
    <row r="51" spans="1:4">
      <c r="A51" s="325"/>
      <c r="B51" s="326"/>
      <c r="C51" s="325"/>
      <c r="D51" s="3"/>
    </row>
    <row r="52" spans="1:4">
      <c r="B52" s="3"/>
      <c r="C52" s="3"/>
    </row>
    <row r="53" spans="1:4">
      <c r="B53" s="3"/>
      <c r="C53" s="3"/>
    </row>
  </sheetData>
  <mergeCells count="18">
    <mergeCell ref="C23:C26"/>
    <mergeCell ref="B23:B26"/>
    <mergeCell ref="A23:A26"/>
    <mergeCell ref="C27:C31"/>
    <mergeCell ref="B27:B31"/>
    <mergeCell ref="A27:A31"/>
    <mergeCell ref="C5:C17"/>
    <mergeCell ref="B5:B17"/>
    <mergeCell ref="A5:A17"/>
    <mergeCell ref="C18:C22"/>
    <mergeCell ref="A18:A22"/>
    <mergeCell ref="B18:B22"/>
    <mergeCell ref="A42:A51"/>
    <mergeCell ref="B42:B51"/>
    <mergeCell ref="C42:C51"/>
    <mergeCell ref="C32:C41"/>
    <mergeCell ref="B32:B41"/>
    <mergeCell ref="A32:A41"/>
  </mergeCells>
  <hyperlinks>
    <hyperlink ref="A2" location="Contents!A1" display="Back to contents" xr:uid="{964761FB-C243-4749-93E4-F971C00B6B1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14268-6F7B-48FD-A8CD-F685EE488C02}">
  <sheetPr>
    <tabColor theme="8" tint="0.79998168889431442"/>
  </sheetPr>
  <dimension ref="A1:I7"/>
  <sheetViews>
    <sheetView showGridLines="0" workbookViewId="0">
      <pane xSplit="1" ySplit="3" topLeftCell="B4" activePane="bottomRight" state="frozen"/>
      <selection pane="bottomRight"/>
      <selection pane="bottomLeft"/>
      <selection pane="topRight"/>
    </sheetView>
  </sheetViews>
  <sheetFormatPr defaultRowHeight="20.45"/>
  <cols>
    <col min="1" max="1" width="26.8984375" customWidth="1"/>
    <col min="2" max="2" width="28.8984375" customWidth="1"/>
    <col min="3" max="4" width="12.19921875" customWidth="1"/>
    <col min="5" max="5" width="24.19921875" customWidth="1"/>
    <col min="6" max="6" width="40.19921875" customWidth="1"/>
    <col min="7" max="7" width="24.19921875" customWidth="1"/>
    <col min="8" max="8" width="30.5" customWidth="1"/>
    <col min="9" max="9" width="15.8984375" customWidth="1"/>
  </cols>
  <sheetData>
    <row r="1" spans="1:9">
      <c r="A1" s="98" t="s">
        <v>57</v>
      </c>
    </row>
    <row r="2" spans="1:9">
      <c r="A2" s="98" t="s">
        <v>742</v>
      </c>
    </row>
    <row r="3" spans="1:9">
      <c r="A3" s="170" t="s">
        <v>162</v>
      </c>
      <c r="B3" s="170" t="s">
        <v>340</v>
      </c>
      <c r="C3" s="170" t="s">
        <v>166</v>
      </c>
      <c r="D3" s="170" t="s">
        <v>172</v>
      </c>
      <c r="E3" s="170" t="s">
        <v>115</v>
      </c>
      <c r="F3" s="170" t="s">
        <v>483</v>
      </c>
      <c r="G3" s="170" t="s">
        <v>743</v>
      </c>
      <c r="H3" s="170" t="s">
        <v>485</v>
      </c>
      <c r="I3" s="170" t="s">
        <v>488</v>
      </c>
    </row>
    <row r="4" spans="1:9">
      <c r="A4" s="36" t="str">
        <f>_xlfn.CONCAT("HP04_",INDEX(dwelling_categories_short,MATCH(E4,dwelling_categories,0)),"_",INDEX(rep_days_short,MATCH(F4,rep_days,0)),"_",INDEX(HP_behaviours_short,MATCH(G4,HP_behaviours,0)),"_",H4)</f>
        <v>HP04_ALL_WP_ALL_GB</v>
      </c>
      <c r="B4" s="36" t="s">
        <v>745</v>
      </c>
      <c r="C4" s="36" t="s">
        <v>231</v>
      </c>
      <c r="D4" s="36" t="s">
        <v>250</v>
      </c>
      <c r="E4" s="36" t="s">
        <v>267</v>
      </c>
      <c r="F4" s="36" t="s">
        <v>235</v>
      </c>
      <c r="G4" s="36" t="s">
        <v>267</v>
      </c>
      <c r="H4" s="36" t="s">
        <v>130</v>
      </c>
      <c r="I4" s="36">
        <v>0.34</v>
      </c>
    </row>
    <row r="5" spans="1:9">
      <c r="A5" s="36" t="str">
        <f>_xlfn.CONCAT("HP04_",INDEX(dwelling_categories_short,MATCH(E5,dwelling_categories,0)),"_",INDEX(rep_days_short,MATCH(F5,rep_days,0)),"_",INDEX(HP_behaviours_short,MATCH(G5,HP_behaviours,0)),"_",H5)</f>
        <v>HP04_ALL_SP_ALL_GB</v>
      </c>
      <c r="B5" s="36" t="s">
        <v>746</v>
      </c>
      <c r="C5" s="36" t="s">
        <v>231</v>
      </c>
      <c r="D5" s="36" t="s">
        <v>250</v>
      </c>
      <c r="E5" s="36" t="s">
        <v>267</v>
      </c>
      <c r="F5" s="36" t="s">
        <v>254</v>
      </c>
      <c r="G5" s="36" t="s">
        <v>267</v>
      </c>
      <c r="H5" s="36" t="s">
        <v>130</v>
      </c>
      <c r="I5" s="36">
        <v>0.45</v>
      </c>
    </row>
    <row r="6" spans="1:9">
      <c r="A6" s="36" t="str">
        <f>_xlfn.CONCAT("HP04_",INDEX(dwelling_categories_short,MATCH(E6,dwelling_categories,0)),"_",INDEX(rep_days_short,MATCH(F6,rep_days,0)),"_",INDEX(HP_behaviours_short,MATCH(G6,HP_behaviours,0)),"_",H6)</f>
        <v>HP04_ALL_SSP_ALL_GB</v>
      </c>
      <c r="B6" s="36" t="s">
        <v>745</v>
      </c>
      <c r="C6" s="36" t="s">
        <v>231</v>
      </c>
      <c r="D6" s="36" t="s">
        <v>250</v>
      </c>
      <c r="E6" s="36" t="s">
        <v>267</v>
      </c>
      <c r="F6" s="36" t="s">
        <v>273</v>
      </c>
      <c r="G6" s="36" t="s">
        <v>267</v>
      </c>
      <c r="H6" s="36" t="s">
        <v>130</v>
      </c>
      <c r="I6" s="36">
        <v>0.34</v>
      </c>
    </row>
    <row r="7" spans="1:9">
      <c r="A7" s="36" t="str">
        <f>_xlfn.CONCAT("HP04_",INDEX(dwelling_categories_short,MATCH(E7,dwelling_categories,0)),"_",INDEX(rep_days_short,MATCH(F7,rep_days,0)),"_",INDEX(HP_behaviours_short,MATCH(G7,HP_behaviours,0)),"_",H7)</f>
        <v>HP04_ALL_MIN_ALL_GB</v>
      </c>
      <c r="B7" s="36" t="s">
        <v>746</v>
      </c>
      <c r="C7" s="36" t="s">
        <v>231</v>
      </c>
      <c r="D7" s="36" t="s">
        <v>250</v>
      </c>
      <c r="E7" s="36" t="s">
        <v>267</v>
      </c>
      <c r="F7" s="36" t="s">
        <v>284</v>
      </c>
      <c r="G7" s="36" t="s">
        <v>267</v>
      </c>
      <c r="H7" s="36" t="s">
        <v>130</v>
      </c>
      <c r="I7" s="36">
        <v>0.45</v>
      </c>
    </row>
  </sheetData>
  <hyperlinks>
    <hyperlink ref="A1" location="Contents!A1" display="Back to contents" xr:uid="{6EF89301-3C04-4EB5-8B97-E1B9F37682CE}"/>
    <hyperlink ref="A2" location="'HP CPA Summary Table'!A1" display="Back to HP CPA Summary Table" xr:uid="{9F9E80E6-DFF5-4C43-AFF9-AA54FA3F9B4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6345-BB37-4B05-8CCF-9CB786A878A9}">
  <sheetPr>
    <tabColor theme="8" tint="0.79998168889431442"/>
  </sheetPr>
  <dimension ref="A1:N59"/>
  <sheetViews>
    <sheetView showGridLines="0" zoomScaleNormal="100" workbookViewId="0">
      <pane xSplit="1" ySplit="3" topLeftCell="E4" activePane="bottomRight" state="frozen"/>
      <selection pane="bottomRight"/>
      <selection pane="bottomLeft"/>
      <selection pane="topRight"/>
    </sheetView>
  </sheetViews>
  <sheetFormatPr defaultRowHeight="20.45"/>
  <cols>
    <col min="1" max="1" width="37" customWidth="1"/>
    <col min="2" max="3" width="6.5" customWidth="1"/>
    <col min="4" max="4" width="21.5" customWidth="1"/>
    <col min="5" max="5" width="40.19921875" customWidth="1"/>
    <col min="6" max="6" width="12.5" customWidth="1"/>
    <col min="7" max="7" width="32.5" customWidth="1"/>
    <col min="8" max="8" width="15.8984375" customWidth="1"/>
    <col min="9" max="9" width="24.8984375" customWidth="1"/>
    <col min="10" max="10" width="25.19921875" customWidth="1"/>
  </cols>
  <sheetData>
    <row r="1" spans="1:14">
      <c r="A1" s="98" t="s">
        <v>57</v>
      </c>
    </row>
    <row r="2" spans="1:14">
      <c r="A2" s="98" t="s">
        <v>742</v>
      </c>
    </row>
    <row r="3" spans="1:14">
      <c r="A3" s="170" t="s">
        <v>162</v>
      </c>
      <c r="B3" s="170" t="s">
        <v>340</v>
      </c>
      <c r="C3" s="170" t="s">
        <v>751</v>
      </c>
      <c r="D3" s="170" t="s">
        <v>115</v>
      </c>
      <c r="E3" s="170" t="s">
        <v>483</v>
      </c>
      <c r="F3" s="170" t="s">
        <v>743</v>
      </c>
      <c r="G3" s="170" t="s">
        <v>752</v>
      </c>
      <c r="H3" s="170" t="s">
        <v>488</v>
      </c>
      <c r="I3" s="170" t="s">
        <v>489</v>
      </c>
      <c r="J3" s="249" t="s">
        <v>490</v>
      </c>
    </row>
    <row r="4" spans="1:14">
      <c r="A4" s="36" t="str">
        <f t="shared" ref="A4:A35" si="0">_xlfn.CONCAT("HP05_",INDEX(dwelling_categories_short,MATCH(D4,dwelling_categories,0)),"_",INDEX(rep_days_short,MATCH(E4,rep_days,0)),"_",INDEX(HP_behaviours_short,MATCH(F4,HP_behaviours,0)),"_",INDEX(Licence_areas_short,MATCH(G4,Licence_areas,0)))</f>
        <v>HP05_NA_WP_NA_EastMids</v>
      </c>
      <c r="B4" s="36" t="s">
        <v>747</v>
      </c>
      <c r="C4" s="36" t="s">
        <v>269</v>
      </c>
      <c r="D4" s="36" t="s">
        <v>269</v>
      </c>
      <c r="E4" s="36" t="s">
        <v>235</v>
      </c>
      <c r="F4" s="36" t="s">
        <v>269</v>
      </c>
      <c r="G4" s="36" t="s">
        <v>240</v>
      </c>
      <c r="H4" s="76">
        <v>21</v>
      </c>
      <c r="I4" s="76">
        <v>20.2</v>
      </c>
      <c r="J4" s="76">
        <v>21.8</v>
      </c>
      <c r="L4" s="20"/>
      <c r="M4" s="20"/>
      <c r="N4" s="20"/>
    </row>
    <row r="5" spans="1:14">
      <c r="A5" s="36" t="str">
        <f t="shared" si="0"/>
        <v>HP05_NA_WP_NA_East</v>
      </c>
      <c r="B5" s="36" t="s">
        <v>747</v>
      </c>
      <c r="C5" s="36" t="s">
        <v>269</v>
      </c>
      <c r="D5" s="36" t="s">
        <v>269</v>
      </c>
      <c r="E5" s="36" t="s">
        <v>235</v>
      </c>
      <c r="F5" s="36" t="s">
        <v>269</v>
      </c>
      <c r="G5" s="36" t="s">
        <v>260</v>
      </c>
      <c r="H5" s="76">
        <v>20.9</v>
      </c>
      <c r="I5" s="76">
        <v>19.899999999999999</v>
      </c>
      <c r="J5" s="76">
        <v>21.6</v>
      </c>
      <c r="L5" s="20"/>
      <c r="M5" s="20"/>
      <c r="N5" s="20"/>
    </row>
    <row r="6" spans="1:14">
      <c r="A6" s="36" t="str">
        <f t="shared" si="0"/>
        <v>HP05_NA_WP_NA_London</v>
      </c>
      <c r="B6" s="36" t="s">
        <v>747</v>
      </c>
      <c r="C6" s="36" t="s">
        <v>269</v>
      </c>
      <c r="D6" s="36" t="s">
        <v>269</v>
      </c>
      <c r="E6" s="36" t="s">
        <v>235</v>
      </c>
      <c r="F6" s="36" t="s">
        <v>269</v>
      </c>
      <c r="G6" s="36" t="s">
        <v>275</v>
      </c>
      <c r="H6" s="76">
        <v>19.899999999999999</v>
      </c>
      <c r="I6" s="76">
        <v>19.5</v>
      </c>
      <c r="J6" s="76">
        <v>20.2</v>
      </c>
      <c r="L6" s="20"/>
      <c r="M6" s="20"/>
      <c r="N6" s="20"/>
    </row>
    <row r="7" spans="1:14">
      <c r="A7" s="36" t="str">
        <f t="shared" si="0"/>
        <v>HP05_NA_WP_NA_MersNWales</v>
      </c>
      <c r="B7" s="36" t="s">
        <v>747</v>
      </c>
      <c r="C7" s="36" t="s">
        <v>269</v>
      </c>
      <c r="D7" s="36" t="s">
        <v>269</v>
      </c>
      <c r="E7" s="36" t="s">
        <v>235</v>
      </c>
      <c r="F7" s="36" t="s">
        <v>269</v>
      </c>
      <c r="G7" s="36" t="s">
        <v>286</v>
      </c>
      <c r="H7" s="76">
        <v>20.8</v>
      </c>
      <c r="I7" s="76">
        <v>18.3</v>
      </c>
      <c r="J7" s="76">
        <v>22.7</v>
      </c>
      <c r="L7" s="20"/>
      <c r="M7" s="20"/>
      <c r="N7" s="20"/>
    </row>
    <row r="8" spans="1:14">
      <c r="A8" s="36" t="str">
        <f t="shared" si="0"/>
        <v>HP05_NA_WP_NA_Wmids</v>
      </c>
      <c r="B8" s="36" t="s">
        <v>747</v>
      </c>
      <c r="C8" s="36" t="s">
        <v>269</v>
      </c>
      <c r="D8" s="36" t="s">
        <v>269</v>
      </c>
      <c r="E8" s="36" t="s">
        <v>235</v>
      </c>
      <c r="F8" s="36" t="s">
        <v>269</v>
      </c>
      <c r="G8" s="36" t="s">
        <v>294</v>
      </c>
      <c r="H8" s="76">
        <v>21.3</v>
      </c>
      <c r="I8" s="76">
        <v>20.3</v>
      </c>
      <c r="J8" s="76">
        <v>22.5</v>
      </c>
      <c r="L8" s="20"/>
      <c r="M8" s="20"/>
      <c r="N8" s="20"/>
    </row>
    <row r="9" spans="1:14">
      <c r="A9" s="36" t="str">
        <f t="shared" si="0"/>
        <v>HP05_NA_WP_NA_NorthScot</v>
      </c>
      <c r="B9" s="36" t="s">
        <v>747</v>
      </c>
      <c r="C9" s="36" t="s">
        <v>269</v>
      </c>
      <c r="D9" s="36" t="s">
        <v>269</v>
      </c>
      <c r="E9" s="36" t="s">
        <v>235</v>
      </c>
      <c r="F9" s="36" t="s">
        <v>269</v>
      </c>
      <c r="G9" s="36" t="s">
        <v>299</v>
      </c>
      <c r="H9" s="76">
        <v>22.3</v>
      </c>
      <c r="I9" s="76">
        <v>18.899999999999999</v>
      </c>
      <c r="J9" s="76">
        <v>26.1</v>
      </c>
      <c r="L9" s="20"/>
      <c r="M9" s="20"/>
      <c r="N9" s="20"/>
    </row>
    <row r="10" spans="1:14">
      <c r="A10" s="36" t="str">
        <f t="shared" si="0"/>
        <v>HP05_NA_WP_NA_NorthWest</v>
      </c>
      <c r="B10" s="36" t="s">
        <v>747</v>
      </c>
      <c r="C10" s="36" t="s">
        <v>269</v>
      </c>
      <c r="D10" s="36" t="s">
        <v>269</v>
      </c>
      <c r="E10" s="36" t="s">
        <v>235</v>
      </c>
      <c r="F10" s="36" t="s">
        <v>269</v>
      </c>
      <c r="G10" s="36" t="s">
        <v>305</v>
      </c>
      <c r="H10" s="76">
        <v>21.9</v>
      </c>
      <c r="I10" s="76">
        <v>20</v>
      </c>
      <c r="J10" s="76">
        <v>23.9</v>
      </c>
      <c r="L10" s="20"/>
      <c r="M10" s="20"/>
      <c r="N10" s="20"/>
    </row>
    <row r="11" spans="1:14">
      <c r="A11" s="36" t="str">
        <f t="shared" si="0"/>
        <v>HP05_NA_WP_NA_North</v>
      </c>
      <c r="B11" s="36" t="s">
        <v>747</v>
      </c>
      <c r="C11" s="36" t="s">
        <v>269</v>
      </c>
      <c r="D11" s="36" t="s">
        <v>269</v>
      </c>
      <c r="E11" s="36" t="s">
        <v>235</v>
      </c>
      <c r="F11" s="36" t="s">
        <v>269</v>
      </c>
      <c r="G11" s="36" t="s">
        <v>308</v>
      </c>
      <c r="H11" s="76">
        <v>22.2</v>
      </c>
      <c r="I11" s="76">
        <v>20.6</v>
      </c>
      <c r="J11" s="76">
        <v>24.6</v>
      </c>
      <c r="L11" s="20"/>
      <c r="M11" s="20"/>
      <c r="N11" s="20"/>
    </row>
    <row r="12" spans="1:14">
      <c r="A12" s="36" t="str">
        <f t="shared" si="0"/>
        <v>HP05_NA_WP_NA_SouthEast</v>
      </c>
      <c r="B12" s="36" t="s">
        <v>747</v>
      </c>
      <c r="C12" s="36" t="s">
        <v>269</v>
      </c>
      <c r="D12" s="36" t="s">
        <v>269</v>
      </c>
      <c r="E12" s="36" t="s">
        <v>235</v>
      </c>
      <c r="F12" s="36" t="s">
        <v>269</v>
      </c>
      <c r="G12" s="36" t="s">
        <v>313</v>
      </c>
      <c r="H12" s="76">
        <v>20.5</v>
      </c>
      <c r="I12" s="76">
        <v>19.100000000000001</v>
      </c>
      <c r="J12" s="76">
        <v>21.2</v>
      </c>
      <c r="L12" s="20"/>
      <c r="M12" s="20"/>
      <c r="N12" s="20"/>
    </row>
    <row r="13" spans="1:14">
      <c r="A13" s="36" t="str">
        <f t="shared" si="0"/>
        <v>HP05_NA_WP_NA_SouthScot</v>
      </c>
      <c r="B13" s="36" t="s">
        <v>747</v>
      </c>
      <c r="C13" s="36" t="s">
        <v>269</v>
      </c>
      <c r="D13" s="36" t="s">
        <v>269</v>
      </c>
      <c r="E13" s="36" t="s">
        <v>235</v>
      </c>
      <c r="F13" s="36" t="s">
        <v>269</v>
      </c>
      <c r="G13" s="36" t="s">
        <v>318</v>
      </c>
      <c r="H13" s="76">
        <v>22.3</v>
      </c>
      <c r="I13" s="76">
        <v>19.7</v>
      </c>
      <c r="J13" s="76">
        <v>24.2</v>
      </c>
      <c r="L13" s="20"/>
      <c r="M13" s="20"/>
      <c r="N13" s="20"/>
    </row>
    <row r="14" spans="1:14">
      <c r="A14" s="36" t="str">
        <f t="shared" si="0"/>
        <v>HP05_NA_WP_NA_SouthWales</v>
      </c>
      <c r="B14" s="36" t="s">
        <v>747</v>
      </c>
      <c r="C14" s="36" t="s">
        <v>269</v>
      </c>
      <c r="D14" s="36" t="s">
        <v>269</v>
      </c>
      <c r="E14" s="36" t="s">
        <v>235</v>
      </c>
      <c r="F14" s="36" t="s">
        <v>269</v>
      </c>
      <c r="G14" s="36" t="s">
        <v>321</v>
      </c>
      <c r="H14" s="76">
        <v>21.1</v>
      </c>
      <c r="I14" s="76">
        <v>18.2</v>
      </c>
      <c r="J14" s="76">
        <v>22.8</v>
      </c>
      <c r="L14" s="20"/>
      <c r="M14" s="20"/>
      <c r="N14" s="20"/>
    </row>
    <row r="15" spans="1:14">
      <c r="A15" s="36" t="str">
        <f t="shared" si="0"/>
        <v>HP05_NA_WP_NA_SouthWest</v>
      </c>
      <c r="B15" s="36" t="s">
        <v>747</v>
      </c>
      <c r="C15" s="36" t="s">
        <v>269</v>
      </c>
      <c r="D15" s="36" t="s">
        <v>269</v>
      </c>
      <c r="E15" s="36" t="s">
        <v>235</v>
      </c>
      <c r="F15" s="36" t="s">
        <v>269</v>
      </c>
      <c r="G15" s="36" t="s">
        <v>323</v>
      </c>
      <c r="H15" s="76">
        <v>19.5</v>
      </c>
      <c r="I15" s="76">
        <v>17.5</v>
      </c>
      <c r="J15" s="76">
        <v>20.9</v>
      </c>
      <c r="L15" s="20"/>
      <c r="M15" s="20"/>
      <c r="N15" s="20"/>
    </row>
    <row r="16" spans="1:14">
      <c r="A16" s="36" t="str">
        <f t="shared" si="0"/>
        <v>HP05_NA_WP_NA_South</v>
      </c>
      <c r="B16" s="36" t="s">
        <v>747</v>
      </c>
      <c r="C16" s="36" t="s">
        <v>269</v>
      </c>
      <c r="D16" s="36" t="s">
        <v>269</v>
      </c>
      <c r="E16" s="36" t="s">
        <v>235</v>
      </c>
      <c r="F16" s="36" t="s">
        <v>269</v>
      </c>
      <c r="G16" s="36" t="s">
        <v>324</v>
      </c>
      <c r="H16" s="76">
        <v>20.7</v>
      </c>
      <c r="I16" s="76">
        <v>19</v>
      </c>
      <c r="J16" s="76">
        <v>21.8</v>
      </c>
      <c r="L16" s="20"/>
      <c r="M16" s="20"/>
      <c r="N16" s="20"/>
    </row>
    <row r="17" spans="1:14">
      <c r="A17" s="36" t="str">
        <f t="shared" si="0"/>
        <v>HP05_NA_WP_NA_Yorkshire</v>
      </c>
      <c r="B17" s="36" t="s">
        <v>747</v>
      </c>
      <c r="C17" s="36" t="s">
        <v>269</v>
      </c>
      <c r="D17" s="36" t="s">
        <v>269</v>
      </c>
      <c r="E17" s="36" t="s">
        <v>235</v>
      </c>
      <c r="F17" s="36" t="s">
        <v>269</v>
      </c>
      <c r="G17" s="36" t="s">
        <v>326</v>
      </c>
      <c r="H17" s="76">
        <v>21</v>
      </c>
      <c r="I17" s="76">
        <v>20.100000000000001</v>
      </c>
      <c r="J17" s="76">
        <v>23</v>
      </c>
      <c r="L17" s="20"/>
      <c r="M17" s="20"/>
      <c r="N17" s="20"/>
    </row>
    <row r="18" spans="1:14">
      <c r="A18" s="36" t="str">
        <f t="shared" si="0"/>
        <v>HP05_NA_SP_NA_EastMids</v>
      </c>
      <c r="B18" s="36" t="s">
        <v>747</v>
      </c>
      <c r="C18" s="36" t="s">
        <v>269</v>
      </c>
      <c r="D18" s="36" t="s">
        <v>269</v>
      </c>
      <c r="E18" s="36" t="s">
        <v>254</v>
      </c>
      <c r="F18" s="36" t="s">
        <v>269</v>
      </c>
      <c r="G18" s="36" t="s">
        <v>240</v>
      </c>
      <c r="H18" s="36" t="s">
        <v>269</v>
      </c>
      <c r="I18" s="36"/>
      <c r="J18" s="76"/>
    </row>
    <row r="19" spans="1:14">
      <c r="A19" s="36" t="str">
        <f t="shared" si="0"/>
        <v>HP05_NA_SP_NA_East</v>
      </c>
      <c r="B19" s="36" t="s">
        <v>747</v>
      </c>
      <c r="C19" s="36" t="s">
        <v>269</v>
      </c>
      <c r="D19" s="36" t="s">
        <v>269</v>
      </c>
      <c r="E19" s="36" t="s">
        <v>254</v>
      </c>
      <c r="F19" s="36" t="s">
        <v>269</v>
      </c>
      <c r="G19" s="36" t="s">
        <v>260</v>
      </c>
      <c r="H19" s="36" t="s">
        <v>269</v>
      </c>
      <c r="I19" s="36"/>
      <c r="J19" s="76"/>
    </row>
    <row r="20" spans="1:14">
      <c r="A20" s="36" t="str">
        <f t="shared" si="0"/>
        <v>HP05_NA_SP_NA_London</v>
      </c>
      <c r="B20" s="36" t="s">
        <v>747</v>
      </c>
      <c r="C20" s="36" t="s">
        <v>269</v>
      </c>
      <c r="D20" s="36" t="s">
        <v>269</v>
      </c>
      <c r="E20" s="36" t="s">
        <v>254</v>
      </c>
      <c r="F20" s="36" t="s">
        <v>269</v>
      </c>
      <c r="G20" s="36" t="s">
        <v>275</v>
      </c>
      <c r="H20" s="36" t="s">
        <v>269</v>
      </c>
      <c r="I20" s="36"/>
      <c r="J20" s="76"/>
    </row>
    <row r="21" spans="1:14">
      <c r="A21" s="36" t="str">
        <f t="shared" si="0"/>
        <v>HP05_NA_SP_NA_MersNWales</v>
      </c>
      <c r="B21" s="36" t="s">
        <v>747</v>
      </c>
      <c r="C21" s="36" t="s">
        <v>269</v>
      </c>
      <c r="D21" s="36" t="s">
        <v>269</v>
      </c>
      <c r="E21" s="36" t="s">
        <v>254</v>
      </c>
      <c r="F21" s="36" t="s">
        <v>269</v>
      </c>
      <c r="G21" s="36" t="s">
        <v>286</v>
      </c>
      <c r="H21" s="36" t="s">
        <v>269</v>
      </c>
      <c r="I21" s="36"/>
      <c r="J21" s="76"/>
    </row>
    <row r="22" spans="1:14">
      <c r="A22" s="36" t="str">
        <f t="shared" si="0"/>
        <v>HP05_NA_SP_NA_Wmids</v>
      </c>
      <c r="B22" s="36" t="s">
        <v>747</v>
      </c>
      <c r="C22" s="36" t="s">
        <v>269</v>
      </c>
      <c r="D22" s="36" t="s">
        <v>269</v>
      </c>
      <c r="E22" s="36" t="s">
        <v>254</v>
      </c>
      <c r="F22" s="36" t="s">
        <v>269</v>
      </c>
      <c r="G22" s="36" t="s">
        <v>294</v>
      </c>
      <c r="H22" s="36" t="s">
        <v>269</v>
      </c>
      <c r="I22" s="36"/>
      <c r="J22" s="76"/>
    </row>
    <row r="23" spans="1:14">
      <c r="A23" s="36" t="str">
        <f t="shared" si="0"/>
        <v>HP05_NA_SP_NA_NorthScot</v>
      </c>
      <c r="B23" s="36" t="s">
        <v>747</v>
      </c>
      <c r="C23" s="36" t="s">
        <v>269</v>
      </c>
      <c r="D23" s="36" t="s">
        <v>269</v>
      </c>
      <c r="E23" s="36" t="s">
        <v>254</v>
      </c>
      <c r="F23" s="36" t="s">
        <v>269</v>
      </c>
      <c r="G23" s="36" t="s">
        <v>299</v>
      </c>
      <c r="H23" s="36" t="s">
        <v>269</v>
      </c>
      <c r="I23" s="36"/>
      <c r="J23" s="76"/>
    </row>
    <row r="24" spans="1:14">
      <c r="A24" s="36" t="str">
        <f t="shared" si="0"/>
        <v>HP05_NA_SP_NA_NorthWest</v>
      </c>
      <c r="B24" s="36" t="s">
        <v>747</v>
      </c>
      <c r="C24" s="36" t="s">
        <v>269</v>
      </c>
      <c r="D24" s="36" t="s">
        <v>269</v>
      </c>
      <c r="E24" s="36" t="s">
        <v>254</v>
      </c>
      <c r="F24" s="36" t="s">
        <v>269</v>
      </c>
      <c r="G24" s="36" t="s">
        <v>305</v>
      </c>
      <c r="H24" s="36" t="s">
        <v>269</v>
      </c>
      <c r="I24" s="36"/>
      <c r="J24" s="76"/>
    </row>
    <row r="25" spans="1:14">
      <c r="A25" s="36" t="str">
        <f t="shared" si="0"/>
        <v>HP05_NA_SP_NA_North</v>
      </c>
      <c r="B25" s="36" t="s">
        <v>747</v>
      </c>
      <c r="C25" s="36" t="s">
        <v>269</v>
      </c>
      <c r="D25" s="36" t="s">
        <v>269</v>
      </c>
      <c r="E25" s="36" t="s">
        <v>254</v>
      </c>
      <c r="F25" s="36" t="s">
        <v>269</v>
      </c>
      <c r="G25" s="36" t="s">
        <v>308</v>
      </c>
      <c r="H25" s="36" t="s">
        <v>269</v>
      </c>
      <c r="I25" s="36"/>
      <c r="J25" s="76"/>
    </row>
    <row r="26" spans="1:14">
      <c r="A26" s="36" t="str">
        <f t="shared" si="0"/>
        <v>HP05_NA_SP_NA_SouthEast</v>
      </c>
      <c r="B26" s="36" t="s">
        <v>747</v>
      </c>
      <c r="C26" s="36" t="s">
        <v>269</v>
      </c>
      <c r="D26" s="36" t="s">
        <v>269</v>
      </c>
      <c r="E26" s="36" t="s">
        <v>254</v>
      </c>
      <c r="F26" s="36" t="s">
        <v>269</v>
      </c>
      <c r="G26" s="36" t="s">
        <v>313</v>
      </c>
      <c r="H26" s="36" t="s">
        <v>269</v>
      </c>
      <c r="I26" s="36"/>
      <c r="J26" s="76"/>
    </row>
    <row r="27" spans="1:14">
      <c r="A27" s="36" t="str">
        <f t="shared" si="0"/>
        <v>HP05_NA_SP_NA_SouthScot</v>
      </c>
      <c r="B27" s="36" t="s">
        <v>747</v>
      </c>
      <c r="C27" s="36" t="s">
        <v>269</v>
      </c>
      <c r="D27" s="36" t="s">
        <v>269</v>
      </c>
      <c r="E27" s="36" t="s">
        <v>254</v>
      </c>
      <c r="F27" s="36" t="s">
        <v>269</v>
      </c>
      <c r="G27" s="36" t="s">
        <v>318</v>
      </c>
      <c r="H27" s="36" t="s">
        <v>269</v>
      </c>
      <c r="I27" s="36"/>
      <c r="J27" s="76"/>
    </row>
    <row r="28" spans="1:14">
      <c r="A28" s="36" t="str">
        <f t="shared" si="0"/>
        <v>HP05_NA_SP_NA_SouthWales</v>
      </c>
      <c r="B28" s="36" t="s">
        <v>747</v>
      </c>
      <c r="C28" s="36" t="s">
        <v>269</v>
      </c>
      <c r="D28" s="36" t="s">
        <v>269</v>
      </c>
      <c r="E28" s="36" t="s">
        <v>254</v>
      </c>
      <c r="F28" s="36" t="s">
        <v>269</v>
      </c>
      <c r="G28" s="36" t="s">
        <v>321</v>
      </c>
      <c r="H28" s="36" t="s">
        <v>269</v>
      </c>
      <c r="I28" s="36"/>
      <c r="J28" s="76"/>
    </row>
    <row r="29" spans="1:14">
      <c r="A29" s="36" t="str">
        <f t="shared" si="0"/>
        <v>HP05_NA_SP_NA_SouthWest</v>
      </c>
      <c r="B29" s="36" t="s">
        <v>747</v>
      </c>
      <c r="C29" s="36" t="s">
        <v>269</v>
      </c>
      <c r="D29" s="36" t="s">
        <v>269</v>
      </c>
      <c r="E29" s="36" t="s">
        <v>254</v>
      </c>
      <c r="F29" s="36" t="s">
        <v>269</v>
      </c>
      <c r="G29" s="36" t="s">
        <v>323</v>
      </c>
      <c r="H29" s="36" t="s">
        <v>269</v>
      </c>
      <c r="I29" s="36"/>
      <c r="J29" s="76"/>
    </row>
    <row r="30" spans="1:14">
      <c r="A30" s="36" t="str">
        <f t="shared" si="0"/>
        <v>HP05_NA_SP_NA_South</v>
      </c>
      <c r="B30" s="36" t="s">
        <v>747</v>
      </c>
      <c r="C30" s="36" t="s">
        <v>269</v>
      </c>
      <c r="D30" s="36" t="s">
        <v>269</v>
      </c>
      <c r="E30" s="36" t="s">
        <v>254</v>
      </c>
      <c r="F30" s="36" t="s">
        <v>269</v>
      </c>
      <c r="G30" s="36" t="s">
        <v>324</v>
      </c>
      <c r="H30" s="36" t="s">
        <v>269</v>
      </c>
      <c r="I30" s="36"/>
      <c r="J30" s="76"/>
    </row>
    <row r="31" spans="1:14">
      <c r="A31" s="36" t="str">
        <f t="shared" si="0"/>
        <v>HP05_NA_SP_NA_Yorkshire</v>
      </c>
      <c r="B31" s="36" t="s">
        <v>747</v>
      </c>
      <c r="C31" s="36" t="s">
        <v>269</v>
      </c>
      <c r="D31" s="36" t="s">
        <v>269</v>
      </c>
      <c r="E31" s="36" t="s">
        <v>254</v>
      </c>
      <c r="F31" s="36" t="s">
        <v>269</v>
      </c>
      <c r="G31" s="36" t="s">
        <v>326</v>
      </c>
      <c r="H31" s="36" t="s">
        <v>269</v>
      </c>
      <c r="I31" s="36"/>
      <c r="J31" s="76"/>
    </row>
    <row r="32" spans="1:14">
      <c r="A32" s="36" t="str">
        <f t="shared" si="0"/>
        <v>HP05_NA_SSP_NA_EastMids</v>
      </c>
      <c r="B32" s="36" t="s">
        <v>747</v>
      </c>
      <c r="C32" s="36" t="s">
        <v>269</v>
      </c>
      <c r="D32" s="36" t="s">
        <v>269</v>
      </c>
      <c r="E32" s="36" t="s">
        <v>273</v>
      </c>
      <c r="F32" s="36" t="s">
        <v>269</v>
      </c>
      <c r="G32" s="36" t="s">
        <v>240</v>
      </c>
      <c r="H32" s="76">
        <v>13.7</v>
      </c>
      <c r="I32" s="76">
        <v>12.9</v>
      </c>
      <c r="J32" s="76">
        <v>15</v>
      </c>
      <c r="L32" s="20"/>
      <c r="M32" s="20"/>
      <c r="N32" s="20"/>
    </row>
    <row r="33" spans="1:14">
      <c r="A33" s="36" t="str">
        <f t="shared" si="0"/>
        <v>HP05_NA_SSP_NA_East</v>
      </c>
      <c r="B33" s="36" t="s">
        <v>747</v>
      </c>
      <c r="C33" s="36" t="s">
        <v>269</v>
      </c>
      <c r="D33" s="36" t="s">
        <v>269</v>
      </c>
      <c r="E33" s="36" t="s">
        <v>273</v>
      </c>
      <c r="F33" s="36" t="s">
        <v>269</v>
      </c>
      <c r="G33" s="36" t="s">
        <v>260</v>
      </c>
      <c r="H33" s="76">
        <v>13.5</v>
      </c>
      <c r="I33" s="76">
        <v>12.4</v>
      </c>
      <c r="J33" s="76">
        <v>14.3</v>
      </c>
      <c r="L33" s="20"/>
      <c r="M33" s="20"/>
      <c r="N33" s="20"/>
    </row>
    <row r="34" spans="1:14">
      <c r="A34" s="36" t="str">
        <f t="shared" si="0"/>
        <v>HP05_NA_SSP_NA_London</v>
      </c>
      <c r="B34" s="36" t="s">
        <v>747</v>
      </c>
      <c r="C34" s="36" t="s">
        <v>269</v>
      </c>
      <c r="D34" s="36" t="s">
        <v>269</v>
      </c>
      <c r="E34" s="36" t="s">
        <v>273</v>
      </c>
      <c r="F34" s="36" t="s">
        <v>269</v>
      </c>
      <c r="G34" s="36" t="s">
        <v>275</v>
      </c>
      <c r="H34" s="76">
        <v>12.3</v>
      </c>
      <c r="I34" s="76">
        <v>12</v>
      </c>
      <c r="J34" s="76">
        <v>12.6</v>
      </c>
      <c r="L34" s="20"/>
      <c r="M34" s="20"/>
      <c r="N34" s="20"/>
    </row>
    <row r="35" spans="1:14">
      <c r="A35" s="36" t="str">
        <f t="shared" si="0"/>
        <v>HP05_NA_SSP_NA_MersNWales</v>
      </c>
      <c r="B35" s="36" t="s">
        <v>747</v>
      </c>
      <c r="C35" s="36" t="s">
        <v>269</v>
      </c>
      <c r="D35" s="36" t="s">
        <v>269</v>
      </c>
      <c r="E35" s="36" t="s">
        <v>273</v>
      </c>
      <c r="F35" s="36" t="s">
        <v>269</v>
      </c>
      <c r="G35" s="36" t="s">
        <v>286</v>
      </c>
      <c r="H35" s="76">
        <v>14.3</v>
      </c>
      <c r="I35" s="76">
        <v>11.8</v>
      </c>
      <c r="J35" s="76">
        <v>16.600000000000001</v>
      </c>
      <c r="L35" s="20"/>
      <c r="M35" s="20"/>
      <c r="N35" s="20"/>
    </row>
    <row r="36" spans="1:14">
      <c r="A36" s="36" t="str">
        <f t="shared" ref="A36:A59" si="1">_xlfn.CONCAT("HP05_",INDEX(dwelling_categories_short,MATCH(D36,dwelling_categories,0)),"_",INDEX(rep_days_short,MATCH(E36,rep_days,0)),"_",INDEX(HP_behaviours_short,MATCH(F36,HP_behaviours,0)),"_",INDEX(Licence_areas_short,MATCH(G36,Licence_areas,0)))</f>
        <v>HP05_NA_SSP_NA_Wmids</v>
      </c>
      <c r="B36" s="36" t="s">
        <v>747</v>
      </c>
      <c r="C36" s="36" t="s">
        <v>269</v>
      </c>
      <c r="D36" s="36" t="s">
        <v>269</v>
      </c>
      <c r="E36" s="36" t="s">
        <v>273</v>
      </c>
      <c r="F36" s="36" t="s">
        <v>269</v>
      </c>
      <c r="G36" s="36" t="s">
        <v>294</v>
      </c>
      <c r="H36" s="76">
        <v>14.1</v>
      </c>
      <c r="I36" s="76">
        <v>13.1</v>
      </c>
      <c r="J36" s="76">
        <v>15.6</v>
      </c>
      <c r="L36" s="20"/>
      <c r="M36" s="20"/>
      <c r="N36" s="20"/>
    </row>
    <row r="37" spans="1:14">
      <c r="A37" s="36" t="str">
        <f t="shared" si="1"/>
        <v>HP05_NA_SSP_NA_NorthScot</v>
      </c>
      <c r="B37" s="36" t="s">
        <v>747</v>
      </c>
      <c r="C37" s="36" t="s">
        <v>269</v>
      </c>
      <c r="D37" s="36" t="s">
        <v>269</v>
      </c>
      <c r="E37" s="36" t="s">
        <v>273</v>
      </c>
      <c r="F37" s="36" t="s">
        <v>269</v>
      </c>
      <c r="G37" s="36" t="s">
        <v>299</v>
      </c>
      <c r="H37" s="76">
        <v>16.3</v>
      </c>
      <c r="I37" s="76">
        <v>13.5</v>
      </c>
      <c r="J37" s="76">
        <v>20.100000000000001</v>
      </c>
      <c r="L37" s="20"/>
      <c r="M37" s="20"/>
      <c r="N37" s="20"/>
    </row>
    <row r="38" spans="1:14">
      <c r="A38" s="36" t="str">
        <f t="shared" si="1"/>
        <v>HP05_NA_SSP_NA_NorthWest</v>
      </c>
      <c r="B38" s="36" t="s">
        <v>747</v>
      </c>
      <c r="C38" s="36" t="s">
        <v>269</v>
      </c>
      <c r="D38" s="36" t="s">
        <v>269</v>
      </c>
      <c r="E38" s="36" t="s">
        <v>273</v>
      </c>
      <c r="F38" s="36" t="s">
        <v>269</v>
      </c>
      <c r="G38" s="36" t="s">
        <v>305</v>
      </c>
      <c r="H38" s="76">
        <v>15.2</v>
      </c>
      <c r="I38" s="76">
        <v>13.1</v>
      </c>
      <c r="J38" s="76">
        <v>17.5</v>
      </c>
      <c r="L38" s="20"/>
      <c r="M38" s="20"/>
      <c r="N38" s="20"/>
    </row>
    <row r="39" spans="1:14">
      <c r="A39" s="36" t="str">
        <f t="shared" si="1"/>
        <v>HP05_NA_SSP_NA_North</v>
      </c>
      <c r="B39" s="36" t="s">
        <v>747</v>
      </c>
      <c r="C39" s="36" t="s">
        <v>269</v>
      </c>
      <c r="D39" s="36" t="s">
        <v>269</v>
      </c>
      <c r="E39" s="36" t="s">
        <v>273</v>
      </c>
      <c r="F39" s="36" t="s">
        <v>269</v>
      </c>
      <c r="G39" s="36" t="s">
        <v>308</v>
      </c>
      <c r="H39" s="76">
        <v>15.4</v>
      </c>
      <c r="I39" s="76">
        <v>13.5</v>
      </c>
      <c r="J39" s="76">
        <v>18.399999999999999</v>
      </c>
      <c r="L39" s="20"/>
      <c r="M39" s="20"/>
      <c r="N39" s="20"/>
    </row>
    <row r="40" spans="1:14">
      <c r="A40" s="36" t="str">
        <f t="shared" si="1"/>
        <v>HP05_NA_SSP_NA_SouthEast</v>
      </c>
      <c r="B40" s="36" t="s">
        <v>747</v>
      </c>
      <c r="C40" s="36" t="s">
        <v>269</v>
      </c>
      <c r="D40" s="36" t="s">
        <v>269</v>
      </c>
      <c r="E40" s="36" t="s">
        <v>273</v>
      </c>
      <c r="F40" s="36" t="s">
        <v>269</v>
      </c>
      <c r="G40" s="36" t="s">
        <v>313</v>
      </c>
      <c r="H40" s="76">
        <v>13.3</v>
      </c>
      <c r="I40" s="76">
        <v>12</v>
      </c>
      <c r="J40" s="76">
        <v>14</v>
      </c>
      <c r="L40" s="20"/>
      <c r="M40" s="20"/>
      <c r="N40" s="20"/>
    </row>
    <row r="41" spans="1:14">
      <c r="A41" s="36" t="str">
        <f t="shared" si="1"/>
        <v>HP05_NA_SSP_NA_SouthScot</v>
      </c>
      <c r="B41" s="36" t="s">
        <v>747</v>
      </c>
      <c r="C41" s="36" t="s">
        <v>269</v>
      </c>
      <c r="D41" s="36" t="s">
        <v>269</v>
      </c>
      <c r="E41" s="36" t="s">
        <v>273</v>
      </c>
      <c r="F41" s="36" t="s">
        <v>269</v>
      </c>
      <c r="G41" s="36" t="s">
        <v>318</v>
      </c>
      <c r="H41" s="76">
        <v>15.8</v>
      </c>
      <c r="I41" s="76">
        <v>13.7</v>
      </c>
      <c r="J41" s="76">
        <v>18</v>
      </c>
      <c r="L41" s="20"/>
      <c r="M41" s="20"/>
      <c r="N41" s="20"/>
    </row>
    <row r="42" spans="1:14">
      <c r="A42" s="36" t="str">
        <f t="shared" si="1"/>
        <v>HP05_NA_SSP_NA_SouthWales</v>
      </c>
      <c r="B42" s="36" t="s">
        <v>747</v>
      </c>
      <c r="C42" s="36" t="s">
        <v>269</v>
      </c>
      <c r="D42" s="36" t="s">
        <v>269</v>
      </c>
      <c r="E42" s="36" t="s">
        <v>273</v>
      </c>
      <c r="F42" s="36" t="s">
        <v>269</v>
      </c>
      <c r="G42" s="36" t="s">
        <v>321</v>
      </c>
      <c r="H42" s="76">
        <v>14.6</v>
      </c>
      <c r="I42" s="76">
        <v>12.3</v>
      </c>
      <c r="J42" s="76">
        <v>16.7</v>
      </c>
      <c r="L42" s="20"/>
      <c r="M42" s="20"/>
      <c r="N42" s="20"/>
    </row>
    <row r="43" spans="1:14">
      <c r="A43" s="36" t="str">
        <f t="shared" si="1"/>
        <v>HP05_NA_SSP_NA_SouthWest</v>
      </c>
      <c r="B43" s="36" t="s">
        <v>747</v>
      </c>
      <c r="C43" s="36" t="s">
        <v>269</v>
      </c>
      <c r="D43" s="36" t="s">
        <v>269</v>
      </c>
      <c r="E43" s="36" t="s">
        <v>273</v>
      </c>
      <c r="F43" s="36" t="s">
        <v>269</v>
      </c>
      <c r="G43" s="36" t="s">
        <v>323</v>
      </c>
      <c r="H43" s="76">
        <v>13.3</v>
      </c>
      <c r="I43" s="76">
        <v>11.7</v>
      </c>
      <c r="J43" s="76">
        <v>15.1</v>
      </c>
      <c r="L43" s="20"/>
      <c r="M43" s="20"/>
      <c r="N43" s="20"/>
    </row>
    <row r="44" spans="1:14">
      <c r="A44" s="36" t="str">
        <f t="shared" si="1"/>
        <v>HP05_NA_SSP_NA_South</v>
      </c>
      <c r="B44" s="36" t="s">
        <v>747</v>
      </c>
      <c r="C44" s="36" t="s">
        <v>269</v>
      </c>
      <c r="D44" s="36" t="s">
        <v>269</v>
      </c>
      <c r="E44" s="36" t="s">
        <v>273</v>
      </c>
      <c r="F44" s="36" t="s">
        <v>269</v>
      </c>
      <c r="G44" s="36" t="s">
        <v>324</v>
      </c>
      <c r="H44" s="76">
        <v>13.7</v>
      </c>
      <c r="I44" s="76">
        <v>11.8</v>
      </c>
      <c r="J44" s="76">
        <v>14.7</v>
      </c>
      <c r="L44" s="20"/>
      <c r="M44" s="20"/>
      <c r="N44" s="20"/>
    </row>
    <row r="45" spans="1:14">
      <c r="A45" s="36" t="str">
        <f t="shared" si="1"/>
        <v>HP05_NA_SSP_NA_Yorkshire</v>
      </c>
      <c r="B45" s="36" t="s">
        <v>747</v>
      </c>
      <c r="C45" s="36" t="s">
        <v>269</v>
      </c>
      <c r="D45" s="36" t="s">
        <v>269</v>
      </c>
      <c r="E45" s="36" t="s">
        <v>273</v>
      </c>
      <c r="F45" s="36" t="s">
        <v>269</v>
      </c>
      <c r="G45" s="36" t="s">
        <v>326</v>
      </c>
      <c r="H45" s="76">
        <v>14</v>
      </c>
      <c r="I45" s="76">
        <v>13.1</v>
      </c>
      <c r="J45" s="76">
        <v>16.5</v>
      </c>
      <c r="L45" s="20"/>
      <c r="M45" s="20"/>
      <c r="N45" s="20"/>
    </row>
    <row r="46" spans="1:14">
      <c r="A46" s="36" t="str">
        <f t="shared" si="1"/>
        <v>HP05_NA_MIN_NA_EastMids</v>
      </c>
      <c r="B46" s="36" t="s">
        <v>747</v>
      </c>
      <c r="C46" s="36" t="s">
        <v>269</v>
      </c>
      <c r="D46" s="36" t="s">
        <v>269</v>
      </c>
      <c r="E46" s="36" t="s">
        <v>284</v>
      </c>
      <c r="F46" s="36" t="s">
        <v>269</v>
      </c>
      <c r="G46" s="36" t="s">
        <v>240</v>
      </c>
      <c r="H46" s="36" t="s">
        <v>269</v>
      </c>
      <c r="I46" s="36"/>
      <c r="J46" s="76"/>
    </row>
    <row r="47" spans="1:14">
      <c r="A47" s="36" t="str">
        <f t="shared" si="1"/>
        <v>HP05_NA_MIN_NA_East</v>
      </c>
      <c r="B47" s="36" t="s">
        <v>747</v>
      </c>
      <c r="C47" s="36" t="s">
        <v>269</v>
      </c>
      <c r="D47" s="36" t="s">
        <v>269</v>
      </c>
      <c r="E47" s="36" t="s">
        <v>284</v>
      </c>
      <c r="F47" s="36" t="s">
        <v>269</v>
      </c>
      <c r="G47" s="36" t="s">
        <v>260</v>
      </c>
      <c r="H47" s="36" t="s">
        <v>269</v>
      </c>
      <c r="I47" s="36"/>
      <c r="J47" s="76"/>
    </row>
    <row r="48" spans="1:14">
      <c r="A48" s="36" t="str">
        <f t="shared" si="1"/>
        <v>HP05_NA_MIN_NA_London</v>
      </c>
      <c r="B48" s="36" t="s">
        <v>747</v>
      </c>
      <c r="C48" s="36" t="s">
        <v>269</v>
      </c>
      <c r="D48" s="36" t="s">
        <v>269</v>
      </c>
      <c r="E48" s="36" t="s">
        <v>284</v>
      </c>
      <c r="F48" s="36" t="s">
        <v>269</v>
      </c>
      <c r="G48" s="36" t="s">
        <v>275</v>
      </c>
      <c r="H48" s="36" t="s">
        <v>269</v>
      </c>
      <c r="I48" s="36"/>
      <c r="J48" s="76"/>
    </row>
    <row r="49" spans="1:10">
      <c r="A49" s="36" t="str">
        <f t="shared" si="1"/>
        <v>HP05_NA_MIN_NA_MersNWales</v>
      </c>
      <c r="B49" s="36" t="s">
        <v>747</v>
      </c>
      <c r="C49" s="36" t="s">
        <v>269</v>
      </c>
      <c r="D49" s="36" t="s">
        <v>269</v>
      </c>
      <c r="E49" s="36" t="s">
        <v>284</v>
      </c>
      <c r="F49" s="36" t="s">
        <v>269</v>
      </c>
      <c r="G49" s="36" t="s">
        <v>286</v>
      </c>
      <c r="H49" s="36" t="s">
        <v>269</v>
      </c>
      <c r="I49" s="36"/>
      <c r="J49" s="76"/>
    </row>
    <row r="50" spans="1:10">
      <c r="A50" s="36" t="str">
        <f t="shared" si="1"/>
        <v>HP05_NA_MIN_NA_Wmids</v>
      </c>
      <c r="B50" s="36" t="s">
        <v>747</v>
      </c>
      <c r="C50" s="36" t="s">
        <v>269</v>
      </c>
      <c r="D50" s="36" t="s">
        <v>269</v>
      </c>
      <c r="E50" s="36" t="s">
        <v>284</v>
      </c>
      <c r="F50" s="36" t="s">
        <v>269</v>
      </c>
      <c r="G50" s="36" t="s">
        <v>294</v>
      </c>
      <c r="H50" s="36" t="s">
        <v>269</v>
      </c>
      <c r="I50" s="36"/>
      <c r="J50" s="76"/>
    </row>
    <row r="51" spans="1:10">
      <c r="A51" s="36" t="str">
        <f t="shared" si="1"/>
        <v>HP05_NA_MIN_NA_NorthScot</v>
      </c>
      <c r="B51" s="36" t="s">
        <v>747</v>
      </c>
      <c r="C51" s="36" t="s">
        <v>269</v>
      </c>
      <c r="D51" s="36" t="s">
        <v>269</v>
      </c>
      <c r="E51" s="36" t="s">
        <v>284</v>
      </c>
      <c r="F51" s="36" t="s">
        <v>269</v>
      </c>
      <c r="G51" s="36" t="s">
        <v>299</v>
      </c>
      <c r="H51" s="36" t="s">
        <v>269</v>
      </c>
      <c r="I51" s="36"/>
      <c r="J51" s="76"/>
    </row>
    <row r="52" spans="1:10">
      <c r="A52" s="36" t="str">
        <f t="shared" si="1"/>
        <v>HP05_NA_MIN_NA_NorthWest</v>
      </c>
      <c r="B52" s="36" t="s">
        <v>747</v>
      </c>
      <c r="C52" s="36" t="s">
        <v>269</v>
      </c>
      <c r="D52" s="36" t="s">
        <v>269</v>
      </c>
      <c r="E52" s="36" t="s">
        <v>284</v>
      </c>
      <c r="F52" s="36" t="s">
        <v>269</v>
      </c>
      <c r="G52" s="36" t="s">
        <v>305</v>
      </c>
      <c r="H52" s="36" t="s">
        <v>269</v>
      </c>
      <c r="I52" s="36"/>
      <c r="J52" s="76"/>
    </row>
    <row r="53" spans="1:10">
      <c r="A53" s="36" t="str">
        <f t="shared" si="1"/>
        <v>HP05_NA_MIN_NA_North</v>
      </c>
      <c r="B53" s="36" t="s">
        <v>747</v>
      </c>
      <c r="C53" s="36" t="s">
        <v>269</v>
      </c>
      <c r="D53" s="36" t="s">
        <v>269</v>
      </c>
      <c r="E53" s="36" t="s">
        <v>284</v>
      </c>
      <c r="F53" s="36" t="s">
        <v>269</v>
      </c>
      <c r="G53" s="36" t="s">
        <v>308</v>
      </c>
      <c r="H53" s="36" t="s">
        <v>269</v>
      </c>
      <c r="I53" s="36"/>
      <c r="J53" s="76"/>
    </row>
    <row r="54" spans="1:10">
      <c r="A54" s="36" t="str">
        <f t="shared" si="1"/>
        <v>HP05_NA_MIN_NA_SouthEast</v>
      </c>
      <c r="B54" s="36" t="s">
        <v>747</v>
      </c>
      <c r="C54" s="36" t="s">
        <v>269</v>
      </c>
      <c r="D54" s="36" t="s">
        <v>269</v>
      </c>
      <c r="E54" s="36" t="s">
        <v>284</v>
      </c>
      <c r="F54" s="36" t="s">
        <v>269</v>
      </c>
      <c r="G54" s="36" t="s">
        <v>313</v>
      </c>
      <c r="H54" s="36" t="s">
        <v>269</v>
      </c>
      <c r="I54" s="36"/>
      <c r="J54" s="76"/>
    </row>
    <row r="55" spans="1:10">
      <c r="A55" s="36" t="str">
        <f t="shared" si="1"/>
        <v>HP05_NA_MIN_NA_SouthScot</v>
      </c>
      <c r="B55" s="36" t="s">
        <v>747</v>
      </c>
      <c r="C55" s="36" t="s">
        <v>269</v>
      </c>
      <c r="D55" s="36" t="s">
        <v>269</v>
      </c>
      <c r="E55" s="36" t="s">
        <v>284</v>
      </c>
      <c r="F55" s="36" t="s">
        <v>269</v>
      </c>
      <c r="G55" s="36" t="s">
        <v>318</v>
      </c>
      <c r="H55" s="36" t="s">
        <v>269</v>
      </c>
      <c r="I55" s="36"/>
      <c r="J55" s="76"/>
    </row>
    <row r="56" spans="1:10">
      <c r="A56" s="36" t="str">
        <f t="shared" si="1"/>
        <v>HP05_NA_MIN_NA_SouthWales</v>
      </c>
      <c r="B56" s="36" t="s">
        <v>747</v>
      </c>
      <c r="C56" s="36" t="s">
        <v>269</v>
      </c>
      <c r="D56" s="36" t="s">
        <v>269</v>
      </c>
      <c r="E56" s="36" t="s">
        <v>284</v>
      </c>
      <c r="F56" s="36" t="s">
        <v>269</v>
      </c>
      <c r="G56" s="36" t="s">
        <v>321</v>
      </c>
      <c r="H56" s="36" t="s">
        <v>269</v>
      </c>
      <c r="I56" s="36"/>
      <c r="J56" s="76"/>
    </row>
    <row r="57" spans="1:10">
      <c r="A57" s="36" t="str">
        <f t="shared" si="1"/>
        <v>HP05_NA_MIN_NA_SouthWest</v>
      </c>
      <c r="B57" s="36" t="s">
        <v>747</v>
      </c>
      <c r="C57" s="36" t="s">
        <v>269</v>
      </c>
      <c r="D57" s="36" t="s">
        <v>269</v>
      </c>
      <c r="E57" s="36" t="s">
        <v>284</v>
      </c>
      <c r="F57" s="36" t="s">
        <v>269</v>
      </c>
      <c r="G57" s="36" t="s">
        <v>323</v>
      </c>
      <c r="H57" s="36" t="s">
        <v>269</v>
      </c>
      <c r="I57" s="36"/>
      <c r="J57" s="36"/>
    </row>
    <row r="58" spans="1:10">
      <c r="A58" s="36" t="str">
        <f t="shared" si="1"/>
        <v>HP05_NA_MIN_NA_South</v>
      </c>
      <c r="B58" s="36" t="s">
        <v>747</v>
      </c>
      <c r="C58" s="36" t="s">
        <v>269</v>
      </c>
      <c r="D58" s="36" t="s">
        <v>269</v>
      </c>
      <c r="E58" s="36" t="s">
        <v>284</v>
      </c>
      <c r="F58" s="36" t="s">
        <v>269</v>
      </c>
      <c r="G58" s="36" t="s">
        <v>324</v>
      </c>
      <c r="H58" s="36" t="s">
        <v>269</v>
      </c>
      <c r="I58" s="36"/>
      <c r="J58" s="36"/>
    </row>
    <row r="59" spans="1:10">
      <c r="A59" s="36" t="str">
        <f t="shared" si="1"/>
        <v>HP05_NA_MIN_NA_Yorkshire</v>
      </c>
      <c r="B59" s="36" t="s">
        <v>747</v>
      </c>
      <c r="C59" s="36" t="s">
        <v>269</v>
      </c>
      <c r="D59" s="36" t="s">
        <v>269</v>
      </c>
      <c r="E59" s="36" t="s">
        <v>284</v>
      </c>
      <c r="F59" s="36" t="s">
        <v>269</v>
      </c>
      <c r="G59" s="36" t="s">
        <v>326</v>
      </c>
      <c r="H59" s="36" t="s">
        <v>269</v>
      </c>
      <c r="I59" s="36"/>
      <c r="J59" s="36"/>
    </row>
  </sheetData>
  <hyperlinks>
    <hyperlink ref="A1" location="Contents!A1" display="Back to contents" xr:uid="{CF5614AF-3B25-46D1-9DAF-425362826BB7}"/>
    <hyperlink ref="A2" location="'HP CPA Summary Table'!A1" display="Back to HP CPA Summary Table" xr:uid="{AB60A797-1376-4D69-B7EB-153511091AC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E8BDA-2546-44A9-8514-FA6C95606280}">
  <sheetPr>
    <tabColor theme="8" tint="0.79998168889431442"/>
  </sheetPr>
  <dimension ref="A1:J483"/>
  <sheetViews>
    <sheetView showGridLines="0" workbookViewId="0">
      <pane xSplit="1" ySplit="3" topLeftCell="B4" activePane="bottomRight" state="frozen"/>
      <selection pane="bottomRight"/>
      <selection pane="bottomLeft"/>
      <selection pane="topRight"/>
    </sheetView>
  </sheetViews>
  <sheetFormatPr defaultRowHeight="20.45"/>
  <cols>
    <col min="1" max="1" width="29" customWidth="1"/>
    <col min="2" max="2" width="16.19921875" customWidth="1"/>
    <col min="3" max="4" width="12.19921875" customWidth="1"/>
    <col min="5" max="5" width="24.19921875" customWidth="1"/>
    <col min="6" max="6" width="40.19921875" customWidth="1"/>
    <col min="7" max="7" width="24.19921875" customWidth="1"/>
    <col min="8" max="8" width="30.5" customWidth="1"/>
    <col min="9" max="9" width="22.19921875" customWidth="1"/>
    <col min="10" max="10" width="15.8984375" customWidth="1"/>
  </cols>
  <sheetData>
    <row r="1" spans="1:10">
      <c r="A1" s="98" t="s">
        <v>57</v>
      </c>
    </row>
    <row r="2" spans="1:10">
      <c r="A2" s="98" t="s">
        <v>742</v>
      </c>
    </row>
    <row r="3" spans="1:10">
      <c r="A3" s="170" t="s">
        <v>162</v>
      </c>
      <c r="B3" s="170" t="s">
        <v>340</v>
      </c>
      <c r="C3" s="170" t="s">
        <v>166</v>
      </c>
      <c r="D3" s="170" t="s">
        <v>172</v>
      </c>
      <c r="E3" s="170" t="s">
        <v>115</v>
      </c>
      <c r="F3" s="170" t="s">
        <v>483</v>
      </c>
      <c r="G3" s="170" t="s">
        <v>743</v>
      </c>
      <c r="H3" s="170" t="s">
        <v>485</v>
      </c>
      <c r="I3" s="170" t="s">
        <v>492</v>
      </c>
      <c r="J3" s="170" t="s">
        <v>488</v>
      </c>
    </row>
    <row r="4" spans="1:10">
      <c r="A4" s="2" t="str">
        <f t="shared" ref="A4:A35" si="0">_xlfn.CONCAT("HP06_",INDEX(dwelling_categories_short,MATCH(E4,dwelling_categories,0)),"_",INDEX(rep_days_short,MATCH(F4,rep_days,0)),"_",INDEX(HP_behaviours_short,MATCH(G4,HP_behaviours,0)),"_",H4)</f>
        <v>HP06_ALL_WP_WA_GB</v>
      </c>
      <c r="B4" s="2" t="s">
        <v>748</v>
      </c>
      <c r="C4" s="2" t="s">
        <v>231</v>
      </c>
      <c r="D4" s="2" t="s">
        <v>250</v>
      </c>
      <c r="E4" s="2" t="s">
        <v>267</v>
      </c>
      <c r="F4" s="2" t="s">
        <v>235</v>
      </c>
      <c r="G4" s="2" t="s">
        <v>292</v>
      </c>
      <c r="H4" s="2" t="s">
        <v>130</v>
      </c>
      <c r="I4" s="275">
        <v>0</v>
      </c>
      <c r="J4" s="276">
        <v>2.7400000000000001E-2</v>
      </c>
    </row>
    <row r="5" spans="1:10">
      <c r="A5" s="2" t="str">
        <f t="shared" si="0"/>
        <v>HP06_ALL_WP_WA_GB</v>
      </c>
      <c r="B5" s="2" t="s">
        <v>748</v>
      </c>
      <c r="C5" s="2" t="s">
        <v>231</v>
      </c>
      <c r="D5" s="2" t="s">
        <v>250</v>
      </c>
      <c r="E5" s="2" t="s">
        <v>267</v>
      </c>
      <c r="F5" s="2" t="s">
        <v>235</v>
      </c>
      <c r="G5" s="2" t="s">
        <v>292</v>
      </c>
      <c r="H5" s="2" t="s">
        <v>130</v>
      </c>
      <c r="I5" s="275">
        <v>2.0833333333333332E-2</v>
      </c>
      <c r="J5" s="276">
        <v>2.8299999999999999E-2</v>
      </c>
    </row>
    <row r="6" spans="1:10">
      <c r="A6" s="2" t="str">
        <f t="shared" si="0"/>
        <v>HP06_ALL_WP_WA_GB</v>
      </c>
      <c r="B6" s="2" t="s">
        <v>748</v>
      </c>
      <c r="C6" s="2" t="s">
        <v>231</v>
      </c>
      <c r="D6" s="2" t="s">
        <v>250</v>
      </c>
      <c r="E6" s="2" t="s">
        <v>267</v>
      </c>
      <c r="F6" s="2" t="s">
        <v>235</v>
      </c>
      <c r="G6" s="2" t="s">
        <v>292</v>
      </c>
      <c r="H6" s="2" t="s">
        <v>130</v>
      </c>
      <c r="I6" s="275">
        <v>4.1666666666666664E-2</v>
      </c>
      <c r="J6" s="276">
        <v>2.98E-2</v>
      </c>
    </row>
    <row r="7" spans="1:10">
      <c r="A7" s="2" t="str">
        <f t="shared" si="0"/>
        <v>HP06_ALL_WP_WA_GB</v>
      </c>
      <c r="B7" s="2" t="s">
        <v>748</v>
      </c>
      <c r="C7" s="2" t="s">
        <v>231</v>
      </c>
      <c r="D7" s="2" t="s">
        <v>250</v>
      </c>
      <c r="E7" s="2" t="s">
        <v>267</v>
      </c>
      <c r="F7" s="2" t="s">
        <v>235</v>
      </c>
      <c r="G7" s="2" t="s">
        <v>292</v>
      </c>
      <c r="H7" s="2" t="s">
        <v>130</v>
      </c>
      <c r="I7" s="275">
        <v>6.25E-2</v>
      </c>
      <c r="J7" s="276">
        <v>3.1399999999999997E-2</v>
      </c>
    </row>
    <row r="8" spans="1:10">
      <c r="A8" s="2" t="str">
        <f t="shared" si="0"/>
        <v>HP06_ALL_WP_WA_GB</v>
      </c>
      <c r="B8" s="2" t="s">
        <v>748</v>
      </c>
      <c r="C8" s="2" t="s">
        <v>231</v>
      </c>
      <c r="D8" s="2" t="s">
        <v>250</v>
      </c>
      <c r="E8" s="2" t="s">
        <v>267</v>
      </c>
      <c r="F8" s="2" t="s">
        <v>235</v>
      </c>
      <c r="G8" s="2" t="s">
        <v>292</v>
      </c>
      <c r="H8" s="2" t="s">
        <v>130</v>
      </c>
      <c r="I8" s="275">
        <v>8.3333333333333329E-2</v>
      </c>
      <c r="J8" s="276">
        <v>3.2800000000000003E-2</v>
      </c>
    </row>
    <row r="9" spans="1:10">
      <c r="A9" s="2" t="str">
        <f t="shared" si="0"/>
        <v>HP06_ALL_WP_WA_GB</v>
      </c>
      <c r="B9" s="2" t="s">
        <v>748</v>
      </c>
      <c r="C9" s="2" t="s">
        <v>231</v>
      </c>
      <c r="D9" s="2" t="s">
        <v>250</v>
      </c>
      <c r="E9" s="2" t="s">
        <v>267</v>
      </c>
      <c r="F9" s="2" t="s">
        <v>235</v>
      </c>
      <c r="G9" s="2" t="s">
        <v>292</v>
      </c>
      <c r="H9" s="2" t="s">
        <v>130</v>
      </c>
      <c r="I9" s="275">
        <v>0.10416666666666667</v>
      </c>
      <c r="J9" s="276">
        <v>3.44E-2</v>
      </c>
    </row>
    <row r="10" spans="1:10">
      <c r="A10" s="2" t="str">
        <f t="shared" si="0"/>
        <v>HP06_ALL_WP_WA_GB</v>
      </c>
      <c r="B10" s="2" t="s">
        <v>748</v>
      </c>
      <c r="C10" s="2" t="s">
        <v>231</v>
      </c>
      <c r="D10" s="2" t="s">
        <v>250</v>
      </c>
      <c r="E10" s="2" t="s">
        <v>267</v>
      </c>
      <c r="F10" s="2" t="s">
        <v>235</v>
      </c>
      <c r="G10" s="2" t="s">
        <v>292</v>
      </c>
      <c r="H10" s="2" t="s">
        <v>130</v>
      </c>
      <c r="I10" s="275">
        <v>0.125</v>
      </c>
      <c r="J10" s="276">
        <v>3.5400000000000001E-2</v>
      </c>
    </row>
    <row r="11" spans="1:10">
      <c r="A11" s="2" t="str">
        <f t="shared" si="0"/>
        <v>HP06_ALL_WP_WA_GB</v>
      </c>
      <c r="B11" s="2" t="s">
        <v>748</v>
      </c>
      <c r="C11" s="2" t="s">
        <v>231</v>
      </c>
      <c r="D11" s="2" t="s">
        <v>250</v>
      </c>
      <c r="E11" s="2" t="s">
        <v>267</v>
      </c>
      <c r="F11" s="2" t="s">
        <v>235</v>
      </c>
      <c r="G11" s="2" t="s">
        <v>292</v>
      </c>
      <c r="H11" s="2" t="s">
        <v>130</v>
      </c>
      <c r="I11" s="275">
        <v>0.14583333333333334</v>
      </c>
      <c r="J11" s="276">
        <v>3.6600000000000001E-2</v>
      </c>
    </row>
    <row r="12" spans="1:10">
      <c r="A12" s="2" t="str">
        <f t="shared" si="0"/>
        <v>HP06_ALL_WP_WA_GB</v>
      </c>
      <c r="B12" s="2" t="s">
        <v>748</v>
      </c>
      <c r="C12" s="2" t="s">
        <v>231</v>
      </c>
      <c r="D12" s="2" t="s">
        <v>250</v>
      </c>
      <c r="E12" s="2" t="s">
        <v>267</v>
      </c>
      <c r="F12" s="2" t="s">
        <v>235</v>
      </c>
      <c r="G12" s="2" t="s">
        <v>292</v>
      </c>
      <c r="H12" s="2" t="s">
        <v>130</v>
      </c>
      <c r="I12" s="275">
        <v>0.16666666666666666</v>
      </c>
      <c r="J12" s="276">
        <v>3.7999999999999999E-2</v>
      </c>
    </row>
    <row r="13" spans="1:10">
      <c r="A13" s="2" t="str">
        <f t="shared" si="0"/>
        <v>HP06_ALL_WP_WA_GB</v>
      </c>
      <c r="B13" s="2" t="s">
        <v>748</v>
      </c>
      <c r="C13" s="2" t="s">
        <v>231</v>
      </c>
      <c r="D13" s="2" t="s">
        <v>250</v>
      </c>
      <c r="E13" s="2" t="s">
        <v>267</v>
      </c>
      <c r="F13" s="2" t="s">
        <v>235</v>
      </c>
      <c r="G13" s="2" t="s">
        <v>292</v>
      </c>
      <c r="H13" s="2" t="s">
        <v>130</v>
      </c>
      <c r="I13" s="275">
        <v>0.1875</v>
      </c>
      <c r="J13" s="276">
        <v>4.0300000000000002E-2</v>
      </c>
    </row>
    <row r="14" spans="1:10">
      <c r="A14" s="2" t="str">
        <f t="shared" si="0"/>
        <v>HP06_ALL_WP_WA_GB</v>
      </c>
      <c r="B14" s="2" t="s">
        <v>748</v>
      </c>
      <c r="C14" s="2" t="s">
        <v>231</v>
      </c>
      <c r="D14" s="2" t="s">
        <v>250</v>
      </c>
      <c r="E14" s="2" t="s">
        <v>267</v>
      </c>
      <c r="F14" s="2" t="s">
        <v>235</v>
      </c>
      <c r="G14" s="2" t="s">
        <v>292</v>
      </c>
      <c r="H14" s="2" t="s">
        <v>130</v>
      </c>
      <c r="I14" s="275">
        <v>0.20833333333333334</v>
      </c>
      <c r="J14" s="276">
        <v>4.3299999999999998E-2</v>
      </c>
    </row>
    <row r="15" spans="1:10">
      <c r="A15" s="2" t="str">
        <f t="shared" si="0"/>
        <v>HP06_ALL_WP_WA_GB</v>
      </c>
      <c r="B15" s="2" t="s">
        <v>748</v>
      </c>
      <c r="C15" s="2" t="s">
        <v>231</v>
      </c>
      <c r="D15" s="2" t="s">
        <v>250</v>
      </c>
      <c r="E15" s="2" t="s">
        <v>267</v>
      </c>
      <c r="F15" s="2" t="s">
        <v>235</v>
      </c>
      <c r="G15" s="2" t="s">
        <v>292</v>
      </c>
      <c r="H15" s="2" t="s">
        <v>130</v>
      </c>
      <c r="I15" s="275">
        <v>0.22916666666666666</v>
      </c>
      <c r="J15" s="276">
        <v>4.8099999999999997E-2</v>
      </c>
    </row>
    <row r="16" spans="1:10">
      <c r="A16" s="2" t="str">
        <f t="shared" si="0"/>
        <v>HP06_ALL_WP_WA_GB</v>
      </c>
      <c r="B16" s="2" t="s">
        <v>748</v>
      </c>
      <c r="C16" s="2" t="s">
        <v>231</v>
      </c>
      <c r="D16" s="2" t="s">
        <v>250</v>
      </c>
      <c r="E16" s="2" t="s">
        <v>267</v>
      </c>
      <c r="F16" s="2" t="s">
        <v>235</v>
      </c>
      <c r="G16" s="2" t="s">
        <v>292</v>
      </c>
      <c r="H16" s="2" t="s">
        <v>130</v>
      </c>
      <c r="I16" s="275">
        <v>0.25</v>
      </c>
      <c r="J16" s="276">
        <v>5.2900000000000003E-2</v>
      </c>
    </row>
    <row r="17" spans="1:10">
      <c r="A17" s="2" t="str">
        <f t="shared" si="0"/>
        <v>HP06_ALL_WP_WA_GB</v>
      </c>
      <c r="B17" s="2" t="s">
        <v>748</v>
      </c>
      <c r="C17" s="2" t="s">
        <v>231</v>
      </c>
      <c r="D17" s="2" t="s">
        <v>250</v>
      </c>
      <c r="E17" s="2" t="s">
        <v>267</v>
      </c>
      <c r="F17" s="2" t="s">
        <v>235</v>
      </c>
      <c r="G17" s="2" t="s">
        <v>292</v>
      </c>
      <c r="H17" s="2" t="s">
        <v>130</v>
      </c>
      <c r="I17" s="275">
        <v>0.27083333333333331</v>
      </c>
      <c r="J17" s="276">
        <v>5.74E-2</v>
      </c>
    </row>
    <row r="18" spans="1:10">
      <c r="A18" s="2" t="str">
        <f t="shared" si="0"/>
        <v>HP06_ALL_WP_WA_GB</v>
      </c>
      <c r="B18" s="2" t="s">
        <v>748</v>
      </c>
      <c r="C18" s="2" t="s">
        <v>231</v>
      </c>
      <c r="D18" s="2" t="s">
        <v>250</v>
      </c>
      <c r="E18" s="2" t="s">
        <v>267</v>
      </c>
      <c r="F18" s="2" t="s">
        <v>235</v>
      </c>
      <c r="G18" s="2" t="s">
        <v>292</v>
      </c>
      <c r="H18" s="2" t="s">
        <v>130</v>
      </c>
      <c r="I18" s="275">
        <v>0.29166666666666669</v>
      </c>
      <c r="J18" s="276">
        <v>5.91E-2</v>
      </c>
    </row>
    <row r="19" spans="1:10">
      <c r="A19" s="2" t="str">
        <f t="shared" si="0"/>
        <v>HP06_ALL_WP_WA_GB</v>
      </c>
      <c r="B19" s="2" t="s">
        <v>748</v>
      </c>
      <c r="C19" s="2" t="s">
        <v>231</v>
      </c>
      <c r="D19" s="2" t="s">
        <v>250</v>
      </c>
      <c r="E19" s="2" t="s">
        <v>267</v>
      </c>
      <c r="F19" s="2" t="s">
        <v>235</v>
      </c>
      <c r="G19" s="2" t="s">
        <v>292</v>
      </c>
      <c r="H19" s="2" t="s">
        <v>130</v>
      </c>
      <c r="I19" s="275">
        <v>0.3125</v>
      </c>
      <c r="J19" s="276">
        <v>5.8700000000000002E-2</v>
      </c>
    </row>
    <row r="20" spans="1:10">
      <c r="A20" s="2" t="str">
        <f t="shared" si="0"/>
        <v>HP06_ALL_WP_WA_GB</v>
      </c>
      <c r="B20" s="2" t="s">
        <v>748</v>
      </c>
      <c r="C20" s="2" t="s">
        <v>231</v>
      </c>
      <c r="D20" s="2" t="s">
        <v>250</v>
      </c>
      <c r="E20" s="2" t="s">
        <v>267</v>
      </c>
      <c r="F20" s="2" t="s">
        <v>235</v>
      </c>
      <c r="G20" s="2" t="s">
        <v>292</v>
      </c>
      <c r="H20" s="2" t="s">
        <v>130</v>
      </c>
      <c r="I20" s="275">
        <v>0.33333333333333331</v>
      </c>
      <c r="J20" s="276">
        <v>5.67E-2</v>
      </c>
    </row>
    <row r="21" spans="1:10">
      <c r="A21" s="2" t="str">
        <f t="shared" si="0"/>
        <v>HP06_ALL_WP_WA_GB</v>
      </c>
      <c r="B21" s="2" t="s">
        <v>748</v>
      </c>
      <c r="C21" s="2" t="s">
        <v>231</v>
      </c>
      <c r="D21" s="2" t="s">
        <v>250</v>
      </c>
      <c r="E21" s="2" t="s">
        <v>267</v>
      </c>
      <c r="F21" s="2" t="s">
        <v>235</v>
      </c>
      <c r="G21" s="2" t="s">
        <v>292</v>
      </c>
      <c r="H21" s="2" t="s">
        <v>130</v>
      </c>
      <c r="I21" s="275">
        <v>0.35416666666666669</v>
      </c>
      <c r="J21" s="276">
        <v>5.3999999999999999E-2</v>
      </c>
    </row>
    <row r="22" spans="1:10">
      <c r="A22" s="2" t="str">
        <f t="shared" si="0"/>
        <v>HP06_ALL_WP_WA_GB</v>
      </c>
      <c r="B22" s="2" t="s">
        <v>748</v>
      </c>
      <c r="C22" s="2" t="s">
        <v>231</v>
      </c>
      <c r="D22" s="2" t="s">
        <v>250</v>
      </c>
      <c r="E22" s="2" t="s">
        <v>267</v>
      </c>
      <c r="F22" s="2" t="s">
        <v>235</v>
      </c>
      <c r="G22" s="2" t="s">
        <v>292</v>
      </c>
      <c r="H22" s="2" t="s">
        <v>130</v>
      </c>
      <c r="I22" s="275">
        <v>0.375</v>
      </c>
      <c r="J22" s="276">
        <v>5.0700000000000002E-2</v>
      </c>
    </row>
    <row r="23" spans="1:10">
      <c r="A23" s="2" t="str">
        <f t="shared" si="0"/>
        <v>HP06_ALL_WP_WA_GB</v>
      </c>
      <c r="B23" s="2" t="s">
        <v>748</v>
      </c>
      <c r="C23" s="2" t="s">
        <v>231</v>
      </c>
      <c r="D23" s="2" t="s">
        <v>250</v>
      </c>
      <c r="E23" s="2" t="s">
        <v>267</v>
      </c>
      <c r="F23" s="2" t="s">
        <v>235</v>
      </c>
      <c r="G23" s="2" t="s">
        <v>292</v>
      </c>
      <c r="H23" s="2" t="s">
        <v>130</v>
      </c>
      <c r="I23" s="275">
        <v>0.39583333333333331</v>
      </c>
      <c r="J23" s="276">
        <v>4.7699999999999999E-2</v>
      </c>
    </row>
    <row r="24" spans="1:10">
      <c r="A24" s="2" t="str">
        <f t="shared" si="0"/>
        <v>HP06_ALL_WP_WA_GB</v>
      </c>
      <c r="B24" s="2" t="s">
        <v>748</v>
      </c>
      <c r="C24" s="2" t="s">
        <v>231</v>
      </c>
      <c r="D24" s="2" t="s">
        <v>250</v>
      </c>
      <c r="E24" s="2" t="s">
        <v>267</v>
      </c>
      <c r="F24" s="2" t="s">
        <v>235</v>
      </c>
      <c r="G24" s="2" t="s">
        <v>292</v>
      </c>
      <c r="H24" s="2" t="s">
        <v>130</v>
      </c>
      <c r="I24" s="275">
        <v>0.41666666666666669</v>
      </c>
      <c r="J24" s="276">
        <v>4.4900000000000002E-2</v>
      </c>
    </row>
    <row r="25" spans="1:10">
      <c r="A25" s="2" t="str">
        <f t="shared" si="0"/>
        <v>HP06_ALL_WP_WA_GB</v>
      </c>
      <c r="B25" s="2" t="s">
        <v>748</v>
      </c>
      <c r="C25" s="2" t="s">
        <v>231</v>
      </c>
      <c r="D25" s="2" t="s">
        <v>250</v>
      </c>
      <c r="E25" s="2" t="s">
        <v>267</v>
      </c>
      <c r="F25" s="2" t="s">
        <v>235</v>
      </c>
      <c r="G25" s="2" t="s">
        <v>292</v>
      </c>
      <c r="H25" s="2" t="s">
        <v>130</v>
      </c>
      <c r="I25" s="275">
        <v>0.4375</v>
      </c>
      <c r="J25" s="276">
        <v>4.2999999999999997E-2</v>
      </c>
    </row>
    <row r="26" spans="1:10">
      <c r="A26" s="2" t="str">
        <f t="shared" si="0"/>
        <v>HP06_ALL_WP_WA_GB</v>
      </c>
      <c r="B26" s="2" t="s">
        <v>748</v>
      </c>
      <c r="C26" s="2" t="s">
        <v>231</v>
      </c>
      <c r="D26" s="2" t="s">
        <v>250</v>
      </c>
      <c r="E26" s="2" t="s">
        <v>267</v>
      </c>
      <c r="F26" s="2" t="s">
        <v>235</v>
      </c>
      <c r="G26" s="2" t="s">
        <v>292</v>
      </c>
      <c r="H26" s="2" t="s">
        <v>130</v>
      </c>
      <c r="I26" s="275">
        <v>0.45833333333333331</v>
      </c>
      <c r="J26" s="276">
        <v>4.1000000000000002E-2</v>
      </c>
    </row>
    <row r="27" spans="1:10">
      <c r="A27" s="2" t="str">
        <f t="shared" si="0"/>
        <v>HP06_ALL_WP_WA_GB</v>
      </c>
      <c r="B27" s="2" t="s">
        <v>748</v>
      </c>
      <c r="C27" s="2" t="s">
        <v>231</v>
      </c>
      <c r="D27" s="2" t="s">
        <v>250</v>
      </c>
      <c r="E27" s="2" t="s">
        <v>267</v>
      </c>
      <c r="F27" s="2" t="s">
        <v>235</v>
      </c>
      <c r="G27" s="2" t="s">
        <v>292</v>
      </c>
      <c r="H27" s="2" t="s">
        <v>130</v>
      </c>
      <c r="I27" s="275">
        <v>0.47916666666666669</v>
      </c>
      <c r="J27" s="276">
        <v>3.9800000000000002E-2</v>
      </c>
    </row>
    <row r="28" spans="1:10">
      <c r="A28" s="2" t="str">
        <f t="shared" si="0"/>
        <v>HP06_ALL_WP_WA_GB</v>
      </c>
      <c r="B28" s="2" t="s">
        <v>748</v>
      </c>
      <c r="C28" s="2" t="s">
        <v>231</v>
      </c>
      <c r="D28" s="2" t="s">
        <v>250</v>
      </c>
      <c r="E28" s="2" t="s">
        <v>267</v>
      </c>
      <c r="F28" s="2" t="s">
        <v>235</v>
      </c>
      <c r="G28" s="2" t="s">
        <v>292</v>
      </c>
      <c r="H28" s="2" t="s">
        <v>130</v>
      </c>
      <c r="I28" s="275">
        <v>0.5</v>
      </c>
      <c r="J28" s="276">
        <v>3.8800000000000001E-2</v>
      </c>
    </row>
    <row r="29" spans="1:10">
      <c r="A29" s="2" t="str">
        <f t="shared" si="0"/>
        <v>HP06_ALL_WP_WA_GB</v>
      </c>
      <c r="B29" s="2" t="s">
        <v>748</v>
      </c>
      <c r="C29" s="2" t="s">
        <v>231</v>
      </c>
      <c r="D29" s="2" t="s">
        <v>250</v>
      </c>
      <c r="E29" s="2" t="s">
        <v>267</v>
      </c>
      <c r="F29" s="2" t="s">
        <v>235</v>
      </c>
      <c r="G29" s="2" t="s">
        <v>292</v>
      </c>
      <c r="H29" s="2" t="s">
        <v>130</v>
      </c>
      <c r="I29" s="275">
        <v>0.52083333333333337</v>
      </c>
      <c r="J29" s="276">
        <v>3.8300000000000001E-2</v>
      </c>
    </row>
    <row r="30" spans="1:10">
      <c r="A30" s="2" t="str">
        <f t="shared" si="0"/>
        <v>HP06_ALL_WP_WA_GB</v>
      </c>
      <c r="B30" s="2" t="s">
        <v>748</v>
      </c>
      <c r="C30" s="2" t="s">
        <v>231</v>
      </c>
      <c r="D30" s="2" t="s">
        <v>250</v>
      </c>
      <c r="E30" s="2" t="s">
        <v>267</v>
      </c>
      <c r="F30" s="2" t="s">
        <v>235</v>
      </c>
      <c r="G30" s="2" t="s">
        <v>292</v>
      </c>
      <c r="H30" s="2" t="s">
        <v>130</v>
      </c>
      <c r="I30" s="275">
        <v>0.54166666666666663</v>
      </c>
      <c r="J30" s="276">
        <v>3.7600000000000001E-2</v>
      </c>
    </row>
    <row r="31" spans="1:10">
      <c r="A31" s="2" t="str">
        <f t="shared" si="0"/>
        <v>HP06_ALL_WP_WA_GB</v>
      </c>
      <c r="B31" s="2" t="s">
        <v>748</v>
      </c>
      <c r="C31" s="2" t="s">
        <v>231</v>
      </c>
      <c r="D31" s="2" t="s">
        <v>250</v>
      </c>
      <c r="E31" s="2" t="s">
        <v>267</v>
      </c>
      <c r="F31" s="2" t="s">
        <v>235</v>
      </c>
      <c r="G31" s="2" t="s">
        <v>292</v>
      </c>
      <c r="H31" s="2" t="s">
        <v>130</v>
      </c>
      <c r="I31" s="275">
        <v>0.5625</v>
      </c>
      <c r="J31" s="276">
        <v>3.73E-2</v>
      </c>
    </row>
    <row r="32" spans="1:10">
      <c r="A32" s="2" t="str">
        <f t="shared" si="0"/>
        <v>HP06_ALL_WP_WA_GB</v>
      </c>
      <c r="B32" s="2" t="s">
        <v>748</v>
      </c>
      <c r="C32" s="2" t="s">
        <v>231</v>
      </c>
      <c r="D32" s="2" t="s">
        <v>250</v>
      </c>
      <c r="E32" s="2" t="s">
        <v>267</v>
      </c>
      <c r="F32" s="2" t="s">
        <v>235</v>
      </c>
      <c r="G32" s="2" t="s">
        <v>292</v>
      </c>
      <c r="H32" s="2" t="s">
        <v>130</v>
      </c>
      <c r="I32" s="275">
        <v>0.58333333333333337</v>
      </c>
      <c r="J32" s="276">
        <v>3.7499999999999999E-2</v>
      </c>
    </row>
    <row r="33" spans="1:10">
      <c r="A33" s="2" t="str">
        <f t="shared" si="0"/>
        <v>HP06_ALL_WP_WA_GB</v>
      </c>
      <c r="B33" s="2" t="s">
        <v>748</v>
      </c>
      <c r="C33" s="2" t="s">
        <v>231</v>
      </c>
      <c r="D33" s="2" t="s">
        <v>250</v>
      </c>
      <c r="E33" s="2" t="s">
        <v>267</v>
      </c>
      <c r="F33" s="2" t="s">
        <v>235</v>
      </c>
      <c r="G33" s="2" t="s">
        <v>292</v>
      </c>
      <c r="H33" s="2" t="s">
        <v>130</v>
      </c>
      <c r="I33" s="275">
        <v>0.60416666666666663</v>
      </c>
      <c r="J33" s="276">
        <v>3.8899999999999997E-2</v>
      </c>
    </row>
    <row r="34" spans="1:10">
      <c r="A34" s="2" t="str">
        <f t="shared" si="0"/>
        <v>HP06_ALL_WP_WA_GB</v>
      </c>
      <c r="B34" s="2" t="s">
        <v>748</v>
      </c>
      <c r="C34" s="2" t="s">
        <v>231</v>
      </c>
      <c r="D34" s="2" t="s">
        <v>250</v>
      </c>
      <c r="E34" s="2" t="s">
        <v>267</v>
      </c>
      <c r="F34" s="2" t="s">
        <v>235</v>
      </c>
      <c r="G34" s="2" t="s">
        <v>292</v>
      </c>
      <c r="H34" s="2" t="s">
        <v>130</v>
      </c>
      <c r="I34" s="275">
        <v>0.625</v>
      </c>
      <c r="J34" s="276">
        <v>4.07E-2</v>
      </c>
    </row>
    <row r="35" spans="1:10">
      <c r="A35" s="2" t="str">
        <f t="shared" si="0"/>
        <v>HP06_ALL_WP_WA_GB</v>
      </c>
      <c r="B35" s="2" t="s">
        <v>748</v>
      </c>
      <c r="C35" s="2" t="s">
        <v>231</v>
      </c>
      <c r="D35" s="2" t="s">
        <v>250</v>
      </c>
      <c r="E35" s="2" t="s">
        <v>267</v>
      </c>
      <c r="F35" s="2" t="s">
        <v>235</v>
      </c>
      <c r="G35" s="2" t="s">
        <v>292</v>
      </c>
      <c r="H35" s="2" t="s">
        <v>130</v>
      </c>
      <c r="I35" s="275">
        <v>0.64583333333333337</v>
      </c>
      <c r="J35" s="276">
        <v>4.2900000000000001E-2</v>
      </c>
    </row>
    <row r="36" spans="1:10">
      <c r="A36" s="2" t="str">
        <f t="shared" ref="A36:A52" si="1">_xlfn.CONCAT("HP06_",INDEX(dwelling_categories_short,MATCH(E36,dwelling_categories,0)),"_",INDEX(rep_days_short,MATCH(F36,rep_days,0)),"_",INDEX(HP_behaviours_short,MATCH(G36,HP_behaviours,0)),"_",H36)</f>
        <v>HP06_ALL_WP_WA_GB</v>
      </c>
      <c r="B36" s="2" t="s">
        <v>748</v>
      </c>
      <c r="C36" s="2" t="s">
        <v>231</v>
      </c>
      <c r="D36" s="2" t="s">
        <v>250</v>
      </c>
      <c r="E36" s="2" t="s">
        <v>267</v>
      </c>
      <c r="F36" s="2" t="s">
        <v>235</v>
      </c>
      <c r="G36" s="2" t="s">
        <v>292</v>
      </c>
      <c r="H36" s="2" t="s">
        <v>130</v>
      </c>
      <c r="I36" s="275">
        <v>0.66666666666666663</v>
      </c>
      <c r="J36" s="276">
        <v>4.48E-2</v>
      </c>
    </row>
    <row r="37" spans="1:10">
      <c r="A37" s="2" t="str">
        <f t="shared" si="1"/>
        <v>HP06_ALL_WP_WA_GB</v>
      </c>
      <c r="B37" s="2" t="s">
        <v>748</v>
      </c>
      <c r="C37" s="2" t="s">
        <v>231</v>
      </c>
      <c r="D37" s="2" t="s">
        <v>250</v>
      </c>
      <c r="E37" s="2" t="s">
        <v>267</v>
      </c>
      <c r="F37" s="2" t="s">
        <v>235</v>
      </c>
      <c r="G37" s="2" t="s">
        <v>292</v>
      </c>
      <c r="H37" s="2" t="s">
        <v>130</v>
      </c>
      <c r="I37" s="275">
        <v>0.6875</v>
      </c>
      <c r="J37" s="276">
        <v>4.6600000000000003E-2</v>
      </c>
    </row>
    <row r="38" spans="1:10">
      <c r="A38" s="2" t="str">
        <f t="shared" si="1"/>
        <v>HP06_ALL_WP_WA_GB</v>
      </c>
      <c r="B38" s="2" t="s">
        <v>748</v>
      </c>
      <c r="C38" s="2" t="s">
        <v>231</v>
      </c>
      <c r="D38" s="2" t="s">
        <v>250</v>
      </c>
      <c r="E38" s="2" t="s">
        <v>267</v>
      </c>
      <c r="F38" s="2" t="s">
        <v>235</v>
      </c>
      <c r="G38" s="2" t="s">
        <v>292</v>
      </c>
      <c r="H38" s="2" t="s">
        <v>130</v>
      </c>
      <c r="I38" s="275">
        <v>0.70833333333333337</v>
      </c>
      <c r="J38" s="276">
        <v>4.7600000000000003E-2</v>
      </c>
    </row>
    <row r="39" spans="1:10">
      <c r="A39" s="2" t="str">
        <f t="shared" si="1"/>
        <v>HP06_ALL_WP_WA_GB</v>
      </c>
      <c r="B39" s="2" t="s">
        <v>748</v>
      </c>
      <c r="C39" s="2" t="s">
        <v>231</v>
      </c>
      <c r="D39" s="2" t="s">
        <v>250</v>
      </c>
      <c r="E39" s="2" t="s">
        <v>267</v>
      </c>
      <c r="F39" s="2" t="s">
        <v>235</v>
      </c>
      <c r="G39" s="2" t="s">
        <v>292</v>
      </c>
      <c r="H39" s="2" t="s">
        <v>130</v>
      </c>
      <c r="I39" s="275">
        <v>0.72916666666666663</v>
      </c>
      <c r="J39" s="276">
        <v>4.8099999999999997E-2</v>
      </c>
    </row>
    <row r="40" spans="1:10">
      <c r="A40" s="2" t="str">
        <f t="shared" si="1"/>
        <v>HP06_ALL_WP_WA_GB</v>
      </c>
      <c r="B40" s="2" t="s">
        <v>748</v>
      </c>
      <c r="C40" s="2" t="s">
        <v>231</v>
      </c>
      <c r="D40" s="2" t="s">
        <v>250</v>
      </c>
      <c r="E40" s="2" t="s">
        <v>267</v>
      </c>
      <c r="F40" s="2" t="s">
        <v>235</v>
      </c>
      <c r="G40" s="2" t="s">
        <v>292</v>
      </c>
      <c r="H40" s="2" t="s">
        <v>130</v>
      </c>
      <c r="I40" s="275">
        <v>0.75</v>
      </c>
      <c r="J40" s="276">
        <v>4.8000000000000001E-2</v>
      </c>
    </row>
    <row r="41" spans="1:10">
      <c r="A41" s="2" t="str">
        <f t="shared" si="1"/>
        <v>HP06_ALL_WP_WA_GB</v>
      </c>
      <c r="B41" s="2" t="s">
        <v>748</v>
      </c>
      <c r="C41" s="2" t="s">
        <v>231</v>
      </c>
      <c r="D41" s="2" t="s">
        <v>250</v>
      </c>
      <c r="E41" s="2" t="s">
        <v>267</v>
      </c>
      <c r="F41" s="2" t="s">
        <v>235</v>
      </c>
      <c r="G41" s="2" t="s">
        <v>292</v>
      </c>
      <c r="H41" s="2" t="s">
        <v>130</v>
      </c>
      <c r="I41" s="275">
        <v>0.77083333333333337</v>
      </c>
      <c r="J41" s="276">
        <v>4.8099999999999997E-2</v>
      </c>
    </row>
    <row r="42" spans="1:10">
      <c r="A42" s="2" t="str">
        <f t="shared" si="1"/>
        <v>HP06_ALL_WP_WA_GB</v>
      </c>
      <c r="B42" s="2" t="s">
        <v>748</v>
      </c>
      <c r="C42" s="2" t="s">
        <v>231</v>
      </c>
      <c r="D42" s="2" t="s">
        <v>250</v>
      </c>
      <c r="E42" s="2" t="s">
        <v>267</v>
      </c>
      <c r="F42" s="2" t="s">
        <v>235</v>
      </c>
      <c r="G42" s="2" t="s">
        <v>292</v>
      </c>
      <c r="H42" s="2" t="s">
        <v>130</v>
      </c>
      <c r="I42" s="275">
        <v>0.79166666666666663</v>
      </c>
      <c r="J42" s="276">
        <v>4.7800000000000002E-2</v>
      </c>
    </row>
    <row r="43" spans="1:10">
      <c r="A43" s="2" t="str">
        <f t="shared" si="1"/>
        <v>HP06_ALL_WP_WA_GB</v>
      </c>
      <c r="B43" s="2" t="s">
        <v>748</v>
      </c>
      <c r="C43" s="2" t="s">
        <v>231</v>
      </c>
      <c r="D43" s="2" t="s">
        <v>250</v>
      </c>
      <c r="E43" s="2" t="s">
        <v>267</v>
      </c>
      <c r="F43" s="2" t="s">
        <v>235</v>
      </c>
      <c r="G43" s="2" t="s">
        <v>292</v>
      </c>
      <c r="H43" s="2" t="s">
        <v>130</v>
      </c>
      <c r="I43" s="275">
        <v>0.8125</v>
      </c>
      <c r="J43" s="276">
        <v>4.7199999999999999E-2</v>
      </c>
    </row>
    <row r="44" spans="1:10">
      <c r="A44" s="2" t="str">
        <f t="shared" si="1"/>
        <v>HP06_ALL_WP_WA_GB</v>
      </c>
      <c r="B44" s="2" t="s">
        <v>748</v>
      </c>
      <c r="C44" s="2" t="s">
        <v>231</v>
      </c>
      <c r="D44" s="2" t="s">
        <v>250</v>
      </c>
      <c r="E44" s="2" t="s">
        <v>267</v>
      </c>
      <c r="F44" s="2" t="s">
        <v>235</v>
      </c>
      <c r="G44" s="2" t="s">
        <v>292</v>
      </c>
      <c r="H44" s="2" t="s">
        <v>130</v>
      </c>
      <c r="I44" s="275">
        <v>0.83333333333333337</v>
      </c>
      <c r="J44" s="276">
        <v>4.58E-2</v>
      </c>
    </row>
    <row r="45" spans="1:10">
      <c r="A45" s="2" t="str">
        <f t="shared" si="1"/>
        <v>HP06_ALL_WP_WA_GB</v>
      </c>
      <c r="B45" s="2" t="s">
        <v>748</v>
      </c>
      <c r="C45" s="2" t="s">
        <v>231</v>
      </c>
      <c r="D45" s="2" t="s">
        <v>250</v>
      </c>
      <c r="E45" s="2" t="s">
        <v>267</v>
      </c>
      <c r="F45" s="2" t="s">
        <v>235</v>
      </c>
      <c r="G45" s="2" t="s">
        <v>292</v>
      </c>
      <c r="H45" s="2" t="s">
        <v>130</v>
      </c>
      <c r="I45" s="275">
        <v>0.85416666666666663</v>
      </c>
      <c r="J45" s="276">
        <v>4.3499999999999997E-2</v>
      </c>
    </row>
    <row r="46" spans="1:10">
      <c r="A46" s="2" t="str">
        <f t="shared" si="1"/>
        <v>HP06_ALL_WP_WA_GB</v>
      </c>
      <c r="B46" s="2" t="s">
        <v>748</v>
      </c>
      <c r="C46" s="2" t="s">
        <v>231</v>
      </c>
      <c r="D46" s="2" t="s">
        <v>250</v>
      </c>
      <c r="E46" s="2" t="s">
        <v>267</v>
      </c>
      <c r="F46" s="2" t="s">
        <v>235</v>
      </c>
      <c r="G46" s="2" t="s">
        <v>292</v>
      </c>
      <c r="H46" s="2" t="s">
        <v>130</v>
      </c>
      <c r="I46" s="275">
        <v>0.875</v>
      </c>
      <c r="J46" s="276">
        <v>4.0500000000000001E-2</v>
      </c>
    </row>
    <row r="47" spans="1:10">
      <c r="A47" s="2" t="str">
        <f t="shared" si="1"/>
        <v>HP06_ALL_WP_WA_GB</v>
      </c>
      <c r="B47" s="2" t="s">
        <v>748</v>
      </c>
      <c r="C47" s="2" t="s">
        <v>231</v>
      </c>
      <c r="D47" s="2" t="s">
        <v>250</v>
      </c>
      <c r="E47" s="2" t="s">
        <v>267</v>
      </c>
      <c r="F47" s="2" t="s">
        <v>235</v>
      </c>
      <c r="G47" s="2" t="s">
        <v>292</v>
      </c>
      <c r="H47" s="2" t="s">
        <v>130</v>
      </c>
      <c r="I47" s="275">
        <v>0.89583333333333337</v>
      </c>
      <c r="J47" s="276">
        <v>3.5999999999999997E-2</v>
      </c>
    </row>
    <row r="48" spans="1:10">
      <c r="A48" s="2" t="str">
        <f t="shared" si="1"/>
        <v>HP06_ALL_WP_WA_GB</v>
      </c>
      <c r="B48" s="2" t="s">
        <v>748</v>
      </c>
      <c r="C48" s="2" t="s">
        <v>231</v>
      </c>
      <c r="D48" s="2" t="s">
        <v>250</v>
      </c>
      <c r="E48" s="2" t="s">
        <v>267</v>
      </c>
      <c r="F48" s="2" t="s">
        <v>235</v>
      </c>
      <c r="G48" s="2" t="s">
        <v>292</v>
      </c>
      <c r="H48" s="2" t="s">
        <v>130</v>
      </c>
      <c r="I48" s="275">
        <v>0.91666666666666663</v>
      </c>
      <c r="J48" s="276">
        <v>3.1699999999999999E-2</v>
      </c>
    </row>
    <row r="49" spans="1:10">
      <c r="A49" s="2" t="str">
        <f t="shared" si="1"/>
        <v>HP06_ALL_WP_WA_GB</v>
      </c>
      <c r="B49" s="2" t="s">
        <v>748</v>
      </c>
      <c r="C49" s="2" t="s">
        <v>231</v>
      </c>
      <c r="D49" s="2" t="s">
        <v>250</v>
      </c>
      <c r="E49" s="2" t="s">
        <v>267</v>
      </c>
      <c r="F49" s="2" t="s">
        <v>235</v>
      </c>
      <c r="G49" s="2" t="s">
        <v>292</v>
      </c>
      <c r="H49" s="2" t="s">
        <v>130</v>
      </c>
      <c r="I49" s="275">
        <v>0.9375</v>
      </c>
      <c r="J49" s="276">
        <v>2.81E-2</v>
      </c>
    </row>
    <row r="50" spans="1:10">
      <c r="A50" s="2" t="str">
        <f t="shared" si="1"/>
        <v>HP06_ALL_WP_WA_GB</v>
      </c>
      <c r="B50" s="2" t="s">
        <v>748</v>
      </c>
      <c r="C50" s="2" t="s">
        <v>231</v>
      </c>
      <c r="D50" s="2" t="s">
        <v>250</v>
      </c>
      <c r="E50" s="2" t="s">
        <v>267</v>
      </c>
      <c r="F50" s="2" t="s">
        <v>235</v>
      </c>
      <c r="G50" s="2" t="s">
        <v>292</v>
      </c>
      <c r="H50" s="2" t="s">
        <v>130</v>
      </c>
      <c r="I50" s="275">
        <v>0.95833333333333337</v>
      </c>
      <c r="J50" s="276">
        <v>2.6599999999999999E-2</v>
      </c>
    </row>
    <row r="51" spans="1:10">
      <c r="A51" s="2" t="str">
        <f t="shared" si="1"/>
        <v>HP06_ALL_WP_WA_GB</v>
      </c>
      <c r="B51" s="2" t="s">
        <v>748</v>
      </c>
      <c r="C51" s="2" t="s">
        <v>231</v>
      </c>
      <c r="D51" s="2" t="s">
        <v>250</v>
      </c>
      <c r="E51" s="2" t="s">
        <v>267</v>
      </c>
      <c r="F51" s="2" t="s">
        <v>235</v>
      </c>
      <c r="G51" s="2" t="s">
        <v>292</v>
      </c>
      <c r="H51" s="2" t="s">
        <v>130</v>
      </c>
      <c r="I51" s="275">
        <v>0.97916666666666663</v>
      </c>
      <c r="J51" s="276">
        <v>2.6100000000000002E-2</v>
      </c>
    </row>
    <row r="52" spans="1:10">
      <c r="A52" s="36" t="str">
        <f t="shared" si="1"/>
        <v>HP06_ALL_WP_BHV2_GB</v>
      </c>
      <c r="B52" s="36" t="s">
        <v>748</v>
      </c>
      <c r="C52" s="36" t="s">
        <v>231</v>
      </c>
      <c r="D52" s="36" t="s">
        <v>250</v>
      </c>
      <c r="E52" s="36" t="s">
        <v>267</v>
      </c>
      <c r="F52" s="36" t="s">
        <v>235</v>
      </c>
      <c r="G52" s="36" t="s">
        <v>253</v>
      </c>
      <c r="H52" s="36" t="s">
        <v>130</v>
      </c>
      <c r="I52" s="55">
        <v>0</v>
      </c>
      <c r="J52" s="130">
        <v>1.84E-2</v>
      </c>
    </row>
    <row r="53" spans="1:10">
      <c r="A53" s="36" t="str">
        <f t="shared" ref="A53:A115" si="2">_xlfn.CONCAT("HP06_",INDEX(dwelling_categories_short,MATCH(E53,dwelling_categories,0)),"_",INDEX(rep_days_short,MATCH(F53,rep_days,0)),"_",INDEX(HP_behaviours_short,MATCH(G53,HP_behaviours,0)),"_",H53)</f>
        <v>HP06_ALL_WP_BHV2_GB</v>
      </c>
      <c r="B53" s="36" t="s">
        <v>748</v>
      </c>
      <c r="C53" s="36" t="s">
        <v>231</v>
      </c>
      <c r="D53" s="36" t="s">
        <v>250</v>
      </c>
      <c r="E53" s="36" t="s">
        <v>267</v>
      </c>
      <c r="F53" s="36" t="s">
        <v>235</v>
      </c>
      <c r="G53" s="36" t="s">
        <v>253</v>
      </c>
      <c r="H53" s="36" t="s">
        <v>130</v>
      </c>
      <c r="I53" s="55">
        <v>2.0833333333333332E-2</v>
      </c>
      <c r="J53" s="130">
        <v>1.9300000000000001E-2</v>
      </c>
    </row>
    <row r="54" spans="1:10">
      <c r="A54" s="36" t="str">
        <f t="shared" si="2"/>
        <v>HP06_ALL_WP_BHV2_GB</v>
      </c>
      <c r="B54" s="36" t="s">
        <v>748</v>
      </c>
      <c r="C54" s="36" t="s">
        <v>231</v>
      </c>
      <c r="D54" s="36" t="s">
        <v>250</v>
      </c>
      <c r="E54" s="36" t="s">
        <v>267</v>
      </c>
      <c r="F54" s="36" t="s">
        <v>235</v>
      </c>
      <c r="G54" s="36" t="s">
        <v>253</v>
      </c>
      <c r="H54" s="36" t="s">
        <v>130</v>
      </c>
      <c r="I54" s="55">
        <v>4.1666666666666664E-2</v>
      </c>
      <c r="J54" s="130">
        <v>2.06E-2</v>
      </c>
    </row>
    <row r="55" spans="1:10">
      <c r="A55" s="36" t="str">
        <f t="shared" si="2"/>
        <v>HP06_ALL_WP_BHV2_GB</v>
      </c>
      <c r="B55" s="36" t="s">
        <v>748</v>
      </c>
      <c r="C55" s="36" t="s">
        <v>231</v>
      </c>
      <c r="D55" s="36" t="s">
        <v>250</v>
      </c>
      <c r="E55" s="36" t="s">
        <v>267</v>
      </c>
      <c r="F55" s="36" t="s">
        <v>235</v>
      </c>
      <c r="G55" s="36" t="s">
        <v>253</v>
      </c>
      <c r="H55" s="36" t="s">
        <v>130</v>
      </c>
      <c r="I55" s="55">
        <v>6.25E-2</v>
      </c>
      <c r="J55" s="130">
        <v>2.2599999999999999E-2</v>
      </c>
    </row>
    <row r="56" spans="1:10">
      <c r="A56" s="36" t="str">
        <f t="shared" si="2"/>
        <v>HP06_ALL_WP_BHV2_GB</v>
      </c>
      <c r="B56" s="36" t="s">
        <v>748</v>
      </c>
      <c r="C56" s="36" t="s">
        <v>231</v>
      </c>
      <c r="D56" s="36" t="s">
        <v>250</v>
      </c>
      <c r="E56" s="36" t="s">
        <v>267</v>
      </c>
      <c r="F56" s="36" t="s">
        <v>235</v>
      </c>
      <c r="G56" s="36" t="s">
        <v>253</v>
      </c>
      <c r="H56" s="36" t="s">
        <v>130</v>
      </c>
      <c r="I56" s="55">
        <v>8.3333333333333329E-2</v>
      </c>
      <c r="J56" s="130">
        <v>2.4199999999999999E-2</v>
      </c>
    </row>
    <row r="57" spans="1:10">
      <c r="A57" s="36" t="str">
        <f t="shared" si="2"/>
        <v>HP06_ALL_WP_BHV2_GB</v>
      </c>
      <c r="B57" s="36" t="s">
        <v>748</v>
      </c>
      <c r="C57" s="36" t="s">
        <v>231</v>
      </c>
      <c r="D57" s="36" t="s">
        <v>250</v>
      </c>
      <c r="E57" s="36" t="s">
        <v>267</v>
      </c>
      <c r="F57" s="36" t="s">
        <v>235</v>
      </c>
      <c r="G57" s="36" t="s">
        <v>253</v>
      </c>
      <c r="H57" s="36" t="s">
        <v>130</v>
      </c>
      <c r="I57" s="55">
        <v>0.10416666666666667</v>
      </c>
      <c r="J57" s="130">
        <v>2.64E-2</v>
      </c>
    </row>
    <row r="58" spans="1:10">
      <c r="A58" s="36" t="str">
        <f t="shared" si="2"/>
        <v>HP06_ALL_WP_BHV2_GB</v>
      </c>
      <c r="B58" s="36" t="s">
        <v>748</v>
      </c>
      <c r="C58" s="36" t="s">
        <v>231</v>
      </c>
      <c r="D58" s="36" t="s">
        <v>250</v>
      </c>
      <c r="E58" s="36" t="s">
        <v>267</v>
      </c>
      <c r="F58" s="36" t="s">
        <v>235</v>
      </c>
      <c r="G58" s="36" t="s">
        <v>253</v>
      </c>
      <c r="H58" s="36" t="s">
        <v>130</v>
      </c>
      <c r="I58" s="55">
        <v>0.125</v>
      </c>
      <c r="J58" s="130">
        <v>2.7699999999999999E-2</v>
      </c>
    </row>
    <row r="59" spans="1:10">
      <c r="A59" s="36" t="str">
        <f t="shared" si="2"/>
        <v>HP06_ALL_WP_BHV2_GB</v>
      </c>
      <c r="B59" s="36" t="s">
        <v>748</v>
      </c>
      <c r="C59" s="36" t="s">
        <v>231</v>
      </c>
      <c r="D59" s="36" t="s">
        <v>250</v>
      </c>
      <c r="E59" s="36" t="s">
        <v>267</v>
      </c>
      <c r="F59" s="36" t="s">
        <v>235</v>
      </c>
      <c r="G59" s="36" t="s">
        <v>253</v>
      </c>
      <c r="H59" s="36" t="s">
        <v>130</v>
      </c>
      <c r="I59" s="55">
        <v>0.14583333333333334</v>
      </c>
      <c r="J59" s="130">
        <v>2.92E-2</v>
      </c>
    </row>
    <row r="60" spans="1:10">
      <c r="A60" s="36" t="str">
        <f t="shared" si="2"/>
        <v>HP06_ALL_WP_BHV2_GB</v>
      </c>
      <c r="B60" s="36" t="s">
        <v>748</v>
      </c>
      <c r="C60" s="36" t="s">
        <v>231</v>
      </c>
      <c r="D60" s="36" t="s">
        <v>250</v>
      </c>
      <c r="E60" s="36" t="s">
        <v>267</v>
      </c>
      <c r="F60" s="36" t="s">
        <v>235</v>
      </c>
      <c r="G60" s="36" t="s">
        <v>253</v>
      </c>
      <c r="H60" s="36" t="s">
        <v>130</v>
      </c>
      <c r="I60" s="55">
        <v>0.16666666666666666</v>
      </c>
      <c r="J60" s="130">
        <v>3.09E-2</v>
      </c>
    </row>
    <row r="61" spans="1:10">
      <c r="A61" s="36" t="str">
        <f t="shared" si="2"/>
        <v>HP06_ALL_WP_BHV2_GB</v>
      </c>
      <c r="B61" s="36" t="s">
        <v>748</v>
      </c>
      <c r="C61" s="36" t="s">
        <v>231</v>
      </c>
      <c r="D61" s="36" t="s">
        <v>250</v>
      </c>
      <c r="E61" s="36" t="s">
        <v>267</v>
      </c>
      <c r="F61" s="36" t="s">
        <v>235</v>
      </c>
      <c r="G61" s="36" t="s">
        <v>253</v>
      </c>
      <c r="H61" s="36" t="s">
        <v>130</v>
      </c>
      <c r="I61" s="55">
        <v>0.1875</v>
      </c>
      <c r="J61" s="130">
        <v>3.4200000000000001E-2</v>
      </c>
    </row>
    <row r="62" spans="1:10">
      <c r="A62" s="36" t="str">
        <f t="shared" si="2"/>
        <v>HP06_ALL_WP_BHV2_GB</v>
      </c>
      <c r="B62" s="36" t="s">
        <v>748</v>
      </c>
      <c r="C62" s="36" t="s">
        <v>231</v>
      </c>
      <c r="D62" s="36" t="s">
        <v>250</v>
      </c>
      <c r="E62" s="36" t="s">
        <v>267</v>
      </c>
      <c r="F62" s="36" t="s">
        <v>235</v>
      </c>
      <c r="G62" s="36" t="s">
        <v>253</v>
      </c>
      <c r="H62" s="36" t="s">
        <v>130</v>
      </c>
      <c r="I62" s="55">
        <v>0.20833333333333334</v>
      </c>
      <c r="J62" s="130">
        <v>3.85E-2</v>
      </c>
    </row>
    <row r="63" spans="1:10">
      <c r="A63" s="36" t="str">
        <f t="shared" si="2"/>
        <v>HP06_ALL_WP_BHV2_GB</v>
      </c>
      <c r="B63" s="36" t="s">
        <v>748</v>
      </c>
      <c r="C63" s="36" t="s">
        <v>231</v>
      </c>
      <c r="D63" s="36" t="s">
        <v>250</v>
      </c>
      <c r="E63" s="36" t="s">
        <v>267</v>
      </c>
      <c r="F63" s="36" t="s">
        <v>235</v>
      </c>
      <c r="G63" s="36" t="s">
        <v>253</v>
      </c>
      <c r="H63" s="36" t="s">
        <v>130</v>
      </c>
      <c r="I63" s="55">
        <v>0.22916666666666666</v>
      </c>
      <c r="J63" s="130">
        <v>4.5400000000000003E-2</v>
      </c>
    </row>
    <row r="64" spans="1:10">
      <c r="A64" s="36" t="str">
        <f t="shared" si="2"/>
        <v>HP06_ALL_WP_BHV2_GB</v>
      </c>
      <c r="B64" s="36" t="s">
        <v>748</v>
      </c>
      <c r="C64" s="36" t="s">
        <v>231</v>
      </c>
      <c r="D64" s="36" t="s">
        <v>250</v>
      </c>
      <c r="E64" s="36" t="s">
        <v>267</v>
      </c>
      <c r="F64" s="36" t="s">
        <v>235</v>
      </c>
      <c r="G64" s="36" t="s">
        <v>253</v>
      </c>
      <c r="H64" s="36" t="s">
        <v>130</v>
      </c>
      <c r="I64" s="55">
        <v>0.25</v>
      </c>
      <c r="J64" s="130">
        <v>5.2699999999999997E-2</v>
      </c>
    </row>
    <row r="65" spans="1:10">
      <c r="A65" s="36" t="str">
        <f t="shared" si="2"/>
        <v>HP06_ALL_WP_BHV2_GB</v>
      </c>
      <c r="B65" s="36" t="s">
        <v>748</v>
      </c>
      <c r="C65" s="36" t="s">
        <v>231</v>
      </c>
      <c r="D65" s="36" t="s">
        <v>250</v>
      </c>
      <c r="E65" s="36" t="s">
        <v>267</v>
      </c>
      <c r="F65" s="36" t="s">
        <v>235</v>
      </c>
      <c r="G65" s="36" t="s">
        <v>253</v>
      </c>
      <c r="H65" s="36" t="s">
        <v>130</v>
      </c>
      <c r="I65" s="55">
        <v>0.27083333333333331</v>
      </c>
      <c r="J65" s="130">
        <v>6.0100000000000001E-2</v>
      </c>
    </row>
    <row r="66" spans="1:10">
      <c r="A66" s="36" t="str">
        <f t="shared" si="2"/>
        <v>HP06_ALL_WP_BHV2_GB</v>
      </c>
      <c r="B66" s="36" t="s">
        <v>748</v>
      </c>
      <c r="C66" s="36" t="s">
        <v>231</v>
      </c>
      <c r="D66" s="36" t="s">
        <v>250</v>
      </c>
      <c r="E66" s="36" t="s">
        <v>267</v>
      </c>
      <c r="F66" s="36" t="s">
        <v>235</v>
      </c>
      <c r="G66" s="36" t="s">
        <v>253</v>
      </c>
      <c r="H66" s="36" t="s">
        <v>130</v>
      </c>
      <c r="I66" s="55">
        <v>0.29166666666666669</v>
      </c>
      <c r="J66" s="130">
        <v>6.4600000000000005E-2</v>
      </c>
    </row>
    <row r="67" spans="1:10">
      <c r="A67" s="36" t="str">
        <f t="shared" si="2"/>
        <v>HP06_ALL_WP_BHV2_GB</v>
      </c>
      <c r="B67" s="36" t="s">
        <v>748</v>
      </c>
      <c r="C67" s="36" t="s">
        <v>231</v>
      </c>
      <c r="D67" s="36" t="s">
        <v>250</v>
      </c>
      <c r="E67" s="36" t="s">
        <v>267</v>
      </c>
      <c r="F67" s="36" t="s">
        <v>235</v>
      </c>
      <c r="G67" s="36" t="s">
        <v>253</v>
      </c>
      <c r="H67" s="36" t="s">
        <v>130</v>
      </c>
      <c r="I67" s="55">
        <v>0.3125</v>
      </c>
      <c r="J67" s="130">
        <v>6.7000000000000004E-2</v>
      </c>
    </row>
    <row r="68" spans="1:10">
      <c r="A68" s="36" t="str">
        <f t="shared" si="2"/>
        <v>HP06_ALL_WP_BHV2_GB</v>
      </c>
      <c r="B68" s="36" t="s">
        <v>748</v>
      </c>
      <c r="C68" s="36" t="s">
        <v>231</v>
      </c>
      <c r="D68" s="36" t="s">
        <v>250</v>
      </c>
      <c r="E68" s="36" t="s">
        <v>267</v>
      </c>
      <c r="F68" s="36" t="s">
        <v>235</v>
      </c>
      <c r="G68" s="36" t="s">
        <v>253</v>
      </c>
      <c r="H68" s="36" t="s">
        <v>130</v>
      </c>
      <c r="I68" s="55">
        <v>0.33333333333333331</v>
      </c>
      <c r="J68" s="130">
        <v>6.7400000000000002E-2</v>
      </c>
    </row>
    <row r="69" spans="1:10">
      <c r="A69" s="36" t="str">
        <f t="shared" si="2"/>
        <v>HP06_ALL_WP_BHV2_GB</v>
      </c>
      <c r="B69" s="36" t="s">
        <v>748</v>
      </c>
      <c r="C69" s="36" t="s">
        <v>231</v>
      </c>
      <c r="D69" s="36" t="s">
        <v>250</v>
      </c>
      <c r="E69" s="36" t="s">
        <v>267</v>
      </c>
      <c r="F69" s="36" t="s">
        <v>235</v>
      </c>
      <c r="G69" s="36" t="s">
        <v>253</v>
      </c>
      <c r="H69" s="36" t="s">
        <v>130</v>
      </c>
      <c r="I69" s="55">
        <v>0.35416666666666669</v>
      </c>
      <c r="J69" s="130">
        <v>6.7000000000000004E-2</v>
      </c>
    </row>
    <row r="70" spans="1:10">
      <c r="A70" s="36" t="str">
        <f t="shared" si="2"/>
        <v>HP06_ALL_WP_BHV2_GB</v>
      </c>
      <c r="B70" s="36" t="s">
        <v>748</v>
      </c>
      <c r="C70" s="36" t="s">
        <v>231</v>
      </c>
      <c r="D70" s="36" t="s">
        <v>250</v>
      </c>
      <c r="E70" s="36" t="s">
        <v>267</v>
      </c>
      <c r="F70" s="36" t="s">
        <v>235</v>
      </c>
      <c r="G70" s="36" t="s">
        <v>253</v>
      </c>
      <c r="H70" s="36" t="s">
        <v>130</v>
      </c>
      <c r="I70" s="55">
        <v>0.375</v>
      </c>
      <c r="J70" s="130">
        <v>6.5199999999999994E-2</v>
      </c>
    </row>
    <row r="71" spans="1:10">
      <c r="A71" s="36" t="str">
        <f t="shared" si="2"/>
        <v>HP06_ALL_WP_BHV2_GB</v>
      </c>
      <c r="B71" s="36" t="s">
        <v>748</v>
      </c>
      <c r="C71" s="36" t="s">
        <v>231</v>
      </c>
      <c r="D71" s="36" t="s">
        <v>250</v>
      </c>
      <c r="E71" s="36" t="s">
        <v>267</v>
      </c>
      <c r="F71" s="36" t="s">
        <v>235</v>
      </c>
      <c r="G71" s="36" t="s">
        <v>253</v>
      </c>
      <c r="H71" s="36" t="s">
        <v>130</v>
      </c>
      <c r="I71" s="55">
        <v>0.39583333333333331</v>
      </c>
      <c r="J71" s="130">
        <v>6.2600000000000003E-2</v>
      </c>
    </row>
    <row r="72" spans="1:10">
      <c r="A72" s="36" t="str">
        <f t="shared" si="2"/>
        <v>HP06_ALL_WP_BHV2_GB</v>
      </c>
      <c r="B72" s="36" t="s">
        <v>748</v>
      </c>
      <c r="C72" s="36" t="s">
        <v>231</v>
      </c>
      <c r="D72" s="36" t="s">
        <v>250</v>
      </c>
      <c r="E72" s="36" t="s">
        <v>267</v>
      </c>
      <c r="F72" s="36" t="s">
        <v>235</v>
      </c>
      <c r="G72" s="36" t="s">
        <v>253</v>
      </c>
      <c r="H72" s="36" t="s">
        <v>130</v>
      </c>
      <c r="I72" s="55">
        <v>0.41666666666666669</v>
      </c>
      <c r="J72" s="130">
        <v>5.96E-2</v>
      </c>
    </row>
    <row r="73" spans="1:10">
      <c r="A73" s="36" t="str">
        <f t="shared" si="2"/>
        <v>HP06_ALL_WP_BHV2_GB</v>
      </c>
      <c r="B73" s="36" t="s">
        <v>748</v>
      </c>
      <c r="C73" s="36" t="s">
        <v>231</v>
      </c>
      <c r="D73" s="36" t="s">
        <v>250</v>
      </c>
      <c r="E73" s="36" t="s">
        <v>267</v>
      </c>
      <c r="F73" s="36" t="s">
        <v>235</v>
      </c>
      <c r="G73" s="36" t="s">
        <v>253</v>
      </c>
      <c r="H73" s="36" t="s">
        <v>130</v>
      </c>
      <c r="I73" s="55">
        <v>0.4375</v>
      </c>
      <c r="J73" s="130">
        <v>5.67E-2</v>
      </c>
    </row>
    <row r="74" spans="1:10">
      <c r="A74" s="36" t="str">
        <f t="shared" si="2"/>
        <v>HP06_ALL_WP_BHV2_GB</v>
      </c>
      <c r="B74" s="36" t="s">
        <v>748</v>
      </c>
      <c r="C74" s="36" t="s">
        <v>231</v>
      </c>
      <c r="D74" s="36" t="s">
        <v>250</v>
      </c>
      <c r="E74" s="36" t="s">
        <v>267</v>
      </c>
      <c r="F74" s="36" t="s">
        <v>235</v>
      </c>
      <c r="G74" s="36" t="s">
        <v>253</v>
      </c>
      <c r="H74" s="36" t="s">
        <v>130</v>
      </c>
      <c r="I74" s="55">
        <v>0.45833333333333331</v>
      </c>
      <c r="J74" s="130">
        <v>5.3699999999999998E-2</v>
      </c>
    </row>
    <row r="75" spans="1:10">
      <c r="A75" s="36" t="str">
        <f t="shared" si="2"/>
        <v>HP06_ALL_WP_BHV2_GB</v>
      </c>
      <c r="B75" s="36" t="s">
        <v>748</v>
      </c>
      <c r="C75" s="36" t="s">
        <v>231</v>
      </c>
      <c r="D75" s="36" t="s">
        <v>250</v>
      </c>
      <c r="E75" s="36" t="s">
        <v>267</v>
      </c>
      <c r="F75" s="36" t="s">
        <v>235</v>
      </c>
      <c r="G75" s="36" t="s">
        <v>253</v>
      </c>
      <c r="H75" s="36" t="s">
        <v>130</v>
      </c>
      <c r="I75" s="55">
        <v>0.47916666666666669</v>
      </c>
      <c r="J75" s="130">
        <v>5.0999999999999997E-2</v>
      </c>
    </row>
    <row r="76" spans="1:10">
      <c r="A76" s="36" t="str">
        <f t="shared" si="2"/>
        <v>HP06_ALL_WP_BHV2_GB</v>
      </c>
      <c r="B76" s="36" t="s">
        <v>748</v>
      </c>
      <c r="C76" s="36" t="s">
        <v>231</v>
      </c>
      <c r="D76" s="36" t="s">
        <v>250</v>
      </c>
      <c r="E76" s="36" t="s">
        <v>267</v>
      </c>
      <c r="F76" s="36" t="s">
        <v>235</v>
      </c>
      <c r="G76" s="36" t="s">
        <v>253</v>
      </c>
      <c r="H76" s="36" t="s">
        <v>130</v>
      </c>
      <c r="I76" s="55">
        <v>0.5</v>
      </c>
      <c r="J76" s="130">
        <v>4.8599999999999997E-2</v>
      </c>
    </row>
    <row r="77" spans="1:10">
      <c r="A77" s="36" t="str">
        <f t="shared" si="2"/>
        <v>HP06_ALL_WP_BHV2_GB</v>
      </c>
      <c r="B77" s="36" t="s">
        <v>748</v>
      </c>
      <c r="C77" s="36" t="s">
        <v>231</v>
      </c>
      <c r="D77" s="36" t="s">
        <v>250</v>
      </c>
      <c r="E77" s="36" t="s">
        <v>267</v>
      </c>
      <c r="F77" s="36" t="s">
        <v>235</v>
      </c>
      <c r="G77" s="36" t="s">
        <v>253</v>
      </c>
      <c r="H77" s="36" t="s">
        <v>130</v>
      </c>
      <c r="I77" s="55">
        <v>0.52083333333333337</v>
      </c>
      <c r="J77" s="130">
        <v>4.7199999999999999E-2</v>
      </c>
    </row>
    <row r="78" spans="1:10">
      <c r="A78" s="36" t="str">
        <f t="shared" si="2"/>
        <v>HP06_ALL_WP_BHV2_GB</v>
      </c>
      <c r="B78" s="36" t="s">
        <v>748</v>
      </c>
      <c r="C78" s="36" t="s">
        <v>231</v>
      </c>
      <c r="D78" s="36" t="s">
        <v>250</v>
      </c>
      <c r="E78" s="36" t="s">
        <v>267</v>
      </c>
      <c r="F78" s="36" t="s">
        <v>235</v>
      </c>
      <c r="G78" s="36" t="s">
        <v>253</v>
      </c>
      <c r="H78" s="36" t="s">
        <v>130</v>
      </c>
      <c r="I78" s="55">
        <v>0.54166666666666663</v>
      </c>
      <c r="J78" s="130">
        <v>4.58E-2</v>
      </c>
    </row>
    <row r="79" spans="1:10">
      <c r="A79" s="36" t="str">
        <f t="shared" si="2"/>
        <v>HP06_ALL_WP_BHV2_GB</v>
      </c>
      <c r="B79" s="36" t="s">
        <v>748</v>
      </c>
      <c r="C79" s="36" t="s">
        <v>231</v>
      </c>
      <c r="D79" s="36" t="s">
        <v>250</v>
      </c>
      <c r="E79" s="36" t="s">
        <v>267</v>
      </c>
      <c r="F79" s="36" t="s">
        <v>235</v>
      </c>
      <c r="G79" s="36" t="s">
        <v>253</v>
      </c>
      <c r="H79" s="36" t="s">
        <v>130</v>
      </c>
      <c r="I79" s="55">
        <v>0.5625</v>
      </c>
      <c r="J79" s="130">
        <v>4.4699999999999997E-2</v>
      </c>
    </row>
    <row r="80" spans="1:10">
      <c r="A80" s="36" t="str">
        <f t="shared" si="2"/>
        <v>HP06_ALL_WP_BHV2_GB</v>
      </c>
      <c r="B80" s="36" t="s">
        <v>748</v>
      </c>
      <c r="C80" s="36" t="s">
        <v>231</v>
      </c>
      <c r="D80" s="36" t="s">
        <v>250</v>
      </c>
      <c r="E80" s="36" t="s">
        <v>267</v>
      </c>
      <c r="F80" s="36" t="s">
        <v>235</v>
      </c>
      <c r="G80" s="36" t="s">
        <v>253</v>
      </c>
      <c r="H80" s="36" t="s">
        <v>130</v>
      </c>
      <c r="I80" s="55">
        <v>0.58333333333333337</v>
      </c>
      <c r="J80" s="130">
        <v>4.3799999999999999E-2</v>
      </c>
    </row>
    <row r="81" spans="1:10">
      <c r="A81" s="36" t="str">
        <f t="shared" si="2"/>
        <v>HP06_ALL_WP_BHV2_GB</v>
      </c>
      <c r="B81" s="36" t="s">
        <v>748</v>
      </c>
      <c r="C81" s="36" t="s">
        <v>231</v>
      </c>
      <c r="D81" s="36" t="s">
        <v>250</v>
      </c>
      <c r="E81" s="36" t="s">
        <v>267</v>
      </c>
      <c r="F81" s="36" t="s">
        <v>235</v>
      </c>
      <c r="G81" s="36" t="s">
        <v>253</v>
      </c>
      <c r="H81" s="36" t="s">
        <v>130</v>
      </c>
      <c r="I81" s="55">
        <v>0.60416666666666663</v>
      </c>
      <c r="J81" s="130">
        <v>4.3900000000000002E-2</v>
      </c>
    </row>
    <row r="82" spans="1:10">
      <c r="A82" s="36" t="str">
        <f t="shared" si="2"/>
        <v>HP06_ALL_WP_BHV2_GB</v>
      </c>
      <c r="B82" s="36" t="s">
        <v>748</v>
      </c>
      <c r="C82" s="36" t="s">
        <v>231</v>
      </c>
      <c r="D82" s="36" t="s">
        <v>250</v>
      </c>
      <c r="E82" s="36" t="s">
        <v>267</v>
      </c>
      <c r="F82" s="36" t="s">
        <v>235</v>
      </c>
      <c r="G82" s="36" t="s">
        <v>253</v>
      </c>
      <c r="H82" s="36" t="s">
        <v>130</v>
      </c>
      <c r="I82" s="55">
        <v>0.625</v>
      </c>
      <c r="J82" s="130">
        <v>4.4499999999999998E-2</v>
      </c>
    </row>
    <row r="83" spans="1:10">
      <c r="A83" s="36" t="str">
        <f t="shared" si="2"/>
        <v>HP06_ALL_WP_BHV2_GB</v>
      </c>
      <c r="B83" s="36" t="s">
        <v>748</v>
      </c>
      <c r="C83" s="36" t="s">
        <v>231</v>
      </c>
      <c r="D83" s="36" t="s">
        <v>250</v>
      </c>
      <c r="E83" s="36" t="s">
        <v>267</v>
      </c>
      <c r="F83" s="36" t="s">
        <v>235</v>
      </c>
      <c r="G83" s="36" t="s">
        <v>253</v>
      </c>
      <c r="H83" s="36" t="s">
        <v>130</v>
      </c>
      <c r="I83" s="55">
        <v>0.64583333333333337</v>
      </c>
      <c r="J83" s="130">
        <v>4.4999999999999998E-2</v>
      </c>
    </row>
    <row r="84" spans="1:10">
      <c r="A84" s="36" t="str">
        <f t="shared" si="2"/>
        <v>HP06_ALL_WP_BHV2_GB</v>
      </c>
      <c r="B84" s="36" t="s">
        <v>748</v>
      </c>
      <c r="C84" s="36" t="s">
        <v>231</v>
      </c>
      <c r="D84" s="36" t="s">
        <v>250</v>
      </c>
      <c r="E84" s="36" t="s">
        <v>267</v>
      </c>
      <c r="F84" s="36" t="s">
        <v>235</v>
      </c>
      <c r="G84" s="36" t="s">
        <v>253</v>
      </c>
      <c r="H84" s="36" t="s">
        <v>130</v>
      </c>
      <c r="I84" s="55">
        <v>0.66666666666666663</v>
      </c>
      <c r="J84" s="130">
        <v>4.5100000000000001E-2</v>
      </c>
    </row>
    <row r="85" spans="1:10">
      <c r="A85" s="36" t="str">
        <f t="shared" si="2"/>
        <v>HP06_ALL_WP_BHV2_GB</v>
      </c>
      <c r="B85" s="36" t="s">
        <v>748</v>
      </c>
      <c r="C85" s="36" t="s">
        <v>231</v>
      </c>
      <c r="D85" s="36" t="s">
        <v>250</v>
      </c>
      <c r="E85" s="36" t="s">
        <v>267</v>
      </c>
      <c r="F85" s="36" t="s">
        <v>235</v>
      </c>
      <c r="G85" s="36" t="s">
        <v>253</v>
      </c>
      <c r="H85" s="36" t="s">
        <v>130</v>
      </c>
      <c r="I85" s="55">
        <v>0.6875</v>
      </c>
      <c r="J85" s="130">
        <v>4.4999999999999998E-2</v>
      </c>
    </row>
    <row r="86" spans="1:10">
      <c r="A86" s="36" t="str">
        <f t="shared" si="2"/>
        <v>HP06_ALL_WP_BHV2_GB</v>
      </c>
      <c r="B86" s="36" t="s">
        <v>748</v>
      </c>
      <c r="C86" s="36" t="s">
        <v>231</v>
      </c>
      <c r="D86" s="36" t="s">
        <v>250</v>
      </c>
      <c r="E86" s="36" t="s">
        <v>267</v>
      </c>
      <c r="F86" s="36" t="s">
        <v>235</v>
      </c>
      <c r="G86" s="36" t="s">
        <v>253</v>
      </c>
      <c r="H86" s="36" t="s">
        <v>130</v>
      </c>
      <c r="I86" s="55">
        <v>0.70833333333333337</v>
      </c>
      <c r="J86" s="130">
        <v>4.4600000000000001E-2</v>
      </c>
    </row>
    <row r="87" spans="1:10">
      <c r="A87" s="36" t="str">
        <f t="shared" si="2"/>
        <v>HP06_ALL_WP_BHV2_GB</v>
      </c>
      <c r="B87" s="36" t="s">
        <v>748</v>
      </c>
      <c r="C87" s="36" t="s">
        <v>231</v>
      </c>
      <c r="D87" s="36" t="s">
        <v>250</v>
      </c>
      <c r="E87" s="36" t="s">
        <v>267</v>
      </c>
      <c r="F87" s="36" t="s">
        <v>235</v>
      </c>
      <c r="G87" s="36" t="s">
        <v>253</v>
      </c>
      <c r="H87" s="36" t="s">
        <v>130</v>
      </c>
      <c r="I87" s="55">
        <v>0.72916666666666663</v>
      </c>
      <c r="J87" s="130">
        <v>4.3799999999999999E-2</v>
      </c>
    </row>
    <row r="88" spans="1:10">
      <c r="A88" s="36" t="str">
        <f t="shared" si="2"/>
        <v>HP06_ALL_WP_BHV2_GB</v>
      </c>
      <c r="B88" s="36" t="s">
        <v>748</v>
      </c>
      <c r="C88" s="36" t="s">
        <v>231</v>
      </c>
      <c r="D88" s="36" t="s">
        <v>250</v>
      </c>
      <c r="E88" s="36" t="s">
        <v>267</v>
      </c>
      <c r="F88" s="36" t="s">
        <v>235</v>
      </c>
      <c r="G88" s="36" t="s">
        <v>253</v>
      </c>
      <c r="H88" s="36" t="s">
        <v>130</v>
      </c>
      <c r="I88" s="55">
        <v>0.75</v>
      </c>
      <c r="J88" s="130">
        <v>4.2700000000000002E-2</v>
      </c>
    </row>
    <row r="89" spans="1:10">
      <c r="A89" s="36" t="str">
        <f t="shared" si="2"/>
        <v>HP06_ALL_WP_BHV2_GB</v>
      </c>
      <c r="B89" s="36" t="s">
        <v>748</v>
      </c>
      <c r="C89" s="36" t="s">
        <v>231</v>
      </c>
      <c r="D89" s="36" t="s">
        <v>250</v>
      </c>
      <c r="E89" s="36" t="s">
        <v>267</v>
      </c>
      <c r="F89" s="36" t="s">
        <v>235</v>
      </c>
      <c r="G89" s="36" t="s">
        <v>253</v>
      </c>
      <c r="H89" s="36" t="s">
        <v>130</v>
      </c>
      <c r="I89" s="55">
        <v>0.77083333333333337</v>
      </c>
      <c r="J89" s="130">
        <v>4.2200000000000001E-2</v>
      </c>
    </row>
    <row r="90" spans="1:10">
      <c r="A90" s="36" t="str">
        <f t="shared" si="2"/>
        <v>HP06_ALL_WP_BHV2_GB</v>
      </c>
      <c r="B90" s="36" t="s">
        <v>748</v>
      </c>
      <c r="C90" s="36" t="s">
        <v>231</v>
      </c>
      <c r="D90" s="36" t="s">
        <v>250</v>
      </c>
      <c r="E90" s="36" t="s">
        <v>267</v>
      </c>
      <c r="F90" s="36" t="s">
        <v>235</v>
      </c>
      <c r="G90" s="36" t="s">
        <v>253</v>
      </c>
      <c r="H90" s="36" t="s">
        <v>130</v>
      </c>
      <c r="I90" s="55">
        <v>0.79166666666666663</v>
      </c>
      <c r="J90" s="130">
        <v>4.2099999999999999E-2</v>
      </c>
    </row>
    <row r="91" spans="1:10">
      <c r="A91" s="36" t="str">
        <f t="shared" si="2"/>
        <v>HP06_ALL_WP_BHV2_GB</v>
      </c>
      <c r="B91" s="36" t="s">
        <v>748</v>
      </c>
      <c r="C91" s="36" t="s">
        <v>231</v>
      </c>
      <c r="D91" s="36" t="s">
        <v>250</v>
      </c>
      <c r="E91" s="36" t="s">
        <v>267</v>
      </c>
      <c r="F91" s="36" t="s">
        <v>235</v>
      </c>
      <c r="G91" s="36" t="s">
        <v>253</v>
      </c>
      <c r="H91" s="36" t="s">
        <v>130</v>
      </c>
      <c r="I91" s="55">
        <v>0.8125</v>
      </c>
      <c r="J91" s="130">
        <v>4.1799999999999997E-2</v>
      </c>
    </row>
    <row r="92" spans="1:10">
      <c r="A92" s="36" t="str">
        <f t="shared" si="2"/>
        <v>HP06_ALL_WP_BHV2_GB</v>
      </c>
      <c r="B92" s="36" t="s">
        <v>748</v>
      </c>
      <c r="C92" s="36" t="s">
        <v>231</v>
      </c>
      <c r="D92" s="36" t="s">
        <v>250</v>
      </c>
      <c r="E92" s="36" t="s">
        <v>267</v>
      </c>
      <c r="F92" s="36" t="s">
        <v>235</v>
      </c>
      <c r="G92" s="36" t="s">
        <v>253</v>
      </c>
      <c r="H92" s="36" t="s">
        <v>130</v>
      </c>
      <c r="I92" s="55">
        <v>0.83333333333333337</v>
      </c>
      <c r="J92" s="130">
        <v>4.0500000000000001E-2</v>
      </c>
    </row>
    <row r="93" spans="1:10">
      <c r="A93" s="36" t="str">
        <f t="shared" si="2"/>
        <v>HP06_ALL_WP_BHV2_GB</v>
      </c>
      <c r="B93" s="36" t="s">
        <v>748</v>
      </c>
      <c r="C93" s="36" t="s">
        <v>231</v>
      </c>
      <c r="D93" s="36" t="s">
        <v>250</v>
      </c>
      <c r="E93" s="36" t="s">
        <v>267</v>
      </c>
      <c r="F93" s="36" t="s">
        <v>235</v>
      </c>
      <c r="G93" s="36" t="s">
        <v>253</v>
      </c>
      <c r="H93" s="36" t="s">
        <v>130</v>
      </c>
      <c r="I93" s="55">
        <v>0.85416666666666663</v>
      </c>
      <c r="J93" s="130">
        <v>3.8399999999999997E-2</v>
      </c>
    </row>
    <row r="94" spans="1:10">
      <c r="A94" s="36" t="str">
        <f t="shared" si="2"/>
        <v>HP06_ALL_WP_BHV2_GB</v>
      </c>
      <c r="B94" s="36" t="s">
        <v>748</v>
      </c>
      <c r="C94" s="36" t="s">
        <v>231</v>
      </c>
      <c r="D94" s="36" t="s">
        <v>250</v>
      </c>
      <c r="E94" s="36" t="s">
        <v>267</v>
      </c>
      <c r="F94" s="36" t="s">
        <v>235</v>
      </c>
      <c r="G94" s="36" t="s">
        <v>253</v>
      </c>
      <c r="H94" s="36" t="s">
        <v>130</v>
      </c>
      <c r="I94" s="55">
        <v>0.875</v>
      </c>
      <c r="J94" s="130">
        <v>3.5200000000000002E-2</v>
      </c>
    </row>
    <row r="95" spans="1:10">
      <c r="A95" s="36" t="str">
        <f t="shared" si="2"/>
        <v>HP06_ALL_WP_BHV2_GB</v>
      </c>
      <c r="B95" s="36" t="s">
        <v>748</v>
      </c>
      <c r="C95" s="36" t="s">
        <v>231</v>
      </c>
      <c r="D95" s="36" t="s">
        <v>250</v>
      </c>
      <c r="E95" s="36" t="s">
        <v>267</v>
      </c>
      <c r="F95" s="36" t="s">
        <v>235</v>
      </c>
      <c r="G95" s="36" t="s">
        <v>253</v>
      </c>
      <c r="H95" s="36" t="s">
        <v>130</v>
      </c>
      <c r="I95" s="55">
        <v>0.89583333333333337</v>
      </c>
      <c r="J95" s="130">
        <v>0.03</v>
      </c>
    </row>
    <row r="96" spans="1:10">
      <c r="A96" s="36" t="str">
        <f t="shared" si="2"/>
        <v>HP06_ALL_WP_BHV2_GB</v>
      </c>
      <c r="B96" s="36" t="s">
        <v>748</v>
      </c>
      <c r="C96" s="36" t="s">
        <v>231</v>
      </c>
      <c r="D96" s="36" t="s">
        <v>250</v>
      </c>
      <c r="E96" s="36" t="s">
        <v>267</v>
      </c>
      <c r="F96" s="36" t="s">
        <v>235</v>
      </c>
      <c r="G96" s="36" t="s">
        <v>253</v>
      </c>
      <c r="H96" s="36" t="s">
        <v>130</v>
      </c>
      <c r="I96" s="55">
        <v>0.91666666666666663</v>
      </c>
      <c r="J96" s="130">
        <v>2.4400000000000002E-2</v>
      </c>
    </row>
    <row r="97" spans="1:10">
      <c r="A97" s="36" t="str">
        <f t="shared" si="2"/>
        <v>HP06_ALL_WP_BHV2_GB</v>
      </c>
      <c r="B97" s="36" t="s">
        <v>748</v>
      </c>
      <c r="C97" s="36" t="s">
        <v>231</v>
      </c>
      <c r="D97" s="36" t="s">
        <v>250</v>
      </c>
      <c r="E97" s="36" t="s">
        <v>267</v>
      </c>
      <c r="F97" s="36" t="s">
        <v>235</v>
      </c>
      <c r="G97" s="36" t="s">
        <v>253</v>
      </c>
      <c r="H97" s="36" t="s">
        <v>130</v>
      </c>
      <c r="I97" s="55">
        <v>0.9375</v>
      </c>
      <c r="J97" s="130">
        <v>1.9800000000000002E-2</v>
      </c>
    </row>
    <row r="98" spans="1:10">
      <c r="A98" s="36" t="str">
        <f t="shared" si="2"/>
        <v>HP06_ALL_WP_BHV2_GB</v>
      </c>
      <c r="B98" s="36" t="s">
        <v>748</v>
      </c>
      <c r="C98" s="36" t="s">
        <v>231</v>
      </c>
      <c r="D98" s="36" t="s">
        <v>250</v>
      </c>
      <c r="E98" s="36" t="s">
        <v>267</v>
      </c>
      <c r="F98" s="36" t="s">
        <v>235</v>
      </c>
      <c r="G98" s="36" t="s">
        <v>253</v>
      </c>
      <c r="H98" s="36" t="s">
        <v>130</v>
      </c>
      <c r="I98" s="55">
        <v>0.95833333333333337</v>
      </c>
      <c r="J98" s="130">
        <v>1.8100000000000002E-2</v>
      </c>
    </row>
    <row r="99" spans="1:10">
      <c r="A99" s="36" t="str">
        <f t="shared" si="2"/>
        <v>HP06_ALL_WP_BHV2_GB</v>
      </c>
      <c r="B99" s="36" t="s">
        <v>748</v>
      </c>
      <c r="C99" s="36" t="s">
        <v>231</v>
      </c>
      <c r="D99" s="36" t="s">
        <v>250</v>
      </c>
      <c r="E99" s="36" t="s">
        <v>267</v>
      </c>
      <c r="F99" s="36" t="s">
        <v>235</v>
      </c>
      <c r="G99" s="36" t="s">
        <v>253</v>
      </c>
      <c r="H99" s="36" t="s">
        <v>130</v>
      </c>
      <c r="I99" s="55">
        <v>0.97916666666666663</v>
      </c>
      <c r="J99" s="130">
        <v>1.7600000000000001E-2</v>
      </c>
    </row>
    <row r="100" spans="1:10">
      <c r="A100" s="36" t="str">
        <f t="shared" si="2"/>
        <v>HP06_ALL_WP_BHV1_GB</v>
      </c>
      <c r="B100" s="36" t="s">
        <v>748</v>
      </c>
      <c r="C100" s="36" t="s">
        <v>231</v>
      </c>
      <c r="D100" s="36" t="s">
        <v>250</v>
      </c>
      <c r="E100" s="36" t="s">
        <v>267</v>
      </c>
      <c r="F100" s="36" t="s">
        <v>235</v>
      </c>
      <c r="G100" s="36" t="s">
        <v>234</v>
      </c>
      <c r="H100" s="36" t="s">
        <v>130</v>
      </c>
      <c r="I100" s="55">
        <v>0</v>
      </c>
      <c r="J100" s="130">
        <v>3.1300000000000001E-2</v>
      </c>
    </row>
    <row r="101" spans="1:10">
      <c r="A101" s="36" t="str">
        <f t="shared" si="2"/>
        <v>HP06_ALL_WP_BHV1_GB</v>
      </c>
      <c r="B101" s="36" t="s">
        <v>748</v>
      </c>
      <c r="C101" s="36" t="s">
        <v>231</v>
      </c>
      <c r="D101" s="36" t="s">
        <v>250</v>
      </c>
      <c r="E101" s="36" t="s">
        <v>267</v>
      </c>
      <c r="F101" s="36" t="s">
        <v>235</v>
      </c>
      <c r="G101" s="36" t="s">
        <v>234</v>
      </c>
      <c r="H101" s="36" t="s">
        <v>130</v>
      </c>
      <c r="I101" s="55">
        <v>2.0833333333333332E-2</v>
      </c>
      <c r="J101" s="130">
        <v>3.27E-2</v>
      </c>
    </row>
    <row r="102" spans="1:10">
      <c r="A102" s="36" t="str">
        <f t="shared" si="2"/>
        <v>HP06_ALL_WP_BHV1_GB</v>
      </c>
      <c r="B102" s="36" t="s">
        <v>748</v>
      </c>
      <c r="C102" s="36" t="s">
        <v>231</v>
      </c>
      <c r="D102" s="36" t="s">
        <v>250</v>
      </c>
      <c r="E102" s="36" t="s">
        <v>267</v>
      </c>
      <c r="F102" s="36" t="s">
        <v>235</v>
      </c>
      <c r="G102" s="36" t="s">
        <v>234</v>
      </c>
      <c r="H102" s="36" t="s">
        <v>130</v>
      </c>
      <c r="I102" s="55">
        <v>4.1666666666666664E-2</v>
      </c>
      <c r="J102" s="130">
        <v>3.4799999999999998E-2</v>
      </c>
    </row>
    <row r="103" spans="1:10">
      <c r="A103" s="36" t="str">
        <f t="shared" si="2"/>
        <v>HP06_ALL_WP_BHV1_GB</v>
      </c>
      <c r="B103" s="36" t="s">
        <v>748</v>
      </c>
      <c r="C103" s="36" t="s">
        <v>231</v>
      </c>
      <c r="D103" s="36" t="s">
        <v>250</v>
      </c>
      <c r="E103" s="36" t="s">
        <v>267</v>
      </c>
      <c r="F103" s="36" t="s">
        <v>235</v>
      </c>
      <c r="G103" s="36" t="s">
        <v>234</v>
      </c>
      <c r="H103" s="36" t="s">
        <v>130</v>
      </c>
      <c r="I103" s="55">
        <v>6.25E-2</v>
      </c>
      <c r="J103" s="130">
        <v>3.6700000000000003E-2</v>
      </c>
    </row>
    <row r="104" spans="1:10">
      <c r="A104" s="36" t="str">
        <f t="shared" si="2"/>
        <v>HP06_ALL_WP_BHV1_GB</v>
      </c>
      <c r="B104" s="36" t="s">
        <v>748</v>
      </c>
      <c r="C104" s="36" t="s">
        <v>231</v>
      </c>
      <c r="D104" s="36" t="s">
        <v>250</v>
      </c>
      <c r="E104" s="36" t="s">
        <v>267</v>
      </c>
      <c r="F104" s="36" t="s">
        <v>235</v>
      </c>
      <c r="G104" s="36" t="s">
        <v>234</v>
      </c>
      <c r="H104" s="36" t="s">
        <v>130</v>
      </c>
      <c r="I104" s="55">
        <v>8.3333333333333329E-2</v>
      </c>
      <c r="J104" s="130">
        <v>3.7900000000000003E-2</v>
      </c>
    </row>
    <row r="105" spans="1:10">
      <c r="A105" s="36" t="str">
        <f t="shared" si="2"/>
        <v>HP06_ALL_WP_BHV1_GB</v>
      </c>
      <c r="B105" s="36" t="s">
        <v>748</v>
      </c>
      <c r="C105" s="36" t="s">
        <v>231</v>
      </c>
      <c r="D105" s="36" t="s">
        <v>250</v>
      </c>
      <c r="E105" s="36" t="s">
        <v>267</v>
      </c>
      <c r="F105" s="36" t="s">
        <v>235</v>
      </c>
      <c r="G105" s="36" t="s">
        <v>234</v>
      </c>
      <c r="H105" s="36" t="s">
        <v>130</v>
      </c>
      <c r="I105" s="55">
        <v>0.10416666666666667</v>
      </c>
      <c r="J105" s="130">
        <v>3.9100000000000003E-2</v>
      </c>
    </row>
    <row r="106" spans="1:10">
      <c r="A106" s="36" t="str">
        <f t="shared" si="2"/>
        <v>HP06_ALL_WP_BHV1_GB</v>
      </c>
      <c r="B106" s="36" t="s">
        <v>748</v>
      </c>
      <c r="C106" s="36" t="s">
        <v>231</v>
      </c>
      <c r="D106" s="36" t="s">
        <v>250</v>
      </c>
      <c r="E106" s="36" t="s">
        <v>267</v>
      </c>
      <c r="F106" s="36" t="s">
        <v>235</v>
      </c>
      <c r="G106" s="36" t="s">
        <v>234</v>
      </c>
      <c r="H106" s="36" t="s">
        <v>130</v>
      </c>
      <c r="I106" s="55">
        <v>0.125</v>
      </c>
      <c r="J106" s="130">
        <v>3.9899999999999998E-2</v>
      </c>
    </row>
    <row r="107" spans="1:10">
      <c r="A107" s="36" t="str">
        <f t="shared" si="2"/>
        <v>HP06_ALL_WP_BHV1_GB</v>
      </c>
      <c r="B107" s="36" t="s">
        <v>748</v>
      </c>
      <c r="C107" s="36" t="s">
        <v>231</v>
      </c>
      <c r="D107" s="36" t="s">
        <v>250</v>
      </c>
      <c r="E107" s="36" t="s">
        <v>267</v>
      </c>
      <c r="F107" s="36" t="s">
        <v>235</v>
      </c>
      <c r="G107" s="36" t="s">
        <v>234</v>
      </c>
      <c r="H107" s="36" t="s">
        <v>130</v>
      </c>
      <c r="I107" s="55">
        <v>0.14583333333333334</v>
      </c>
      <c r="J107" s="130">
        <v>4.1099999999999998E-2</v>
      </c>
    </row>
    <row r="108" spans="1:10">
      <c r="A108" s="36" t="str">
        <f t="shared" si="2"/>
        <v>HP06_ALL_WP_BHV1_GB</v>
      </c>
      <c r="B108" s="36" t="s">
        <v>748</v>
      </c>
      <c r="C108" s="36" t="s">
        <v>231</v>
      </c>
      <c r="D108" s="36" t="s">
        <v>250</v>
      </c>
      <c r="E108" s="36" t="s">
        <v>267</v>
      </c>
      <c r="F108" s="36" t="s">
        <v>235</v>
      </c>
      <c r="G108" s="36" t="s">
        <v>234</v>
      </c>
      <c r="H108" s="36" t="s">
        <v>130</v>
      </c>
      <c r="I108" s="55">
        <v>0.16666666666666666</v>
      </c>
      <c r="J108" s="130">
        <v>4.2599999999999999E-2</v>
      </c>
    </row>
    <row r="109" spans="1:10">
      <c r="A109" s="36" t="str">
        <f t="shared" si="2"/>
        <v>HP06_ALL_WP_BHV1_GB</v>
      </c>
      <c r="B109" s="36" t="s">
        <v>748</v>
      </c>
      <c r="C109" s="36" t="s">
        <v>231</v>
      </c>
      <c r="D109" s="36" t="s">
        <v>250</v>
      </c>
      <c r="E109" s="36" t="s">
        <v>267</v>
      </c>
      <c r="F109" s="36" t="s">
        <v>235</v>
      </c>
      <c r="G109" s="36" t="s">
        <v>234</v>
      </c>
      <c r="H109" s="36" t="s">
        <v>130</v>
      </c>
      <c r="I109" s="55">
        <v>0.1875</v>
      </c>
      <c r="J109" s="130">
        <v>4.4699999999999997E-2</v>
      </c>
    </row>
    <row r="110" spans="1:10">
      <c r="A110" s="36" t="str">
        <f t="shared" si="2"/>
        <v>HP06_ALL_WP_BHV1_GB</v>
      </c>
      <c r="B110" s="36" t="s">
        <v>748</v>
      </c>
      <c r="C110" s="36" t="s">
        <v>231</v>
      </c>
      <c r="D110" s="36" t="s">
        <v>250</v>
      </c>
      <c r="E110" s="36" t="s">
        <v>267</v>
      </c>
      <c r="F110" s="36" t="s">
        <v>235</v>
      </c>
      <c r="G110" s="36" t="s">
        <v>234</v>
      </c>
      <c r="H110" s="36" t="s">
        <v>130</v>
      </c>
      <c r="I110" s="55">
        <v>0.20833333333333334</v>
      </c>
      <c r="J110" s="130">
        <v>4.7199999999999999E-2</v>
      </c>
    </row>
    <row r="111" spans="1:10">
      <c r="A111" s="36" t="str">
        <f t="shared" si="2"/>
        <v>HP06_ALL_WP_BHV1_GB</v>
      </c>
      <c r="B111" s="36" t="s">
        <v>748</v>
      </c>
      <c r="C111" s="36" t="s">
        <v>231</v>
      </c>
      <c r="D111" s="36" t="s">
        <v>250</v>
      </c>
      <c r="E111" s="36" t="s">
        <v>267</v>
      </c>
      <c r="F111" s="36" t="s">
        <v>235</v>
      </c>
      <c r="G111" s="36" t="s">
        <v>234</v>
      </c>
      <c r="H111" s="36" t="s">
        <v>130</v>
      </c>
      <c r="I111" s="55">
        <v>0.22916666666666666</v>
      </c>
      <c r="J111" s="130">
        <v>5.0999999999999997E-2</v>
      </c>
    </row>
    <row r="112" spans="1:10">
      <c r="A112" s="36" t="str">
        <f t="shared" si="2"/>
        <v>HP06_ALL_WP_BHV1_GB</v>
      </c>
      <c r="B112" s="36" t="s">
        <v>748</v>
      </c>
      <c r="C112" s="36" t="s">
        <v>231</v>
      </c>
      <c r="D112" s="36" t="s">
        <v>250</v>
      </c>
      <c r="E112" s="36" t="s">
        <v>267</v>
      </c>
      <c r="F112" s="36" t="s">
        <v>235</v>
      </c>
      <c r="G112" s="36" t="s">
        <v>234</v>
      </c>
      <c r="H112" s="36" t="s">
        <v>130</v>
      </c>
      <c r="I112" s="55">
        <v>0.25</v>
      </c>
      <c r="J112" s="130">
        <v>5.45E-2</v>
      </c>
    </row>
    <row r="113" spans="1:10">
      <c r="A113" s="36" t="str">
        <f t="shared" si="2"/>
        <v>HP06_ALL_WP_BHV1_GB</v>
      </c>
      <c r="B113" s="36" t="s">
        <v>748</v>
      </c>
      <c r="C113" s="36" t="s">
        <v>231</v>
      </c>
      <c r="D113" s="36" t="s">
        <v>250</v>
      </c>
      <c r="E113" s="36" t="s">
        <v>267</v>
      </c>
      <c r="F113" s="36" t="s">
        <v>235</v>
      </c>
      <c r="G113" s="36" t="s">
        <v>234</v>
      </c>
      <c r="H113" s="36" t="s">
        <v>130</v>
      </c>
      <c r="I113" s="55">
        <v>0.27083333333333331</v>
      </c>
      <c r="J113" s="130">
        <v>5.7200000000000001E-2</v>
      </c>
    </row>
    <row r="114" spans="1:10">
      <c r="A114" s="36" t="str">
        <f t="shared" si="2"/>
        <v>HP06_ALL_WP_BHV1_GB</v>
      </c>
      <c r="B114" s="36" t="s">
        <v>748</v>
      </c>
      <c r="C114" s="36" t="s">
        <v>231</v>
      </c>
      <c r="D114" s="36" t="s">
        <v>250</v>
      </c>
      <c r="E114" s="36" t="s">
        <v>267</v>
      </c>
      <c r="F114" s="36" t="s">
        <v>235</v>
      </c>
      <c r="G114" s="36" t="s">
        <v>234</v>
      </c>
      <c r="H114" s="36" t="s">
        <v>130</v>
      </c>
      <c r="I114" s="55">
        <v>0.29166666666666669</v>
      </c>
      <c r="J114" s="130">
        <v>5.6599999999999998E-2</v>
      </c>
    </row>
    <row r="115" spans="1:10">
      <c r="A115" s="36" t="str">
        <f t="shared" si="2"/>
        <v>HP06_ALL_WP_BHV1_GB</v>
      </c>
      <c r="B115" s="36" t="s">
        <v>748</v>
      </c>
      <c r="C115" s="36" t="s">
        <v>231</v>
      </c>
      <c r="D115" s="36" t="s">
        <v>250</v>
      </c>
      <c r="E115" s="36" t="s">
        <v>267</v>
      </c>
      <c r="F115" s="36" t="s">
        <v>235</v>
      </c>
      <c r="G115" s="36" t="s">
        <v>234</v>
      </c>
      <c r="H115" s="36" t="s">
        <v>130</v>
      </c>
      <c r="I115" s="55">
        <v>0.3125</v>
      </c>
      <c r="J115" s="130">
        <v>5.3199999999999997E-2</v>
      </c>
    </row>
    <row r="116" spans="1:10">
      <c r="A116" s="36" t="str">
        <f t="shared" ref="A116:A179" si="3">_xlfn.CONCAT("HP06_",INDEX(dwelling_categories_short,MATCH(E116,dwelling_categories,0)),"_",INDEX(rep_days_short,MATCH(F116,rep_days,0)),"_",INDEX(HP_behaviours_short,MATCH(G116,HP_behaviours,0)),"_",H116)</f>
        <v>HP06_ALL_WP_BHV1_GB</v>
      </c>
      <c r="B116" s="36" t="s">
        <v>748</v>
      </c>
      <c r="C116" s="36" t="s">
        <v>231</v>
      </c>
      <c r="D116" s="36" t="s">
        <v>250</v>
      </c>
      <c r="E116" s="36" t="s">
        <v>267</v>
      </c>
      <c r="F116" s="36" t="s">
        <v>235</v>
      </c>
      <c r="G116" s="36" t="s">
        <v>234</v>
      </c>
      <c r="H116" s="36" t="s">
        <v>130</v>
      </c>
      <c r="I116" s="55">
        <v>0.33333333333333331</v>
      </c>
      <c r="J116" s="130">
        <v>4.7699999999999999E-2</v>
      </c>
    </row>
    <row r="117" spans="1:10">
      <c r="A117" s="36" t="str">
        <f t="shared" si="3"/>
        <v>HP06_ALL_WP_BHV1_GB</v>
      </c>
      <c r="B117" s="36" t="s">
        <v>748</v>
      </c>
      <c r="C117" s="36" t="s">
        <v>231</v>
      </c>
      <c r="D117" s="36" t="s">
        <v>250</v>
      </c>
      <c r="E117" s="36" t="s">
        <v>267</v>
      </c>
      <c r="F117" s="36" t="s">
        <v>235</v>
      </c>
      <c r="G117" s="36" t="s">
        <v>234</v>
      </c>
      <c r="H117" s="36" t="s">
        <v>130</v>
      </c>
      <c r="I117" s="55">
        <v>0.35416666666666669</v>
      </c>
      <c r="J117" s="130">
        <v>4.1700000000000001E-2</v>
      </c>
    </row>
    <row r="118" spans="1:10">
      <c r="A118" s="36" t="str">
        <f t="shared" si="3"/>
        <v>HP06_ALL_WP_BHV1_GB</v>
      </c>
      <c r="B118" s="36" t="s">
        <v>748</v>
      </c>
      <c r="C118" s="36" t="s">
        <v>231</v>
      </c>
      <c r="D118" s="36" t="s">
        <v>250</v>
      </c>
      <c r="E118" s="36" t="s">
        <v>267</v>
      </c>
      <c r="F118" s="36" t="s">
        <v>235</v>
      </c>
      <c r="G118" s="36" t="s">
        <v>234</v>
      </c>
      <c r="H118" s="36" t="s">
        <v>130</v>
      </c>
      <c r="I118" s="55">
        <v>0.375</v>
      </c>
      <c r="J118" s="130">
        <v>3.6200000000000003E-2</v>
      </c>
    </row>
    <row r="119" spans="1:10">
      <c r="A119" s="36" t="str">
        <f t="shared" si="3"/>
        <v>HP06_ALL_WP_BHV1_GB</v>
      </c>
      <c r="B119" s="36" t="s">
        <v>748</v>
      </c>
      <c r="C119" s="36" t="s">
        <v>231</v>
      </c>
      <c r="D119" s="36" t="s">
        <v>250</v>
      </c>
      <c r="E119" s="36" t="s">
        <v>267</v>
      </c>
      <c r="F119" s="36" t="s">
        <v>235</v>
      </c>
      <c r="G119" s="36" t="s">
        <v>234</v>
      </c>
      <c r="H119" s="36" t="s">
        <v>130</v>
      </c>
      <c r="I119" s="55">
        <v>0.39583333333333331</v>
      </c>
      <c r="J119" s="130">
        <v>3.2099999999999997E-2</v>
      </c>
    </row>
    <row r="120" spans="1:10">
      <c r="A120" s="36" t="str">
        <f t="shared" si="3"/>
        <v>HP06_ALL_WP_BHV1_GB</v>
      </c>
      <c r="B120" s="36" t="s">
        <v>748</v>
      </c>
      <c r="C120" s="36" t="s">
        <v>231</v>
      </c>
      <c r="D120" s="36" t="s">
        <v>250</v>
      </c>
      <c r="E120" s="36" t="s">
        <v>267</v>
      </c>
      <c r="F120" s="36" t="s">
        <v>235</v>
      </c>
      <c r="G120" s="36" t="s">
        <v>234</v>
      </c>
      <c r="H120" s="36" t="s">
        <v>130</v>
      </c>
      <c r="I120" s="55">
        <v>0.41666666666666669</v>
      </c>
      <c r="J120" s="130">
        <v>2.93E-2</v>
      </c>
    </row>
    <row r="121" spans="1:10">
      <c r="A121" s="36" t="str">
        <f t="shared" si="3"/>
        <v>HP06_ALL_WP_BHV1_GB</v>
      </c>
      <c r="B121" s="36" t="s">
        <v>748</v>
      </c>
      <c r="C121" s="36" t="s">
        <v>231</v>
      </c>
      <c r="D121" s="36" t="s">
        <v>250</v>
      </c>
      <c r="E121" s="36" t="s">
        <v>267</v>
      </c>
      <c r="F121" s="36" t="s">
        <v>235</v>
      </c>
      <c r="G121" s="36" t="s">
        <v>234</v>
      </c>
      <c r="H121" s="36" t="s">
        <v>130</v>
      </c>
      <c r="I121" s="55">
        <v>0.4375</v>
      </c>
      <c r="J121" s="130">
        <v>2.8000000000000001E-2</v>
      </c>
    </row>
    <row r="122" spans="1:10">
      <c r="A122" s="36" t="str">
        <f t="shared" si="3"/>
        <v>HP06_ALL_WP_BHV1_GB</v>
      </c>
      <c r="B122" s="36" t="s">
        <v>748</v>
      </c>
      <c r="C122" s="36" t="s">
        <v>231</v>
      </c>
      <c r="D122" s="36" t="s">
        <v>250</v>
      </c>
      <c r="E122" s="36" t="s">
        <v>267</v>
      </c>
      <c r="F122" s="36" t="s">
        <v>235</v>
      </c>
      <c r="G122" s="36" t="s">
        <v>234</v>
      </c>
      <c r="H122" s="36" t="s">
        <v>130</v>
      </c>
      <c r="I122" s="55">
        <v>0.45833333333333331</v>
      </c>
      <c r="J122" s="130">
        <v>2.7300000000000001E-2</v>
      </c>
    </row>
    <row r="123" spans="1:10">
      <c r="A123" s="36" t="str">
        <f t="shared" si="3"/>
        <v>HP06_ALL_WP_BHV1_GB</v>
      </c>
      <c r="B123" s="36" t="s">
        <v>748</v>
      </c>
      <c r="C123" s="36" t="s">
        <v>231</v>
      </c>
      <c r="D123" s="36" t="s">
        <v>250</v>
      </c>
      <c r="E123" s="36" t="s">
        <v>267</v>
      </c>
      <c r="F123" s="36" t="s">
        <v>235</v>
      </c>
      <c r="G123" s="36" t="s">
        <v>234</v>
      </c>
      <c r="H123" s="36" t="s">
        <v>130</v>
      </c>
      <c r="I123" s="55">
        <v>0.47916666666666669</v>
      </c>
      <c r="J123" s="130">
        <v>2.8000000000000001E-2</v>
      </c>
    </row>
    <row r="124" spans="1:10">
      <c r="A124" s="36" t="str">
        <f t="shared" si="3"/>
        <v>HP06_ALL_WP_BHV1_GB</v>
      </c>
      <c r="B124" s="36" t="s">
        <v>748</v>
      </c>
      <c r="C124" s="36" t="s">
        <v>231</v>
      </c>
      <c r="D124" s="36" t="s">
        <v>250</v>
      </c>
      <c r="E124" s="36" t="s">
        <v>267</v>
      </c>
      <c r="F124" s="36" t="s">
        <v>235</v>
      </c>
      <c r="G124" s="36" t="s">
        <v>234</v>
      </c>
      <c r="H124" s="36" t="s">
        <v>130</v>
      </c>
      <c r="I124" s="55">
        <v>0.5</v>
      </c>
      <c r="J124" s="130">
        <v>2.86E-2</v>
      </c>
    </row>
    <row r="125" spans="1:10">
      <c r="A125" s="36" t="str">
        <f t="shared" si="3"/>
        <v>HP06_ALL_WP_BHV1_GB</v>
      </c>
      <c r="B125" s="36" t="s">
        <v>748</v>
      </c>
      <c r="C125" s="36" t="s">
        <v>231</v>
      </c>
      <c r="D125" s="36" t="s">
        <v>250</v>
      </c>
      <c r="E125" s="36" t="s">
        <v>267</v>
      </c>
      <c r="F125" s="36" t="s">
        <v>235</v>
      </c>
      <c r="G125" s="36" t="s">
        <v>234</v>
      </c>
      <c r="H125" s="36" t="s">
        <v>130</v>
      </c>
      <c r="I125" s="55">
        <v>0.52083333333333337</v>
      </c>
      <c r="J125" s="130">
        <v>2.9100000000000001E-2</v>
      </c>
    </row>
    <row r="126" spans="1:10">
      <c r="A126" s="36" t="str">
        <f t="shared" si="3"/>
        <v>HP06_ALL_WP_BHV1_GB</v>
      </c>
      <c r="B126" s="36" t="s">
        <v>748</v>
      </c>
      <c r="C126" s="36" t="s">
        <v>231</v>
      </c>
      <c r="D126" s="36" t="s">
        <v>250</v>
      </c>
      <c r="E126" s="36" t="s">
        <v>267</v>
      </c>
      <c r="F126" s="36" t="s">
        <v>235</v>
      </c>
      <c r="G126" s="36" t="s">
        <v>234</v>
      </c>
      <c r="H126" s="36" t="s">
        <v>130</v>
      </c>
      <c r="I126" s="55">
        <v>0.54166666666666663</v>
      </c>
      <c r="J126" s="130">
        <v>2.93E-2</v>
      </c>
    </row>
    <row r="127" spans="1:10">
      <c r="A127" s="36" t="str">
        <f t="shared" si="3"/>
        <v>HP06_ALL_WP_BHV1_GB</v>
      </c>
      <c r="B127" s="36" t="s">
        <v>748</v>
      </c>
      <c r="C127" s="36" t="s">
        <v>231</v>
      </c>
      <c r="D127" s="36" t="s">
        <v>250</v>
      </c>
      <c r="E127" s="36" t="s">
        <v>267</v>
      </c>
      <c r="F127" s="36" t="s">
        <v>235</v>
      </c>
      <c r="G127" s="36" t="s">
        <v>234</v>
      </c>
      <c r="H127" s="36" t="s">
        <v>130</v>
      </c>
      <c r="I127" s="55">
        <v>0.5625</v>
      </c>
      <c r="J127" s="130">
        <v>3.0099999999999998E-2</v>
      </c>
    </row>
    <row r="128" spans="1:10">
      <c r="A128" s="36" t="str">
        <f t="shared" si="3"/>
        <v>HP06_ALL_WP_BHV1_GB</v>
      </c>
      <c r="B128" s="36" t="s">
        <v>748</v>
      </c>
      <c r="C128" s="36" t="s">
        <v>231</v>
      </c>
      <c r="D128" s="36" t="s">
        <v>250</v>
      </c>
      <c r="E128" s="36" t="s">
        <v>267</v>
      </c>
      <c r="F128" s="36" t="s">
        <v>235</v>
      </c>
      <c r="G128" s="36" t="s">
        <v>234</v>
      </c>
      <c r="H128" s="36" t="s">
        <v>130</v>
      </c>
      <c r="I128" s="55">
        <v>0.58333333333333337</v>
      </c>
      <c r="J128" s="130">
        <v>3.1600000000000003E-2</v>
      </c>
    </row>
    <row r="129" spans="1:10">
      <c r="A129" s="36" t="str">
        <f t="shared" si="3"/>
        <v>HP06_ALL_WP_BHV1_GB</v>
      </c>
      <c r="B129" s="36" t="s">
        <v>748</v>
      </c>
      <c r="C129" s="36" t="s">
        <v>231</v>
      </c>
      <c r="D129" s="36" t="s">
        <v>250</v>
      </c>
      <c r="E129" s="36" t="s">
        <v>267</v>
      </c>
      <c r="F129" s="36" t="s">
        <v>235</v>
      </c>
      <c r="G129" s="36" t="s">
        <v>234</v>
      </c>
      <c r="H129" s="36" t="s">
        <v>130</v>
      </c>
      <c r="I129" s="55">
        <v>0.60416666666666663</v>
      </c>
      <c r="J129" s="130">
        <v>3.4599999999999999E-2</v>
      </c>
    </row>
    <row r="130" spans="1:10">
      <c r="A130" s="36" t="str">
        <f t="shared" si="3"/>
        <v>HP06_ALL_WP_BHV1_GB</v>
      </c>
      <c r="B130" s="36" t="s">
        <v>748</v>
      </c>
      <c r="C130" s="36" t="s">
        <v>231</v>
      </c>
      <c r="D130" s="36" t="s">
        <v>250</v>
      </c>
      <c r="E130" s="36" t="s">
        <v>267</v>
      </c>
      <c r="F130" s="36" t="s">
        <v>235</v>
      </c>
      <c r="G130" s="36" t="s">
        <v>234</v>
      </c>
      <c r="H130" s="36" t="s">
        <v>130</v>
      </c>
      <c r="I130" s="55">
        <v>0.625</v>
      </c>
      <c r="J130" s="130">
        <v>3.8199999999999998E-2</v>
      </c>
    </row>
    <row r="131" spans="1:10">
      <c r="A131" s="36" t="str">
        <f t="shared" si="3"/>
        <v>HP06_ALL_WP_BHV1_GB</v>
      </c>
      <c r="B131" s="36" t="s">
        <v>748</v>
      </c>
      <c r="C131" s="36" t="s">
        <v>231</v>
      </c>
      <c r="D131" s="36" t="s">
        <v>250</v>
      </c>
      <c r="E131" s="36" t="s">
        <v>267</v>
      </c>
      <c r="F131" s="36" t="s">
        <v>235</v>
      </c>
      <c r="G131" s="36" t="s">
        <v>234</v>
      </c>
      <c r="H131" s="36" t="s">
        <v>130</v>
      </c>
      <c r="I131" s="55">
        <v>0.64583333333333337</v>
      </c>
      <c r="J131" s="130">
        <v>4.2700000000000002E-2</v>
      </c>
    </row>
    <row r="132" spans="1:10">
      <c r="A132" s="36" t="str">
        <f t="shared" si="3"/>
        <v>HP06_ALL_WP_BHV1_GB</v>
      </c>
      <c r="B132" s="36" t="s">
        <v>748</v>
      </c>
      <c r="C132" s="36" t="s">
        <v>231</v>
      </c>
      <c r="D132" s="36" t="s">
        <v>250</v>
      </c>
      <c r="E132" s="36" t="s">
        <v>267</v>
      </c>
      <c r="F132" s="36" t="s">
        <v>235</v>
      </c>
      <c r="G132" s="36" t="s">
        <v>234</v>
      </c>
      <c r="H132" s="36" t="s">
        <v>130</v>
      </c>
      <c r="I132" s="55">
        <v>0.66666666666666663</v>
      </c>
      <c r="J132" s="130">
        <v>4.7199999999999999E-2</v>
      </c>
    </row>
    <row r="133" spans="1:10">
      <c r="A133" s="36" t="str">
        <f t="shared" si="3"/>
        <v>HP06_ALL_WP_BHV1_GB</v>
      </c>
      <c r="B133" s="36" t="s">
        <v>748</v>
      </c>
      <c r="C133" s="36" t="s">
        <v>231</v>
      </c>
      <c r="D133" s="36" t="s">
        <v>250</v>
      </c>
      <c r="E133" s="36" t="s">
        <v>267</v>
      </c>
      <c r="F133" s="36" t="s">
        <v>235</v>
      </c>
      <c r="G133" s="36" t="s">
        <v>234</v>
      </c>
      <c r="H133" s="36" t="s">
        <v>130</v>
      </c>
      <c r="I133" s="55">
        <v>0.6875</v>
      </c>
      <c r="J133" s="130">
        <v>5.1499999999999997E-2</v>
      </c>
    </row>
    <row r="134" spans="1:10">
      <c r="A134" s="36" t="str">
        <f t="shared" si="3"/>
        <v>HP06_ALL_WP_BHV1_GB</v>
      </c>
      <c r="B134" s="36" t="s">
        <v>748</v>
      </c>
      <c r="C134" s="36" t="s">
        <v>231</v>
      </c>
      <c r="D134" s="36" t="s">
        <v>250</v>
      </c>
      <c r="E134" s="36" t="s">
        <v>267</v>
      </c>
      <c r="F134" s="36" t="s">
        <v>235</v>
      </c>
      <c r="G134" s="36" t="s">
        <v>234</v>
      </c>
      <c r="H134" s="36" t="s">
        <v>130</v>
      </c>
      <c r="I134" s="55">
        <v>0.70833333333333337</v>
      </c>
      <c r="J134" s="130">
        <v>5.4699999999999999E-2</v>
      </c>
    </row>
    <row r="135" spans="1:10">
      <c r="A135" s="36" t="str">
        <f t="shared" si="3"/>
        <v>HP06_ALL_WP_BHV1_GB</v>
      </c>
      <c r="B135" s="36" t="s">
        <v>748</v>
      </c>
      <c r="C135" s="36" t="s">
        <v>231</v>
      </c>
      <c r="D135" s="36" t="s">
        <v>250</v>
      </c>
      <c r="E135" s="36" t="s">
        <v>267</v>
      </c>
      <c r="F135" s="36" t="s">
        <v>235</v>
      </c>
      <c r="G135" s="36" t="s">
        <v>234</v>
      </c>
      <c r="H135" s="36" t="s">
        <v>130</v>
      </c>
      <c r="I135" s="55">
        <v>0.72916666666666663</v>
      </c>
      <c r="J135" s="130">
        <v>5.67E-2</v>
      </c>
    </row>
    <row r="136" spans="1:10">
      <c r="A136" s="36" t="str">
        <f t="shared" si="3"/>
        <v>HP06_ALL_WP_BHV1_GB</v>
      </c>
      <c r="B136" s="36" t="s">
        <v>748</v>
      </c>
      <c r="C136" s="36" t="s">
        <v>231</v>
      </c>
      <c r="D136" s="36" t="s">
        <v>250</v>
      </c>
      <c r="E136" s="36" t="s">
        <v>267</v>
      </c>
      <c r="F136" s="36" t="s">
        <v>235</v>
      </c>
      <c r="G136" s="36" t="s">
        <v>234</v>
      </c>
      <c r="H136" s="36" t="s">
        <v>130</v>
      </c>
      <c r="I136" s="55">
        <v>0.75</v>
      </c>
      <c r="J136" s="130">
        <v>5.7700000000000001E-2</v>
      </c>
    </row>
    <row r="137" spans="1:10">
      <c r="A137" s="36" t="str">
        <f t="shared" si="3"/>
        <v>HP06_ALL_WP_BHV1_GB</v>
      </c>
      <c r="B137" s="36" t="s">
        <v>748</v>
      </c>
      <c r="C137" s="36" t="s">
        <v>231</v>
      </c>
      <c r="D137" s="36" t="s">
        <v>250</v>
      </c>
      <c r="E137" s="36" t="s">
        <v>267</v>
      </c>
      <c r="F137" s="36" t="s">
        <v>235</v>
      </c>
      <c r="G137" s="36" t="s">
        <v>234</v>
      </c>
      <c r="H137" s="36" t="s">
        <v>130</v>
      </c>
      <c r="I137" s="55">
        <v>0.77083333333333337</v>
      </c>
      <c r="J137" s="130">
        <v>5.8200000000000002E-2</v>
      </c>
    </row>
    <row r="138" spans="1:10">
      <c r="A138" s="36" t="str">
        <f t="shared" si="3"/>
        <v>HP06_ALL_WP_BHV1_GB</v>
      </c>
      <c r="B138" s="36" t="s">
        <v>748</v>
      </c>
      <c r="C138" s="36" t="s">
        <v>231</v>
      </c>
      <c r="D138" s="36" t="s">
        <v>250</v>
      </c>
      <c r="E138" s="36" t="s">
        <v>267</v>
      </c>
      <c r="F138" s="36" t="s">
        <v>235</v>
      </c>
      <c r="G138" s="36" t="s">
        <v>234</v>
      </c>
      <c r="H138" s="36" t="s">
        <v>130</v>
      </c>
      <c r="I138" s="55">
        <v>0.79166666666666663</v>
      </c>
      <c r="J138" s="130">
        <v>5.7599999999999998E-2</v>
      </c>
    </row>
    <row r="139" spans="1:10">
      <c r="A139" s="36" t="str">
        <f t="shared" si="3"/>
        <v>HP06_ALL_WP_BHV1_GB</v>
      </c>
      <c r="B139" s="36" t="s">
        <v>748</v>
      </c>
      <c r="C139" s="36" t="s">
        <v>231</v>
      </c>
      <c r="D139" s="36" t="s">
        <v>250</v>
      </c>
      <c r="E139" s="36" t="s">
        <v>267</v>
      </c>
      <c r="F139" s="36" t="s">
        <v>235</v>
      </c>
      <c r="G139" s="36" t="s">
        <v>234</v>
      </c>
      <c r="H139" s="36" t="s">
        <v>130</v>
      </c>
      <c r="I139" s="55">
        <v>0.8125</v>
      </c>
      <c r="J139" s="130">
        <v>5.6099999999999997E-2</v>
      </c>
    </row>
    <row r="140" spans="1:10">
      <c r="A140" s="36" t="str">
        <f t="shared" si="3"/>
        <v>HP06_ALL_WP_BHV1_GB</v>
      </c>
      <c r="B140" s="36" t="s">
        <v>748</v>
      </c>
      <c r="C140" s="36" t="s">
        <v>231</v>
      </c>
      <c r="D140" s="36" t="s">
        <v>250</v>
      </c>
      <c r="E140" s="36" t="s">
        <v>267</v>
      </c>
      <c r="F140" s="36" t="s">
        <v>235</v>
      </c>
      <c r="G140" s="36" t="s">
        <v>234</v>
      </c>
      <c r="H140" s="36" t="s">
        <v>130</v>
      </c>
      <c r="I140" s="55">
        <v>0.83333333333333337</v>
      </c>
      <c r="J140" s="130">
        <v>5.3999999999999999E-2</v>
      </c>
    </row>
    <row r="141" spans="1:10">
      <c r="A141" s="36" t="str">
        <f t="shared" si="3"/>
        <v>HP06_ALL_WP_BHV1_GB</v>
      </c>
      <c r="B141" s="36" t="s">
        <v>748</v>
      </c>
      <c r="C141" s="36" t="s">
        <v>231</v>
      </c>
      <c r="D141" s="36" t="s">
        <v>250</v>
      </c>
      <c r="E141" s="36" t="s">
        <v>267</v>
      </c>
      <c r="F141" s="36" t="s">
        <v>235</v>
      </c>
      <c r="G141" s="36" t="s">
        <v>234</v>
      </c>
      <c r="H141" s="36" t="s">
        <v>130</v>
      </c>
      <c r="I141" s="55">
        <v>0.85416666666666663</v>
      </c>
      <c r="J141" s="130">
        <v>5.0599999999999999E-2</v>
      </c>
    </row>
    <row r="142" spans="1:10">
      <c r="A142" s="36" t="str">
        <f t="shared" si="3"/>
        <v>HP06_ALL_WP_BHV1_GB</v>
      </c>
      <c r="B142" s="36" t="s">
        <v>748</v>
      </c>
      <c r="C142" s="36" t="s">
        <v>231</v>
      </c>
      <c r="D142" s="36" t="s">
        <v>250</v>
      </c>
      <c r="E142" s="36" t="s">
        <v>267</v>
      </c>
      <c r="F142" s="36" t="s">
        <v>235</v>
      </c>
      <c r="G142" s="36" t="s">
        <v>234</v>
      </c>
      <c r="H142" s="36" t="s">
        <v>130</v>
      </c>
      <c r="I142" s="55">
        <v>0.875</v>
      </c>
      <c r="J142" s="130">
        <v>4.6800000000000001E-2</v>
      </c>
    </row>
    <row r="143" spans="1:10">
      <c r="A143" s="36" t="str">
        <f t="shared" si="3"/>
        <v>HP06_ALL_WP_BHV1_GB</v>
      </c>
      <c r="B143" s="36" t="s">
        <v>748</v>
      </c>
      <c r="C143" s="36" t="s">
        <v>231</v>
      </c>
      <c r="D143" s="36" t="s">
        <v>250</v>
      </c>
      <c r="E143" s="36" t="s">
        <v>267</v>
      </c>
      <c r="F143" s="36" t="s">
        <v>235</v>
      </c>
      <c r="G143" s="36" t="s">
        <v>234</v>
      </c>
      <c r="H143" s="36" t="s">
        <v>130</v>
      </c>
      <c r="I143" s="55">
        <v>0.89583333333333337</v>
      </c>
      <c r="J143" s="130">
        <v>4.1399999999999999E-2</v>
      </c>
    </row>
    <row r="144" spans="1:10">
      <c r="A144" s="36" t="str">
        <f t="shared" si="3"/>
        <v>HP06_ALL_WP_BHV1_GB</v>
      </c>
      <c r="B144" s="36" t="s">
        <v>748</v>
      </c>
      <c r="C144" s="36" t="s">
        <v>231</v>
      </c>
      <c r="D144" s="36" t="s">
        <v>250</v>
      </c>
      <c r="E144" s="36" t="s">
        <v>267</v>
      </c>
      <c r="F144" s="36" t="s">
        <v>235</v>
      </c>
      <c r="G144" s="36" t="s">
        <v>234</v>
      </c>
      <c r="H144" s="36" t="s">
        <v>130</v>
      </c>
      <c r="I144" s="55">
        <v>0.91666666666666663</v>
      </c>
      <c r="J144" s="130">
        <v>3.7199999999999997E-2</v>
      </c>
    </row>
    <row r="145" spans="1:10">
      <c r="A145" s="36" t="str">
        <f t="shared" si="3"/>
        <v>HP06_ALL_WP_BHV1_GB</v>
      </c>
      <c r="B145" s="36" t="s">
        <v>748</v>
      </c>
      <c r="C145" s="36" t="s">
        <v>231</v>
      </c>
      <c r="D145" s="36" t="s">
        <v>250</v>
      </c>
      <c r="E145" s="36" t="s">
        <v>267</v>
      </c>
      <c r="F145" s="36" t="s">
        <v>235</v>
      </c>
      <c r="G145" s="36" t="s">
        <v>234</v>
      </c>
      <c r="H145" s="36" t="s">
        <v>130</v>
      </c>
      <c r="I145" s="55">
        <v>0.9375</v>
      </c>
      <c r="J145" s="130">
        <v>3.3300000000000003E-2</v>
      </c>
    </row>
    <row r="146" spans="1:10">
      <c r="A146" s="36" t="str">
        <f t="shared" si="3"/>
        <v>HP06_ALL_WP_BHV1_GB</v>
      </c>
      <c r="B146" s="36" t="s">
        <v>748</v>
      </c>
      <c r="C146" s="36" t="s">
        <v>231</v>
      </c>
      <c r="D146" s="36" t="s">
        <v>250</v>
      </c>
      <c r="E146" s="36" t="s">
        <v>267</v>
      </c>
      <c r="F146" s="36" t="s">
        <v>235</v>
      </c>
      <c r="G146" s="36" t="s">
        <v>234</v>
      </c>
      <c r="H146" s="36" t="s">
        <v>130</v>
      </c>
      <c r="I146" s="55">
        <v>0.95833333333333337</v>
      </c>
      <c r="J146" s="130">
        <v>3.15E-2</v>
      </c>
    </row>
    <row r="147" spans="1:10">
      <c r="A147" s="36" t="str">
        <f t="shared" si="3"/>
        <v>HP06_ALL_WP_BHV1_GB</v>
      </c>
      <c r="B147" s="36" t="s">
        <v>748</v>
      </c>
      <c r="C147" s="36" t="s">
        <v>231</v>
      </c>
      <c r="D147" s="36" t="s">
        <v>250</v>
      </c>
      <c r="E147" s="36" t="s">
        <v>267</v>
      </c>
      <c r="F147" s="36" t="s">
        <v>235</v>
      </c>
      <c r="G147" s="36" t="s">
        <v>234</v>
      </c>
      <c r="H147" s="36" t="s">
        <v>130</v>
      </c>
      <c r="I147" s="55">
        <v>0.97916666666666663</v>
      </c>
      <c r="J147" s="130">
        <v>3.0700000000000002E-2</v>
      </c>
    </row>
    <row r="148" spans="1:10">
      <c r="A148" s="36" t="str">
        <f t="shared" si="3"/>
        <v>HP06_ALL_WP_BHV3_GB</v>
      </c>
      <c r="B148" s="36" t="s">
        <v>748</v>
      </c>
      <c r="C148" s="36" t="s">
        <v>231</v>
      </c>
      <c r="D148" s="36" t="s">
        <v>250</v>
      </c>
      <c r="E148" s="36" t="s">
        <v>267</v>
      </c>
      <c r="F148" s="36" t="s">
        <v>235</v>
      </c>
      <c r="G148" s="36" t="s">
        <v>272</v>
      </c>
      <c r="H148" s="36" t="s">
        <v>130</v>
      </c>
      <c r="I148" s="55">
        <v>0</v>
      </c>
      <c r="J148" s="130">
        <v>4.6399999999999997E-2</v>
      </c>
    </row>
    <row r="149" spans="1:10">
      <c r="A149" s="36" t="str">
        <f t="shared" si="3"/>
        <v>HP06_ALL_WP_BHV3_GB</v>
      </c>
      <c r="B149" s="36" t="s">
        <v>748</v>
      </c>
      <c r="C149" s="36" t="s">
        <v>231</v>
      </c>
      <c r="D149" s="36" t="s">
        <v>250</v>
      </c>
      <c r="E149" s="36" t="s">
        <v>267</v>
      </c>
      <c r="F149" s="36" t="s">
        <v>235</v>
      </c>
      <c r="G149" s="36" t="s">
        <v>272</v>
      </c>
      <c r="H149" s="36" t="s">
        <v>130</v>
      </c>
      <c r="I149" s="55">
        <v>2.0833333333333332E-2</v>
      </c>
      <c r="J149" s="130">
        <v>4.5900000000000003E-2</v>
      </c>
    </row>
    <row r="150" spans="1:10">
      <c r="A150" s="36" t="str">
        <f t="shared" si="3"/>
        <v>HP06_ALL_WP_BHV3_GB</v>
      </c>
      <c r="B150" s="36" t="s">
        <v>748</v>
      </c>
      <c r="C150" s="36" t="s">
        <v>231</v>
      </c>
      <c r="D150" s="36" t="s">
        <v>250</v>
      </c>
      <c r="E150" s="36" t="s">
        <v>267</v>
      </c>
      <c r="F150" s="36" t="s">
        <v>235</v>
      </c>
      <c r="G150" s="36" t="s">
        <v>272</v>
      </c>
      <c r="H150" s="36" t="s">
        <v>130</v>
      </c>
      <c r="I150" s="55">
        <v>4.1666666666666664E-2</v>
      </c>
      <c r="J150" s="130">
        <v>4.5999999999999999E-2</v>
      </c>
    </row>
    <row r="151" spans="1:10">
      <c r="A151" s="36" t="str">
        <f t="shared" si="3"/>
        <v>HP06_ALL_WP_BHV3_GB</v>
      </c>
      <c r="B151" s="36" t="s">
        <v>748</v>
      </c>
      <c r="C151" s="36" t="s">
        <v>231</v>
      </c>
      <c r="D151" s="36" t="s">
        <v>250</v>
      </c>
      <c r="E151" s="36" t="s">
        <v>267</v>
      </c>
      <c r="F151" s="36" t="s">
        <v>235</v>
      </c>
      <c r="G151" s="36" t="s">
        <v>272</v>
      </c>
      <c r="H151" s="36" t="s">
        <v>130</v>
      </c>
      <c r="I151" s="55">
        <v>6.25E-2</v>
      </c>
      <c r="J151" s="130">
        <v>4.5900000000000003E-2</v>
      </c>
    </row>
    <row r="152" spans="1:10">
      <c r="A152" s="36" t="str">
        <f t="shared" si="3"/>
        <v>HP06_ALL_WP_BHV3_GB</v>
      </c>
      <c r="B152" s="36" t="s">
        <v>748</v>
      </c>
      <c r="C152" s="36" t="s">
        <v>231</v>
      </c>
      <c r="D152" s="36" t="s">
        <v>250</v>
      </c>
      <c r="E152" s="36" t="s">
        <v>267</v>
      </c>
      <c r="F152" s="36" t="s">
        <v>235</v>
      </c>
      <c r="G152" s="36" t="s">
        <v>272</v>
      </c>
      <c r="H152" s="36" t="s">
        <v>130</v>
      </c>
      <c r="I152" s="55">
        <v>8.3333333333333329E-2</v>
      </c>
      <c r="J152" s="130">
        <v>4.6600000000000003E-2</v>
      </c>
    </row>
    <row r="153" spans="1:10">
      <c r="A153" s="36" t="str">
        <f t="shared" si="3"/>
        <v>HP06_ALL_WP_BHV3_GB</v>
      </c>
      <c r="B153" s="36" t="s">
        <v>748</v>
      </c>
      <c r="C153" s="36" t="s">
        <v>231</v>
      </c>
      <c r="D153" s="36" t="s">
        <v>250</v>
      </c>
      <c r="E153" s="36" t="s">
        <v>267</v>
      </c>
      <c r="F153" s="36" t="s">
        <v>235</v>
      </c>
      <c r="G153" s="36" t="s">
        <v>272</v>
      </c>
      <c r="H153" s="36" t="s">
        <v>130</v>
      </c>
      <c r="I153" s="55">
        <v>0.10416666666666667</v>
      </c>
      <c r="J153" s="130">
        <v>4.7399999999999998E-2</v>
      </c>
    </row>
    <row r="154" spans="1:10">
      <c r="A154" s="36" t="str">
        <f t="shared" si="3"/>
        <v>HP06_ALL_WP_BHV3_GB</v>
      </c>
      <c r="B154" s="36" t="s">
        <v>748</v>
      </c>
      <c r="C154" s="36" t="s">
        <v>231</v>
      </c>
      <c r="D154" s="36" t="s">
        <v>250</v>
      </c>
      <c r="E154" s="36" t="s">
        <v>267</v>
      </c>
      <c r="F154" s="36" t="s">
        <v>235</v>
      </c>
      <c r="G154" s="36" t="s">
        <v>272</v>
      </c>
      <c r="H154" s="36" t="s">
        <v>130</v>
      </c>
      <c r="I154" s="55">
        <v>0.125</v>
      </c>
      <c r="J154" s="130">
        <v>4.7899999999999998E-2</v>
      </c>
    </row>
    <row r="155" spans="1:10">
      <c r="A155" s="36" t="str">
        <f t="shared" si="3"/>
        <v>HP06_ALL_WP_BHV3_GB</v>
      </c>
      <c r="B155" s="36" t="s">
        <v>748</v>
      </c>
      <c r="C155" s="36" t="s">
        <v>231</v>
      </c>
      <c r="D155" s="36" t="s">
        <v>250</v>
      </c>
      <c r="E155" s="36" t="s">
        <v>267</v>
      </c>
      <c r="F155" s="36" t="s">
        <v>235</v>
      </c>
      <c r="G155" s="36" t="s">
        <v>272</v>
      </c>
      <c r="H155" s="36" t="s">
        <v>130</v>
      </c>
      <c r="I155" s="55">
        <v>0.14583333333333334</v>
      </c>
      <c r="J155" s="130">
        <v>4.82E-2</v>
      </c>
    </row>
    <row r="156" spans="1:10">
      <c r="A156" s="36" t="str">
        <f t="shared" si="3"/>
        <v>HP06_ALL_WP_BHV3_GB</v>
      </c>
      <c r="B156" s="36" t="s">
        <v>748</v>
      </c>
      <c r="C156" s="36" t="s">
        <v>231</v>
      </c>
      <c r="D156" s="36" t="s">
        <v>250</v>
      </c>
      <c r="E156" s="36" t="s">
        <v>267</v>
      </c>
      <c r="F156" s="36" t="s">
        <v>235</v>
      </c>
      <c r="G156" s="36" t="s">
        <v>272</v>
      </c>
      <c r="H156" s="36" t="s">
        <v>130</v>
      </c>
      <c r="I156" s="55">
        <v>0.16666666666666666</v>
      </c>
      <c r="J156" s="130">
        <v>4.8099999999999997E-2</v>
      </c>
    </row>
    <row r="157" spans="1:10">
      <c r="A157" s="36" t="str">
        <f t="shared" si="3"/>
        <v>HP06_ALL_WP_BHV3_GB</v>
      </c>
      <c r="B157" s="36" t="s">
        <v>748</v>
      </c>
      <c r="C157" s="36" t="s">
        <v>231</v>
      </c>
      <c r="D157" s="36" t="s">
        <v>250</v>
      </c>
      <c r="E157" s="36" t="s">
        <v>267</v>
      </c>
      <c r="F157" s="36" t="s">
        <v>235</v>
      </c>
      <c r="G157" s="36" t="s">
        <v>272</v>
      </c>
      <c r="H157" s="36" t="s">
        <v>130</v>
      </c>
      <c r="I157" s="55">
        <v>0.1875</v>
      </c>
      <c r="J157" s="130">
        <v>4.7800000000000002E-2</v>
      </c>
    </row>
    <row r="158" spans="1:10">
      <c r="A158" s="36" t="str">
        <f t="shared" si="3"/>
        <v>HP06_ALL_WP_BHV3_GB</v>
      </c>
      <c r="B158" s="36" t="s">
        <v>748</v>
      </c>
      <c r="C158" s="36" t="s">
        <v>231</v>
      </c>
      <c r="D158" s="36" t="s">
        <v>250</v>
      </c>
      <c r="E158" s="36" t="s">
        <v>267</v>
      </c>
      <c r="F158" s="36" t="s">
        <v>235</v>
      </c>
      <c r="G158" s="36" t="s">
        <v>272</v>
      </c>
      <c r="H158" s="36" t="s">
        <v>130</v>
      </c>
      <c r="I158" s="55">
        <v>0.20833333333333334</v>
      </c>
      <c r="J158" s="130">
        <v>4.8000000000000001E-2</v>
      </c>
    </row>
    <row r="159" spans="1:10">
      <c r="A159" s="36" t="str">
        <f t="shared" si="3"/>
        <v>HP06_ALL_WP_BHV3_GB</v>
      </c>
      <c r="B159" s="36" t="s">
        <v>748</v>
      </c>
      <c r="C159" s="36" t="s">
        <v>231</v>
      </c>
      <c r="D159" s="36" t="s">
        <v>250</v>
      </c>
      <c r="E159" s="36" t="s">
        <v>267</v>
      </c>
      <c r="F159" s="36" t="s">
        <v>235</v>
      </c>
      <c r="G159" s="36" t="s">
        <v>272</v>
      </c>
      <c r="H159" s="36" t="s">
        <v>130</v>
      </c>
      <c r="I159" s="55">
        <v>0.22916666666666666</v>
      </c>
      <c r="J159" s="130">
        <v>4.8599999999999997E-2</v>
      </c>
    </row>
    <row r="160" spans="1:10">
      <c r="A160" s="36" t="str">
        <f t="shared" si="3"/>
        <v>HP06_ALL_WP_BHV3_GB</v>
      </c>
      <c r="B160" s="36" t="s">
        <v>748</v>
      </c>
      <c r="C160" s="36" t="s">
        <v>231</v>
      </c>
      <c r="D160" s="36" t="s">
        <v>250</v>
      </c>
      <c r="E160" s="36" t="s">
        <v>267</v>
      </c>
      <c r="F160" s="36" t="s">
        <v>235</v>
      </c>
      <c r="G160" s="36" t="s">
        <v>272</v>
      </c>
      <c r="H160" s="36" t="s">
        <v>130</v>
      </c>
      <c r="I160" s="55">
        <v>0.25</v>
      </c>
      <c r="J160" s="130">
        <v>4.9099999999999998E-2</v>
      </c>
    </row>
    <row r="161" spans="1:10">
      <c r="A161" s="36" t="str">
        <f t="shared" si="3"/>
        <v>HP06_ALL_WP_BHV3_GB</v>
      </c>
      <c r="B161" s="36" t="s">
        <v>748</v>
      </c>
      <c r="C161" s="36" t="s">
        <v>231</v>
      </c>
      <c r="D161" s="36" t="s">
        <v>250</v>
      </c>
      <c r="E161" s="36" t="s">
        <v>267</v>
      </c>
      <c r="F161" s="36" t="s">
        <v>235</v>
      </c>
      <c r="G161" s="36" t="s">
        <v>272</v>
      </c>
      <c r="H161" s="36" t="s">
        <v>130</v>
      </c>
      <c r="I161" s="55">
        <v>0.27083333333333331</v>
      </c>
      <c r="J161" s="130">
        <v>4.8500000000000001E-2</v>
      </c>
    </row>
    <row r="162" spans="1:10">
      <c r="A162" s="36" t="str">
        <f t="shared" si="3"/>
        <v>HP06_ALL_WP_BHV3_GB</v>
      </c>
      <c r="B162" s="36" t="s">
        <v>748</v>
      </c>
      <c r="C162" s="36" t="s">
        <v>231</v>
      </c>
      <c r="D162" s="36" t="s">
        <v>250</v>
      </c>
      <c r="E162" s="36" t="s">
        <v>267</v>
      </c>
      <c r="F162" s="36" t="s">
        <v>235</v>
      </c>
      <c r="G162" s="36" t="s">
        <v>272</v>
      </c>
      <c r="H162" s="36" t="s">
        <v>130</v>
      </c>
      <c r="I162" s="55">
        <v>0.29166666666666669</v>
      </c>
      <c r="J162" s="130">
        <v>4.7800000000000002E-2</v>
      </c>
    </row>
    <row r="163" spans="1:10">
      <c r="A163" s="36" t="str">
        <f t="shared" si="3"/>
        <v>HP06_ALL_WP_BHV3_GB</v>
      </c>
      <c r="B163" s="36" t="s">
        <v>748</v>
      </c>
      <c r="C163" s="36" t="s">
        <v>231</v>
      </c>
      <c r="D163" s="36" t="s">
        <v>250</v>
      </c>
      <c r="E163" s="36" t="s">
        <v>267</v>
      </c>
      <c r="F163" s="36" t="s">
        <v>235</v>
      </c>
      <c r="G163" s="36" t="s">
        <v>272</v>
      </c>
      <c r="H163" s="36" t="s">
        <v>130</v>
      </c>
      <c r="I163" s="55">
        <v>0.3125</v>
      </c>
      <c r="J163" s="130">
        <v>4.7100000000000003E-2</v>
      </c>
    </row>
    <row r="164" spans="1:10">
      <c r="A164" s="36" t="str">
        <f t="shared" si="3"/>
        <v>HP06_ALL_WP_BHV3_GB</v>
      </c>
      <c r="B164" s="36" t="s">
        <v>748</v>
      </c>
      <c r="C164" s="36" t="s">
        <v>231</v>
      </c>
      <c r="D164" s="36" t="s">
        <v>250</v>
      </c>
      <c r="E164" s="36" t="s">
        <v>267</v>
      </c>
      <c r="F164" s="36" t="s">
        <v>235</v>
      </c>
      <c r="G164" s="36" t="s">
        <v>272</v>
      </c>
      <c r="H164" s="36" t="s">
        <v>130</v>
      </c>
      <c r="I164" s="55">
        <v>0.33333333333333331</v>
      </c>
      <c r="J164" s="130">
        <v>4.7300000000000002E-2</v>
      </c>
    </row>
    <row r="165" spans="1:10">
      <c r="A165" s="36" t="str">
        <f t="shared" si="3"/>
        <v>HP06_ALL_WP_BHV3_GB</v>
      </c>
      <c r="B165" s="36" t="s">
        <v>748</v>
      </c>
      <c r="C165" s="36" t="s">
        <v>231</v>
      </c>
      <c r="D165" s="36" t="s">
        <v>250</v>
      </c>
      <c r="E165" s="36" t="s">
        <v>267</v>
      </c>
      <c r="F165" s="36" t="s">
        <v>235</v>
      </c>
      <c r="G165" s="36" t="s">
        <v>272</v>
      </c>
      <c r="H165" s="36" t="s">
        <v>130</v>
      </c>
      <c r="I165" s="55">
        <v>0.35416666666666669</v>
      </c>
      <c r="J165" s="130">
        <v>4.6600000000000003E-2</v>
      </c>
    </row>
    <row r="166" spans="1:10">
      <c r="A166" s="36" t="str">
        <f t="shared" si="3"/>
        <v>HP06_ALL_WP_BHV3_GB</v>
      </c>
      <c r="B166" s="36" t="s">
        <v>748</v>
      </c>
      <c r="C166" s="36" t="s">
        <v>231</v>
      </c>
      <c r="D166" s="36" t="s">
        <v>250</v>
      </c>
      <c r="E166" s="36" t="s">
        <v>267</v>
      </c>
      <c r="F166" s="36" t="s">
        <v>235</v>
      </c>
      <c r="G166" s="36" t="s">
        <v>272</v>
      </c>
      <c r="H166" s="36" t="s">
        <v>130</v>
      </c>
      <c r="I166" s="55">
        <v>0.375</v>
      </c>
      <c r="J166" s="130">
        <v>4.4900000000000002E-2</v>
      </c>
    </row>
    <row r="167" spans="1:10">
      <c r="A167" s="36" t="str">
        <f t="shared" si="3"/>
        <v>HP06_ALL_WP_BHV3_GB</v>
      </c>
      <c r="B167" s="36" t="s">
        <v>748</v>
      </c>
      <c r="C167" s="36" t="s">
        <v>231</v>
      </c>
      <c r="D167" s="36" t="s">
        <v>250</v>
      </c>
      <c r="E167" s="36" t="s">
        <v>267</v>
      </c>
      <c r="F167" s="36" t="s">
        <v>235</v>
      </c>
      <c r="G167" s="36" t="s">
        <v>272</v>
      </c>
      <c r="H167" s="36" t="s">
        <v>130</v>
      </c>
      <c r="I167" s="55">
        <v>0.39583333333333331</v>
      </c>
      <c r="J167" s="130">
        <v>4.3400000000000001E-2</v>
      </c>
    </row>
    <row r="168" spans="1:10">
      <c r="A168" s="36" t="str">
        <f t="shared" si="3"/>
        <v>HP06_ALL_WP_BHV3_GB</v>
      </c>
      <c r="B168" s="36" t="s">
        <v>748</v>
      </c>
      <c r="C168" s="36" t="s">
        <v>231</v>
      </c>
      <c r="D168" s="36" t="s">
        <v>250</v>
      </c>
      <c r="E168" s="36" t="s">
        <v>267</v>
      </c>
      <c r="F168" s="36" t="s">
        <v>235</v>
      </c>
      <c r="G168" s="36" t="s">
        <v>272</v>
      </c>
      <c r="H168" s="36" t="s">
        <v>130</v>
      </c>
      <c r="I168" s="55">
        <v>0.41666666666666669</v>
      </c>
      <c r="J168" s="130">
        <v>4.2000000000000003E-2</v>
      </c>
    </row>
    <row r="169" spans="1:10">
      <c r="A169" s="36" t="str">
        <f t="shared" si="3"/>
        <v>HP06_ALL_WP_BHV3_GB</v>
      </c>
      <c r="B169" s="36" t="s">
        <v>748</v>
      </c>
      <c r="C169" s="36" t="s">
        <v>231</v>
      </c>
      <c r="D169" s="36" t="s">
        <v>250</v>
      </c>
      <c r="E169" s="36" t="s">
        <v>267</v>
      </c>
      <c r="F169" s="36" t="s">
        <v>235</v>
      </c>
      <c r="G169" s="36" t="s">
        <v>272</v>
      </c>
      <c r="H169" s="36" t="s">
        <v>130</v>
      </c>
      <c r="I169" s="55">
        <v>0.4375</v>
      </c>
      <c r="J169" s="130">
        <v>4.1000000000000002E-2</v>
      </c>
    </row>
    <row r="170" spans="1:10">
      <c r="A170" s="36" t="str">
        <f t="shared" si="3"/>
        <v>HP06_ALL_WP_BHV3_GB</v>
      </c>
      <c r="B170" s="36" t="s">
        <v>748</v>
      </c>
      <c r="C170" s="36" t="s">
        <v>231</v>
      </c>
      <c r="D170" s="36" t="s">
        <v>250</v>
      </c>
      <c r="E170" s="36" t="s">
        <v>267</v>
      </c>
      <c r="F170" s="36" t="s">
        <v>235</v>
      </c>
      <c r="G170" s="36" t="s">
        <v>272</v>
      </c>
      <c r="H170" s="36" t="s">
        <v>130</v>
      </c>
      <c r="I170" s="55">
        <v>0.45833333333333331</v>
      </c>
      <c r="J170" s="130">
        <v>3.8899999999999997E-2</v>
      </c>
    </row>
    <row r="171" spans="1:10">
      <c r="A171" s="36" t="str">
        <f t="shared" si="3"/>
        <v>HP06_ALL_WP_BHV3_GB</v>
      </c>
      <c r="B171" s="36" t="s">
        <v>748</v>
      </c>
      <c r="C171" s="36" t="s">
        <v>231</v>
      </c>
      <c r="D171" s="36" t="s">
        <v>250</v>
      </c>
      <c r="E171" s="36" t="s">
        <v>267</v>
      </c>
      <c r="F171" s="36" t="s">
        <v>235</v>
      </c>
      <c r="G171" s="36" t="s">
        <v>272</v>
      </c>
      <c r="H171" s="36" t="s">
        <v>130</v>
      </c>
      <c r="I171" s="55">
        <v>0.47916666666666669</v>
      </c>
      <c r="J171" s="130">
        <v>3.7400000000000003E-2</v>
      </c>
    </row>
    <row r="172" spans="1:10">
      <c r="A172" s="36" t="str">
        <f t="shared" si="3"/>
        <v>HP06_ALL_WP_BHV3_GB</v>
      </c>
      <c r="B172" s="36" t="s">
        <v>748</v>
      </c>
      <c r="C172" s="36" t="s">
        <v>231</v>
      </c>
      <c r="D172" s="36" t="s">
        <v>250</v>
      </c>
      <c r="E172" s="36" t="s">
        <v>267</v>
      </c>
      <c r="F172" s="36" t="s">
        <v>235</v>
      </c>
      <c r="G172" s="36" t="s">
        <v>272</v>
      </c>
      <c r="H172" s="36" t="s">
        <v>130</v>
      </c>
      <c r="I172" s="55">
        <v>0.5</v>
      </c>
      <c r="J172" s="130">
        <v>3.5900000000000001E-2</v>
      </c>
    </row>
    <row r="173" spans="1:10">
      <c r="A173" s="36" t="str">
        <f t="shared" si="3"/>
        <v>HP06_ALL_WP_BHV3_GB</v>
      </c>
      <c r="B173" s="36" t="s">
        <v>748</v>
      </c>
      <c r="C173" s="36" t="s">
        <v>231</v>
      </c>
      <c r="D173" s="36" t="s">
        <v>250</v>
      </c>
      <c r="E173" s="36" t="s">
        <v>267</v>
      </c>
      <c r="F173" s="36" t="s">
        <v>235</v>
      </c>
      <c r="G173" s="36" t="s">
        <v>272</v>
      </c>
      <c r="H173" s="36" t="s">
        <v>130</v>
      </c>
      <c r="I173" s="55">
        <v>0.52083333333333337</v>
      </c>
      <c r="J173" s="130">
        <v>3.5200000000000002E-2</v>
      </c>
    </row>
    <row r="174" spans="1:10">
      <c r="A174" s="36" t="str">
        <f t="shared" si="3"/>
        <v>HP06_ALL_WP_BHV3_GB</v>
      </c>
      <c r="B174" s="36" t="s">
        <v>748</v>
      </c>
      <c r="C174" s="36" t="s">
        <v>231</v>
      </c>
      <c r="D174" s="36" t="s">
        <v>250</v>
      </c>
      <c r="E174" s="36" t="s">
        <v>267</v>
      </c>
      <c r="F174" s="36" t="s">
        <v>235</v>
      </c>
      <c r="G174" s="36" t="s">
        <v>272</v>
      </c>
      <c r="H174" s="36" t="s">
        <v>130</v>
      </c>
      <c r="I174" s="55">
        <v>0.54166666666666663</v>
      </c>
      <c r="J174" s="130">
        <v>3.4200000000000001E-2</v>
      </c>
    </row>
    <row r="175" spans="1:10">
      <c r="A175" s="36" t="str">
        <f t="shared" si="3"/>
        <v>HP06_ALL_WP_BHV3_GB</v>
      </c>
      <c r="B175" s="36" t="s">
        <v>748</v>
      </c>
      <c r="C175" s="36" t="s">
        <v>231</v>
      </c>
      <c r="D175" s="36" t="s">
        <v>250</v>
      </c>
      <c r="E175" s="36" t="s">
        <v>267</v>
      </c>
      <c r="F175" s="36" t="s">
        <v>235</v>
      </c>
      <c r="G175" s="36" t="s">
        <v>272</v>
      </c>
      <c r="H175" s="36" t="s">
        <v>130</v>
      </c>
      <c r="I175" s="55">
        <v>0.5625</v>
      </c>
      <c r="J175" s="130">
        <v>3.39E-2</v>
      </c>
    </row>
    <row r="176" spans="1:10">
      <c r="A176" s="36" t="str">
        <f t="shared" si="3"/>
        <v>HP06_ALL_WP_BHV3_GB</v>
      </c>
      <c r="B176" s="36" t="s">
        <v>748</v>
      </c>
      <c r="C176" s="36" t="s">
        <v>231</v>
      </c>
      <c r="D176" s="36" t="s">
        <v>250</v>
      </c>
      <c r="E176" s="36" t="s">
        <v>267</v>
      </c>
      <c r="F176" s="36" t="s">
        <v>235</v>
      </c>
      <c r="G176" s="36" t="s">
        <v>272</v>
      </c>
      <c r="H176" s="36" t="s">
        <v>130</v>
      </c>
      <c r="I176" s="55">
        <v>0.58333333333333337</v>
      </c>
      <c r="J176" s="130">
        <v>3.3799999999999997E-2</v>
      </c>
    </row>
    <row r="177" spans="1:10">
      <c r="A177" s="36" t="str">
        <f t="shared" si="3"/>
        <v>HP06_ALL_WP_BHV3_GB</v>
      </c>
      <c r="B177" s="36" t="s">
        <v>748</v>
      </c>
      <c r="C177" s="36" t="s">
        <v>231</v>
      </c>
      <c r="D177" s="36" t="s">
        <v>250</v>
      </c>
      <c r="E177" s="36" t="s">
        <v>267</v>
      </c>
      <c r="F177" s="36" t="s">
        <v>235</v>
      </c>
      <c r="G177" s="36" t="s">
        <v>272</v>
      </c>
      <c r="H177" s="36" t="s">
        <v>130</v>
      </c>
      <c r="I177" s="55">
        <v>0.60416666666666663</v>
      </c>
      <c r="J177" s="130">
        <v>3.4500000000000003E-2</v>
      </c>
    </row>
    <row r="178" spans="1:10">
      <c r="A178" s="36" t="str">
        <f t="shared" si="3"/>
        <v>HP06_ALL_WP_BHV3_GB</v>
      </c>
      <c r="B178" s="36" t="s">
        <v>748</v>
      </c>
      <c r="C178" s="36" t="s">
        <v>231</v>
      </c>
      <c r="D178" s="36" t="s">
        <v>250</v>
      </c>
      <c r="E178" s="36" t="s">
        <v>267</v>
      </c>
      <c r="F178" s="36" t="s">
        <v>235</v>
      </c>
      <c r="G178" s="36" t="s">
        <v>272</v>
      </c>
      <c r="H178" s="36" t="s">
        <v>130</v>
      </c>
      <c r="I178" s="55">
        <v>0.625</v>
      </c>
      <c r="J178" s="130">
        <v>3.5200000000000002E-2</v>
      </c>
    </row>
    <row r="179" spans="1:10">
      <c r="A179" s="36" t="str">
        <f t="shared" si="3"/>
        <v>HP06_ALL_WP_BHV3_GB</v>
      </c>
      <c r="B179" s="36" t="s">
        <v>748</v>
      </c>
      <c r="C179" s="36" t="s">
        <v>231</v>
      </c>
      <c r="D179" s="36" t="s">
        <v>250</v>
      </c>
      <c r="E179" s="36" t="s">
        <v>267</v>
      </c>
      <c r="F179" s="36" t="s">
        <v>235</v>
      </c>
      <c r="G179" s="36" t="s">
        <v>272</v>
      </c>
      <c r="H179" s="36" t="s">
        <v>130</v>
      </c>
      <c r="I179" s="55">
        <v>0.64583333333333337</v>
      </c>
      <c r="J179" s="130">
        <v>3.61E-2</v>
      </c>
    </row>
    <row r="180" spans="1:10">
      <c r="A180" s="36" t="str">
        <f t="shared" ref="A180:A243" si="4">_xlfn.CONCAT("HP06_",INDEX(dwelling_categories_short,MATCH(E180,dwelling_categories,0)),"_",INDEX(rep_days_short,MATCH(F180,rep_days,0)),"_",INDEX(HP_behaviours_short,MATCH(G180,HP_behaviours,0)),"_",H180)</f>
        <v>HP06_ALL_WP_BHV3_GB</v>
      </c>
      <c r="B180" s="36" t="s">
        <v>748</v>
      </c>
      <c r="C180" s="36" t="s">
        <v>231</v>
      </c>
      <c r="D180" s="36" t="s">
        <v>250</v>
      </c>
      <c r="E180" s="36" t="s">
        <v>267</v>
      </c>
      <c r="F180" s="36" t="s">
        <v>235</v>
      </c>
      <c r="G180" s="36" t="s">
        <v>272</v>
      </c>
      <c r="H180" s="36" t="s">
        <v>130</v>
      </c>
      <c r="I180" s="55">
        <v>0.66666666666666663</v>
      </c>
      <c r="J180" s="130">
        <v>3.6499999999999998E-2</v>
      </c>
    </row>
    <row r="181" spans="1:10">
      <c r="A181" s="36" t="str">
        <f t="shared" si="4"/>
        <v>HP06_ALL_WP_BHV3_GB</v>
      </c>
      <c r="B181" s="36" t="s">
        <v>748</v>
      </c>
      <c r="C181" s="36" t="s">
        <v>231</v>
      </c>
      <c r="D181" s="36" t="s">
        <v>250</v>
      </c>
      <c r="E181" s="36" t="s">
        <v>267</v>
      </c>
      <c r="F181" s="36" t="s">
        <v>235</v>
      </c>
      <c r="G181" s="36" t="s">
        <v>272</v>
      </c>
      <c r="H181" s="36" t="s">
        <v>130</v>
      </c>
      <c r="I181" s="55">
        <v>0.6875</v>
      </c>
      <c r="J181" s="130">
        <v>3.6799999999999999E-2</v>
      </c>
    </row>
    <row r="182" spans="1:10">
      <c r="A182" s="36" t="str">
        <f t="shared" si="4"/>
        <v>HP06_ALL_WP_BHV3_GB</v>
      </c>
      <c r="B182" s="36" t="s">
        <v>748</v>
      </c>
      <c r="C182" s="36" t="s">
        <v>231</v>
      </c>
      <c r="D182" s="36" t="s">
        <v>250</v>
      </c>
      <c r="E182" s="36" t="s">
        <v>267</v>
      </c>
      <c r="F182" s="36" t="s">
        <v>235</v>
      </c>
      <c r="G182" s="36" t="s">
        <v>272</v>
      </c>
      <c r="H182" s="36" t="s">
        <v>130</v>
      </c>
      <c r="I182" s="55">
        <v>0.70833333333333337</v>
      </c>
      <c r="J182" s="130">
        <v>3.6799999999999999E-2</v>
      </c>
    </row>
    <row r="183" spans="1:10">
      <c r="A183" s="36" t="str">
        <f t="shared" si="4"/>
        <v>HP06_ALL_WP_BHV3_GB</v>
      </c>
      <c r="B183" s="36" t="s">
        <v>748</v>
      </c>
      <c r="C183" s="36" t="s">
        <v>231</v>
      </c>
      <c r="D183" s="36" t="s">
        <v>250</v>
      </c>
      <c r="E183" s="36" t="s">
        <v>267</v>
      </c>
      <c r="F183" s="36" t="s">
        <v>235</v>
      </c>
      <c r="G183" s="36" t="s">
        <v>272</v>
      </c>
      <c r="H183" s="36" t="s">
        <v>130</v>
      </c>
      <c r="I183" s="55">
        <v>0.72916666666666663</v>
      </c>
      <c r="J183" s="130">
        <v>3.6999999999999998E-2</v>
      </c>
    </row>
    <row r="184" spans="1:10">
      <c r="A184" s="36" t="str">
        <f t="shared" si="4"/>
        <v>HP06_ALL_WP_BHV3_GB</v>
      </c>
      <c r="B184" s="36" t="s">
        <v>748</v>
      </c>
      <c r="C184" s="36" t="s">
        <v>231</v>
      </c>
      <c r="D184" s="36" t="s">
        <v>250</v>
      </c>
      <c r="E184" s="36" t="s">
        <v>267</v>
      </c>
      <c r="F184" s="36" t="s">
        <v>235</v>
      </c>
      <c r="G184" s="36" t="s">
        <v>272</v>
      </c>
      <c r="H184" s="36" t="s">
        <v>130</v>
      </c>
      <c r="I184" s="55">
        <v>0.75</v>
      </c>
      <c r="J184" s="130">
        <v>3.7199999999999997E-2</v>
      </c>
    </row>
    <row r="185" spans="1:10">
      <c r="A185" s="36" t="str">
        <f t="shared" si="4"/>
        <v>HP06_ALL_WP_BHV3_GB</v>
      </c>
      <c r="B185" s="36" t="s">
        <v>748</v>
      </c>
      <c r="C185" s="36" t="s">
        <v>231</v>
      </c>
      <c r="D185" s="36" t="s">
        <v>250</v>
      </c>
      <c r="E185" s="36" t="s">
        <v>267</v>
      </c>
      <c r="F185" s="36" t="s">
        <v>235</v>
      </c>
      <c r="G185" s="36" t="s">
        <v>272</v>
      </c>
      <c r="H185" s="36" t="s">
        <v>130</v>
      </c>
      <c r="I185" s="55">
        <v>0.77083333333333337</v>
      </c>
      <c r="J185" s="130">
        <v>3.78E-2</v>
      </c>
    </row>
    <row r="186" spans="1:10">
      <c r="A186" s="36" t="str">
        <f t="shared" si="4"/>
        <v>HP06_ALL_WP_BHV3_GB</v>
      </c>
      <c r="B186" s="36" t="s">
        <v>748</v>
      </c>
      <c r="C186" s="36" t="s">
        <v>231</v>
      </c>
      <c r="D186" s="36" t="s">
        <v>250</v>
      </c>
      <c r="E186" s="36" t="s">
        <v>267</v>
      </c>
      <c r="F186" s="36" t="s">
        <v>235</v>
      </c>
      <c r="G186" s="36" t="s">
        <v>272</v>
      </c>
      <c r="H186" s="36" t="s">
        <v>130</v>
      </c>
      <c r="I186" s="55">
        <v>0.79166666666666663</v>
      </c>
      <c r="J186" s="130">
        <v>3.8199999999999998E-2</v>
      </c>
    </row>
    <row r="187" spans="1:10">
      <c r="A187" s="36" t="str">
        <f t="shared" si="4"/>
        <v>HP06_ALL_WP_BHV3_GB</v>
      </c>
      <c r="B187" s="36" t="s">
        <v>748</v>
      </c>
      <c r="C187" s="36" t="s">
        <v>231</v>
      </c>
      <c r="D187" s="36" t="s">
        <v>250</v>
      </c>
      <c r="E187" s="36" t="s">
        <v>267</v>
      </c>
      <c r="F187" s="36" t="s">
        <v>235</v>
      </c>
      <c r="G187" s="36" t="s">
        <v>272</v>
      </c>
      <c r="H187" s="36" t="s">
        <v>130</v>
      </c>
      <c r="I187" s="55">
        <v>0.8125</v>
      </c>
      <c r="J187" s="130">
        <v>3.8899999999999997E-2</v>
      </c>
    </row>
    <row r="188" spans="1:10">
      <c r="A188" s="36" t="str">
        <f t="shared" si="4"/>
        <v>HP06_ALL_WP_BHV3_GB</v>
      </c>
      <c r="B188" s="36" t="s">
        <v>748</v>
      </c>
      <c r="C188" s="36" t="s">
        <v>231</v>
      </c>
      <c r="D188" s="36" t="s">
        <v>250</v>
      </c>
      <c r="E188" s="36" t="s">
        <v>267</v>
      </c>
      <c r="F188" s="36" t="s">
        <v>235</v>
      </c>
      <c r="G188" s="36" t="s">
        <v>272</v>
      </c>
      <c r="H188" s="36" t="s">
        <v>130</v>
      </c>
      <c r="I188" s="55">
        <v>0.83333333333333337</v>
      </c>
      <c r="J188" s="130">
        <v>3.9199999999999999E-2</v>
      </c>
    </row>
    <row r="189" spans="1:10">
      <c r="A189" s="36" t="str">
        <f t="shared" si="4"/>
        <v>HP06_ALL_WP_BHV3_GB</v>
      </c>
      <c r="B189" s="36" t="s">
        <v>748</v>
      </c>
      <c r="C189" s="36" t="s">
        <v>231</v>
      </c>
      <c r="D189" s="36" t="s">
        <v>250</v>
      </c>
      <c r="E189" s="36" t="s">
        <v>267</v>
      </c>
      <c r="F189" s="36" t="s">
        <v>235</v>
      </c>
      <c r="G189" s="36" t="s">
        <v>272</v>
      </c>
      <c r="H189" s="36" t="s">
        <v>130</v>
      </c>
      <c r="I189" s="55">
        <v>0.85416666666666663</v>
      </c>
      <c r="J189" s="130">
        <v>3.9600000000000003E-2</v>
      </c>
    </row>
    <row r="190" spans="1:10">
      <c r="A190" s="36" t="str">
        <f t="shared" si="4"/>
        <v>HP06_ALL_WP_BHV3_GB</v>
      </c>
      <c r="B190" s="36" t="s">
        <v>748</v>
      </c>
      <c r="C190" s="36" t="s">
        <v>231</v>
      </c>
      <c r="D190" s="36" t="s">
        <v>250</v>
      </c>
      <c r="E190" s="36" t="s">
        <v>267</v>
      </c>
      <c r="F190" s="36" t="s">
        <v>235</v>
      </c>
      <c r="G190" s="36" t="s">
        <v>272</v>
      </c>
      <c r="H190" s="36" t="s">
        <v>130</v>
      </c>
      <c r="I190" s="55">
        <v>0.875</v>
      </c>
      <c r="J190" s="130">
        <v>3.9699999999999999E-2</v>
      </c>
    </row>
    <row r="191" spans="1:10">
      <c r="A191" s="36" t="str">
        <f t="shared" si="4"/>
        <v>HP06_ALL_WP_BHV3_GB</v>
      </c>
      <c r="B191" s="36" t="s">
        <v>748</v>
      </c>
      <c r="C191" s="36" t="s">
        <v>231</v>
      </c>
      <c r="D191" s="36" t="s">
        <v>250</v>
      </c>
      <c r="E191" s="36" t="s">
        <v>267</v>
      </c>
      <c r="F191" s="36" t="s">
        <v>235</v>
      </c>
      <c r="G191" s="36" t="s">
        <v>272</v>
      </c>
      <c r="H191" s="36" t="s">
        <v>130</v>
      </c>
      <c r="I191" s="55">
        <v>0.89583333333333337</v>
      </c>
      <c r="J191" s="130">
        <v>0.04</v>
      </c>
    </row>
    <row r="192" spans="1:10">
      <c r="A192" s="36" t="str">
        <f t="shared" si="4"/>
        <v>HP06_ALL_WP_BHV3_GB</v>
      </c>
      <c r="B192" s="36" t="s">
        <v>748</v>
      </c>
      <c r="C192" s="36" t="s">
        <v>231</v>
      </c>
      <c r="D192" s="36" t="s">
        <v>250</v>
      </c>
      <c r="E192" s="36" t="s">
        <v>267</v>
      </c>
      <c r="F192" s="36" t="s">
        <v>235</v>
      </c>
      <c r="G192" s="36" t="s">
        <v>272</v>
      </c>
      <c r="H192" s="36" t="s">
        <v>130</v>
      </c>
      <c r="I192" s="55">
        <v>0.91666666666666663</v>
      </c>
      <c r="J192" s="130">
        <v>4.0099999999999997E-2</v>
      </c>
    </row>
    <row r="193" spans="1:10">
      <c r="A193" s="36" t="str">
        <f t="shared" si="4"/>
        <v>HP06_ALL_WP_BHV3_GB</v>
      </c>
      <c r="B193" s="36" t="s">
        <v>748</v>
      </c>
      <c r="C193" s="36" t="s">
        <v>231</v>
      </c>
      <c r="D193" s="36" t="s">
        <v>250</v>
      </c>
      <c r="E193" s="36" t="s">
        <v>267</v>
      </c>
      <c r="F193" s="36" t="s">
        <v>235</v>
      </c>
      <c r="G193" s="36" t="s">
        <v>272</v>
      </c>
      <c r="H193" s="36" t="s">
        <v>130</v>
      </c>
      <c r="I193" s="55">
        <v>0.9375</v>
      </c>
      <c r="J193" s="130">
        <v>4.0300000000000002E-2</v>
      </c>
    </row>
    <row r="194" spans="1:10">
      <c r="A194" s="36" t="str">
        <f t="shared" si="4"/>
        <v>HP06_ALL_WP_BHV3_GB</v>
      </c>
      <c r="B194" s="36" t="s">
        <v>748</v>
      </c>
      <c r="C194" s="36" t="s">
        <v>231</v>
      </c>
      <c r="D194" s="36" t="s">
        <v>250</v>
      </c>
      <c r="E194" s="36" t="s">
        <v>267</v>
      </c>
      <c r="F194" s="36" t="s">
        <v>235</v>
      </c>
      <c r="G194" s="36" t="s">
        <v>272</v>
      </c>
      <c r="H194" s="36" t="s">
        <v>130</v>
      </c>
      <c r="I194" s="55">
        <v>0.95833333333333337</v>
      </c>
      <c r="J194" s="130">
        <v>4.1000000000000002E-2</v>
      </c>
    </row>
    <row r="195" spans="1:10">
      <c r="A195" s="36" t="str">
        <f t="shared" si="4"/>
        <v>HP06_ALL_WP_BHV3_GB</v>
      </c>
      <c r="B195" s="36" t="s">
        <v>748</v>
      </c>
      <c r="C195" s="36" t="s">
        <v>231</v>
      </c>
      <c r="D195" s="36" t="s">
        <v>250</v>
      </c>
      <c r="E195" s="36" t="s">
        <v>267</v>
      </c>
      <c r="F195" s="36" t="s">
        <v>235</v>
      </c>
      <c r="G195" s="36" t="s">
        <v>272</v>
      </c>
      <c r="H195" s="36" t="s">
        <v>130</v>
      </c>
      <c r="I195" s="55">
        <v>0.97916666666666663</v>
      </c>
      <c r="J195" s="130">
        <v>4.1300000000000003E-2</v>
      </c>
    </row>
    <row r="196" spans="1:10">
      <c r="A196" s="36" t="str">
        <f t="shared" si="4"/>
        <v>HP06_ALL_SP_ALL_GB</v>
      </c>
      <c r="B196" s="36" t="s">
        <v>748</v>
      </c>
      <c r="C196" s="36" t="s">
        <v>231</v>
      </c>
      <c r="D196" s="36" t="s">
        <v>250</v>
      </c>
      <c r="E196" s="36" t="s">
        <v>267</v>
      </c>
      <c r="F196" s="36" t="s">
        <v>254</v>
      </c>
      <c r="G196" s="36" t="s">
        <v>267</v>
      </c>
      <c r="H196" s="36" t="s">
        <v>130</v>
      </c>
      <c r="I196" s="55">
        <v>0</v>
      </c>
      <c r="J196" s="130">
        <v>1.41E-2</v>
      </c>
    </row>
    <row r="197" spans="1:10">
      <c r="A197" s="36" t="str">
        <f t="shared" si="4"/>
        <v>HP06_ALL_SP_ALL_GB</v>
      </c>
      <c r="B197" s="36" t="s">
        <v>748</v>
      </c>
      <c r="C197" s="36" t="s">
        <v>231</v>
      </c>
      <c r="D197" s="36" t="s">
        <v>250</v>
      </c>
      <c r="E197" s="36" t="s">
        <v>267</v>
      </c>
      <c r="F197" s="36" t="s">
        <v>254</v>
      </c>
      <c r="G197" s="36" t="s">
        <v>267</v>
      </c>
      <c r="H197" s="36" t="s">
        <v>130</v>
      </c>
      <c r="I197" s="55">
        <v>2.0833333333333332E-2</v>
      </c>
      <c r="J197" s="130">
        <v>1.29E-2</v>
      </c>
    </row>
    <row r="198" spans="1:10">
      <c r="A198" s="36" t="str">
        <f t="shared" si="4"/>
        <v>HP06_ALL_SP_ALL_GB</v>
      </c>
      <c r="B198" s="36" t="s">
        <v>748</v>
      </c>
      <c r="C198" s="36" t="s">
        <v>231</v>
      </c>
      <c r="D198" s="36" t="s">
        <v>250</v>
      </c>
      <c r="E198" s="36" t="s">
        <v>267</v>
      </c>
      <c r="F198" s="36" t="s">
        <v>254</v>
      </c>
      <c r="G198" s="36" t="s">
        <v>267</v>
      </c>
      <c r="H198" s="36" t="s">
        <v>130</v>
      </c>
      <c r="I198" s="55">
        <v>4.1666666666666664E-2</v>
      </c>
      <c r="J198" s="130">
        <v>1.1900000000000001E-2</v>
      </c>
    </row>
    <row r="199" spans="1:10">
      <c r="A199" s="36" t="str">
        <f t="shared" si="4"/>
        <v>HP06_ALL_SP_ALL_GB</v>
      </c>
      <c r="B199" s="36" t="s">
        <v>748</v>
      </c>
      <c r="C199" s="36" t="s">
        <v>231</v>
      </c>
      <c r="D199" s="36" t="s">
        <v>250</v>
      </c>
      <c r="E199" s="36" t="s">
        <v>267</v>
      </c>
      <c r="F199" s="36" t="s">
        <v>254</v>
      </c>
      <c r="G199" s="36" t="s">
        <v>267</v>
      </c>
      <c r="H199" s="36" t="s">
        <v>130</v>
      </c>
      <c r="I199" s="55">
        <v>6.25E-2</v>
      </c>
      <c r="J199" s="130">
        <v>1.1599999999999999E-2</v>
      </c>
    </row>
    <row r="200" spans="1:10">
      <c r="A200" s="36" t="str">
        <f t="shared" si="4"/>
        <v>HP06_ALL_SP_ALL_GB</v>
      </c>
      <c r="B200" s="36" t="s">
        <v>748</v>
      </c>
      <c r="C200" s="36" t="s">
        <v>231</v>
      </c>
      <c r="D200" s="36" t="s">
        <v>250</v>
      </c>
      <c r="E200" s="36" t="s">
        <v>267</v>
      </c>
      <c r="F200" s="36" t="s">
        <v>254</v>
      </c>
      <c r="G200" s="36" t="s">
        <v>267</v>
      </c>
      <c r="H200" s="36" t="s">
        <v>130</v>
      </c>
      <c r="I200" s="55">
        <v>8.3333333333333329E-2</v>
      </c>
      <c r="J200" s="130">
        <v>1.14E-2</v>
      </c>
    </row>
    <row r="201" spans="1:10">
      <c r="A201" s="36" t="str">
        <f t="shared" si="4"/>
        <v>HP06_ALL_SP_ALL_GB</v>
      </c>
      <c r="B201" s="36" t="s">
        <v>748</v>
      </c>
      <c r="C201" s="36" t="s">
        <v>231</v>
      </c>
      <c r="D201" s="36" t="s">
        <v>250</v>
      </c>
      <c r="E201" s="36" t="s">
        <v>267</v>
      </c>
      <c r="F201" s="36" t="s">
        <v>254</v>
      </c>
      <c r="G201" s="36" t="s">
        <v>267</v>
      </c>
      <c r="H201" s="36" t="s">
        <v>130</v>
      </c>
      <c r="I201" s="55">
        <v>0.10416666666666667</v>
      </c>
      <c r="J201" s="130">
        <v>1.1299999999999999E-2</v>
      </c>
    </row>
    <row r="202" spans="1:10">
      <c r="A202" s="36" t="str">
        <f t="shared" si="4"/>
        <v>HP06_ALL_SP_ALL_GB</v>
      </c>
      <c r="B202" s="36" t="s">
        <v>748</v>
      </c>
      <c r="C202" s="36" t="s">
        <v>231</v>
      </c>
      <c r="D202" s="36" t="s">
        <v>250</v>
      </c>
      <c r="E202" s="36" t="s">
        <v>267</v>
      </c>
      <c r="F202" s="36" t="s">
        <v>254</v>
      </c>
      <c r="G202" s="36" t="s">
        <v>267</v>
      </c>
      <c r="H202" s="36" t="s">
        <v>130</v>
      </c>
      <c r="I202" s="55">
        <v>0.125</v>
      </c>
      <c r="J202" s="130">
        <v>1.17E-2</v>
      </c>
    </row>
    <row r="203" spans="1:10">
      <c r="A203" s="36" t="str">
        <f t="shared" si="4"/>
        <v>HP06_ALL_SP_ALL_GB</v>
      </c>
      <c r="B203" s="36" t="s">
        <v>748</v>
      </c>
      <c r="C203" s="36" t="s">
        <v>231</v>
      </c>
      <c r="D203" s="36" t="s">
        <v>250</v>
      </c>
      <c r="E203" s="36" t="s">
        <v>267</v>
      </c>
      <c r="F203" s="36" t="s">
        <v>254</v>
      </c>
      <c r="G203" s="36" t="s">
        <v>267</v>
      </c>
      <c r="H203" s="36" t="s">
        <v>130</v>
      </c>
      <c r="I203" s="55">
        <v>0.14583333333333334</v>
      </c>
      <c r="J203" s="130">
        <v>1.24E-2</v>
      </c>
    </row>
    <row r="204" spans="1:10">
      <c r="A204" s="36" t="str">
        <f t="shared" si="4"/>
        <v>HP06_ALL_SP_ALL_GB</v>
      </c>
      <c r="B204" s="36" t="s">
        <v>748</v>
      </c>
      <c r="C204" s="36" t="s">
        <v>231</v>
      </c>
      <c r="D204" s="36" t="s">
        <v>250</v>
      </c>
      <c r="E204" s="36" t="s">
        <v>267</v>
      </c>
      <c r="F204" s="36" t="s">
        <v>254</v>
      </c>
      <c r="G204" s="36" t="s">
        <v>267</v>
      </c>
      <c r="H204" s="36" t="s">
        <v>130</v>
      </c>
      <c r="I204" s="55">
        <v>0.16666666666666666</v>
      </c>
      <c r="J204" s="130">
        <v>1.4E-2</v>
      </c>
    </row>
    <row r="205" spans="1:10">
      <c r="A205" s="36" t="str">
        <f t="shared" si="4"/>
        <v>HP06_ALL_SP_ALL_GB</v>
      </c>
      <c r="B205" s="36" t="s">
        <v>748</v>
      </c>
      <c r="C205" s="36" t="s">
        <v>231</v>
      </c>
      <c r="D205" s="36" t="s">
        <v>250</v>
      </c>
      <c r="E205" s="36" t="s">
        <v>267</v>
      </c>
      <c r="F205" s="36" t="s">
        <v>254</v>
      </c>
      <c r="G205" s="36" t="s">
        <v>267</v>
      </c>
      <c r="H205" s="36" t="s">
        <v>130</v>
      </c>
      <c r="I205" s="55">
        <v>0.1875</v>
      </c>
      <c r="J205" s="130">
        <v>1.7000000000000001E-2</v>
      </c>
    </row>
    <row r="206" spans="1:10">
      <c r="A206" s="36" t="str">
        <f t="shared" si="4"/>
        <v>HP06_ALL_SP_ALL_GB</v>
      </c>
      <c r="B206" s="36" t="s">
        <v>748</v>
      </c>
      <c r="C206" s="36" t="s">
        <v>231</v>
      </c>
      <c r="D206" s="36" t="s">
        <v>250</v>
      </c>
      <c r="E206" s="36" t="s">
        <v>267</v>
      </c>
      <c r="F206" s="36" t="s">
        <v>254</v>
      </c>
      <c r="G206" s="36" t="s">
        <v>267</v>
      </c>
      <c r="H206" s="36" t="s">
        <v>130</v>
      </c>
      <c r="I206" s="55">
        <v>0.20833333333333334</v>
      </c>
      <c r="J206" s="130">
        <v>2.52E-2</v>
      </c>
    </row>
    <row r="207" spans="1:10">
      <c r="A207" s="36" t="str">
        <f t="shared" si="4"/>
        <v>HP06_ALL_SP_ALL_GB</v>
      </c>
      <c r="B207" s="36" t="s">
        <v>748</v>
      </c>
      <c r="C207" s="36" t="s">
        <v>231</v>
      </c>
      <c r="D207" s="36" t="s">
        <v>250</v>
      </c>
      <c r="E207" s="36" t="s">
        <v>267</v>
      </c>
      <c r="F207" s="36" t="s">
        <v>254</v>
      </c>
      <c r="G207" s="36" t="s">
        <v>267</v>
      </c>
      <c r="H207" s="36" t="s">
        <v>130</v>
      </c>
      <c r="I207" s="55">
        <v>0.22916666666666666</v>
      </c>
      <c r="J207" s="130">
        <v>3.73E-2</v>
      </c>
    </row>
    <row r="208" spans="1:10">
      <c r="A208" s="36" t="str">
        <f t="shared" si="4"/>
        <v>HP06_ALL_SP_ALL_GB</v>
      </c>
      <c r="B208" s="36" t="s">
        <v>748</v>
      </c>
      <c r="C208" s="36" t="s">
        <v>231</v>
      </c>
      <c r="D208" s="36" t="s">
        <v>250</v>
      </c>
      <c r="E208" s="36" t="s">
        <v>267</v>
      </c>
      <c r="F208" s="36" t="s">
        <v>254</v>
      </c>
      <c r="G208" s="36" t="s">
        <v>267</v>
      </c>
      <c r="H208" s="36" t="s">
        <v>130</v>
      </c>
      <c r="I208" s="55">
        <v>0.25</v>
      </c>
      <c r="J208" s="130">
        <v>5.7700000000000001E-2</v>
      </c>
    </row>
    <row r="209" spans="1:10">
      <c r="A209" s="36" t="str">
        <f t="shared" si="4"/>
        <v>HP06_ALL_SP_ALL_GB</v>
      </c>
      <c r="B209" s="36" t="s">
        <v>748</v>
      </c>
      <c r="C209" s="36" t="s">
        <v>231</v>
      </c>
      <c r="D209" s="36" t="s">
        <v>250</v>
      </c>
      <c r="E209" s="36" t="s">
        <v>267</v>
      </c>
      <c r="F209" s="36" t="s">
        <v>254</v>
      </c>
      <c r="G209" s="36" t="s">
        <v>267</v>
      </c>
      <c r="H209" s="36" t="s">
        <v>130</v>
      </c>
      <c r="I209" s="55">
        <v>0.27083333333333331</v>
      </c>
      <c r="J209" s="130">
        <v>7.9799999999999996E-2</v>
      </c>
    </row>
    <row r="210" spans="1:10">
      <c r="A210" s="36" t="str">
        <f t="shared" si="4"/>
        <v>HP06_ALL_SP_ALL_GB</v>
      </c>
      <c r="B210" s="36" t="s">
        <v>748</v>
      </c>
      <c r="C210" s="36" t="s">
        <v>231</v>
      </c>
      <c r="D210" s="36" t="s">
        <v>250</v>
      </c>
      <c r="E210" s="36" t="s">
        <v>267</v>
      </c>
      <c r="F210" s="36" t="s">
        <v>254</v>
      </c>
      <c r="G210" s="36" t="s">
        <v>267</v>
      </c>
      <c r="H210" s="36" t="s">
        <v>130</v>
      </c>
      <c r="I210" s="55">
        <v>0.29166666666666669</v>
      </c>
      <c r="J210" s="130">
        <v>8.9599999999999999E-2</v>
      </c>
    </row>
    <row r="211" spans="1:10">
      <c r="A211" s="36" t="str">
        <f t="shared" si="4"/>
        <v>HP06_ALL_SP_ALL_GB</v>
      </c>
      <c r="B211" s="36" t="s">
        <v>748</v>
      </c>
      <c r="C211" s="36" t="s">
        <v>231</v>
      </c>
      <c r="D211" s="36" t="s">
        <v>250</v>
      </c>
      <c r="E211" s="36" t="s">
        <v>267</v>
      </c>
      <c r="F211" s="36" t="s">
        <v>254</v>
      </c>
      <c r="G211" s="36" t="s">
        <v>267</v>
      </c>
      <c r="H211" s="36" t="s">
        <v>130</v>
      </c>
      <c r="I211" s="55">
        <v>0.3125</v>
      </c>
      <c r="J211" s="130">
        <v>8.5199999999999998E-2</v>
      </c>
    </row>
    <row r="212" spans="1:10">
      <c r="A212" s="36" t="str">
        <f t="shared" si="4"/>
        <v>HP06_ALL_SP_ALL_GB</v>
      </c>
      <c r="B212" s="36" t="s">
        <v>748</v>
      </c>
      <c r="C212" s="36" t="s">
        <v>231</v>
      </c>
      <c r="D212" s="36" t="s">
        <v>250</v>
      </c>
      <c r="E212" s="36" t="s">
        <v>267</v>
      </c>
      <c r="F212" s="36" t="s">
        <v>254</v>
      </c>
      <c r="G212" s="36" t="s">
        <v>267</v>
      </c>
      <c r="H212" s="36" t="s">
        <v>130</v>
      </c>
      <c r="I212" s="55">
        <v>0.33333333333333331</v>
      </c>
      <c r="J212" s="130">
        <v>7.5200000000000003E-2</v>
      </c>
    </row>
    <row r="213" spans="1:10">
      <c r="A213" s="36" t="str">
        <f t="shared" si="4"/>
        <v>HP06_ALL_SP_ALL_GB</v>
      </c>
      <c r="B213" s="36" t="s">
        <v>748</v>
      </c>
      <c r="C213" s="36" t="s">
        <v>231</v>
      </c>
      <c r="D213" s="36" t="s">
        <v>250</v>
      </c>
      <c r="E213" s="36" t="s">
        <v>267</v>
      </c>
      <c r="F213" s="36" t="s">
        <v>254</v>
      </c>
      <c r="G213" s="36" t="s">
        <v>267</v>
      </c>
      <c r="H213" s="36" t="s">
        <v>130</v>
      </c>
      <c r="I213" s="55">
        <v>0.35416666666666669</v>
      </c>
      <c r="J213" s="130">
        <v>6.2600000000000003E-2</v>
      </c>
    </row>
    <row r="214" spans="1:10">
      <c r="A214" s="36" t="str">
        <f t="shared" si="4"/>
        <v>HP06_ALL_SP_ALL_GB</v>
      </c>
      <c r="B214" s="36" t="s">
        <v>748</v>
      </c>
      <c r="C214" s="36" t="s">
        <v>231</v>
      </c>
      <c r="D214" s="36" t="s">
        <v>250</v>
      </c>
      <c r="E214" s="36" t="s">
        <v>267</v>
      </c>
      <c r="F214" s="36" t="s">
        <v>254</v>
      </c>
      <c r="G214" s="36" t="s">
        <v>267</v>
      </c>
      <c r="H214" s="36" t="s">
        <v>130</v>
      </c>
      <c r="I214" s="55">
        <v>0.375</v>
      </c>
      <c r="J214" s="130">
        <v>5.3800000000000001E-2</v>
      </c>
    </row>
    <row r="215" spans="1:10">
      <c r="A215" s="36" t="str">
        <f t="shared" si="4"/>
        <v>HP06_ALL_SP_ALL_GB</v>
      </c>
      <c r="B215" s="36" t="s">
        <v>748</v>
      </c>
      <c r="C215" s="36" t="s">
        <v>231</v>
      </c>
      <c r="D215" s="36" t="s">
        <v>250</v>
      </c>
      <c r="E215" s="36" t="s">
        <v>267</v>
      </c>
      <c r="F215" s="36" t="s">
        <v>254</v>
      </c>
      <c r="G215" s="36" t="s">
        <v>267</v>
      </c>
      <c r="H215" s="36" t="s">
        <v>130</v>
      </c>
      <c r="I215" s="55">
        <v>0.39583333333333331</v>
      </c>
      <c r="J215" s="130">
        <v>4.6600000000000003E-2</v>
      </c>
    </row>
    <row r="216" spans="1:10">
      <c r="A216" s="36" t="str">
        <f t="shared" si="4"/>
        <v>HP06_ALL_SP_ALL_GB</v>
      </c>
      <c r="B216" s="36" t="s">
        <v>748</v>
      </c>
      <c r="C216" s="36" t="s">
        <v>231</v>
      </c>
      <c r="D216" s="36" t="s">
        <v>250</v>
      </c>
      <c r="E216" s="36" t="s">
        <v>267</v>
      </c>
      <c r="F216" s="36" t="s">
        <v>254</v>
      </c>
      <c r="G216" s="36" t="s">
        <v>267</v>
      </c>
      <c r="H216" s="36" t="s">
        <v>130</v>
      </c>
      <c r="I216" s="55">
        <v>0.41666666666666669</v>
      </c>
      <c r="J216" s="130">
        <v>4.1099999999999998E-2</v>
      </c>
    </row>
    <row r="217" spans="1:10">
      <c r="A217" s="36" t="str">
        <f t="shared" si="4"/>
        <v>HP06_ALL_SP_ALL_GB</v>
      </c>
      <c r="B217" s="36" t="s">
        <v>748</v>
      </c>
      <c r="C217" s="36" t="s">
        <v>231</v>
      </c>
      <c r="D217" s="36" t="s">
        <v>250</v>
      </c>
      <c r="E217" s="36" t="s">
        <v>267</v>
      </c>
      <c r="F217" s="36" t="s">
        <v>254</v>
      </c>
      <c r="G217" s="36" t="s">
        <v>267</v>
      </c>
      <c r="H217" s="36" t="s">
        <v>130</v>
      </c>
      <c r="I217" s="55">
        <v>0.4375</v>
      </c>
      <c r="J217" s="130">
        <v>3.7199999999999997E-2</v>
      </c>
    </row>
    <row r="218" spans="1:10">
      <c r="A218" s="36" t="str">
        <f t="shared" si="4"/>
        <v>HP06_ALL_SP_ALL_GB</v>
      </c>
      <c r="B218" s="36" t="s">
        <v>748</v>
      </c>
      <c r="C218" s="36" t="s">
        <v>231</v>
      </c>
      <c r="D218" s="36" t="s">
        <v>250</v>
      </c>
      <c r="E218" s="36" t="s">
        <v>267</v>
      </c>
      <c r="F218" s="36" t="s">
        <v>254</v>
      </c>
      <c r="G218" s="36" t="s">
        <v>267</v>
      </c>
      <c r="H218" s="36" t="s">
        <v>130</v>
      </c>
      <c r="I218" s="55">
        <v>0.45833333333333331</v>
      </c>
      <c r="J218" s="130">
        <v>3.5099999999999999E-2</v>
      </c>
    </row>
    <row r="219" spans="1:10">
      <c r="A219" s="36" t="str">
        <f t="shared" si="4"/>
        <v>HP06_ALL_SP_ALL_GB</v>
      </c>
      <c r="B219" s="36" t="s">
        <v>748</v>
      </c>
      <c r="C219" s="36" t="s">
        <v>231</v>
      </c>
      <c r="D219" s="36" t="s">
        <v>250</v>
      </c>
      <c r="E219" s="36" t="s">
        <v>267</v>
      </c>
      <c r="F219" s="36" t="s">
        <v>254</v>
      </c>
      <c r="G219" s="36" t="s">
        <v>267</v>
      </c>
      <c r="H219" s="36" t="s">
        <v>130</v>
      </c>
      <c r="I219" s="55">
        <v>0.47916666666666669</v>
      </c>
      <c r="J219" s="130">
        <v>3.5400000000000001E-2</v>
      </c>
    </row>
    <row r="220" spans="1:10">
      <c r="A220" s="36" t="str">
        <f t="shared" si="4"/>
        <v>HP06_ALL_SP_ALL_GB</v>
      </c>
      <c r="B220" s="36" t="s">
        <v>748</v>
      </c>
      <c r="C220" s="36" t="s">
        <v>231</v>
      </c>
      <c r="D220" s="36" t="s">
        <v>250</v>
      </c>
      <c r="E220" s="36" t="s">
        <v>267</v>
      </c>
      <c r="F220" s="36" t="s">
        <v>254</v>
      </c>
      <c r="G220" s="36" t="s">
        <v>267</v>
      </c>
      <c r="H220" s="36" t="s">
        <v>130</v>
      </c>
      <c r="I220" s="55">
        <v>0.5</v>
      </c>
      <c r="J220" s="130">
        <v>3.7400000000000003E-2</v>
      </c>
    </row>
    <row r="221" spans="1:10">
      <c r="A221" s="36" t="str">
        <f t="shared" si="4"/>
        <v>HP06_ALL_SP_ALL_GB</v>
      </c>
      <c r="B221" s="36" t="s">
        <v>748</v>
      </c>
      <c r="C221" s="36" t="s">
        <v>231</v>
      </c>
      <c r="D221" s="36" t="s">
        <v>250</v>
      </c>
      <c r="E221" s="36" t="s">
        <v>267</v>
      </c>
      <c r="F221" s="36" t="s">
        <v>254</v>
      </c>
      <c r="G221" s="36" t="s">
        <v>267</v>
      </c>
      <c r="H221" s="36" t="s">
        <v>130</v>
      </c>
      <c r="I221" s="55">
        <v>0.52083333333333337</v>
      </c>
      <c r="J221" s="130">
        <v>3.61E-2</v>
      </c>
    </row>
    <row r="222" spans="1:10">
      <c r="A222" s="36" t="str">
        <f t="shared" si="4"/>
        <v>HP06_ALL_SP_ALL_GB</v>
      </c>
      <c r="B222" s="36" t="s">
        <v>748</v>
      </c>
      <c r="C222" s="36" t="s">
        <v>231</v>
      </c>
      <c r="D222" s="36" t="s">
        <v>250</v>
      </c>
      <c r="E222" s="36" t="s">
        <v>267</v>
      </c>
      <c r="F222" s="36" t="s">
        <v>254</v>
      </c>
      <c r="G222" s="36" t="s">
        <v>267</v>
      </c>
      <c r="H222" s="36" t="s">
        <v>130</v>
      </c>
      <c r="I222" s="55">
        <v>0.54166666666666663</v>
      </c>
      <c r="J222" s="130">
        <v>3.39E-2</v>
      </c>
    </row>
    <row r="223" spans="1:10">
      <c r="A223" s="36" t="str">
        <f t="shared" si="4"/>
        <v>HP06_ALL_SP_ALL_GB</v>
      </c>
      <c r="B223" s="36" t="s">
        <v>748</v>
      </c>
      <c r="C223" s="36" t="s">
        <v>231</v>
      </c>
      <c r="D223" s="36" t="s">
        <v>250</v>
      </c>
      <c r="E223" s="36" t="s">
        <v>267</v>
      </c>
      <c r="F223" s="36" t="s">
        <v>254</v>
      </c>
      <c r="G223" s="36" t="s">
        <v>267</v>
      </c>
      <c r="H223" s="36" t="s">
        <v>130</v>
      </c>
      <c r="I223" s="55">
        <v>0.5625</v>
      </c>
      <c r="J223" s="130">
        <v>3.15E-2</v>
      </c>
    </row>
    <row r="224" spans="1:10">
      <c r="A224" s="36" t="str">
        <f t="shared" si="4"/>
        <v>HP06_ALL_SP_ALL_GB</v>
      </c>
      <c r="B224" s="36" t="s">
        <v>748</v>
      </c>
      <c r="C224" s="36" t="s">
        <v>231</v>
      </c>
      <c r="D224" s="36" t="s">
        <v>250</v>
      </c>
      <c r="E224" s="36" t="s">
        <v>267</v>
      </c>
      <c r="F224" s="36" t="s">
        <v>254</v>
      </c>
      <c r="G224" s="36" t="s">
        <v>267</v>
      </c>
      <c r="H224" s="36" t="s">
        <v>130</v>
      </c>
      <c r="I224" s="55">
        <v>0.58333333333333337</v>
      </c>
      <c r="J224" s="130">
        <v>2.98E-2</v>
      </c>
    </row>
    <row r="225" spans="1:10">
      <c r="A225" s="36" t="str">
        <f t="shared" si="4"/>
        <v>HP06_ALL_SP_ALL_GB</v>
      </c>
      <c r="B225" s="36" t="s">
        <v>748</v>
      </c>
      <c r="C225" s="36" t="s">
        <v>231</v>
      </c>
      <c r="D225" s="36" t="s">
        <v>250</v>
      </c>
      <c r="E225" s="36" t="s">
        <v>267</v>
      </c>
      <c r="F225" s="36" t="s">
        <v>254</v>
      </c>
      <c r="G225" s="36" t="s">
        <v>267</v>
      </c>
      <c r="H225" s="36" t="s">
        <v>130</v>
      </c>
      <c r="I225" s="55">
        <v>0.60416666666666663</v>
      </c>
      <c r="J225" s="130">
        <v>3.0200000000000001E-2</v>
      </c>
    </row>
    <row r="226" spans="1:10">
      <c r="A226" s="36" t="str">
        <f t="shared" si="4"/>
        <v>HP06_ALL_SP_ALL_GB</v>
      </c>
      <c r="B226" s="36" t="s">
        <v>748</v>
      </c>
      <c r="C226" s="36" t="s">
        <v>231</v>
      </c>
      <c r="D226" s="36" t="s">
        <v>250</v>
      </c>
      <c r="E226" s="36" t="s">
        <v>267</v>
      </c>
      <c r="F226" s="36" t="s">
        <v>254</v>
      </c>
      <c r="G226" s="36" t="s">
        <v>267</v>
      </c>
      <c r="H226" s="36" t="s">
        <v>130</v>
      </c>
      <c r="I226" s="55">
        <v>0.625</v>
      </c>
      <c r="J226" s="130">
        <v>3.1800000000000002E-2</v>
      </c>
    </row>
    <row r="227" spans="1:10">
      <c r="A227" s="36" t="str">
        <f t="shared" si="4"/>
        <v>HP06_ALL_SP_ALL_GB</v>
      </c>
      <c r="B227" s="36" t="s">
        <v>748</v>
      </c>
      <c r="C227" s="36" t="s">
        <v>231</v>
      </c>
      <c r="D227" s="36" t="s">
        <v>250</v>
      </c>
      <c r="E227" s="36" t="s">
        <v>267</v>
      </c>
      <c r="F227" s="36" t="s">
        <v>254</v>
      </c>
      <c r="G227" s="36" t="s">
        <v>267</v>
      </c>
      <c r="H227" s="36" t="s">
        <v>130</v>
      </c>
      <c r="I227" s="55">
        <v>0.64583333333333337</v>
      </c>
      <c r="J227" s="130">
        <v>3.9800000000000002E-2</v>
      </c>
    </row>
    <row r="228" spans="1:10">
      <c r="A228" s="36" t="str">
        <f t="shared" si="4"/>
        <v>HP06_ALL_SP_ALL_GB</v>
      </c>
      <c r="B228" s="36" t="s">
        <v>748</v>
      </c>
      <c r="C228" s="36" t="s">
        <v>231</v>
      </c>
      <c r="D228" s="36" t="s">
        <v>250</v>
      </c>
      <c r="E228" s="36" t="s">
        <v>267</v>
      </c>
      <c r="F228" s="36" t="s">
        <v>254</v>
      </c>
      <c r="G228" s="36" t="s">
        <v>267</v>
      </c>
      <c r="H228" s="36" t="s">
        <v>130</v>
      </c>
      <c r="I228" s="55">
        <v>0.66666666666666663</v>
      </c>
      <c r="J228" s="130">
        <v>5.4699999999999999E-2</v>
      </c>
    </row>
    <row r="229" spans="1:10">
      <c r="A229" s="36" t="str">
        <f t="shared" si="4"/>
        <v>HP06_ALL_SP_ALL_GB</v>
      </c>
      <c r="B229" s="36" t="s">
        <v>748</v>
      </c>
      <c r="C229" s="36" t="s">
        <v>231</v>
      </c>
      <c r="D229" s="36" t="s">
        <v>250</v>
      </c>
      <c r="E229" s="36" t="s">
        <v>267</v>
      </c>
      <c r="F229" s="36" t="s">
        <v>254</v>
      </c>
      <c r="G229" s="36" t="s">
        <v>267</v>
      </c>
      <c r="H229" s="36" t="s">
        <v>130</v>
      </c>
      <c r="I229" s="55">
        <v>0.6875</v>
      </c>
      <c r="J229" s="130">
        <v>7.2900000000000006E-2</v>
      </c>
    </row>
    <row r="230" spans="1:10">
      <c r="A230" s="36" t="str">
        <f t="shared" si="4"/>
        <v>HP06_ALL_SP_ALL_GB</v>
      </c>
      <c r="B230" s="36" t="s">
        <v>748</v>
      </c>
      <c r="C230" s="36" t="s">
        <v>231</v>
      </c>
      <c r="D230" s="36" t="s">
        <v>250</v>
      </c>
      <c r="E230" s="36" t="s">
        <v>267</v>
      </c>
      <c r="F230" s="36" t="s">
        <v>254</v>
      </c>
      <c r="G230" s="36" t="s">
        <v>267</v>
      </c>
      <c r="H230" s="36" t="s">
        <v>130</v>
      </c>
      <c r="I230" s="55">
        <v>0.70833333333333337</v>
      </c>
      <c r="J230" s="130">
        <v>8.2799999999999999E-2</v>
      </c>
    </row>
    <row r="231" spans="1:10">
      <c r="A231" s="36" t="str">
        <f t="shared" si="4"/>
        <v>HP06_ALL_SP_ALL_GB</v>
      </c>
      <c r="B231" s="36" t="s">
        <v>748</v>
      </c>
      <c r="C231" s="36" t="s">
        <v>231</v>
      </c>
      <c r="D231" s="36" t="s">
        <v>250</v>
      </c>
      <c r="E231" s="36" t="s">
        <v>267</v>
      </c>
      <c r="F231" s="36" t="s">
        <v>254</v>
      </c>
      <c r="G231" s="36" t="s">
        <v>267</v>
      </c>
      <c r="H231" s="36" t="s">
        <v>130</v>
      </c>
      <c r="I231" s="55">
        <v>0.72916666666666663</v>
      </c>
      <c r="J231" s="130">
        <v>7.9600000000000004E-2</v>
      </c>
    </row>
    <row r="232" spans="1:10">
      <c r="A232" s="36" t="str">
        <f t="shared" si="4"/>
        <v>HP06_ALL_SP_ALL_GB</v>
      </c>
      <c r="B232" s="36" t="s">
        <v>748</v>
      </c>
      <c r="C232" s="36" t="s">
        <v>231</v>
      </c>
      <c r="D232" s="36" t="s">
        <v>250</v>
      </c>
      <c r="E232" s="36" t="s">
        <v>267</v>
      </c>
      <c r="F232" s="36" t="s">
        <v>254</v>
      </c>
      <c r="G232" s="36" t="s">
        <v>267</v>
      </c>
      <c r="H232" s="36" t="s">
        <v>130</v>
      </c>
      <c r="I232" s="55">
        <v>0.75</v>
      </c>
      <c r="J232" s="130">
        <v>7.8799999999999995E-2</v>
      </c>
    </row>
    <row r="233" spans="1:10">
      <c r="A233" s="36" t="str">
        <f t="shared" si="4"/>
        <v>HP06_ALL_SP_ALL_GB</v>
      </c>
      <c r="B233" s="36" t="s">
        <v>748</v>
      </c>
      <c r="C233" s="36" t="s">
        <v>231</v>
      </c>
      <c r="D233" s="36" t="s">
        <v>250</v>
      </c>
      <c r="E233" s="36" t="s">
        <v>267</v>
      </c>
      <c r="F233" s="36" t="s">
        <v>254</v>
      </c>
      <c r="G233" s="36" t="s">
        <v>267</v>
      </c>
      <c r="H233" s="36" t="s">
        <v>130</v>
      </c>
      <c r="I233" s="55">
        <v>0.77083333333333337</v>
      </c>
      <c r="J233" s="130">
        <v>7.2999999999999995E-2</v>
      </c>
    </row>
    <row r="234" spans="1:10">
      <c r="A234" s="36" t="str">
        <f t="shared" si="4"/>
        <v>HP06_ALL_SP_ALL_GB</v>
      </c>
      <c r="B234" s="36" t="s">
        <v>748</v>
      </c>
      <c r="C234" s="36" t="s">
        <v>231</v>
      </c>
      <c r="D234" s="36" t="s">
        <v>250</v>
      </c>
      <c r="E234" s="36" t="s">
        <v>267</v>
      </c>
      <c r="F234" s="36" t="s">
        <v>254</v>
      </c>
      <c r="G234" s="36" t="s">
        <v>267</v>
      </c>
      <c r="H234" s="36" t="s">
        <v>130</v>
      </c>
      <c r="I234" s="55">
        <v>0.79166666666666663</v>
      </c>
      <c r="J234" s="130">
        <v>6.6000000000000003E-2</v>
      </c>
    </row>
    <row r="235" spans="1:10">
      <c r="A235" s="36" t="str">
        <f t="shared" si="4"/>
        <v>HP06_ALL_SP_ALL_GB</v>
      </c>
      <c r="B235" s="36" t="s">
        <v>748</v>
      </c>
      <c r="C235" s="36" t="s">
        <v>231</v>
      </c>
      <c r="D235" s="36" t="s">
        <v>250</v>
      </c>
      <c r="E235" s="36" t="s">
        <v>267</v>
      </c>
      <c r="F235" s="36" t="s">
        <v>254</v>
      </c>
      <c r="G235" s="36" t="s">
        <v>267</v>
      </c>
      <c r="H235" s="36" t="s">
        <v>130</v>
      </c>
      <c r="I235" s="55">
        <v>0.8125</v>
      </c>
      <c r="J235" s="130">
        <v>5.79E-2</v>
      </c>
    </row>
    <row r="236" spans="1:10">
      <c r="A236" s="36" t="str">
        <f t="shared" si="4"/>
        <v>HP06_ALL_SP_ALL_GB</v>
      </c>
      <c r="B236" s="36" t="s">
        <v>748</v>
      </c>
      <c r="C236" s="36" t="s">
        <v>231</v>
      </c>
      <c r="D236" s="36" t="s">
        <v>250</v>
      </c>
      <c r="E236" s="36" t="s">
        <v>267</v>
      </c>
      <c r="F236" s="36" t="s">
        <v>254</v>
      </c>
      <c r="G236" s="36" t="s">
        <v>267</v>
      </c>
      <c r="H236" s="36" t="s">
        <v>130</v>
      </c>
      <c r="I236" s="55">
        <v>0.83333333333333337</v>
      </c>
      <c r="J236" s="130">
        <v>5.1799999999999999E-2</v>
      </c>
    </row>
    <row r="237" spans="1:10">
      <c r="A237" s="36" t="str">
        <f t="shared" si="4"/>
        <v>HP06_ALL_SP_ALL_GB</v>
      </c>
      <c r="B237" s="36" t="s">
        <v>748</v>
      </c>
      <c r="C237" s="36" t="s">
        <v>231</v>
      </c>
      <c r="D237" s="36" t="s">
        <v>250</v>
      </c>
      <c r="E237" s="36" t="s">
        <v>267</v>
      </c>
      <c r="F237" s="36" t="s">
        <v>254</v>
      </c>
      <c r="G237" s="36" t="s">
        <v>267</v>
      </c>
      <c r="H237" s="36" t="s">
        <v>130</v>
      </c>
      <c r="I237" s="55">
        <v>0.85416666666666663</v>
      </c>
      <c r="J237" s="130">
        <v>4.65E-2</v>
      </c>
    </row>
    <row r="238" spans="1:10">
      <c r="A238" s="36" t="str">
        <f t="shared" si="4"/>
        <v>HP06_ALL_SP_ALL_GB</v>
      </c>
      <c r="B238" s="36" t="s">
        <v>748</v>
      </c>
      <c r="C238" s="36" t="s">
        <v>231</v>
      </c>
      <c r="D238" s="36" t="s">
        <v>250</v>
      </c>
      <c r="E238" s="36" t="s">
        <v>267</v>
      </c>
      <c r="F238" s="36" t="s">
        <v>254</v>
      </c>
      <c r="G238" s="36" t="s">
        <v>267</v>
      </c>
      <c r="H238" s="36" t="s">
        <v>130</v>
      </c>
      <c r="I238" s="55">
        <v>0.875</v>
      </c>
      <c r="J238" s="130">
        <v>4.1099999999999998E-2</v>
      </c>
    </row>
    <row r="239" spans="1:10">
      <c r="A239" s="36" t="str">
        <f t="shared" si="4"/>
        <v>HP06_ALL_SP_ALL_GB</v>
      </c>
      <c r="B239" s="36" t="s">
        <v>748</v>
      </c>
      <c r="C239" s="36" t="s">
        <v>231</v>
      </c>
      <c r="D239" s="36" t="s">
        <v>250</v>
      </c>
      <c r="E239" s="36" t="s">
        <v>267</v>
      </c>
      <c r="F239" s="36" t="s">
        <v>254</v>
      </c>
      <c r="G239" s="36" t="s">
        <v>267</v>
      </c>
      <c r="H239" s="36" t="s">
        <v>130</v>
      </c>
      <c r="I239" s="55">
        <v>0.89583333333333337</v>
      </c>
      <c r="J239" s="130">
        <v>3.6299999999999999E-2</v>
      </c>
    </row>
    <row r="240" spans="1:10">
      <c r="A240" s="36" t="str">
        <f t="shared" si="4"/>
        <v>HP06_ALL_SP_ALL_GB</v>
      </c>
      <c r="B240" s="36" t="s">
        <v>748</v>
      </c>
      <c r="C240" s="36" t="s">
        <v>231</v>
      </c>
      <c r="D240" s="36" t="s">
        <v>250</v>
      </c>
      <c r="E240" s="36" t="s">
        <v>267</v>
      </c>
      <c r="F240" s="36" t="s">
        <v>254</v>
      </c>
      <c r="G240" s="36" t="s">
        <v>267</v>
      </c>
      <c r="H240" s="36" t="s">
        <v>130</v>
      </c>
      <c r="I240" s="55">
        <v>0.91666666666666663</v>
      </c>
      <c r="J240" s="130">
        <v>3.27E-2</v>
      </c>
    </row>
    <row r="241" spans="1:10">
      <c r="A241" s="36" t="str">
        <f t="shared" si="4"/>
        <v>HP06_ALL_SP_ALL_GB</v>
      </c>
      <c r="B241" s="36" t="s">
        <v>748</v>
      </c>
      <c r="C241" s="36" t="s">
        <v>231</v>
      </c>
      <c r="D241" s="36" t="s">
        <v>250</v>
      </c>
      <c r="E241" s="36" t="s">
        <v>267</v>
      </c>
      <c r="F241" s="36" t="s">
        <v>254</v>
      </c>
      <c r="G241" s="36" t="s">
        <v>267</v>
      </c>
      <c r="H241" s="36" t="s">
        <v>130</v>
      </c>
      <c r="I241" s="55">
        <v>0.9375</v>
      </c>
      <c r="J241" s="130">
        <v>2.6800000000000001E-2</v>
      </c>
    </row>
    <row r="242" spans="1:10">
      <c r="A242" s="36" t="str">
        <f t="shared" si="4"/>
        <v>HP06_ALL_SP_ALL_GB</v>
      </c>
      <c r="B242" s="36" t="s">
        <v>748</v>
      </c>
      <c r="C242" s="36" t="s">
        <v>231</v>
      </c>
      <c r="D242" s="36" t="s">
        <v>250</v>
      </c>
      <c r="E242" s="36" t="s">
        <v>267</v>
      </c>
      <c r="F242" s="36" t="s">
        <v>254</v>
      </c>
      <c r="G242" s="36" t="s">
        <v>267</v>
      </c>
      <c r="H242" s="36" t="s">
        <v>130</v>
      </c>
      <c r="I242" s="55">
        <v>0.95833333333333337</v>
      </c>
      <c r="J242" s="130">
        <v>2.12E-2</v>
      </c>
    </row>
    <row r="243" spans="1:10">
      <c r="A243" s="36" t="str">
        <f t="shared" si="4"/>
        <v>HP06_ALL_SP_ALL_GB</v>
      </c>
      <c r="B243" s="36" t="s">
        <v>748</v>
      </c>
      <c r="C243" s="36" t="s">
        <v>231</v>
      </c>
      <c r="D243" s="36" t="s">
        <v>250</v>
      </c>
      <c r="E243" s="36" t="s">
        <v>267</v>
      </c>
      <c r="F243" s="36" t="s">
        <v>254</v>
      </c>
      <c r="G243" s="36" t="s">
        <v>267</v>
      </c>
      <c r="H243" s="36" t="s">
        <v>130</v>
      </c>
      <c r="I243" s="55">
        <v>0.97916666666666663</v>
      </c>
      <c r="J243" s="130">
        <v>1.72E-2</v>
      </c>
    </row>
    <row r="244" spans="1:10">
      <c r="A244" s="36" t="str">
        <f t="shared" ref="A244:A291" si="5">_xlfn.CONCAT("HP06_",INDEX(dwelling_categories_short,MATCH(E244,dwelling_categories,0)),"_",INDEX(rep_days_short,MATCH(F244,rep_days,0)),"_",INDEX(HP_behaviours_short,MATCH(G244,HP_behaviours,0)),"_",H244)</f>
        <v>HP06_ALL_SSP_WA_GB</v>
      </c>
      <c r="B244" s="36" t="s">
        <v>748</v>
      </c>
      <c r="C244" s="36" t="s">
        <v>231</v>
      </c>
      <c r="D244" s="36" t="s">
        <v>250</v>
      </c>
      <c r="E244" s="36" t="s">
        <v>267</v>
      </c>
      <c r="F244" s="36" t="s">
        <v>273</v>
      </c>
      <c r="G244" s="36" t="s">
        <v>292</v>
      </c>
      <c r="H244" s="36" t="s">
        <v>130</v>
      </c>
      <c r="I244" s="55">
        <v>0</v>
      </c>
      <c r="J244" s="130">
        <v>2.64E-2</v>
      </c>
    </row>
    <row r="245" spans="1:10">
      <c r="A245" s="36" t="str">
        <f t="shared" si="5"/>
        <v>HP06_ALL_SSP_WA_GB</v>
      </c>
      <c r="B245" s="36" t="s">
        <v>748</v>
      </c>
      <c r="C245" s="36" t="s">
        <v>231</v>
      </c>
      <c r="D245" s="36" t="s">
        <v>250</v>
      </c>
      <c r="E245" s="36" t="s">
        <v>267</v>
      </c>
      <c r="F245" s="36" t="s">
        <v>273</v>
      </c>
      <c r="G245" s="36" t="s">
        <v>292</v>
      </c>
      <c r="H245" s="36" t="s">
        <v>130</v>
      </c>
      <c r="I245" s="55">
        <v>2.0833333333333332E-2</v>
      </c>
      <c r="J245" s="130">
        <v>2.75E-2</v>
      </c>
    </row>
    <row r="246" spans="1:10">
      <c r="A246" s="36" t="str">
        <f t="shared" si="5"/>
        <v>HP06_ALL_SSP_WA_GB</v>
      </c>
      <c r="B246" s="36" t="s">
        <v>748</v>
      </c>
      <c r="C246" s="36" t="s">
        <v>231</v>
      </c>
      <c r="D246" s="36" t="s">
        <v>250</v>
      </c>
      <c r="E246" s="36" t="s">
        <v>267</v>
      </c>
      <c r="F246" s="36" t="s">
        <v>273</v>
      </c>
      <c r="G246" s="36" t="s">
        <v>292</v>
      </c>
      <c r="H246" s="36" t="s">
        <v>130</v>
      </c>
      <c r="I246" s="55">
        <v>4.1666666666666664E-2</v>
      </c>
      <c r="J246" s="130">
        <v>2.8899999999999999E-2</v>
      </c>
    </row>
    <row r="247" spans="1:10">
      <c r="A247" s="36" t="str">
        <f t="shared" si="5"/>
        <v>HP06_ALL_SSP_WA_GB</v>
      </c>
      <c r="B247" s="36" t="s">
        <v>748</v>
      </c>
      <c r="C247" s="36" t="s">
        <v>231</v>
      </c>
      <c r="D247" s="36" t="s">
        <v>250</v>
      </c>
      <c r="E247" s="36" t="s">
        <v>267</v>
      </c>
      <c r="F247" s="36" t="s">
        <v>273</v>
      </c>
      <c r="G247" s="36" t="s">
        <v>292</v>
      </c>
      <c r="H247" s="36" t="s">
        <v>130</v>
      </c>
      <c r="I247" s="55">
        <v>6.25E-2</v>
      </c>
      <c r="J247" s="130">
        <v>3.0599999999999999E-2</v>
      </c>
    </row>
    <row r="248" spans="1:10">
      <c r="A248" s="36" t="str">
        <f t="shared" si="5"/>
        <v>HP06_ALL_SSP_WA_GB</v>
      </c>
      <c r="B248" s="36" t="s">
        <v>748</v>
      </c>
      <c r="C248" s="36" t="s">
        <v>231</v>
      </c>
      <c r="D248" s="36" t="s">
        <v>250</v>
      </c>
      <c r="E248" s="36" t="s">
        <v>267</v>
      </c>
      <c r="F248" s="36" t="s">
        <v>273</v>
      </c>
      <c r="G248" s="36" t="s">
        <v>292</v>
      </c>
      <c r="H248" s="36" t="s">
        <v>130</v>
      </c>
      <c r="I248" s="55">
        <v>8.3333333333333329E-2</v>
      </c>
      <c r="J248" s="130">
        <v>3.2099999999999997E-2</v>
      </c>
    </row>
    <row r="249" spans="1:10">
      <c r="A249" s="36" t="str">
        <f t="shared" si="5"/>
        <v>HP06_ALL_SSP_WA_GB</v>
      </c>
      <c r="B249" s="36" t="s">
        <v>748</v>
      </c>
      <c r="C249" s="36" t="s">
        <v>231</v>
      </c>
      <c r="D249" s="36" t="s">
        <v>250</v>
      </c>
      <c r="E249" s="36" t="s">
        <v>267</v>
      </c>
      <c r="F249" s="36" t="s">
        <v>273</v>
      </c>
      <c r="G249" s="36" t="s">
        <v>292</v>
      </c>
      <c r="H249" s="36" t="s">
        <v>130</v>
      </c>
      <c r="I249" s="55">
        <v>0.10416666666666667</v>
      </c>
      <c r="J249" s="130">
        <v>3.44E-2</v>
      </c>
    </row>
    <row r="250" spans="1:10">
      <c r="A250" s="36" t="str">
        <f t="shared" si="5"/>
        <v>HP06_ALL_SSP_WA_GB</v>
      </c>
      <c r="B250" s="36" t="s">
        <v>748</v>
      </c>
      <c r="C250" s="36" t="s">
        <v>231</v>
      </c>
      <c r="D250" s="36" t="s">
        <v>250</v>
      </c>
      <c r="E250" s="36" t="s">
        <v>267</v>
      </c>
      <c r="F250" s="36" t="s">
        <v>273</v>
      </c>
      <c r="G250" s="36" t="s">
        <v>292</v>
      </c>
      <c r="H250" s="36" t="s">
        <v>130</v>
      </c>
      <c r="I250" s="55">
        <v>0.125</v>
      </c>
      <c r="J250" s="130">
        <v>3.5700000000000003E-2</v>
      </c>
    </row>
    <row r="251" spans="1:10">
      <c r="A251" s="36" t="str">
        <f t="shared" si="5"/>
        <v>HP06_ALL_SSP_WA_GB</v>
      </c>
      <c r="B251" s="36" t="s">
        <v>748</v>
      </c>
      <c r="C251" s="36" t="s">
        <v>231</v>
      </c>
      <c r="D251" s="36" t="s">
        <v>250</v>
      </c>
      <c r="E251" s="36" t="s">
        <v>267</v>
      </c>
      <c r="F251" s="36" t="s">
        <v>273</v>
      </c>
      <c r="G251" s="36" t="s">
        <v>292</v>
      </c>
      <c r="H251" s="36" t="s">
        <v>130</v>
      </c>
      <c r="I251" s="55">
        <v>0.14583333333333334</v>
      </c>
      <c r="J251" s="130">
        <v>3.7600000000000001E-2</v>
      </c>
    </row>
    <row r="252" spans="1:10">
      <c r="A252" s="36" t="str">
        <f t="shared" si="5"/>
        <v>HP06_ALL_SSP_WA_GB</v>
      </c>
      <c r="B252" s="36" t="s">
        <v>748</v>
      </c>
      <c r="C252" s="36" t="s">
        <v>231</v>
      </c>
      <c r="D252" s="36" t="s">
        <v>250</v>
      </c>
      <c r="E252" s="36" t="s">
        <v>267</v>
      </c>
      <c r="F252" s="36" t="s">
        <v>273</v>
      </c>
      <c r="G252" s="36" t="s">
        <v>292</v>
      </c>
      <c r="H252" s="36" t="s">
        <v>130</v>
      </c>
      <c r="I252" s="55">
        <v>0.16666666666666666</v>
      </c>
      <c r="J252" s="130">
        <v>3.9E-2</v>
      </c>
    </row>
    <row r="253" spans="1:10">
      <c r="A253" s="36" t="str">
        <f t="shared" si="5"/>
        <v>HP06_ALL_SSP_WA_GB</v>
      </c>
      <c r="B253" s="36" t="s">
        <v>748</v>
      </c>
      <c r="C253" s="36" t="s">
        <v>231</v>
      </c>
      <c r="D253" s="36" t="s">
        <v>250</v>
      </c>
      <c r="E253" s="36" t="s">
        <v>267</v>
      </c>
      <c r="F253" s="36" t="s">
        <v>273</v>
      </c>
      <c r="G253" s="36" t="s">
        <v>292</v>
      </c>
      <c r="H253" s="36" t="s">
        <v>130</v>
      </c>
      <c r="I253" s="55">
        <v>0.1875</v>
      </c>
      <c r="J253" s="130">
        <v>4.3299999999999998E-2</v>
      </c>
    </row>
    <row r="254" spans="1:10">
      <c r="A254" s="36" t="str">
        <f t="shared" si="5"/>
        <v>HP06_ALL_SSP_WA_GB</v>
      </c>
      <c r="B254" s="36" t="s">
        <v>748</v>
      </c>
      <c r="C254" s="36" t="s">
        <v>231</v>
      </c>
      <c r="D254" s="36" t="s">
        <v>250</v>
      </c>
      <c r="E254" s="36" t="s">
        <v>267</v>
      </c>
      <c r="F254" s="36" t="s">
        <v>273</v>
      </c>
      <c r="G254" s="36" t="s">
        <v>292</v>
      </c>
      <c r="H254" s="36" t="s">
        <v>130</v>
      </c>
      <c r="I254" s="55">
        <v>0.20833333333333334</v>
      </c>
      <c r="J254" s="130">
        <v>4.7600000000000003E-2</v>
      </c>
    </row>
    <row r="255" spans="1:10">
      <c r="A255" s="36" t="str">
        <f t="shared" si="5"/>
        <v>HP06_ALL_SSP_WA_GB</v>
      </c>
      <c r="B255" s="36" t="s">
        <v>748</v>
      </c>
      <c r="C255" s="36" t="s">
        <v>231</v>
      </c>
      <c r="D255" s="36" t="s">
        <v>250</v>
      </c>
      <c r="E255" s="36" t="s">
        <v>267</v>
      </c>
      <c r="F255" s="36" t="s">
        <v>273</v>
      </c>
      <c r="G255" s="36" t="s">
        <v>292</v>
      </c>
      <c r="H255" s="36" t="s">
        <v>130</v>
      </c>
      <c r="I255" s="55">
        <v>0.22916666666666666</v>
      </c>
      <c r="J255" s="130">
        <v>5.4899999999999997E-2</v>
      </c>
    </row>
    <row r="256" spans="1:10">
      <c r="A256" s="36" t="str">
        <f t="shared" si="5"/>
        <v>HP06_ALL_SSP_WA_GB</v>
      </c>
      <c r="B256" s="36" t="s">
        <v>748</v>
      </c>
      <c r="C256" s="36" t="s">
        <v>231</v>
      </c>
      <c r="D256" s="36" t="s">
        <v>250</v>
      </c>
      <c r="E256" s="36" t="s">
        <v>267</v>
      </c>
      <c r="F256" s="36" t="s">
        <v>273</v>
      </c>
      <c r="G256" s="36" t="s">
        <v>292</v>
      </c>
      <c r="H256" s="36" t="s">
        <v>130</v>
      </c>
      <c r="I256" s="55">
        <v>0.25</v>
      </c>
      <c r="J256" s="130">
        <v>5.9799999999999999E-2</v>
      </c>
    </row>
    <row r="257" spans="1:10">
      <c r="A257" s="36" t="str">
        <f t="shared" si="5"/>
        <v>HP06_ALL_SSP_WA_GB</v>
      </c>
      <c r="B257" s="36" t="s">
        <v>748</v>
      </c>
      <c r="C257" s="36" t="s">
        <v>231</v>
      </c>
      <c r="D257" s="36" t="s">
        <v>250</v>
      </c>
      <c r="E257" s="36" t="s">
        <v>267</v>
      </c>
      <c r="F257" s="36" t="s">
        <v>273</v>
      </c>
      <c r="G257" s="36" t="s">
        <v>292</v>
      </c>
      <c r="H257" s="36" t="s">
        <v>130</v>
      </c>
      <c r="I257" s="55">
        <v>0.27083333333333331</v>
      </c>
      <c r="J257" s="130">
        <v>6.3899999999999998E-2</v>
      </c>
    </row>
    <row r="258" spans="1:10">
      <c r="A258" s="36" t="str">
        <f t="shared" si="5"/>
        <v>HP06_ALL_SSP_WA_GB</v>
      </c>
      <c r="B258" s="36" t="s">
        <v>748</v>
      </c>
      <c r="C258" s="36" t="s">
        <v>231</v>
      </c>
      <c r="D258" s="36" t="s">
        <v>250</v>
      </c>
      <c r="E258" s="36" t="s">
        <v>267</v>
      </c>
      <c r="F258" s="36" t="s">
        <v>273</v>
      </c>
      <c r="G258" s="36" t="s">
        <v>292</v>
      </c>
      <c r="H258" s="36" t="s">
        <v>130</v>
      </c>
      <c r="I258" s="55">
        <v>0.29166666666666669</v>
      </c>
      <c r="J258" s="130">
        <v>6.3700000000000007E-2</v>
      </c>
    </row>
    <row r="259" spans="1:10">
      <c r="A259" s="36" t="str">
        <f t="shared" si="5"/>
        <v>HP06_ALL_SSP_WA_GB</v>
      </c>
      <c r="B259" s="36" t="s">
        <v>748</v>
      </c>
      <c r="C259" s="36" t="s">
        <v>231</v>
      </c>
      <c r="D259" s="36" t="s">
        <v>250</v>
      </c>
      <c r="E259" s="36" t="s">
        <v>267</v>
      </c>
      <c r="F259" s="36" t="s">
        <v>273</v>
      </c>
      <c r="G259" s="36" t="s">
        <v>292</v>
      </c>
      <c r="H259" s="36" t="s">
        <v>130</v>
      </c>
      <c r="I259" s="55">
        <v>0.3125</v>
      </c>
      <c r="J259" s="130">
        <v>6.1800000000000001E-2</v>
      </c>
    </row>
    <row r="260" spans="1:10">
      <c r="A260" s="36" t="str">
        <f t="shared" si="5"/>
        <v>HP06_ALL_SSP_WA_GB</v>
      </c>
      <c r="B260" s="36" t="s">
        <v>748</v>
      </c>
      <c r="C260" s="36" t="s">
        <v>231</v>
      </c>
      <c r="D260" s="36" t="s">
        <v>250</v>
      </c>
      <c r="E260" s="36" t="s">
        <v>267</v>
      </c>
      <c r="F260" s="36" t="s">
        <v>273</v>
      </c>
      <c r="G260" s="36" t="s">
        <v>292</v>
      </c>
      <c r="H260" s="36" t="s">
        <v>130</v>
      </c>
      <c r="I260" s="55">
        <v>0.33333333333333331</v>
      </c>
      <c r="J260" s="130">
        <v>5.7799999999999997E-2</v>
      </c>
    </row>
    <row r="261" spans="1:10">
      <c r="A261" s="36" t="str">
        <f t="shared" si="5"/>
        <v>HP06_ALL_SSP_WA_GB</v>
      </c>
      <c r="B261" s="36" t="s">
        <v>748</v>
      </c>
      <c r="C261" s="36" t="s">
        <v>231</v>
      </c>
      <c r="D261" s="36" t="s">
        <v>250</v>
      </c>
      <c r="E261" s="36" t="s">
        <v>267</v>
      </c>
      <c r="F261" s="36" t="s">
        <v>273</v>
      </c>
      <c r="G261" s="36" t="s">
        <v>292</v>
      </c>
      <c r="H261" s="36" t="s">
        <v>130</v>
      </c>
      <c r="I261" s="55">
        <v>0.35416666666666669</v>
      </c>
      <c r="J261" s="130">
        <v>5.2999999999999999E-2</v>
      </c>
    </row>
    <row r="262" spans="1:10">
      <c r="A262" s="36" t="str">
        <f t="shared" si="5"/>
        <v>HP06_ALL_SSP_WA_GB</v>
      </c>
      <c r="B262" s="36" t="s">
        <v>748</v>
      </c>
      <c r="C262" s="36" t="s">
        <v>231</v>
      </c>
      <c r="D262" s="36" t="s">
        <v>250</v>
      </c>
      <c r="E262" s="36" t="s">
        <v>267</v>
      </c>
      <c r="F262" s="36" t="s">
        <v>273</v>
      </c>
      <c r="G262" s="36" t="s">
        <v>292</v>
      </c>
      <c r="H262" s="36" t="s">
        <v>130</v>
      </c>
      <c r="I262" s="55">
        <v>0.375</v>
      </c>
      <c r="J262" s="130">
        <v>4.8099999999999997E-2</v>
      </c>
    </row>
    <row r="263" spans="1:10">
      <c r="A263" s="36" t="str">
        <f t="shared" si="5"/>
        <v>HP06_ALL_SSP_WA_GB</v>
      </c>
      <c r="B263" s="36" t="s">
        <v>748</v>
      </c>
      <c r="C263" s="36" t="s">
        <v>231</v>
      </c>
      <c r="D263" s="36" t="s">
        <v>250</v>
      </c>
      <c r="E263" s="36" t="s">
        <v>267</v>
      </c>
      <c r="F263" s="36" t="s">
        <v>273</v>
      </c>
      <c r="G263" s="36" t="s">
        <v>292</v>
      </c>
      <c r="H263" s="36" t="s">
        <v>130</v>
      </c>
      <c r="I263" s="55">
        <v>0.39583333333333331</v>
      </c>
      <c r="J263" s="130">
        <v>4.41E-2</v>
      </c>
    </row>
    <row r="264" spans="1:10">
      <c r="A264" s="36" t="str">
        <f t="shared" si="5"/>
        <v>HP06_ALL_SSP_WA_GB</v>
      </c>
      <c r="B264" s="36" t="s">
        <v>748</v>
      </c>
      <c r="C264" s="36" t="s">
        <v>231</v>
      </c>
      <c r="D264" s="36" t="s">
        <v>250</v>
      </c>
      <c r="E264" s="36" t="s">
        <v>267</v>
      </c>
      <c r="F264" s="36" t="s">
        <v>273</v>
      </c>
      <c r="G264" s="36" t="s">
        <v>292</v>
      </c>
      <c r="H264" s="36" t="s">
        <v>130</v>
      </c>
      <c r="I264" s="55">
        <v>0.41666666666666669</v>
      </c>
      <c r="J264" s="130">
        <v>4.1000000000000002E-2</v>
      </c>
    </row>
    <row r="265" spans="1:10">
      <c r="A265" s="36" t="str">
        <f t="shared" si="5"/>
        <v>HP06_ALL_SSP_WA_GB</v>
      </c>
      <c r="B265" s="36" t="s">
        <v>748</v>
      </c>
      <c r="C265" s="36" t="s">
        <v>231</v>
      </c>
      <c r="D265" s="36" t="s">
        <v>250</v>
      </c>
      <c r="E265" s="36" t="s">
        <v>267</v>
      </c>
      <c r="F265" s="36" t="s">
        <v>273</v>
      </c>
      <c r="G265" s="36" t="s">
        <v>292</v>
      </c>
      <c r="H265" s="36" t="s">
        <v>130</v>
      </c>
      <c r="I265" s="55">
        <v>0.4375</v>
      </c>
      <c r="J265" s="130">
        <v>3.8899999999999997E-2</v>
      </c>
    </row>
    <row r="266" spans="1:10">
      <c r="A266" s="36" t="str">
        <f t="shared" si="5"/>
        <v>HP06_ALL_SSP_WA_GB</v>
      </c>
      <c r="B266" s="36" t="s">
        <v>748</v>
      </c>
      <c r="C266" s="36" t="s">
        <v>231</v>
      </c>
      <c r="D266" s="36" t="s">
        <v>250</v>
      </c>
      <c r="E266" s="36" t="s">
        <v>267</v>
      </c>
      <c r="F266" s="36" t="s">
        <v>273</v>
      </c>
      <c r="G266" s="36" t="s">
        <v>292</v>
      </c>
      <c r="H266" s="36" t="s">
        <v>130</v>
      </c>
      <c r="I266" s="55">
        <v>0.45833333333333331</v>
      </c>
      <c r="J266" s="130">
        <v>3.73E-2</v>
      </c>
    </row>
    <row r="267" spans="1:10">
      <c r="A267" s="36" t="str">
        <f t="shared" si="5"/>
        <v>HP06_ALL_SSP_WA_GB</v>
      </c>
      <c r="B267" s="36" t="s">
        <v>748</v>
      </c>
      <c r="C267" s="36" t="s">
        <v>231</v>
      </c>
      <c r="D267" s="36" t="s">
        <v>250</v>
      </c>
      <c r="E267" s="36" t="s">
        <v>267</v>
      </c>
      <c r="F267" s="36" t="s">
        <v>273</v>
      </c>
      <c r="G267" s="36" t="s">
        <v>292</v>
      </c>
      <c r="H267" s="36" t="s">
        <v>130</v>
      </c>
      <c r="I267" s="55">
        <v>0.47916666666666669</v>
      </c>
      <c r="J267" s="130">
        <v>3.6499999999999998E-2</v>
      </c>
    </row>
    <row r="268" spans="1:10">
      <c r="A268" s="36" t="str">
        <f t="shared" si="5"/>
        <v>HP06_ALL_SSP_WA_GB</v>
      </c>
      <c r="B268" s="36" t="s">
        <v>748</v>
      </c>
      <c r="C268" s="36" t="s">
        <v>231</v>
      </c>
      <c r="D268" s="36" t="s">
        <v>250</v>
      </c>
      <c r="E268" s="36" t="s">
        <v>267</v>
      </c>
      <c r="F268" s="36" t="s">
        <v>273</v>
      </c>
      <c r="G268" s="36" t="s">
        <v>292</v>
      </c>
      <c r="H268" s="36" t="s">
        <v>130</v>
      </c>
      <c r="I268" s="55">
        <v>0.5</v>
      </c>
      <c r="J268" s="130">
        <v>3.5700000000000003E-2</v>
      </c>
    </row>
    <row r="269" spans="1:10">
      <c r="A269" s="36" t="str">
        <f t="shared" si="5"/>
        <v>HP06_ALL_SSP_WA_GB</v>
      </c>
      <c r="B269" s="36" t="s">
        <v>748</v>
      </c>
      <c r="C269" s="36" t="s">
        <v>231</v>
      </c>
      <c r="D269" s="36" t="s">
        <v>250</v>
      </c>
      <c r="E269" s="36" t="s">
        <v>267</v>
      </c>
      <c r="F269" s="36" t="s">
        <v>273</v>
      </c>
      <c r="G269" s="36" t="s">
        <v>292</v>
      </c>
      <c r="H269" s="36" t="s">
        <v>130</v>
      </c>
      <c r="I269" s="55">
        <v>0.52083333333333337</v>
      </c>
      <c r="J269" s="130">
        <v>3.5499999999999997E-2</v>
      </c>
    </row>
    <row r="270" spans="1:10">
      <c r="A270" s="36" t="str">
        <f t="shared" si="5"/>
        <v>HP06_ALL_SSP_WA_GB</v>
      </c>
      <c r="B270" s="36" t="s">
        <v>748</v>
      </c>
      <c r="C270" s="36" t="s">
        <v>231</v>
      </c>
      <c r="D270" s="36" t="s">
        <v>250</v>
      </c>
      <c r="E270" s="36" t="s">
        <v>267</v>
      </c>
      <c r="F270" s="36" t="s">
        <v>273</v>
      </c>
      <c r="G270" s="36" t="s">
        <v>292</v>
      </c>
      <c r="H270" s="36" t="s">
        <v>130</v>
      </c>
      <c r="I270" s="55">
        <v>0.54166666666666663</v>
      </c>
      <c r="J270" s="130">
        <v>3.5000000000000003E-2</v>
      </c>
    </row>
    <row r="271" spans="1:10">
      <c r="A271" s="36" t="str">
        <f t="shared" si="5"/>
        <v>HP06_ALL_SSP_WA_GB</v>
      </c>
      <c r="B271" s="36" t="s">
        <v>748</v>
      </c>
      <c r="C271" s="36" t="s">
        <v>231</v>
      </c>
      <c r="D271" s="36" t="s">
        <v>250</v>
      </c>
      <c r="E271" s="36" t="s">
        <v>267</v>
      </c>
      <c r="F271" s="36" t="s">
        <v>273</v>
      </c>
      <c r="G271" s="36" t="s">
        <v>292</v>
      </c>
      <c r="H271" s="36" t="s">
        <v>130</v>
      </c>
      <c r="I271" s="55">
        <v>0.5625</v>
      </c>
      <c r="J271" s="130">
        <v>3.5200000000000002E-2</v>
      </c>
    </row>
    <row r="272" spans="1:10">
      <c r="A272" s="36" t="str">
        <f t="shared" si="5"/>
        <v>HP06_ALL_SSP_WA_GB</v>
      </c>
      <c r="B272" s="36" t="s">
        <v>748</v>
      </c>
      <c r="C272" s="36" t="s">
        <v>231</v>
      </c>
      <c r="D272" s="36" t="s">
        <v>250</v>
      </c>
      <c r="E272" s="36" t="s">
        <v>267</v>
      </c>
      <c r="F272" s="36" t="s">
        <v>273</v>
      </c>
      <c r="G272" s="36" t="s">
        <v>292</v>
      </c>
      <c r="H272" s="36" t="s">
        <v>130</v>
      </c>
      <c r="I272" s="55">
        <v>0.58333333333333337</v>
      </c>
      <c r="J272" s="130">
        <v>3.5799999999999998E-2</v>
      </c>
    </row>
    <row r="273" spans="1:10">
      <c r="A273" s="36" t="str">
        <f t="shared" si="5"/>
        <v>HP06_ALL_SSP_WA_GB</v>
      </c>
      <c r="B273" s="36" t="s">
        <v>748</v>
      </c>
      <c r="C273" s="36" t="s">
        <v>231</v>
      </c>
      <c r="D273" s="36" t="s">
        <v>250</v>
      </c>
      <c r="E273" s="36" t="s">
        <v>267</v>
      </c>
      <c r="F273" s="36" t="s">
        <v>273</v>
      </c>
      <c r="G273" s="36" t="s">
        <v>292</v>
      </c>
      <c r="H273" s="36" t="s">
        <v>130</v>
      </c>
      <c r="I273" s="55">
        <v>0.60416666666666663</v>
      </c>
      <c r="J273" s="130">
        <v>3.7999999999999999E-2</v>
      </c>
    </row>
    <row r="274" spans="1:10">
      <c r="A274" s="36" t="str">
        <f t="shared" si="5"/>
        <v>HP06_ALL_SSP_WA_GB</v>
      </c>
      <c r="B274" s="36" t="s">
        <v>748</v>
      </c>
      <c r="C274" s="36" t="s">
        <v>231</v>
      </c>
      <c r="D274" s="36" t="s">
        <v>250</v>
      </c>
      <c r="E274" s="36" t="s">
        <v>267</v>
      </c>
      <c r="F274" s="36" t="s">
        <v>273</v>
      </c>
      <c r="G274" s="36" t="s">
        <v>292</v>
      </c>
      <c r="H274" s="36" t="s">
        <v>130</v>
      </c>
      <c r="I274" s="55">
        <v>0.625</v>
      </c>
      <c r="J274" s="130">
        <v>3.9899999999999998E-2</v>
      </c>
    </row>
    <row r="275" spans="1:10">
      <c r="A275" s="36" t="str">
        <f t="shared" si="5"/>
        <v>HP06_ALL_SSP_WA_GB</v>
      </c>
      <c r="B275" s="36" t="s">
        <v>748</v>
      </c>
      <c r="C275" s="36" t="s">
        <v>231</v>
      </c>
      <c r="D275" s="36" t="s">
        <v>250</v>
      </c>
      <c r="E275" s="36" t="s">
        <v>267</v>
      </c>
      <c r="F275" s="36" t="s">
        <v>273</v>
      </c>
      <c r="G275" s="36" t="s">
        <v>292</v>
      </c>
      <c r="H275" s="36" t="s">
        <v>130</v>
      </c>
      <c r="I275" s="55">
        <v>0.64583333333333337</v>
      </c>
      <c r="J275" s="130">
        <v>4.2599999999999999E-2</v>
      </c>
    </row>
    <row r="276" spans="1:10">
      <c r="A276" s="36" t="str">
        <f t="shared" si="5"/>
        <v>HP06_ALL_SSP_WA_GB</v>
      </c>
      <c r="B276" s="36" t="s">
        <v>748</v>
      </c>
      <c r="C276" s="36" t="s">
        <v>231</v>
      </c>
      <c r="D276" s="36" t="s">
        <v>250</v>
      </c>
      <c r="E276" s="36" t="s">
        <v>267</v>
      </c>
      <c r="F276" s="36" t="s">
        <v>273</v>
      </c>
      <c r="G276" s="36" t="s">
        <v>292</v>
      </c>
      <c r="H276" s="36" t="s">
        <v>130</v>
      </c>
      <c r="I276" s="55">
        <v>0.66666666666666663</v>
      </c>
      <c r="J276" s="130">
        <v>4.4699999999999997E-2</v>
      </c>
    </row>
    <row r="277" spans="1:10">
      <c r="A277" s="36" t="str">
        <f t="shared" si="5"/>
        <v>HP06_ALL_SSP_WA_GB</v>
      </c>
      <c r="B277" s="36" t="s">
        <v>748</v>
      </c>
      <c r="C277" s="36" t="s">
        <v>231</v>
      </c>
      <c r="D277" s="36" t="s">
        <v>250</v>
      </c>
      <c r="E277" s="36" t="s">
        <v>267</v>
      </c>
      <c r="F277" s="36" t="s">
        <v>273</v>
      </c>
      <c r="G277" s="36" t="s">
        <v>292</v>
      </c>
      <c r="H277" s="36" t="s">
        <v>130</v>
      </c>
      <c r="I277" s="55">
        <v>0.6875</v>
      </c>
      <c r="J277" s="130">
        <v>4.7500000000000001E-2</v>
      </c>
    </row>
    <row r="278" spans="1:10">
      <c r="A278" s="36" t="str">
        <f t="shared" si="5"/>
        <v>HP06_ALL_SSP_WA_GB</v>
      </c>
      <c r="B278" s="36" t="s">
        <v>748</v>
      </c>
      <c r="C278" s="36" t="s">
        <v>231</v>
      </c>
      <c r="D278" s="36" t="s">
        <v>250</v>
      </c>
      <c r="E278" s="36" t="s">
        <v>267</v>
      </c>
      <c r="F278" s="36" t="s">
        <v>273</v>
      </c>
      <c r="G278" s="36" t="s">
        <v>292</v>
      </c>
      <c r="H278" s="36" t="s">
        <v>130</v>
      </c>
      <c r="I278" s="55">
        <v>0.70833333333333337</v>
      </c>
      <c r="J278" s="130">
        <v>4.9099999999999998E-2</v>
      </c>
    </row>
    <row r="279" spans="1:10">
      <c r="A279" s="36" t="str">
        <f t="shared" si="5"/>
        <v>HP06_ALL_SSP_WA_GB</v>
      </c>
      <c r="B279" s="36" t="s">
        <v>748</v>
      </c>
      <c r="C279" s="36" t="s">
        <v>231</v>
      </c>
      <c r="D279" s="36" t="s">
        <v>250</v>
      </c>
      <c r="E279" s="36" t="s">
        <v>267</v>
      </c>
      <c r="F279" s="36" t="s">
        <v>273</v>
      </c>
      <c r="G279" s="36" t="s">
        <v>292</v>
      </c>
      <c r="H279" s="36" t="s">
        <v>130</v>
      </c>
      <c r="I279" s="55">
        <v>0.72916666666666663</v>
      </c>
      <c r="J279" s="130">
        <v>5.0200000000000002E-2</v>
      </c>
    </row>
    <row r="280" spans="1:10">
      <c r="A280" s="36" t="str">
        <f t="shared" si="5"/>
        <v>HP06_ALL_SSP_WA_GB</v>
      </c>
      <c r="B280" s="36" t="s">
        <v>748</v>
      </c>
      <c r="C280" s="36" t="s">
        <v>231</v>
      </c>
      <c r="D280" s="36" t="s">
        <v>250</v>
      </c>
      <c r="E280" s="36" t="s">
        <v>267</v>
      </c>
      <c r="F280" s="36" t="s">
        <v>273</v>
      </c>
      <c r="G280" s="36" t="s">
        <v>292</v>
      </c>
      <c r="H280" s="36" t="s">
        <v>130</v>
      </c>
      <c r="I280" s="55">
        <v>0.75</v>
      </c>
      <c r="J280" s="130">
        <v>5.0200000000000002E-2</v>
      </c>
    </row>
    <row r="281" spans="1:10">
      <c r="A281" s="36" t="str">
        <f t="shared" si="5"/>
        <v>HP06_ALL_SSP_WA_GB</v>
      </c>
      <c r="B281" s="36" t="s">
        <v>748</v>
      </c>
      <c r="C281" s="36" t="s">
        <v>231</v>
      </c>
      <c r="D281" s="36" t="s">
        <v>250</v>
      </c>
      <c r="E281" s="36" t="s">
        <v>267</v>
      </c>
      <c r="F281" s="36" t="s">
        <v>273</v>
      </c>
      <c r="G281" s="36" t="s">
        <v>292</v>
      </c>
      <c r="H281" s="36" t="s">
        <v>130</v>
      </c>
      <c r="I281" s="55">
        <v>0.77083333333333337</v>
      </c>
      <c r="J281" s="130">
        <v>5.0099999999999999E-2</v>
      </c>
    </row>
    <row r="282" spans="1:10">
      <c r="A282" s="36" t="str">
        <f t="shared" si="5"/>
        <v>HP06_ALL_SSP_WA_GB</v>
      </c>
      <c r="B282" s="36" t="s">
        <v>748</v>
      </c>
      <c r="C282" s="36" t="s">
        <v>231</v>
      </c>
      <c r="D282" s="36" t="s">
        <v>250</v>
      </c>
      <c r="E282" s="36" t="s">
        <v>267</v>
      </c>
      <c r="F282" s="36" t="s">
        <v>273</v>
      </c>
      <c r="G282" s="36" t="s">
        <v>292</v>
      </c>
      <c r="H282" s="36" t="s">
        <v>130</v>
      </c>
      <c r="I282" s="55">
        <v>0.79166666666666663</v>
      </c>
      <c r="J282" s="130">
        <v>4.9299999999999997E-2</v>
      </c>
    </row>
    <row r="283" spans="1:10">
      <c r="A283" s="36" t="str">
        <f t="shared" si="5"/>
        <v>HP06_ALL_SSP_WA_GB</v>
      </c>
      <c r="B283" s="36" t="s">
        <v>748</v>
      </c>
      <c r="C283" s="36" t="s">
        <v>231</v>
      </c>
      <c r="D283" s="36" t="s">
        <v>250</v>
      </c>
      <c r="E283" s="36" t="s">
        <v>267</v>
      </c>
      <c r="F283" s="36" t="s">
        <v>273</v>
      </c>
      <c r="G283" s="36" t="s">
        <v>292</v>
      </c>
      <c r="H283" s="36" t="s">
        <v>130</v>
      </c>
      <c r="I283" s="55">
        <v>0.8125</v>
      </c>
      <c r="J283" s="130">
        <v>4.7899999999999998E-2</v>
      </c>
    </row>
    <row r="284" spans="1:10">
      <c r="A284" s="36" t="str">
        <f t="shared" si="5"/>
        <v>HP06_ALL_SSP_WA_GB</v>
      </c>
      <c r="B284" s="36" t="s">
        <v>748</v>
      </c>
      <c r="C284" s="36" t="s">
        <v>231</v>
      </c>
      <c r="D284" s="36" t="s">
        <v>250</v>
      </c>
      <c r="E284" s="36" t="s">
        <v>267</v>
      </c>
      <c r="F284" s="36" t="s">
        <v>273</v>
      </c>
      <c r="G284" s="36" t="s">
        <v>292</v>
      </c>
      <c r="H284" s="36" t="s">
        <v>130</v>
      </c>
      <c r="I284" s="55">
        <v>0.83333333333333337</v>
      </c>
      <c r="J284" s="130">
        <v>4.5999999999999999E-2</v>
      </c>
    </row>
    <row r="285" spans="1:10">
      <c r="A285" s="36" t="str">
        <f t="shared" si="5"/>
        <v>HP06_ALL_SSP_WA_GB</v>
      </c>
      <c r="B285" s="36" t="s">
        <v>748</v>
      </c>
      <c r="C285" s="36" t="s">
        <v>231</v>
      </c>
      <c r="D285" s="36" t="s">
        <v>250</v>
      </c>
      <c r="E285" s="36" t="s">
        <v>267</v>
      </c>
      <c r="F285" s="36" t="s">
        <v>273</v>
      </c>
      <c r="G285" s="36" t="s">
        <v>292</v>
      </c>
      <c r="H285" s="36" t="s">
        <v>130</v>
      </c>
      <c r="I285" s="55">
        <v>0.85416666666666663</v>
      </c>
      <c r="J285" s="130">
        <v>4.3099999999999999E-2</v>
      </c>
    </row>
    <row r="286" spans="1:10">
      <c r="A286" s="36" t="str">
        <f t="shared" si="5"/>
        <v>HP06_ALL_SSP_WA_GB</v>
      </c>
      <c r="B286" s="36" t="s">
        <v>748</v>
      </c>
      <c r="C286" s="36" t="s">
        <v>231</v>
      </c>
      <c r="D286" s="36" t="s">
        <v>250</v>
      </c>
      <c r="E286" s="36" t="s">
        <v>267</v>
      </c>
      <c r="F286" s="36" t="s">
        <v>273</v>
      </c>
      <c r="G286" s="36" t="s">
        <v>292</v>
      </c>
      <c r="H286" s="36" t="s">
        <v>130</v>
      </c>
      <c r="I286" s="55">
        <v>0.875</v>
      </c>
      <c r="J286" s="130">
        <v>3.9600000000000003E-2</v>
      </c>
    </row>
    <row r="287" spans="1:10">
      <c r="A287" s="36" t="str">
        <f t="shared" si="5"/>
        <v>HP06_ALL_SSP_WA_GB</v>
      </c>
      <c r="B287" s="36" t="s">
        <v>748</v>
      </c>
      <c r="C287" s="36" t="s">
        <v>231</v>
      </c>
      <c r="D287" s="36" t="s">
        <v>250</v>
      </c>
      <c r="E287" s="36" t="s">
        <v>267</v>
      </c>
      <c r="F287" s="36" t="s">
        <v>273</v>
      </c>
      <c r="G287" s="36" t="s">
        <v>292</v>
      </c>
      <c r="H287" s="36" t="s">
        <v>130</v>
      </c>
      <c r="I287" s="55">
        <v>0.89583333333333337</v>
      </c>
      <c r="J287" s="130">
        <v>3.4799999999999998E-2</v>
      </c>
    </row>
    <row r="288" spans="1:10">
      <c r="A288" s="36" t="str">
        <f t="shared" si="5"/>
        <v>HP06_ALL_SSP_WA_GB</v>
      </c>
      <c r="B288" s="36" t="s">
        <v>748</v>
      </c>
      <c r="C288" s="36" t="s">
        <v>231</v>
      </c>
      <c r="D288" s="36" t="s">
        <v>250</v>
      </c>
      <c r="E288" s="36" t="s">
        <v>267</v>
      </c>
      <c r="F288" s="36" t="s">
        <v>273</v>
      </c>
      <c r="G288" s="36" t="s">
        <v>292</v>
      </c>
      <c r="H288" s="36" t="s">
        <v>130</v>
      </c>
      <c r="I288" s="55">
        <v>0.91666666666666663</v>
      </c>
      <c r="J288" s="130">
        <v>3.04E-2</v>
      </c>
    </row>
    <row r="289" spans="1:10">
      <c r="A289" s="36" t="str">
        <f t="shared" si="5"/>
        <v>HP06_ALL_SSP_WA_GB</v>
      </c>
      <c r="B289" s="36" t="s">
        <v>748</v>
      </c>
      <c r="C289" s="36" t="s">
        <v>231</v>
      </c>
      <c r="D289" s="36" t="s">
        <v>250</v>
      </c>
      <c r="E289" s="36" t="s">
        <v>267</v>
      </c>
      <c r="F289" s="36" t="s">
        <v>273</v>
      </c>
      <c r="G289" s="36" t="s">
        <v>292</v>
      </c>
      <c r="H289" s="36" t="s">
        <v>130</v>
      </c>
      <c r="I289" s="55">
        <v>0.9375</v>
      </c>
      <c r="J289" s="130">
        <v>2.6599999999999999E-2</v>
      </c>
    </row>
    <row r="290" spans="1:10">
      <c r="A290" s="36" t="str">
        <f t="shared" si="5"/>
        <v>HP06_ALL_SSP_WA_GB</v>
      </c>
      <c r="B290" s="36" t="s">
        <v>748</v>
      </c>
      <c r="C290" s="36" t="s">
        <v>231</v>
      </c>
      <c r="D290" s="36" t="s">
        <v>250</v>
      </c>
      <c r="E290" s="36" t="s">
        <v>267</v>
      </c>
      <c r="F290" s="36" t="s">
        <v>273</v>
      </c>
      <c r="G290" s="36" t="s">
        <v>292</v>
      </c>
      <c r="H290" s="36" t="s">
        <v>130</v>
      </c>
      <c r="I290" s="55">
        <v>0.95833333333333337</v>
      </c>
      <c r="J290" s="130">
        <v>2.47E-2</v>
      </c>
    </row>
    <row r="291" spans="1:10">
      <c r="A291" s="36" t="str">
        <f t="shared" si="5"/>
        <v>HP06_ALL_SSP_WA_GB</v>
      </c>
      <c r="B291" s="36" t="s">
        <v>748</v>
      </c>
      <c r="C291" s="36" t="s">
        <v>231</v>
      </c>
      <c r="D291" s="36" t="s">
        <v>250</v>
      </c>
      <c r="E291" s="36" t="s">
        <v>267</v>
      </c>
      <c r="F291" s="36" t="s">
        <v>273</v>
      </c>
      <c r="G291" s="36" t="s">
        <v>292</v>
      </c>
      <c r="H291" s="36" t="s">
        <v>130</v>
      </c>
      <c r="I291" s="55">
        <v>0.97916666666666663</v>
      </c>
      <c r="J291" s="130">
        <v>2.41E-2</v>
      </c>
    </row>
    <row r="292" spans="1:10">
      <c r="A292" s="36" t="str">
        <f t="shared" ref="A292:A355" si="6">_xlfn.CONCAT("HP06_",INDEX(dwelling_categories_short,MATCH(E292,dwelling_categories,0)),"_",INDEX(rep_days_short,MATCH(F292,rep_days,0)),"_",INDEX(HP_behaviours_short,MATCH(G292,HP_behaviours,0)),"_",H292)</f>
        <v>HP06_ALL_SSP_BHV2_GB</v>
      </c>
      <c r="B292" s="36" t="s">
        <v>748</v>
      </c>
      <c r="C292" s="36" t="s">
        <v>231</v>
      </c>
      <c r="D292" s="36" t="s">
        <v>250</v>
      </c>
      <c r="E292" s="36" t="s">
        <v>267</v>
      </c>
      <c r="F292" s="36" t="s">
        <v>273</v>
      </c>
      <c r="G292" s="36" t="s">
        <v>253</v>
      </c>
      <c r="H292" s="36" t="s">
        <v>130</v>
      </c>
      <c r="I292" s="55">
        <v>0</v>
      </c>
      <c r="J292" s="130">
        <v>1.9400000000000001E-2</v>
      </c>
    </row>
    <row r="293" spans="1:10">
      <c r="A293" s="36" t="str">
        <f t="shared" si="6"/>
        <v>HP06_ALL_SSP_BHV2_GB</v>
      </c>
      <c r="B293" s="36" t="s">
        <v>748</v>
      </c>
      <c r="C293" s="36" t="s">
        <v>231</v>
      </c>
      <c r="D293" s="36" t="s">
        <v>250</v>
      </c>
      <c r="E293" s="36" t="s">
        <v>267</v>
      </c>
      <c r="F293" s="36" t="s">
        <v>273</v>
      </c>
      <c r="G293" s="36" t="s">
        <v>253</v>
      </c>
      <c r="H293" s="36" t="s">
        <v>130</v>
      </c>
      <c r="I293" s="55">
        <v>2.0833333333333332E-2</v>
      </c>
      <c r="J293" s="130">
        <v>1.9900000000000001E-2</v>
      </c>
    </row>
    <row r="294" spans="1:10">
      <c r="A294" s="36" t="str">
        <f t="shared" si="6"/>
        <v>HP06_ALL_SSP_BHV2_GB</v>
      </c>
      <c r="B294" s="36" t="s">
        <v>748</v>
      </c>
      <c r="C294" s="36" t="s">
        <v>231</v>
      </c>
      <c r="D294" s="36" t="s">
        <v>250</v>
      </c>
      <c r="E294" s="36" t="s">
        <v>267</v>
      </c>
      <c r="F294" s="36" t="s">
        <v>273</v>
      </c>
      <c r="G294" s="36" t="s">
        <v>253</v>
      </c>
      <c r="H294" s="36" t="s">
        <v>130</v>
      </c>
      <c r="I294" s="55">
        <v>4.1666666666666664E-2</v>
      </c>
      <c r="J294" s="130">
        <v>2.1000000000000001E-2</v>
      </c>
    </row>
    <row r="295" spans="1:10">
      <c r="A295" s="36" t="str">
        <f t="shared" si="6"/>
        <v>HP06_ALL_SSP_BHV2_GB</v>
      </c>
      <c r="B295" s="36" t="s">
        <v>748</v>
      </c>
      <c r="C295" s="36" t="s">
        <v>231</v>
      </c>
      <c r="D295" s="36" t="s">
        <v>250</v>
      </c>
      <c r="E295" s="36" t="s">
        <v>267</v>
      </c>
      <c r="F295" s="36" t="s">
        <v>273</v>
      </c>
      <c r="G295" s="36" t="s">
        <v>253</v>
      </c>
      <c r="H295" s="36" t="s">
        <v>130</v>
      </c>
      <c r="I295" s="55">
        <v>6.25E-2</v>
      </c>
      <c r="J295" s="130">
        <v>2.23E-2</v>
      </c>
    </row>
    <row r="296" spans="1:10">
      <c r="A296" s="36" t="str">
        <f t="shared" si="6"/>
        <v>HP06_ALL_SSP_BHV2_GB</v>
      </c>
      <c r="B296" s="36" t="s">
        <v>748</v>
      </c>
      <c r="C296" s="36" t="s">
        <v>231</v>
      </c>
      <c r="D296" s="36" t="s">
        <v>250</v>
      </c>
      <c r="E296" s="36" t="s">
        <v>267</v>
      </c>
      <c r="F296" s="36" t="s">
        <v>273</v>
      </c>
      <c r="G296" s="36" t="s">
        <v>253</v>
      </c>
      <c r="H296" s="36" t="s">
        <v>130</v>
      </c>
      <c r="I296" s="55">
        <v>8.3333333333333329E-2</v>
      </c>
      <c r="J296" s="130">
        <v>2.35E-2</v>
      </c>
    </row>
    <row r="297" spans="1:10">
      <c r="A297" s="36" t="str">
        <f t="shared" si="6"/>
        <v>HP06_ALL_SSP_BHV2_GB</v>
      </c>
      <c r="B297" s="36" t="s">
        <v>748</v>
      </c>
      <c r="C297" s="36" t="s">
        <v>231</v>
      </c>
      <c r="D297" s="36" t="s">
        <v>250</v>
      </c>
      <c r="E297" s="36" t="s">
        <v>267</v>
      </c>
      <c r="F297" s="36" t="s">
        <v>273</v>
      </c>
      <c r="G297" s="36" t="s">
        <v>253</v>
      </c>
      <c r="H297" s="36" t="s">
        <v>130</v>
      </c>
      <c r="I297" s="55">
        <v>0.10416666666666667</v>
      </c>
      <c r="J297" s="130">
        <v>2.5700000000000001E-2</v>
      </c>
    </row>
    <row r="298" spans="1:10">
      <c r="A298" s="36" t="str">
        <f t="shared" si="6"/>
        <v>HP06_ALL_SSP_BHV2_GB</v>
      </c>
      <c r="B298" s="36" t="s">
        <v>748</v>
      </c>
      <c r="C298" s="36" t="s">
        <v>231</v>
      </c>
      <c r="D298" s="36" t="s">
        <v>250</v>
      </c>
      <c r="E298" s="36" t="s">
        <v>267</v>
      </c>
      <c r="F298" s="36" t="s">
        <v>273</v>
      </c>
      <c r="G298" s="36" t="s">
        <v>253</v>
      </c>
      <c r="H298" s="36" t="s">
        <v>130</v>
      </c>
      <c r="I298" s="55">
        <v>0.125</v>
      </c>
      <c r="J298" s="130">
        <v>2.7300000000000001E-2</v>
      </c>
    </row>
    <row r="299" spans="1:10">
      <c r="A299" s="36" t="str">
        <f t="shared" si="6"/>
        <v>HP06_ALL_SSP_BHV2_GB</v>
      </c>
      <c r="B299" s="36" t="s">
        <v>748</v>
      </c>
      <c r="C299" s="36" t="s">
        <v>231</v>
      </c>
      <c r="D299" s="36" t="s">
        <v>250</v>
      </c>
      <c r="E299" s="36" t="s">
        <v>267</v>
      </c>
      <c r="F299" s="36" t="s">
        <v>273</v>
      </c>
      <c r="G299" s="36" t="s">
        <v>253</v>
      </c>
      <c r="H299" s="36" t="s">
        <v>130</v>
      </c>
      <c r="I299" s="55">
        <v>0.14583333333333334</v>
      </c>
      <c r="J299" s="130">
        <v>2.98E-2</v>
      </c>
    </row>
    <row r="300" spans="1:10">
      <c r="A300" s="36" t="str">
        <f t="shared" si="6"/>
        <v>HP06_ALL_SSP_BHV2_GB</v>
      </c>
      <c r="B300" s="36" t="s">
        <v>748</v>
      </c>
      <c r="C300" s="36" t="s">
        <v>231</v>
      </c>
      <c r="D300" s="36" t="s">
        <v>250</v>
      </c>
      <c r="E300" s="36" t="s">
        <v>267</v>
      </c>
      <c r="F300" s="36" t="s">
        <v>273</v>
      </c>
      <c r="G300" s="36" t="s">
        <v>253</v>
      </c>
      <c r="H300" s="36" t="s">
        <v>130</v>
      </c>
      <c r="I300" s="55">
        <v>0.16666666666666666</v>
      </c>
      <c r="J300" s="130">
        <v>3.1399999999999997E-2</v>
      </c>
    </row>
    <row r="301" spans="1:10">
      <c r="A301" s="36" t="str">
        <f t="shared" si="6"/>
        <v>HP06_ALL_SSP_BHV2_GB</v>
      </c>
      <c r="B301" s="36" t="s">
        <v>748</v>
      </c>
      <c r="C301" s="36" t="s">
        <v>231</v>
      </c>
      <c r="D301" s="36" t="s">
        <v>250</v>
      </c>
      <c r="E301" s="36" t="s">
        <v>267</v>
      </c>
      <c r="F301" s="36" t="s">
        <v>273</v>
      </c>
      <c r="G301" s="36" t="s">
        <v>253</v>
      </c>
      <c r="H301" s="36" t="s">
        <v>130</v>
      </c>
      <c r="I301" s="55">
        <v>0.1875</v>
      </c>
      <c r="J301" s="130">
        <v>3.5999999999999997E-2</v>
      </c>
    </row>
    <row r="302" spans="1:10">
      <c r="A302" s="36" t="str">
        <f t="shared" si="6"/>
        <v>HP06_ALL_SSP_BHV2_GB</v>
      </c>
      <c r="B302" s="36" t="s">
        <v>748</v>
      </c>
      <c r="C302" s="36" t="s">
        <v>231</v>
      </c>
      <c r="D302" s="36" t="s">
        <v>250</v>
      </c>
      <c r="E302" s="36" t="s">
        <v>267</v>
      </c>
      <c r="F302" s="36" t="s">
        <v>273</v>
      </c>
      <c r="G302" s="36" t="s">
        <v>253</v>
      </c>
      <c r="H302" s="36" t="s">
        <v>130</v>
      </c>
      <c r="I302" s="55">
        <v>0.20833333333333334</v>
      </c>
      <c r="J302" s="130">
        <v>4.1000000000000002E-2</v>
      </c>
    </row>
    <row r="303" spans="1:10">
      <c r="A303" s="36" t="str">
        <f t="shared" si="6"/>
        <v>HP06_ALL_SSP_BHV2_GB</v>
      </c>
      <c r="B303" s="36" t="s">
        <v>748</v>
      </c>
      <c r="C303" s="36" t="s">
        <v>231</v>
      </c>
      <c r="D303" s="36" t="s">
        <v>250</v>
      </c>
      <c r="E303" s="36" t="s">
        <v>267</v>
      </c>
      <c r="F303" s="36" t="s">
        <v>273</v>
      </c>
      <c r="G303" s="36" t="s">
        <v>253</v>
      </c>
      <c r="H303" s="36" t="s">
        <v>130</v>
      </c>
      <c r="I303" s="55">
        <v>0.22916666666666666</v>
      </c>
      <c r="J303" s="130">
        <v>5.0700000000000002E-2</v>
      </c>
    </row>
    <row r="304" spans="1:10">
      <c r="A304" s="36" t="str">
        <f t="shared" si="6"/>
        <v>HP06_ALL_SSP_BHV2_GB</v>
      </c>
      <c r="B304" s="36" t="s">
        <v>748</v>
      </c>
      <c r="C304" s="36" t="s">
        <v>231</v>
      </c>
      <c r="D304" s="36" t="s">
        <v>250</v>
      </c>
      <c r="E304" s="36" t="s">
        <v>267</v>
      </c>
      <c r="F304" s="36" t="s">
        <v>273</v>
      </c>
      <c r="G304" s="36" t="s">
        <v>253</v>
      </c>
      <c r="H304" s="36" t="s">
        <v>130</v>
      </c>
      <c r="I304" s="55">
        <v>0.25</v>
      </c>
      <c r="J304" s="130">
        <v>5.8799999999999998E-2</v>
      </c>
    </row>
    <row r="305" spans="1:10">
      <c r="A305" s="36" t="str">
        <f t="shared" si="6"/>
        <v>HP06_ALL_SSP_BHV2_GB</v>
      </c>
      <c r="B305" s="36" t="s">
        <v>748</v>
      </c>
      <c r="C305" s="36" t="s">
        <v>231</v>
      </c>
      <c r="D305" s="36" t="s">
        <v>250</v>
      </c>
      <c r="E305" s="36" t="s">
        <v>267</v>
      </c>
      <c r="F305" s="36" t="s">
        <v>273</v>
      </c>
      <c r="G305" s="36" t="s">
        <v>253</v>
      </c>
      <c r="H305" s="36" t="s">
        <v>130</v>
      </c>
      <c r="I305" s="55">
        <v>0.27083333333333331</v>
      </c>
      <c r="J305" s="130">
        <v>6.7400000000000002E-2</v>
      </c>
    </row>
    <row r="306" spans="1:10">
      <c r="A306" s="36" t="str">
        <f t="shared" si="6"/>
        <v>HP06_ALL_SSP_BHV2_GB</v>
      </c>
      <c r="B306" s="36" t="s">
        <v>748</v>
      </c>
      <c r="C306" s="36" t="s">
        <v>231</v>
      </c>
      <c r="D306" s="36" t="s">
        <v>250</v>
      </c>
      <c r="E306" s="36" t="s">
        <v>267</v>
      </c>
      <c r="F306" s="36" t="s">
        <v>273</v>
      </c>
      <c r="G306" s="36" t="s">
        <v>253</v>
      </c>
      <c r="H306" s="36" t="s">
        <v>130</v>
      </c>
      <c r="I306" s="55">
        <v>0.29166666666666669</v>
      </c>
      <c r="J306" s="130">
        <v>7.1499999999999994E-2</v>
      </c>
    </row>
    <row r="307" spans="1:10">
      <c r="A307" s="36" t="str">
        <f t="shared" si="6"/>
        <v>HP06_ALL_SSP_BHV2_GB</v>
      </c>
      <c r="B307" s="36" t="s">
        <v>748</v>
      </c>
      <c r="C307" s="36" t="s">
        <v>231</v>
      </c>
      <c r="D307" s="36" t="s">
        <v>250</v>
      </c>
      <c r="E307" s="36" t="s">
        <v>267</v>
      </c>
      <c r="F307" s="36" t="s">
        <v>273</v>
      </c>
      <c r="G307" s="36" t="s">
        <v>253</v>
      </c>
      <c r="H307" s="36" t="s">
        <v>130</v>
      </c>
      <c r="I307" s="55">
        <v>0.3125</v>
      </c>
      <c r="J307" s="130">
        <v>7.4200000000000002E-2</v>
      </c>
    </row>
    <row r="308" spans="1:10">
      <c r="A308" s="36" t="str">
        <f t="shared" si="6"/>
        <v>HP06_ALL_SSP_BHV2_GB</v>
      </c>
      <c r="B308" s="36" t="s">
        <v>748</v>
      </c>
      <c r="C308" s="36" t="s">
        <v>231</v>
      </c>
      <c r="D308" s="36" t="s">
        <v>250</v>
      </c>
      <c r="E308" s="36" t="s">
        <v>267</v>
      </c>
      <c r="F308" s="36" t="s">
        <v>273</v>
      </c>
      <c r="G308" s="36" t="s">
        <v>253</v>
      </c>
      <c r="H308" s="36" t="s">
        <v>130</v>
      </c>
      <c r="I308" s="55">
        <v>0.33333333333333331</v>
      </c>
      <c r="J308" s="130">
        <v>7.3499999999999996E-2</v>
      </c>
    </row>
    <row r="309" spans="1:10">
      <c r="A309" s="36" t="str">
        <f t="shared" si="6"/>
        <v>HP06_ALL_SSP_BHV2_GB</v>
      </c>
      <c r="B309" s="36" t="s">
        <v>748</v>
      </c>
      <c r="C309" s="36" t="s">
        <v>231</v>
      </c>
      <c r="D309" s="36" t="s">
        <v>250</v>
      </c>
      <c r="E309" s="36" t="s">
        <v>267</v>
      </c>
      <c r="F309" s="36" t="s">
        <v>273</v>
      </c>
      <c r="G309" s="36" t="s">
        <v>253</v>
      </c>
      <c r="H309" s="36" t="s">
        <v>130</v>
      </c>
      <c r="I309" s="55">
        <v>0.35416666666666669</v>
      </c>
      <c r="J309" s="130">
        <v>7.0999999999999994E-2</v>
      </c>
    </row>
    <row r="310" spans="1:10">
      <c r="A310" s="36" t="str">
        <f t="shared" si="6"/>
        <v>HP06_ALL_SSP_BHV2_GB</v>
      </c>
      <c r="B310" s="36" t="s">
        <v>748</v>
      </c>
      <c r="C310" s="36" t="s">
        <v>231</v>
      </c>
      <c r="D310" s="36" t="s">
        <v>250</v>
      </c>
      <c r="E310" s="36" t="s">
        <v>267</v>
      </c>
      <c r="F310" s="36" t="s">
        <v>273</v>
      </c>
      <c r="G310" s="36" t="s">
        <v>253</v>
      </c>
      <c r="H310" s="36" t="s">
        <v>130</v>
      </c>
      <c r="I310" s="55">
        <v>0.375</v>
      </c>
      <c r="J310" s="130">
        <v>6.6799999999999998E-2</v>
      </c>
    </row>
    <row r="311" spans="1:10">
      <c r="A311" s="36" t="str">
        <f t="shared" si="6"/>
        <v>HP06_ALL_SSP_BHV2_GB</v>
      </c>
      <c r="B311" s="36" t="s">
        <v>748</v>
      </c>
      <c r="C311" s="36" t="s">
        <v>231</v>
      </c>
      <c r="D311" s="36" t="s">
        <v>250</v>
      </c>
      <c r="E311" s="36" t="s">
        <v>267</v>
      </c>
      <c r="F311" s="36" t="s">
        <v>273</v>
      </c>
      <c r="G311" s="36" t="s">
        <v>253</v>
      </c>
      <c r="H311" s="36" t="s">
        <v>130</v>
      </c>
      <c r="I311" s="55">
        <v>0.39583333333333331</v>
      </c>
      <c r="J311" s="130">
        <v>6.2799999999999995E-2</v>
      </c>
    </row>
    <row r="312" spans="1:10">
      <c r="A312" s="36" t="str">
        <f t="shared" si="6"/>
        <v>HP06_ALL_SSP_BHV2_GB</v>
      </c>
      <c r="B312" s="36" t="s">
        <v>748</v>
      </c>
      <c r="C312" s="36" t="s">
        <v>231</v>
      </c>
      <c r="D312" s="36" t="s">
        <v>250</v>
      </c>
      <c r="E312" s="36" t="s">
        <v>267</v>
      </c>
      <c r="F312" s="36" t="s">
        <v>273</v>
      </c>
      <c r="G312" s="36" t="s">
        <v>253</v>
      </c>
      <c r="H312" s="36" t="s">
        <v>130</v>
      </c>
      <c r="I312" s="55">
        <v>0.41666666666666669</v>
      </c>
      <c r="J312" s="130">
        <v>5.8700000000000002E-2</v>
      </c>
    </row>
    <row r="313" spans="1:10">
      <c r="A313" s="36" t="str">
        <f t="shared" si="6"/>
        <v>HP06_ALL_SSP_BHV2_GB</v>
      </c>
      <c r="B313" s="36" t="s">
        <v>748</v>
      </c>
      <c r="C313" s="36" t="s">
        <v>231</v>
      </c>
      <c r="D313" s="36" t="s">
        <v>250</v>
      </c>
      <c r="E313" s="36" t="s">
        <v>267</v>
      </c>
      <c r="F313" s="36" t="s">
        <v>273</v>
      </c>
      <c r="G313" s="36" t="s">
        <v>253</v>
      </c>
      <c r="H313" s="36" t="s">
        <v>130</v>
      </c>
      <c r="I313" s="55">
        <v>0.4375</v>
      </c>
      <c r="J313" s="130">
        <v>5.5399999999999998E-2</v>
      </c>
    </row>
    <row r="314" spans="1:10">
      <c r="A314" s="36" t="str">
        <f t="shared" si="6"/>
        <v>HP06_ALL_SSP_BHV2_GB</v>
      </c>
      <c r="B314" s="36" t="s">
        <v>748</v>
      </c>
      <c r="C314" s="36" t="s">
        <v>231</v>
      </c>
      <c r="D314" s="36" t="s">
        <v>250</v>
      </c>
      <c r="E314" s="36" t="s">
        <v>267</v>
      </c>
      <c r="F314" s="36" t="s">
        <v>273</v>
      </c>
      <c r="G314" s="36" t="s">
        <v>253</v>
      </c>
      <c r="H314" s="36" t="s">
        <v>130</v>
      </c>
      <c r="I314" s="55">
        <v>0.45833333333333331</v>
      </c>
      <c r="J314" s="130">
        <v>5.2400000000000002E-2</v>
      </c>
    </row>
    <row r="315" spans="1:10">
      <c r="A315" s="36" t="str">
        <f t="shared" si="6"/>
        <v>HP06_ALL_SSP_BHV2_GB</v>
      </c>
      <c r="B315" s="36" t="s">
        <v>748</v>
      </c>
      <c r="C315" s="36" t="s">
        <v>231</v>
      </c>
      <c r="D315" s="36" t="s">
        <v>250</v>
      </c>
      <c r="E315" s="36" t="s">
        <v>267</v>
      </c>
      <c r="F315" s="36" t="s">
        <v>273</v>
      </c>
      <c r="G315" s="36" t="s">
        <v>253</v>
      </c>
      <c r="H315" s="36" t="s">
        <v>130</v>
      </c>
      <c r="I315" s="55">
        <v>0.47916666666666669</v>
      </c>
      <c r="J315" s="130">
        <v>5.0599999999999999E-2</v>
      </c>
    </row>
    <row r="316" spans="1:10">
      <c r="A316" s="36" t="str">
        <f t="shared" si="6"/>
        <v>HP06_ALL_SSP_BHV2_GB</v>
      </c>
      <c r="B316" s="36" t="s">
        <v>748</v>
      </c>
      <c r="C316" s="36" t="s">
        <v>231</v>
      </c>
      <c r="D316" s="36" t="s">
        <v>250</v>
      </c>
      <c r="E316" s="36" t="s">
        <v>267</v>
      </c>
      <c r="F316" s="36" t="s">
        <v>273</v>
      </c>
      <c r="G316" s="36" t="s">
        <v>253</v>
      </c>
      <c r="H316" s="36" t="s">
        <v>130</v>
      </c>
      <c r="I316" s="55">
        <v>0.5</v>
      </c>
      <c r="J316" s="130">
        <v>4.8800000000000003E-2</v>
      </c>
    </row>
    <row r="317" spans="1:10">
      <c r="A317" s="36" t="str">
        <f t="shared" si="6"/>
        <v>HP06_ALL_SSP_BHV2_GB</v>
      </c>
      <c r="B317" s="36" t="s">
        <v>748</v>
      </c>
      <c r="C317" s="36" t="s">
        <v>231</v>
      </c>
      <c r="D317" s="36" t="s">
        <v>250</v>
      </c>
      <c r="E317" s="36" t="s">
        <v>267</v>
      </c>
      <c r="F317" s="36" t="s">
        <v>273</v>
      </c>
      <c r="G317" s="36" t="s">
        <v>253</v>
      </c>
      <c r="H317" s="36" t="s">
        <v>130</v>
      </c>
      <c r="I317" s="55">
        <v>0.52083333333333337</v>
      </c>
      <c r="J317" s="130">
        <v>4.7500000000000001E-2</v>
      </c>
    </row>
    <row r="318" spans="1:10">
      <c r="A318" s="36" t="str">
        <f t="shared" si="6"/>
        <v>HP06_ALL_SSP_BHV2_GB</v>
      </c>
      <c r="B318" s="36" t="s">
        <v>748</v>
      </c>
      <c r="C318" s="36" t="s">
        <v>231</v>
      </c>
      <c r="D318" s="36" t="s">
        <v>250</v>
      </c>
      <c r="E318" s="36" t="s">
        <v>267</v>
      </c>
      <c r="F318" s="36" t="s">
        <v>273</v>
      </c>
      <c r="G318" s="36" t="s">
        <v>253</v>
      </c>
      <c r="H318" s="36" t="s">
        <v>130</v>
      </c>
      <c r="I318" s="55">
        <v>0.54166666666666663</v>
      </c>
      <c r="J318" s="130">
        <v>4.5699999999999998E-2</v>
      </c>
    </row>
    <row r="319" spans="1:10">
      <c r="A319" s="36" t="str">
        <f t="shared" si="6"/>
        <v>HP06_ALL_SSP_BHV2_GB</v>
      </c>
      <c r="B319" s="36" t="s">
        <v>748</v>
      </c>
      <c r="C319" s="36" t="s">
        <v>231</v>
      </c>
      <c r="D319" s="36" t="s">
        <v>250</v>
      </c>
      <c r="E319" s="36" t="s">
        <v>267</v>
      </c>
      <c r="F319" s="36" t="s">
        <v>273</v>
      </c>
      <c r="G319" s="36" t="s">
        <v>253</v>
      </c>
      <c r="H319" s="36" t="s">
        <v>130</v>
      </c>
      <c r="I319" s="55">
        <v>0.5625</v>
      </c>
      <c r="J319" s="130">
        <v>4.4400000000000002E-2</v>
      </c>
    </row>
    <row r="320" spans="1:10">
      <c r="A320" s="36" t="str">
        <f t="shared" si="6"/>
        <v>HP06_ALL_SSP_BHV2_GB</v>
      </c>
      <c r="B320" s="36" t="s">
        <v>748</v>
      </c>
      <c r="C320" s="36" t="s">
        <v>231</v>
      </c>
      <c r="D320" s="36" t="s">
        <v>250</v>
      </c>
      <c r="E320" s="36" t="s">
        <v>267</v>
      </c>
      <c r="F320" s="36" t="s">
        <v>273</v>
      </c>
      <c r="G320" s="36" t="s">
        <v>253</v>
      </c>
      <c r="H320" s="36" t="s">
        <v>130</v>
      </c>
      <c r="I320" s="55">
        <v>0.58333333333333337</v>
      </c>
      <c r="J320" s="130">
        <v>4.3200000000000002E-2</v>
      </c>
    </row>
    <row r="321" spans="1:10">
      <c r="A321" s="36" t="str">
        <f t="shared" si="6"/>
        <v>HP06_ALL_SSP_BHV2_GB</v>
      </c>
      <c r="B321" s="36" t="s">
        <v>748</v>
      </c>
      <c r="C321" s="36" t="s">
        <v>231</v>
      </c>
      <c r="D321" s="36" t="s">
        <v>250</v>
      </c>
      <c r="E321" s="36" t="s">
        <v>267</v>
      </c>
      <c r="F321" s="36" t="s">
        <v>273</v>
      </c>
      <c r="G321" s="36" t="s">
        <v>253</v>
      </c>
      <c r="H321" s="36" t="s">
        <v>130</v>
      </c>
      <c r="I321" s="55">
        <v>0.60416666666666663</v>
      </c>
      <c r="J321" s="130">
        <v>4.2999999999999997E-2</v>
      </c>
    </row>
    <row r="322" spans="1:10">
      <c r="A322" s="36" t="str">
        <f t="shared" si="6"/>
        <v>HP06_ALL_SSP_BHV2_GB</v>
      </c>
      <c r="B322" s="36" t="s">
        <v>748</v>
      </c>
      <c r="C322" s="36" t="s">
        <v>231</v>
      </c>
      <c r="D322" s="36" t="s">
        <v>250</v>
      </c>
      <c r="E322" s="36" t="s">
        <v>267</v>
      </c>
      <c r="F322" s="36" t="s">
        <v>273</v>
      </c>
      <c r="G322" s="36" t="s">
        <v>253</v>
      </c>
      <c r="H322" s="36" t="s">
        <v>130</v>
      </c>
      <c r="I322" s="55">
        <v>0.625</v>
      </c>
      <c r="J322" s="130">
        <v>4.2599999999999999E-2</v>
      </c>
    </row>
    <row r="323" spans="1:10">
      <c r="A323" s="36" t="str">
        <f t="shared" si="6"/>
        <v>HP06_ALL_SSP_BHV2_GB</v>
      </c>
      <c r="B323" s="36" t="s">
        <v>748</v>
      </c>
      <c r="C323" s="36" t="s">
        <v>231</v>
      </c>
      <c r="D323" s="36" t="s">
        <v>250</v>
      </c>
      <c r="E323" s="36" t="s">
        <v>267</v>
      </c>
      <c r="F323" s="36" t="s">
        <v>273</v>
      </c>
      <c r="G323" s="36" t="s">
        <v>253</v>
      </c>
      <c r="H323" s="36" t="s">
        <v>130</v>
      </c>
      <c r="I323" s="55">
        <v>0.64583333333333337</v>
      </c>
      <c r="J323" s="130">
        <v>4.2700000000000002E-2</v>
      </c>
    </row>
    <row r="324" spans="1:10">
      <c r="A324" s="36" t="str">
        <f t="shared" si="6"/>
        <v>HP06_ALL_SSP_BHV2_GB</v>
      </c>
      <c r="B324" s="36" t="s">
        <v>748</v>
      </c>
      <c r="C324" s="36" t="s">
        <v>231</v>
      </c>
      <c r="D324" s="36" t="s">
        <v>250</v>
      </c>
      <c r="E324" s="36" t="s">
        <v>267</v>
      </c>
      <c r="F324" s="36" t="s">
        <v>273</v>
      </c>
      <c r="G324" s="36" t="s">
        <v>253</v>
      </c>
      <c r="H324" s="36" t="s">
        <v>130</v>
      </c>
      <c r="I324" s="55">
        <v>0.66666666666666663</v>
      </c>
      <c r="J324" s="130">
        <v>4.2000000000000003E-2</v>
      </c>
    </row>
    <row r="325" spans="1:10">
      <c r="A325" s="36" t="str">
        <f t="shared" si="6"/>
        <v>HP06_ALL_SSP_BHV2_GB</v>
      </c>
      <c r="B325" s="36" t="s">
        <v>748</v>
      </c>
      <c r="C325" s="36" t="s">
        <v>231</v>
      </c>
      <c r="D325" s="36" t="s">
        <v>250</v>
      </c>
      <c r="E325" s="36" t="s">
        <v>267</v>
      </c>
      <c r="F325" s="36" t="s">
        <v>273</v>
      </c>
      <c r="G325" s="36" t="s">
        <v>253</v>
      </c>
      <c r="H325" s="36" t="s">
        <v>130</v>
      </c>
      <c r="I325" s="55">
        <v>0.6875</v>
      </c>
      <c r="J325" s="130">
        <v>4.1799999999999997E-2</v>
      </c>
    </row>
    <row r="326" spans="1:10">
      <c r="A326" s="36" t="str">
        <f t="shared" si="6"/>
        <v>HP06_ALL_SSP_BHV2_GB</v>
      </c>
      <c r="B326" s="36" t="s">
        <v>748</v>
      </c>
      <c r="C326" s="36" t="s">
        <v>231</v>
      </c>
      <c r="D326" s="36" t="s">
        <v>250</v>
      </c>
      <c r="E326" s="36" t="s">
        <v>267</v>
      </c>
      <c r="F326" s="36" t="s">
        <v>273</v>
      </c>
      <c r="G326" s="36" t="s">
        <v>253</v>
      </c>
      <c r="H326" s="36" t="s">
        <v>130</v>
      </c>
      <c r="I326" s="55">
        <v>0.70833333333333337</v>
      </c>
      <c r="J326" s="130">
        <v>4.07E-2</v>
      </c>
    </row>
    <row r="327" spans="1:10">
      <c r="A327" s="36" t="str">
        <f t="shared" si="6"/>
        <v>HP06_ALL_SSP_BHV2_GB</v>
      </c>
      <c r="B327" s="36" t="s">
        <v>748</v>
      </c>
      <c r="C327" s="36" t="s">
        <v>231</v>
      </c>
      <c r="D327" s="36" t="s">
        <v>250</v>
      </c>
      <c r="E327" s="36" t="s">
        <v>267</v>
      </c>
      <c r="F327" s="36" t="s">
        <v>273</v>
      </c>
      <c r="G327" s="36" t="s">
        <v>253</v>
      </c>
      <c r="H327" s="36" t="s">
        <v>130</v>
      </c>
      <c r="I327" s="55">
        <v>0.72916666666666663</v>
      </c>
      <c r="J327" s="130">
        <v>3.9699999999999999E-2</v>
      </c>
    </row>
    <row r="328" spans="1:10">
      <c r="A328" s="36" t="str">
        <f t="shared" si="6"/>
        <v>HP06_ALL_SSP_BHV2_GB</v>
      </c>
      <c r="B328" s="36" t="s">
        <v>748</v>
      </c>
      <c r="C328" s="36" t="s">
        <v>231</v>
      </c>
      <c r="D328" s="36" t="s">
        <v>250</v>
      </c>
      <c r="E328" s="36" t="s">
        <v>267</v>
      </c>
      <c r="F328" s="36" t="s">
        <v>273</v>
      </c>
      <c r="G328" s="36" t="s">
        <v>253</v>
      </c>
      <c r="H328" s="36" t="s">
        <v>130</v>
      </c>
      <c r="I328" s="55">
        <v>0.75</v>
      </c>
      <c r="J328" s="130">
        <v>3.8399999999999997E-2</v>
      </c>
    </row>
    <row r="329" spans="1:10">
      <c r="A329" s="36" t="str">
        <f t="shared" si="6"/>
        <v>HP06_ALL_SSP_BHV2_GB</v>
      </c>
      <c r="B329" s="36" t="s">
        <v>748</v>
      </c>
      <c r="C329" s="36" t="s">
        <v>231</v>
      </c>
      <c r="D329" s="36" t="s">
        <v>250</v>
      </c>
      <c r="E329" s="36" t="s">
        <v>267</v>
      </c>
      <c r="F329" s="36" t="s">
        <v>273</v>
      </c>
      <c r="G329" s="36" t="s">
        <v>253</v>
      </c>
      <c r="H329" s="36" t="s">
        <v>130</v>
      </c>
      <c r="I329" s="55">
        <v>0.77083333333333337</v>
      </c>
      <c r="J329" s="130">
        <v>3.8100000000000002E-2</v>
      </c>
    </row>
    <row r="330" spans="1:10">
      <c r="A330" s="36" t="str">
        <f t="shared" si="6"/>
        <v>HP06_ALL_SSP_BHV2_GB</v>
      </c>
      <c r="B330" s="36" t="s">
        <v>748</v>
      </c>
      <c r="C330" s="36" t="s">
        <v>231</v>
      </c>
      <c r="D330" s="36" t="s">
        <v>250</v>
      </c>
      <c r="E330" s="36" t="s">
        <v>267</v>
      </c>
      <c r="F330" s="36" t="s">
        <v>273</v>
      </c>
      <c r="G330" s="36" t="s">
        <v>253</v>
      </c>
      <c r="H330" s="36" t="s">
        <v>130</v>
      </c>
      <c r="I330" s="55">
        <v>0.79166666666666663</v>
      </c>
      <c r="J330" s="130">
        <v>3.78E-2</v>
      </c>
    </row>
    <row r="331" spans="1:10">
      <c r="A331" s="36" t="str">
        <f t="shared" si="6"/>
        <v>HP06_ALL_SSP_BHV2_GB</v>
      </c>
      <c r="B331" s="36" t="s">
        <v>748</v>
      </c>
      <c r="C331" s="36" t="s">
        <v>231</v>
      </c>
      <c r="D331" s="36" t="s">
        <v>250</v>
      </c>
      <c r="E331" s="36" t="s">
        <v>267</v>
      </c>
      <c r="F331" s="36" t="s">
        <v>273</v>
      </c>
      <c r="G331" s="36" t="s">
        <v>253</v>
      </c>
      <c r="H331" s="36" t="s">
        <v>130</v>
      </c>
      <c r="I331" s="55">
        <v>0.8125</v>
      </c>
      <c r="J331" s="130">
        <v>3.7699999999999997E-2</v>
      </c>
    </row>
    <row r="332" spans="1:10">
      <c r="A332" s="36" t="str">
        <f t="shared" si="6"/>
        <v>HP06_ALL_SSP_BHV2_GB</v>
      </c>
      <c r="B332" s="36" t="s">
        <v>748</v>
      </c>
      <c r="C332" s="36" t="s">
        <v>231</v>
      </c>
      <c r="D332" s="36" t="s">
        <v>250</v>
      </c>
      <c r="E332" s="36" t="s">
        <v>267</v>
      </c>
      <c r="F332" s="36" t="s">
        <v>273</v>
      </c>
      <c r="G332" s="36" t="s">
        <v>253</v>
      </c>
      <c r="H332" s="36" t="s">
        <v>130</v>
      </c>
      <c r="I332" s="55">
        <v>0.83333333333333337</v>
      </c>
      <c r="J332" s="130">
        <v>3.7100000000000001E-2</v>
      </c>
    </row>
    <row r="333" spans="1:10">
      <c r="A333" s="36" t="str">
        <f t="shared" si="6"/>
        <v>HP06_ALL_SSP_BHV2_GB</v>
      </c>
      <c r="B333" s="36" t="s">
        <v>748</v>
      </c>
      <c r="C333" s="36" t="s">
        <v>231</v>
      </c>
      <c r="D333" s="36" t="s">
        <v>250</v>
      </c>
      <c r="E333" s="36" t="s">
        <v>267</v>
      </c>
      <c r="F333" s="36" t="s">
        <v>273</v>
      </c>
      <c r="G333" s="36" t="s">
        <v>253</v>
      </c>
      <c r="H333" s="36" t="s">
        <v>130</v>
      </c>
      <c r="I333" s="55">
        <v>0.85416666666666663</v>
      </c>
      <c r="J333" s="130">
        <v>3.56E-2</v>
      </c>
    </row>
    <row r="334" spans="1:10">
      <c r="A334" s="36" t="str">
        <f t="shared" si="6"/>
        <v>HP06_ALL_SSP_BHV2_GB</v>
      </c>
      <c r="B334" s="36" t="s">
        <v>748</v>
      </c>
      <c r="C334" s="36" t="s">
        <v>231</v>
      </c>
      <c r="D334" s="36" t="s">
        <v>250</v>
      </c>
      <c r="E334" s="36" t="s">
        <v>267</v>
      </c>
      <c r="F334" s="36" t="s">
        <v>273</v>
      </c>
      <c r="G334" s="36" t="s">
        <v>253</v>
      </c>
      <c r="H334" s="36" t="s">
        <v>130</v>
      </c>
      <c r="I334" s="55">
        <v>0.875</v>
      </c>
      <c r="J334" s="130">
        <v>3.3099999999999997E-2</v>
      </c>
    </row>
    <row r="335" spans="1:10">
      <c r="A335" s="36" t="str">
        <f t="shared" si="6"/>
        <v>HP06_ALL_SSP_BHV2_GB</v>
      </c>
      <c r="B335" s="36" t="s">
        <v>748</v>
      </c>
      <c r="C335" s="36" t="s">
        <v>231</v>
      </c>
      <c r="D335" s="36" t="s">
        <v>250</v>
      </c>
      <c r="E335" s="36" t="s">
        <v>267</v>
      </c>
      <c r="F335" s="36" t="s">
        <v>273</v>
      </c>
      <c r="G335" s="36" t="s">
        <v>253</v>
      </c>
      <c r="H335" s="36" t="s">
        <v>130</v>
      </c>
      <c r="I335" s="55">
        <v>0.89583333333333337</v>
      </c>
      <c r="J335" s="130">
        <v>2.8899999999999999E-2</v>
      </c>
    </row>
    <row r="336" spans="1:10">
      <c r="A336" s="36" t="str">
        <f t="shared" si="6"/>
        <v>HP06_ALL_SSP_BHV2_GB</v>
      </c>
      <c r="B336" s="36" t="s">
        <v>748</v>
      </c>
      <c r="C336" s="36" t="s">
        <v>231</v>
      </c>
      <c r="D336" s="36" t="s">
        <v>250</v>
      </c>
      <c r="E336" s="36" t="s">
        <v>267</v>
      </c>
      <c r="F336" s="36" t="s">
        <v>273</v>
      </c>
      <c r="G336" s="36" t="s">
        <v>253</v>
      </c>
      <c r="H336" s="36" t="s">
        <v>130</v>
      </c>
      <c r="I336" s="55">
        <v>0.91666666666666663</v>
      </c>
      <c r="J336" s="130">
        <v>2.4500000000000001E-2</v>
      </c>
    </row>
    <row r="337" spans="1:10">
      <c r="A337" s="36" t="str">
        <f t="shared" si="6"/>
        <v>HP06_ALL_SSP_BHV2_GB</v>
      </c>
      <c r="B337" s="36" t="s">
        <v>748</v>
      </c>
      <c r="C337" s="36" t="s">
        <v>231</v>
      </c>
      <c r="D337" s="36" t="s">
        <v>250</v>
      </c>
      <c r="E337" s="36" t="s">
        <v>267</v>
      </c>
      <c r="F337" s="36" t="s">
        <v>273</v>
      </c>
      <c r="G337" s="36" t="s">
        <v>253</v>
      </c>
      <c r="H337" s="36" t="s">
        <v>130</v>
      </c>
      <c r="I337" s="55">
        <v>0.9375</v>
      </c>
      <c r="J337" s="130">
        <v>2.0299999999999999E-2</v>
      </c>
    </row>
    <row r="338" spans="1:10">
      <c r="A338" s="36" t="str">
        <f t="shared" si="6"/>
        <v>HP06_ALL_SSP_BHV2_GB</v>
      </c>
      <c r="B338" s="36" t="s">
        <v>748</v>
      </c>
      <c r="C338" s="36" t="s">
        <v>231</v>
      </c>
      <c r="D338" s="36" t="s">
        <v>250</v>
      </c>
      <c r="E338" s="36" t="s">
        <v>267</v>
      </c>
      <c r="F338" s="36" t="s">
        <v>273</v>
      </c>
      <c r="G338" s="36" t="s">
        <v>253</v>
      </c>
      <c r="H338" s="36" t="s">
        <v>130</v>
      </c>
      <c r="I338" s="55">
        <v>0.95833333333333337</v>
      </c>
      <c r="J338" s="130">
        <v>1.8200000000000001E-2</v>
      </c>
    </row>
    <row r="339" spans="1:10">
      <c r="A339" s="36" t="str">
        <f t="shared" si="6"/>
        <v>HP06_ALL_SSP_BHV2_GB</v>
      </c>
      <c r="B339" s="36" t="s">
        <v>748</v>
      </c>
      <c r="C339" s="36" t="s">
        <v>231</v>
      </c>
      <c r="D339" s="36" t="s">
        <v>250</v>
      </c>
      <c r="E339" s="36" t="s">
        <v>267</v>
      </c>
      <c r="F339" s="36" t="s">
        <v>273</v>
      </c>
      <c r="G339" s="36" t="s">
        <v>253</v>
      </c>
      <c r="H339" s="36" t="s">
        <v>130</v>
      </c>
      <c r="I339" s="55">
        <v>0.97916666666666663</v>
      </c>
      <c r="J339" s="130">
        <v>1.7500000000000002E-2</v>
      </c>
    </row>
    <row r="340" spans="1:10">
      <c r="A340" s="36" t="str">
        <f t="shared" si="6"/>
        <v>HP06_ALL_SSP_BHV1_GB</v>
      </c>
      <c r="B340" s="36" t="s">
        <v>748</v>
      </c>
      <c r="C340" s="36" t="s">
        <v>231</v>
      </c>
      <c r="D340" s="36" t="s">
        <v>250</v>
      </c>
      <c r="E340" s="36" t="s">
        <v>267</v>
      </c>
      <c r="F340" s="36" t="s">
        <v>273</v>
      </c>
      <c r="G340" s="36" t="s">
        <v>234</v>
      </c>
      <c r="H340" s="36" t="s">
        <v>130</v>
      </c>
      <c r="I340" s="55">
        <v>0</v>
      </c>
      <c r="J340" s="130">
        <v>2.9000000000000001E-2</v>
      </c>
    </row>
    <row r="341" spans="1:10">
      <c r="A341" s="36" t="str">
        <f t="shared" si="6"/>
        <v>HP06_ALL_SSP_BHV1_GB</v>
      </c>
      <c r="B341" s="36" t="s">
        <v>748</v>
      </c>
      <c r="C341" s="36" t="s">
        <v>231</v>
      </c>
      <c r="D341" s="36" t="s">
        <v>250</v>
      </c>
      <c r="E341" s="36" t="s">
        <v>267</v>
      </c>
      <c r="F341" s="36" t="s">
        <v>273</v>
      </c>
      <c r="G341" s="36" t="s">
        <v>234</v>
      </c>
      <c r="H341" s="36" t="s">
        <v>130</v>
      </c>
      <c r="I341" s="55">
        <v>2.0833333333333332E-2</v>
      </c>
      <c r="J341" s="130">
        <v>3.0499999999999999E-2</v>
      </c>
    </row>
    <row r="342" spans="1:10">
      <c r="A342" s="36" t="str">
        <f t="shared" si="6"/>
        <v>HP06_ALL_SSP_BHV1_GB</v>
      </c>
      <c r="B342" s="36" t="s">
        <v>748</v>
      </c>
      <c r="C342" s="36" t="s">
        <v>231</v>
      </c>
      <c r="D342" s="36" t="s">
        <v>250</v>
      </c>
      <c r="E342" s="36" t="s">
        <v>267</v>
      </c>
      <c r="F342" s="36" t="s">
        <v>273</v>
      </c>
      <c r="G342" s="36" t="s">
        <v>234</v>
      </c>
      <c r="H342" s="36" t="s">
        <v>130</v>
      </c>
      <c r="I342" s="55">
        <v>4.1666666666666664E-2</v>
      </c>
      <c r="J342" s="130">
        <v>3.2399999999999998E-2</v>
      </c>
    </row>
    <row r="343" spans="1:10">
      <c r="A343" s="36" t="str">
        <f t="shared" si="6"/>
        <v>HP06_ALL_SSP_BHV1_GB</v>
      </c>
      <c r="B343" s="36" t="s">
        <v>748</v>
      </c>
      <c r="C343" s="36" t="s">
        <v>231</v>
      </c>
      <c r="D343" s="36" t="s">
        <v>250</v>
      </c>
      <c r="E343" s="36" t="s">
        <v>267</v>
      </c>
      <c r="F343" s="36" t="s">
        <v>273</v>
      </c>
      <c r="G343" s="36" t="s">
        <v>234</v>
      </c>
      <c r="H343" s="36" t="s">
        <v>130</v>
      </c>
      <c r="I343" s="55">
        <v>6.25E-2</v>
      </c>
      <c r="J343" s="130">
        <v>3.4700000000000002E-2</v>
      </c>
    </row>
    <row r="344" spans="1:10">
      <c r="A344" s="36" t="str">
        <f t="shared" si="6"/>
        <v>HP06_ALL_SSP_BHV1_GB</v>
      </c>
      <c r="B344" s="36" t="s">
        <v>748</v>
      </c>
      <c r="C344" s="36" t="s">
        <v>231</v>
      </c>
      <c r="D344" s="36" t="s">
        <v>250</v>
      </c>
      <c r="E344" s="36" t="s">
        <v>267</v>
      </c>
      <c r="F344" s="36" t="s">
        <v>273</v>
      </c>
      <c r="G344" s="36" t="s">
        <v>234</v>
      </c>
      <c r="H344" s="36" t="s">
        <v>130</v>
      </c>
      <c r="I344" s="55">
        <v>8.3333333333333329E-2</v>
      </c>
      <c r="J344" s="130">
        <v>3.6600000000000001E-2</v>
      </c>
    </row>
    <row r="345" spans="1:10">
      <c r="A345" s="36" t="str">
        <f t="shared" si="6"/>
        <v>HP06_ALL_SSP_BHV1_GB</v>
      </c>
      <c r="B345" s="36" t="s">
        <v>748</v>
      </c>
      <c r="C345" s="36" t="s">
        <v>231</v>
      </c>
      <c r="D345" s="36" t="s">
        <v>250</v>
      </c>
      <c r="E345" s="36" t="s">
        <v>267</v>
      </c>
      <c r="F345" s="36" t="s">
        <v>273</v>
      </c>
      <c r="G345" s="36" t="s">
        <v>234</v>
      </c>
      <c r="H345" s="36" t="s">
        <v>130</v>
      </c>
      <c r="I345" s="55">
        <v>0.10416666666666667</v>
      </c>
      <c r="J345" s="130">
        <v>3.95E-2</v>
      </c>
    </row>
    <row r="346" spans="1:10">
      <c r="A346" s="36" t="str">
        <f t="shared" si="6"/>
        <v>HP06_ALL_SSP_BHV1_GB</v>
      </c>
      <c r="B346" s="36" t="s">
        <v>748</v>
      </c>
      <c r="C346" s="36" t="s">
        <v>231</v>
      </c>
      <c r="D346" s="36" t="s">
        <v>250</v>
      </c>
      <c r="E346" s="36" t="s">
        <v>267</v>
      </c>
      <c r="F346" s="36" t="s">
        <v>273</v>
      </c>
      <c r="G346" s="36" t="s">
        <v>234</v>
      </c>
      <c r="H346" s="36" t="s">
        <v>130</v>
      </c>
      <c r="I346" s="55">
        <v>0.125</v>
      </c>
      <c r="J346" s="130">
        <v>4.0599999999999997E-2</v>
      </c>
    </row>
    <row r="347" spans="1:10">
      <c r="A347" s="36" t="str">
        <f t="shared" si="6"/>
        <v>HP06_ALL_SSP_BHV1_GB</v>
      </c>
      <c r="B347" s="36" t="s">
        <v>748</v>
      </c>
      <c r="C347" s="36" t="s">
        <v>231</v>
      </c>
      <c r="D347" s="36" t="s">
        <v>250</v>
      </c>
      <c r="E347" s="36" t="s">
        <v>267</v>
      </c>
      <c r="F347" s="36" t="s">
        <v>273</v>
      </c>
      <c r="G347" s="36" t="s">
        <v>234</v>
      </c>
      <c r="H347" s="36" t="s">
        <v>130</v>
      </c>
      <c r="I347" s="55">
        <v>0.14583333333333334</v>
      </c>
      <c r="J347" s="130">
        <v>4.2299999999999997E-2</v>
      </c>
    </row>
    <row r="348" spans="1:10">
      <c r="A348" s="36" t="str">
        <f t="shared" si="6"/>
        <v>HP06_ALL_SSP_BHV1_GB</v>
      </c>
      <c r="B348" s="36" t="s">
        <v>748</v>
      </c>
      <c r="C348" s="36" t="s">
        <v>231</v>
      </c>
      <c r="D348" s="36" t="s">
        <v>250</v>
      </c>
      <c r="E348" s="36" t="s">
        <v>267</v>
      </c>
      <c r="F348" s="36" t="s">
        <v>273</v>
      </c>
      <c r="G348" s="36" t="s">
        <v>234</v>
      </c>
      <c r="H348" s="36" t="s">
        <v>130</v>
      </c>
      <c r="I348" s="55">
        <v>0.16666666666666666</v>
      </c>
      <c r="J348" s="130">
        <v>4.3900000000000002E-2</v>
      </c>
    </row>
    <row r="349" spans="1:10">
      <c r="A349" s="36" t="str">
        <f t="shared" si="6"/>
        <v>HP06_ALL_SSP_BHV1_GB</v>
      </c>
      <c r="B349" s="36" t="s">
        <v>748</v>
      </c>
      <c r="C349" s="36" t="s">
        <v>231</v>
      </c>
      <c r="D349" s="36" t="s">
        <v>250</v>
      </c>
      <c r="E349" s="36" t="s">
        <v>267</v>
      </c>
      <c r="F349" s="36" t="s">
        <v>273</v>
      </c>
      <c r="G349" s="36" t="s">
        <v>234</v>
      </c>
      <c r="H349" s="36" t="s">
        <v>130</v>
      </c>
      <c r="I349" s="55">
        <v>0.1875</v>
      </c>
      <c r="J349" s="130">
        <v>4.8599999999999997E-2</v>
      </c>
    </row>
    <row r="350" spans="1:10">
      <c r="A350" s="36" t="str">
        <f t="shared" si="6"/>
        <v>HP06_ALL_SSP_BHV1_GB</v>
      </c>
      <c r="B350" s="36" t="s">
        <v>748</v>
      </c>
      <c r="C350" s="36" t="s">
        <v>231</v>
      </c>
      <c r="D350" s="36" t="s">
        <v>250</v>
      </c>
      <c r="E350" s="36" t="s">
        <v>267</v>
      </c>
      <c r="F350" s="36" t="s">
        <v>273</v>
      </c>
      <c r="G350" s="36" t="s">
        <v>234</v>
      </c>
      <c r="H350" s="36" t="s">
        <v>130</v>
      </c>
      <c r="I350" s="55">
        <v>0.20833333333333334</v>
      </c>
      <c r="J350" s="130">
        <v>5.3199999999999997E-2</v>
      </c>
    </row>
    <row r="351" spans="1:10">
      <c r="A351" s="36" t="str">
        <f t="shared" si="6"/>
        <v>HP06_ALL_SSP_BHV1_GB</v>
      </c>
      <c r="B351" s="36" t="s">
        <v>748</v>
      </c>
      <c r="C351" s="36" t="s">
        <v>231</v>
      </c>
      <c r="D351" s="36" t="s">
        <v>250</v>
      </c>
      <c r="E351" s="36" t="s">
        <v>267</v>
      </c>
      <c r="F351" s="36" t="s">
        <v>273</v>
      </c>
      <c r="G351" s="36" t="s">
        <v>234</v>
      </c>
      <c r="H351" s="36" t="s">
        <v>130</v>
      </c>
      <c r="I351" s="55">
        <v>0.22916666666666666</v>
      </c>
      <c r="J351" s="130">
        <v>5.96E-2</v>
      </c>
    </row>
    <row r="352" spans="1:10">
      <c r="A352" s="36" t="str">
        <f t="shared" si="6"/>
        <v>HP06_ALL_SSP_BHV1_GB</v>
      </c>
      <c r="B352" s="36" t="s">
        <v>748</v>
      </c>
      <c r="C352" s="36" t="s">
        <v>231</v>
      </c>
      <c r="D352" s="36" t="s">
        <v>250</v>
      </c>
      <c r="E352" s="36" t="s">
        <v>267</v>
      </c>
      <c r="F352" s="36" t="s">
        <v>273</v>
      </c>
      <c r="G352" s="36" t="s">
        <v>234</v>
      </c>
      <c r="H352" s="36" t="s">
        <v>130</v>
      </c>
      <c r="I352" s="55">
        <v>0.25</v>
      </c>
      <c r="J352" s="130">
        <v>6.25E-2</v>
      </c>
    </row>
    <row r="353" spans="1:10">
      <c r="A353" s="36" t="str">
        <f t="shared" si="6"/>
        <v>HP06_ALL_SSP_BHV1_GB</v>
      </c>
      <c r="B353" s="36" t="s">
        <v>748</v>
      </c>
      <c r="C353" s="36" t="s">
        <v>231</v>
      </c>
      <c r="D353" s="36" t="s">
        <v>250</v>
      </c>
      <c r="E353" s="36" t="s">
        <v>267</v>
      </c>
      <c r="F353" s="36" t="s">
        <v>273</v>
      </c>
      <c r="G353" s="36" t="s">
        <v>234</v>
      </c>
      <c r="H353" s="36" t="s">
        <v>130</v>
      </c>
      <c r="I353" s="55">
        <v>0.27083333333333331</v>
      </c>
      <c r="J353" s="130">
        <v>6.3100000000000003E-2</v>
      </c>
    </row>
    <row r="354" spans="1:10">
      <c r="A354" s="36" t="str">
        <f t="shared" si="6"/>
        <v>HP06_ALL_SSP_BHV1_GB</v>
      </c>
      <c r="B354" s="36" t="s">
        <v>748</v>
      </c>
      <c r="C354" s="36" t="s">
        <v>231</v>
      </c>
      <c r="D354" s="36" t="s">
        <v>250</v>
      </c>
      <c r="E354" s="36" t="s">
        <v>267</v>
      </c>
      <c r="F354" s="36" t="s">
        <v>273</v>
      </c>
      <c r="G354" s="36" t="s">
        <v>234</v>
      </c>
      <c r="H354" s="36" t="s">
        <v>130</v>
      </c>
      <c r="I354" s="55">
        <v>0.29166666666666669</v>
      </c>
      <c r="J354" s="130">
        <v>5.8900000000000001E-2</v>
      </c>
    </row>
    <row r="355" spans="1:10">
      <c r="A355" s="36" t="str">
        <f t="shared" si="6"/>
        <v>HP06_ALL_SSP_BHV1_GB</v>
      </c>
      <c r="B355" s="36" t="s">
        <v>748</v>
      </c>
      <c r="C355" s="36" t="s">
        <v>231</v>
      </c>
      <c r="D355" s="36" t="s">
        <v>250</v>
      </c>
      <c r="E355" s="36" t="s">
        <v>267</v>
      </c>
      <c r="F355" s="36" t="s">
        <v>273</v>
      </c>
      <c r="G355" s="36" t="s">
        <v>234</v>
      </c>
      <c r="H355" s="36" t="s">
        <v>130</v>
      </c>
      <c r="I355" s="55">
        <v>0.3125</v>
      </c>
      <c r="J355" s="130">
        <v>5.2400000000000002E-2</v>
      </c>
    </row>
    <row r="356" spans="1:10">
      <c r="A356" s="36" t="str">
        <f t="shared" ref="A356:A419" si="7">_xlfn.CONCAT("HP06_",INDEX(dwelling_categories_short,MATCH(E356,dwelling_categories,0)),"_",INDEX(rep_days_short,MATCH(F356,rep_days,0)),"_",INDEX(HP_behaviours_short,MATCH(G356,HP_behaviours,0)),"_",H356)</f>
        <v>HP06_ALL_SSP_BHV1_GB</v>
      </c>
      <c r="B356" s="36" t="s">
        <v>748</v>
      </c>
      <c r="C356" s="36" t="s">
        <v>231</v>
      </c>
      <c r="D356" s="36" t="s">
        <v>250</v>
      </c>
      <c r="E356" s="36" t="s">
        <v>267</v>
      </c>
      <c r="F356" s="36" t="s">
        <v>273</v>
      </c>
      <c r="G356" s="36" t="s">
        <v>234</v>
      </c>
      <c r="H356" s="36" t="s">
        <v>130</v>
      </c>
      <c r="I356" s="55">
        <v>0.33333333333333331</v>
      </c>
      <c r="J356" s="130">
        <v>4.4699999999999997E-2</v>
      </c>
    </row>
    <row r="357" spans="1:10">
      <c r="A357" s="36" t="str">
        <f t="shared" si="7"/>
        <v>HP06_ALL_SSP_BHV1_GB</v>
      </c>
      <c r="B357" s="36" t="s">
        <v>748</v>
      </c>
      <c r="C357" s="36" t="s">
        <v>231</v>
      </c>
      <c r="D357" s="36" t="s">
        <v>250</v>
      </c>
      <c r="E357" s="36" t="s">
        <v>267</v>
      </c>
      <c r="F357" s="36" t="s">
        <v>273</v>
      </c>
      <c r="G357" s="36" t="s">
        <v>234</v>
      </c>
      <c r="H357" s="36" t="s">
        <v>130</v>
      </c>
      <c r="I357" s="55">
        <v>0.35416666666666669</v>
      </c>
      <c r="J357" s="130">
        <v>3.7100000000000001E-2</v>
      </c>
    </row>
    <row r="358" spans="1:10">
      <c r="A358" s="36" t="str">
        <f t="shared" si="7"/>
        <v>HP06_ALL_SSP_BHV1_GB</v>
      </c>
      <c r="B358" s="36" t="s">
        <v>748</v>
      </c>
      <c r="C358" s="36" t="s">
        <v>231</v>
      </c>
      <c r="D358" s="36" t="s">
        <v>250</v>
      </c>
      <c r="E358" s="36" t="s">
        <v>267</v>
      </c>
      <c r="F358" s="36" t="s">
        <v>273</v>
      </c>
      <c r="G358" s="36" t="s">
        <v>234</v>
      </c>
      <c r="H358" s="36" t="s">
        <v>130</v>
      </c>
      <c r="I358" s="55">
        <v>0.375</v>
      </c>
      <c r="J358" s="130">
        <v>3.0800000000000001E-2</v>
      </c>
    </row>
    <row r="359" spans="1:10">
      <c r="A359" s="36" t="str">
        <f t="shared" si="7"/>
        <v>HP06_ALL_SSP_BHV1_GB</v>
      </c>
      <c r="B359" s="36" t="s">
        <v>748</v>
      </c>
      <c r="C359" s="36" t="s">
        <v>231</v>
      </c>
      <c r="D359" s="36" t="s">
        <v>250</v>
      </c>
      <c r="E359" s="36" t="s">
        <v>267</v>
      </c>
      <c r="F359" s="36" t="s">
        <v>273</v>
      </c>
      <c r="G359" s="36" t="s">
        <v>234</v>
      </c>
      <c r="H359" s="36" t="s">
        <v>130</v>
      </c>
      <c r="I359" s="55">
        <v>0.39583333333333331</v>
      </c>
      <c r="J359" s="130">
        <v>2.63E-2</v>
      </c>
    </row>
    <row r="360" spans="1:10">
      <c r="A360" s="36" t="str">
        <f t="shared" si="7"/>
        <v>HP06_ALL_SSP_BHV1_GB</v>
      </c>
      <c r="B360" s="36" t="s">
        <v>748</v>
      </c>
      <c r="C360" s="36" t="s">
        <v>231</v>
      </c>
      <c r="D360" s="36" t="s">
        <v>250</v>
      </c>
      <c r="E360" s="36" t="s">
        <v>267</v>
      </c>
      <c r="F360" s="36" t="s">
        <v>273</v>
      </c>
      <c r="G360" s="36" t="s">
        <v>234</v>
      </c>
      <c r="H360" s="36" t="s">
        <v>130</v>
      </c>
      <c r="I360" s="55">
        <v>0.41666666666666669</v>
      </c>
      <c r="J360" s="130">
        <v>2.3900000000000001E-2</v>
      </c>
    </row>
    <row r="361" spans="1:10">
      <c r="A361" s="36" t="str">
        <f t="shared" si="7"/>
        <v>HP06_ALL_SSP_BHV1_GB</v>
      </c>
      <c r="B361" s="36" t="s">
        <v>748</v>
      </c>
      <c r="C361" s="36" t="s">
        <v>231</v>
      </c>
      <c r="D361" s="36" t="s">
        <v>250</v>
      </c>
      <c r="E361" s="36" t="s">
        <v>267</v>
      </c>
      <c r="F361" s="36" t="s">
        <v>273</v>
      </c>
      <c r="G361" s="36" t="s">
        <v>234</v>
      </c>
      <c r="H361" s="36" t="s">
        <v>130</v>
      </c>
      <c r="I361" s="55">
        <v>0.4375</v>
      </c>
      <c r="J361" s="130">
        <v>2.3E-2</v>
      </c>
    </row>
    <row r="362" spans="1:10">
      <c r="A362" s="36" t="str">
        <f t="shared" si="7"/>
        <v>HP06_ALL_SSP_BHV1_GB</v>
      </c>
      <c r="B362" s="36" t="s">
        <v>748</v>
      </c>
      <c r="C362" s="36" t="s">
        <v>231</v>
      </c>
      <c r="D362" s="36" t="s">
        <v>250</v>
      </c>
      <c r="E362" s="36" t="s">
        <v>267</v>
      </c>
      <c r="F362" s="36" t="s">
        <v>273</v>
      </c>
      <c r="G362" s="36" t="s">
        <v>234</v>
      </c>
      <c r="H362" s="36" t="s">
        <v>130</v>
      </c>
      <c r="I362" s="55">
        <v>0.45833333333333331</v>
      </c>
      <c r="J362" s="130">
        <v>2.2700000000000001E-2</v>
      </c>
    </row>
    <row r="363" spans="1:10">
      <c r="A363" s="36" t="str">
        <f t="shared" si="7"/>
        <v>HP06_ALL_SSP_BHV1_GB</v>
      </c>
      <c r="B363" s="36" t="s">
        <v>748</v>
      </c>
      <c r="C363" s="36" t="s">
        <v>231</v>
      </c>
      <c r="D363" s="36" t="s">
        <v>250</v>
      </c>
      <c r="E363" s="36" t="s">
        <v>267</v>
      </c>
      <c r="F363" s="36" t="s">
        <v>273</v>
      </c>
      <c r="G363" s="36" t="s">
        <v>234</v>
      </c>
      <c r="H363" s="36" t="s">
        <v>130</v>
      </c>
      <c r="I363" s="55">
        <v>0.47916666666666669</v>
      </c>
      <c r="J363" s="130">
        <v>2.3E-2</v>
      </c>
    </row>
    <row r="364" spans="1:10">
      <c r="A364" s="36" t="str">
        <f t="shared" si="7"/>
        <v>HP06_ALL_SSP_BHV1_GB</v>
      </c>
      <c r="B364" s="36" t="s">
        <v>748</v>
      </c>
      <c r="C364" s="36" t="s">
        <v>231</v>
      </c>
      <c r="D364" s="36" t="s">
        <v>250</v>
      </c>
      <c r="E364" s="36" t="s">
        <v>267</v>
      </c>
      <c r="F364" s="36" t="s">
        <v>273</v>
      </c>
      <c r="G364" s="36" t="s">
        <v>234</v>
      </c>
      <c r="H364" s="36" t="s">
        <v>130</v>
      </c>
      <c r="I364" s="55">
        <v>0.5</v>
      </c>
      <c r="J364" s="130">
        <v>2.3300000000000001E-2</v>
      </c>
    </row>
    <row r="365" spans="1:10">
      <c r="A365" s="36" t="str">
        <f t="shared" si="7"/>
        <v>HP06_ALL_SSP_BHV1_GB</v>
      </c>
      <c r="B365" s="36" t="s">
        <v>748</v>
      </c>
      <c r="C365" s="36" t="s">
        <v>231</v>
      </c>
      <c r="D365" s="36" t="s">
        <v>250</v>
      </c>
      <c r="E365" s="36" t="s">
        <v>267</v>
      </c>
      <c r="F365" s="36" t="s">
        <v>273</v>
      </c>
      <c r="G365" s="36" t="s">
        <v>234</v>
      </c>
      <c r="H365" s="36" t="s">
        <v>130</v>
      </c>
      <c r="I365" s="55">
        <v>0.52083333333333337</v>
      </c>
      <c r="J365" s="130">
        <v>2.4299999999999999E-2</v>
      </c>
    </row>
    <row r="366" spans="1:10">
      <c r="A366" s="36" t="str">
        <f t="shared" si="7"/>
        <v>HP06_ALL_SSP_BHV1_GB</v>
      </c>
      <c r="B366" s="36" t="s">
        <v>748</v>
      </c>
      <c r="C366" s="36" t="s">
        <v>231</v>
      </c>
      <c r="D366" s="36" t="s">
        <v>250</v>
      </c>
      <c r="E366" s="36" t="s">
        <v>267</v>
      </c>
      <c r="F366" s="36" t="s">
        <v>273</v>
      </c>
      <c r="G366" s="36" t="s">
        <v>234</v>
      </c>
      <c r="H366" s="36" t="s">
        <v>130</v>
      </c>
      <c r="I366" s="55">
        <v>0.54166666666666663</v>
      </c>
      <c r="J366" s="130">
        <v>2.4899999999999999E-2</v>
      </c>
    </row>
    <row r="367" spans="1:10">
      <c r="A367" s="36" t="str">
        <f t="shared" si="7"/>
        <v>HP06_ALL_SSP_BHV1_GB</v>
      </c>
      <c r="B367" s="36" t="s">
        <v>748</v>
      </c>
      <c r="C367" s="36" t="s">
        <v>231</v>
      </c>
      <c r="D367" s="36" t="s">
        <v>250</v>
      </c>
      <c r="E367" s="36" t="s">
        <v>267</v>
      </c>
      <c r="F367" s="36" t="s">
        <v>273</v>
      </c>
      <c r="G367" s="36" t="s">
        <v>234</v>
      </c>
      <c r="H367" s="36" t="s">
        <v>130</v>
      </c>
      <c r="I367" s="55">
        <v>0.5625</v>
      </c>
      <c r="J367" s="130">
        <v>2.69E-2</v>
      </c>
    </row>
    <row r="368" spans="1:10">
      <c r="A368" s="36" t="str">
        <f t="shared" si="7"/>
        <v>HP06_ALL_SSP_BHV1_GB</v>
      </c>
      <c r="B368" s="36" t="s">
        <v>748</v>
      </c>
      <c r="C368" s="36" t="s">
        <v>231</v>
      </c>
      <c r="D368" s="36" t="s">
        <v>250</v>
      </c>
      <c r="E368" s="36" t="s">
        <v>267</v>
      </c>
      <c r="F368" s="36" t="s">
        <v>273</v>
      </c>
      <c r="G368" s="36" t="s">
        <v>234</v>
      </c>
      <c r="H368" s="36" t="s">
        <v>130</v>
      </c>
      <c r="I368" s="55">
        <v>0.58333333333333337</v>
      </c>
      <c r="J368" s="130">
        <v>2.92E-2</v>
      </c>
    </row>
    <row r="369" spans="1:10">
      <c r="A369" s="36" t="str">
        <f t="shared" si="7"/>
        <v>HP06_ALL_SSP_BHV1_GB</v>
      </c>
      <c r="B369" s="36" t="s">
        <v>748</v>
      </c>
      <c r="C369" s="36" t="s">
        <v>231</v>
      </c>
      <c r="D369" s="36" t="s">
        <v>250</v>
      </c>
      <c r="E369" s="36" t="s">
        <v>267</v>
      </c>
      <c r="F369" s="36" t="s">
        <v>273</v>
      </c>
      <c r="G369" s="36" t="s">
        <v>234</v>
      </c>
      <c r="H369" s="36" t="s">
        <v>130</v>
      </c>
      <c r="I369" s="55">
        <v>0.60416666666666663</v>
      </c>
      <c r="J369" s="130">
        <v>3.4099999999999998E-2</v>
      </c>
    </row>
    <row r="370" spans="1:10">
      <c r="A370" s="36" t="str">
        <f t="shared" si="7"/>
        <v>HP06_ALL_SSP_BHV1_GB</v>
      </c>
      <c r="B370" s="36" t="s">
        <v>748</v>
      </c>
      <c r="C370" s="36" t="s">
        <v>231</v>
      </c>
      <c r="D370" s="36" t="s">
        <v>250</v>
      </c>
      <c r="E370" s="36" t="s">
        <v>267</v>
      </c>
      <c r="F370" s="36" t="s">
        <v>273</v>
      </c>
      <c r="G370" s="36" t="s">
        <v>234</v>
      </c>
      <c r="H370" s="36" t="s">
        <v>130</v>
      </c>
      <c r="I370" s="55">
        <v>0.625</v>
      </c>
      <c r="J370" s="130">
        <v>3.85E-2</v>
      </c>
    </row>
    <row r="371" spans="1:10">
      <c r="A371" s="36" t="str">
        <f t="shared" si="7"/>
        <v>HP06_ALL_SSP_BHV1_GB</v>
      </c>
      <c r="B371" s="36" t="s">
        <v>748</v>
      </c>
      <c r="C371" s="36" t="s">
        <v>231</v>
      </c>
      <c r="D371" s="36" t="s">
        <v>250</v>
      </c>
      <c r="E371" s="36" t="s">
        <v>267</v>
      </c>
      <c r="F371" s="36" t="s">
        <v>273</v>
      </c>
      <c r="G371" s="36" t="s">
        <v>234</v>
      </c>
      <c r="H371" s="36" t="s">
        <v>130</v>
      </c>
      <c r="I371" s="55">
        <v>0.64583333333333337</v>
      </c>
      <c r="J371" s="130">
        <v>4.4299999999999999E-2</v>
      </c>
    </row>
    <row r="372" spans="1:10">
      <c r="A372" s="36" t="str">
        <f t="shared" si="7"/>
        <v>HP06_ALL_SSP_BHV1_GB</v>
      </c>
      <c r="B372" s="36" t="s">
        <v>748</v>
      </c>
      <c r="C372" s="36" t="s">
        <v>231</v>
      </c>
      <c r="D372" s="36" t="s">
        <v>250</v>
      </c>
      <c r="E372" s="36" t="s">
        <v>267</v>
      </c>
      <c r="F372" s="36" t="s">
        <v>273</v>
      </c>
      <c r="G372" s="36" t="s">
        <v>234</v>
      </c>
      <c r="H372" s="36" t="s">
        <v>130</v>
      </c>
      <c r="I372" s="55">
        <v>0.66666666666666663</v>
      </c>
      <c r="J372" s="130">
        <v>4.9500000000000002E-2</v>
      </c>
    </row>
    <row r="373" spans="1:10">
      <c r="A373" s="36" t="str">
        <f t="shared" si="7"/>
        <v>HP06_ALL_SSP_BHV1_GB</v>
      </c>
      <c r="B373" s="36" t="s">
        <v>748</v>
      </c>
      <c r="C373" s="36" t="s">
        <v>231</v>
      </c>
      <c r="D373" s="36" t="s">
        <v>250</v>
      </c>
      <c r="E373" s="36" t="s">
        <v>267</v>
      </c>
      <c r="F373" s="36" t="s">
        <v>273</v>
      </c>
      <c r="G373" s="36" t="s">
        <v>234</v>
      </c>
      <c r="H373" s="36" t="s">
        <v>130</v>
      </c>
      <c r="I373" s="55">
        <v>0.6875</v>
      </c>
      <c r="J373" s="130">
        <v>5.5599999999999997E-2</v>
      </c>
    </row>
    <row r="374" spans="1:10">
      <c r="A374" s="36" t="str">
        <f t="shared" si="7"/>
        <v>HP06_ALL_SSP_BHV1_GB</v>
      </c>
      <c r="B374" s="36" t="s">
        <v>748</v>
      </c>
      <c r="C374" s="36" t="s">
        <v>231</v>
      </c>
      <c r="D374" s="36" t="s">
        <v>250</v>
      </c>
      <c r="E374" s="36" t="s">
        <v>267</v>
      </c>
      <c r="F374" s="36" t="s">
        <v>273</v>
      </c>
      <c r="G374" s="36" t="s">
        <v>234</v>
      </c>
      <c r="H374" s="36" t="s">
        <v>130</v>
      </c>
      <c r="I374" s="55">
        <v>0.70833333333333337</v>
      </c>
      <c r="J374" s="130">
        <v>6.0100000000000001E-2</v>
      </c>
    </row>
    <row r="375" spans="1:10">
      <c r="A375" s="36" t="str">
        <f t="shared" si="7"/>
        <v>HP06_ALL_SSP_BHV1_GB</v>
      </c>
      <c r="B375" s="36" t="s">
        <v>748</v>
      </c>
      <c r="C375" s="36" t="s">
        <v>231</v>
      </c>
      <c r="D375" s="36" t="s">
        <v>250</v>
      </c>
      <c r="E375" s="36" t="s">
        <v>267</v>
      </c>
      <c r="F375" s="36" t="s">
        <v>273</v>
      </c>
      <c r="G375" s="36" t="s">
        <v>234</v>
      </c>
      <c r="H375" s="36" t="s">
        <v>130</v>
      </c>
      <c r="I375" s="55">
        <v>0.72916666666666663</v>
      </c>
      <c r="J375" s="130">
        <v>6.3200000000000006E-2</v>
      </c>
    </row>
    <row r="376" spans="1:10">
      <c r="A376" s="36" t="str">
        <f t="shared" si="7"/>
        <v>HP06_ALL_SSP_BHV1_GB</v>
      </c>
      <c r="B376" s="36" t="s">
        <v>748</v>
      </c>
      <c r="C376" s="36" t="s">
        <v>231</v>
      </c>
      <c r="D376" s="36" t="s">
        <v>250</v>
      </c>
      <c r="E376" s="36" t="s">
        <v>267</v>
      </c>
      <c r="F376" s="36" t="s">
        <v>273</v>
      </c>
      <c r="G376" s="36" t="s">
        <v>234</v>
      </c>
      <c r="H376" s="36" t="s">
        <v>130</v>
      </c>
      <c r="I376" s="55">
        <v>0.75</v>
      </c>
      <c r="J376" s="130">
        <v>6.4500000000000002E-2</v>
      </c>
    </row>
    <row r="377" spans="1:10">
      <c r="A377" s="36" t="str">
        <f t="shared" si="7"/>
        <v>HP06_ALL_SSP_BHV1_GB</v>
      </c>
      <c r="B377" s="36" t="s">
        <v>748</v>
      </c>
      <c r="C377" s="36" t="s">
        <v>231</v>
      </c>
      <c r="D377" s="36" t="s">
        <v>250</v>
      </c>
      <c r="E377" s="36" t="s">
        <v>267</v>
      </c>
      <c r="F377" s="36" t="s">
        <v>273</v>
      </c>
      <c r="G377" s="36" t="s">
        <v>234</v>
      </c>
      <c r="H377" s="36" t="s">
        <v>130</v>
      </c>
      <c r="I377" s="55">
        <v>0.77083333333333337</v>
      </c>
      <c r="J377" s="130">
        <v>6.4600000000000005E-2</v>
      </c>
    </row>
    <row r="378" spans="1:10">
      <c r="A378" s="36" t="str">
        <f t="shared" si="7"/>
        <v>HP06_ALL_SSP_BHV1_GB</v>
      </c>
      <c r="B378" s="36" t="s">
        <v>748</v>
      </c>
      <c r="C378" s="36" t="s">
        <v>231</v>
      </c>
      <c r="D378" s="36" t="s">
        <v>250</v>
      </c>
      <c r="E378" s="36" t="s">
        <v>267</v>
      </c>
      <c r="F378" s="36" t="s">
        <v>273</v>
      </c>
      <c r="G378" s="36" t="s">
        <v>234</v>
      </c>
      <c r="H378" s="36" t="s">
        <v>130</v>
      </c>
      <c r="I378" s="55">
        <v>0.79166666666666663</v>
      </c>
      <c r="J378" s="130">
        <v>6.3E-2</v>
      </c>
    </row>
    <row r="379" spans="1:10">
      <c r="A379" s="36" t="str">
        <f t="shared" si="7"/>
        <v>HP06_ALL_SSP_BHV1_GB</v>
      </c>
      <c r="B379" s="36" t="s">
        <v>748</v>
      </c>
      <c r="C379" s="36" t="s">
        <v>231</v>
      </c>
      <c r="D379" s="36" t="s">
        <v>250</v>
      </c>
      <c r="E379" s="36" t="s">
        <v>267</v>
      </c>
      <c r="F379" s="36" t="s">
        <v>273</v>
      </c>
      <c r="G379" s="36" t="s">
        <v>234</v>
      </c>
      <c r="H379" s="36" t="s">
        <v>130</v>
      </c>
      <c r="I379" s="55">
        <v>0.8125</v>
      </c>
      <c r="J379" s="130">
        <v>0.06</v>
      </c>
    </row>
    <row r="380" spans="1:10">
      <c r="A380" s="36" t="str">
        <f t="shared" si="7"/>
        <v>HP06_ALL_SSP_BHV1_GB</v>
      </c>
      <c r="B380" s="36" t="s">
        <v>748</v>
      </c>
      <c r="C380" s="36" t="s">
        <v>231</v>
      </c>
      <c r="D380" s="36" t="s">
        <v>250</v>
      </c>
      <c r="E380" s="36" t="s">
        <v>267</v>
      </c>
      <c r="F380" s="36" t="s">
        <v>273</v>
      </c>
      <c r="G380" s="36" t="s">
        <v>234</v>
      </c>
      <c r="H380" s="36" t="s">
        <v>130</v>
      </c>
      <c r="I380" s="55">
        <v>0.83333333333333337</v>
      </c>
      <c r="J380" s="130">
        <v>5.6300000000000003E-2</v>
      </c>
    </row>
    <row r="381" spans="1:10">
      <c r="A381" s="36" t="str">
        <f t="shared" si="7"/>
        <v>HP06_ALL_SSP_BHV1_GB</v>
      </c>
      <c r="B381" s="36" t="s">
        <v>748</v>
      </c>
      <c r="C381" s="36" t="s">
        <v>231</v>
      </c>
      <c r="D381" s="36" t="s">
        <v>250</v>
      </c>
      <c r="E381" s="36" t="s">
        <v>267</v>
      </c>
      <c r="F381" s="36" t="s">
        <v>273</v>
      </c>
      <c r="G381" s="36" t="s">
        <v>234</v>
      </c>
      <c r="H381" s="36" t="s">
        <v>130</v>
      </c>
      <c r="I381" s="55">
        <v>0.85416666666666663</v>
      </c>
      <c r="J381" s="130">
        <v>5.1400000000000001E-2</v>
      </c>
    </row>
    <row r="382" spans="1:10">
      <c r="A382" s="36" t="str">
        <f t="shared" si="7"/>
        <v>HP06_ALL_SSP_BHV1_GB</v>
      </c>
      <c r="B382" s="36" t="s">
        <v>748</v>
      </c>
      <c r="C382" s="36" t="s">
        <v>231</v>
      </c>
      <c r="D382" s="36" t="s">
        <v>250</v>
      </c>
      <c r="E382" s="36" t="s">
        <v>267</v>
      </c>
      <c r="F382" s="36" t="s">
        <v>273</v>
      </c>
      <c r="G382" s="36" t="s">
        <v>234</v>
      </c>
      <c r="H382" s="36" t="s">
        <v>130</v>
      </c>
      <c r="I382" s="55">
        <v>0.875</v>
      </c>
      <c r="J382" s="130">
        <v>4.6100000000000002E-2</v>
      </c>
    </row>
    <row r="383" spans="1:10">
      <c r="A383" s="36" t="str">
        <f t="shared" si="7"/>
        <v>HP06_ALL_SSP_BHV1_GB</v>
      </c>
      <c r="B383" s="36" t="s">
        <v>748</v>
      </c>
      <c r="C383" s="36" t="s">
        <v>231</v>
      </c>
      <c r="D383" s="36" t="s">
        <v>250</v>
      </c>
      <c r="E383" s="36" t="s">
        <v>267</v>
      </c>
      <c r="F383" s="36" t="s">
        <v>273</v>
      </c>
      <c r="G383" s="36" t="s">
        <v>234</v>
      </c>
      <c r="H383" s="36" t="s">
        <v>130</v>
      </c>
      <c r="I383" s="55">
        <v>0.89583333333333337</v>
      </c>
      <c r="J383" s="130">
        <v>3.9800000000000002E-2</v>
      </c>
    </row>
    <row r="384" spans="1:10">
      <c r="A384" s="36" t="str">
        <f t="shared" si="7"/>
        <v>HP06_ALL_SSP_BHV1_GB</v>
      </c>
      <c r="B384" s="36" t="s">
        <v>748</v>
      </c>
      <c r="C384" s="36" t="s">
        <v>231</v>
      </c>
      <c r="D384" s="36" t="s">
        <v>250</v>
      </c>
      <c r="E384" s="36" t="s">
        <v>267</v>
      </c>
      <c r="F384" s="36" t="s">
        <v>273</v>
      </c>
      <c r="G384" s="36" t="s">
        <v>234</v>
      </c>
      <c r="H384" s="36" t="s">
        <v>130</v>
      </c>
      <c r="I384" s="55">
        <v>0.91666666666666663</v>
      </c>
      <c r="J384" s="130">
        <v>3.44E-2</v>
      </c>
    </row>
    <row r="385" spans="1:10">
      <c r="A385" s="36" t="str">
        <f t="shared" si="7"/>
        <v>HP06_ALL_SSP_BHV1_GB</v>
      </c>
      <c r="B385" s="36" t="s">
        <v>748</v>
      </c>
      <c r="C385" s="36" t="s">
        <v>231</v>
      </c>
      <c r="D385" s="36" t="s">
        <v>250</v>
      </c>
      <c r="E385" s="36" t="s">
        <v>267</v>
      </c>
      <c r="F385" s="36" t="s">
        <v>273</v>
      </c>
      <c r="G385" s="36" t="s">
        <v>234</v>
      </c>
      <c r="H385" s="36" t="s">
        <v>130</v>
      </c>
      <c r="I385" s="55">
        <v>0.9375</v>
      </c>
      <c r="J385" s="130">
        <v>3.0300000000000001E-2</v>
      </c>
    </row>
    <row r="386" spans="1:10">
      <c r="A386" s="36" t="str">
        <f t="shared" si="7"/>
        <v>HP06_ALL_SSP_BHV1_GB</v>
      </c>
      <c r="B386" s="36" t="s">
        <v>748</v>
      </c>
      <c r="C386" s="36" t="s">
        <v>231</v>
      </c>
      <c r="D386" s="36" t="s">
        <v>250</v>
      </c>
      <c r="E386" s="36" t="s">
        <v>267</v>
      </c>
      <c r="F386" s="36" t="s">
        <v>273</v>
      </c>
      <c r="G386" s="36" t="s">
        <v>234</v>
      </c>
      <c r="H386" s="36" t="s">
        <v>130</v>
      </c>
      <c r="I386" s="55">
        <v>0.95833333333333337</v>
      </c>
      <c r="J386" s="130">
        <v>2.8299999999999999E-2</v>
      </c>
    </row>
    <row r="387" spans="1:10">
      <c r="A387" s="36" t="str">
        <f t="shared" si="7"/>
        <v>HP06_ALL_SSP_BHV1_GB</v>
      </c>
      <c r="B387" s="36" t="s">
        <v>748</v>
      </c>
      <c r="C387" s="36" t="s">
        <v>231</v>
      </c>
      <c r="D387" s="36" t="s">
        <v>250</v>
      </c>
      <c r="E387" s="36" t="s">
        <v>267</v>
      </c>
      <c r="F387" s="36" t="s">
        <v>273</v>
      </c>
      <c r="G387" s="36" t="s">
        <v>234</v>
      </c>
      <c r="H387" s="36" t="s">
        <v>130</v>
      </c>
      <c r="I387" s="55">
        <v>0.97916666666666663</v>
      </c>
      <c r="J387" s="130">
        <v>2.7799999999999998E-2</v>
      </c>
    </row>
    <row r="388" spans="1:10">
      <c r="A388" s="36" t="str">
        <f t="shared" si="7"/>
        <v>HP06_ALL_SSP_BHV3_GB</v>
      </c>
      <c r="B388" s="36" t="s">
        <v>748</v>
      </c>
      <c r="C388" s="36" t="s">
        <v>231</v>
      </c>
      <c r="D388" s="36" t="s">
        <v>250</v>
      </c>
      <c r="E388" s="36" t="s">
        <v>267</v>
      </c>
      <c r="F388" s="36" t="s">
        <v>273</v>
      </c>
      <c r="G388" s="36" t="s">
        <v>272</v>
      </c>
      <c r="H388" s="36" t="s">
        <v>130</v>
      </c>
      <c r="I388" s="55">
        <v>0</v>
      </c>
      <c r="J388" s="130">
        <v>4.7899999999999998E-2</v>
      </c>
    </row>
    <row r="389" spans="1:10">
      <c r="A389" s="36" t="str">
        <f t="shared" si="7"/>
        <v>HP06_ALL_SSP_BHV3_GB</v>
      </c>
      <c r="B389" s="36" t="s">
        <v>748</v>
      </c>
      <c r="C389" s="36" t="s">
        <v>231</v>
      </c>
      <c r="D389" s="36" t="s">
        <v>250</v>
      </c>
      <c r="E389" s="36" t="s">
        <v>267</v>
      </c>
      <c r="F389" s="36" t="s">
        <v>273</v>
      </c>
      <c r="G389" s="36" t="s">
        <v>272</v>
      </c>
      <c r="H389" s="36" t="s">
        <v>130</v>
      </c>
      <c r="I389" s="55">
        <v>2.0833333333333332E-2</v>
      </c>
      <c r="J389" s="130">
        <v>4.8800000000000003E-2</v>
      </c>
    </row>
    <row r="390" spans="1:10">
      <c r="A390" s="36" t="str">
        <f t="shared" si="7"/>
        <v>HP06_ALL_SSP_BHV3_GB</v>
      </c>
      <c r="B390" s="36" t="s">
        <v>748</v>
      </c>
      <c r="C390" s="36" t="s">
        <v>231</v>
      </c>
      <c r="D390" s="36" t="s">
        <v>250</v>
      </c>
      <c r="E390" s="36" t="s">
        <v>267</v>
      </c>
      <c r="F390" s="36" t="s">
        <v>273</v>
      </c>
      <c r="G390" s="36" t="s">
        <v>272</v>
      </c>
      <c r="H390" s="36" t="s">
        <v>130</v>
      </c>
      <c r="I390" s="55">
        <v>4.1666666666666664E-2</v>
      </c>
      <c r="J390" s="130">
        <v>4.9799999999999997E-2</v>
      </c>
    </row>
    <row r="391" spans="1:10">
      <c r="A391" s="36" t="str">
        <f t="shared" si="7"/>
        <v>HP06_ALL_SSP_BHV3_GB</v>
      </c>
      <c r="B391" s="36" t="s">
        <v>748</v>
      </c>
      <c r="C391" s="36" t="s">
        <v>231</v>
      </c>
      <c r="D391" s="36" t="s">
        <v>250</v>
      </c>
      <c r="E391" s="36" t="s">
        <v>267</v>
      </c>
      <c r="F391" s="36" t="s">
        <v>273</v>
      </c>
      <c r="G391" s="36" t="s">
        <v>272</v>
      </c>
      <c r="H391" s="36" t="s">
        <v>130</v>
      </c>
      <c r="I391" s="55">
        <v>6.25E-2</v>
      </c>
      <c r="J391" s="130">
        <v>5.0700000000000002E-2</v>
      </c>
    </row>
    <row r="392" spans="1:10">
      <c r="A392" s="36" t="str">
        <f t="shared" si="7"/>
        <v>HP06_ALL_SSP_BHV3_GB</v>
      </c>
      <c r="B392" s="36" t="s">
        <v>748</v>
      </c>
      <c r="C392" s="36" t="s">
        <v>231</v>
      </c>
      <c r="D392" s="36" t="s">
        <v>250</v>
      </c>
      <c r="E392" s="36" t="s">
        <v>267</v>
      </c>
      <c r="F392" s="36" t="s">
        <v>273</v>
      </c>
      <c r="G392" s="36" t="s">
        <v>272</v>
      </c>
      <c r="H392" s="36" t="s">
        <v>130</v>
      </c>
      <c r="I392" s="55">
        <v>8.3333333333333329E-2</v>
      </c>
      <c r="J392" s="130">
        <v>5.1200000000000002E-2</v>
      </c>
    </row>
    <row r="393" spans="1:10">
      <c r="A393" s="36" t="str">
        <f t="shared" si="7"/>
        <v>HP06_ALL_SSP_BHV3_GB</v>
      </c>
      <c r="B393" s="36" t="s">
        <v>748</v>
      </c>
      <c r="C393" s="36" t="s">
        <v>231</v>
      </c>
      <c r="D393" s="36" t="s">
        <v>250</v>
      </c>
      <c r="E393" s="36" t="s">
        <v>267</v>
      </c>
      <c r="F393" s="36" t="s">
        <v>273</v>
      </c>
      <c r="G393" s="36" t="s">
        <v>272</v>
      </c>
      <c r="H393" s="36" t="s">
        <v>130</v>
      </c>
      <c r="I393" s="55">
        <v>0.10416666666666667</v>
      </c>
      <c r="J393" s="130">
        <v>5.1900000000000002E-2</v>
      </c>
    </row>
    <row r="394" spans="1:10">
      <c r="A394" s="36" t="str">
        <f t="shared" si="7"/>
        <v>HP06_ALL_SSP_BHV3_GB</v>
      </c>
      <c r="B394" s="36" t="s">
        <v>748</v>
      </c>
      <c r="C394" s="36" t="s">
        <v>231</v>
      </c>
      <c r="D394" s="36" t="s">
        <v>250</v>
      </c>
      <c r="E394" s="36" t="s">
        <v>267</v>
      </c>
      <c r="F394" s="36" t="s">
        <v>273</v>
      </c>
      <c r="G394" s="36" t="s">
        <v>272</v>
      </c>
      <c r="H394" s="36" t="s">
        <v>130</v>
      </c>
      <c r="I394" s="55">
        <v>0.125</v>
      </c>
      <c r="J394" s="130">
        <v>5.1900000000000002E-2</v>
      </c>
    </row>
    <row r="395" spans="1:10">
      <c r="A395" s="36" t="str">
        <f t="shared" si="7"/>
        <v>HP06_ALL_SSP_BHV3_GB</v>
      </c>
      <c r="B395" s="36" t="s">
        <v>748</v>
      </c>
      <c r="C395" s="36" t="s">
        <v>231</v>
      </c>
      <c r="D395" s="36" t="s">
        <v>250</v>
      </c>
      <c r="E395" s="36" t="s">
        <v>267</v>
      </c>
      <c r="F395" s="36" t="s">
        <v>273</v>
      </c>
      <c r="G395" s="36" t="s">
        <v>272</v>
      </c>
      <c r="H395" s="36" t="s">
        <v>130</v>
      </c>
      <c r="I395" s="55">
        <v>0.14583333333333334</v>
      </c>
      <c r="J395" s="130">
        <v>5.21E-2</v>
      </c>
    </row>
    <row r="396" spans="1:10">
      <c r="A396" s="36" t="str">
        <f t="shared" si="7"/>
        <v>HP06_ALL_SSP_BHV3_GB</v>
      </c>
      <c r="B396" s="36" t="s">
        <v>748</v>
      </c>
      <c r="C396" s="36" t="s">
        <v>231</v>
      </c>
      <c r="D396" s="36" t="s">
        <v>250</v>
      </c>
      <c r="E396" s="36" t="s">
        <v>267</v>
      </c>
      <c r="F396" s="36" t="s">
        <v>273</v>
      </c>
      <c r="G396" s="36" t="s">
        <v>272</v>
      </c>
      <c r="H396" s="36" t="s">
        <v>130</v>
      </c>
      <c r="I396" s="55">
        <v>0.16666666666666666</v>
      </c>
      <c r="J396" s="130">
        <v>5.1900000000000002E-2</v>
      </c>
    </row>
    <row r="397" spans="1:10">
      <c r="A397" s="36" t="str">
        <f t="shared" si="7"/>
        <v>HP06_ALL_SSP_BHV3_GB</v>
      </c>
      <c r="B397" s="36" t="s">
        <v>748</v>
      </c>
      <c r="C397" s="36" t="s">
        <v>231</v>
      </c>
      <c r="D397" s="36" t="s">
        <v>250</v>
      </c>
      <c r="E397" s="36" t="s">
        <v>267</v>
      </c>
      <c r="F397" s="36" t="s">
        <v>273</v>
      </c>
      <c r="G397" s="36" t="s">
        <v>272</v>
      </c>
      <c r="H397" s="36" t="s">
        <v>130</v>
      </c>
      <c r="I397" s="55">
        <v>0.1875</v>
      </c>
      <c r="J397" s="130">
        <v>5.2299999999999999E-2</v>
      </c>
    </row>
    <row r="398" spans="1:10">
      <c r="A398" s="36" t="str">
        <f t="shared" si="7"/>
        <v>HP06_ALL_SSP_BHV3_GB</v>
      </c>
      <c r="B398" s="36" t="s">
        <v>748</v>
      </c>
      <c r="C398" s="36" t="s">
        <v>231</v>
      </c>
      <c r="D398" s="36" t="s">
        <v>250</v>
      </c>
      <c r="E398" s="36" t="s">
        <v>267</v>
      </c>
      <c r="F398" s="36" t="s">
        <v>273</v>
      </c>
      <c r="G398" s="36" t="s">
        <v>272</v>
      </c>
      <c r="H398" s="36" t="s">
        <v>130</v>
      </c>
      <c r="I398" s="55">
        <v>0.20833333333333334</v>
      </c>
      <c r="J398" s="130">
        <v>5.2299999999999999E-2</v>
      </c>
    </row>
    <row r="399" spans="1:10">
      <c r="A399" s="36" t="str">
        <f t="shared" si="7"/>
        <v>HP06_ALL_SSP_BHV3_GB</v>
      </c>
      <c r="B399" s="36" t="s">
        <v>748</v>
      </c>
      <c r="C399" s="36" t="s">
        <v>231</v>
      </c>
      <c r="D399" s="36" t="s">
        <v>250</v>
      </c>
      <c r="E399" s="36" t="s">
        <v>267</v>
      </c>
      <c r="F399" s="36" t="s">
        <v>273</v>
      </c>
      <c r="G399" s="36" t="s">
        <v>272</v>
      </c>
      <c r="H399" s="36" t="s">
        <v>130</v>
      </c>
      <c r="I399" s="55">
        <v>0.22916666666666666</v>
      </c>
      <c r="J399" s="130">
        <v>5.2400000000000002E-2</v>
      </c>
    </row>
    <row r="400" spans="1:10">
      <c r="A400" s="36" t="str">
        <f t="shared" si="7"/>
        <v>HP06_ALL_SSP_BHV3_GB</v>
      </c>
      <c r="B400" s="36" t="s">
        <v>748</v>
      </c>
      <c r="C400" s="36" t="s">
        <v>231</v>
      </c>
      <c r="D400" s="36" t="s">
        <v>250</v>
      </c>
      <c r="E400" s="36" t="s">
        <v>267</v>
      </c>
      <c r="F400" s="36" t="s">
        <v>273</v>
      </c>
      <c r="G400" s="36" t="s">
        <v>272</v>
      </c>
      <c r="H400" s="36" t="s">
        <v>130</v>
      </c>
      <c r="I400" s="55">
        <v>0.25</v>
      </c>
      <c r="J400" s="130">
        <v>5.16E-2</v>
      </c>
    </row>
    <row r="401" spans="1:10">
      <c r="A401" s="36" t="str">
        <f t="shared" si="7"/>
        <v>HP06_ALL_SSP_BHV3_GB</v>
      </c>
      <c r="B401" s="36" t="s">
        <v>748</v>
      </c>
      <c r="C401" s="36" t="s">
        <v>231</v>
      </c>
      <c r="D401" s="36" t="s">
        <v>250</v>
      </c>
      <c r="E401" s="36" t="s">
        <v>267</v>
      </c>
      <c r="F401" s="36" t="s">
        <v>273</v>
      </c>
      <c r="G401" s="36" t="s">
        <v>272</v>
      </c>
      <c r="H401" s="36" t="s">
        <v>130</v>
      </c>
      <c r="I401" s="55">
        <v>0.27083333333333331</v>
      </c>
      <c r="J401" s="130">
        <v>5.0599999999999999E-2</v>
      </c>
    </row>
    <row r="402" spans="1:10">
      <c r="A402" s="36" t="str">
        <f t="shared" si="7"/>
        <v>HP06_ALL_SSP_BHV3_GB</v>
      </c>
      <c r="B402" s="36" t="s">
        <v>748</v>
      </c>
      <c r="C402" s="36" t="s">
        <v>231</v>
      </c>
      <c r="D402" s="36" t="s">
        <v>250</v>
      </c>
      <c r="E402" s="36" t="s">
        <v>267</v>
      </c>
      <c r="F402" s="36" t="s">
        <v>273</v>
      </c>
      <c r="G402" s="36" t="s">
        <v>272</v>
      </c>
      <c r="H402" s="36" t="s">
        <v>130</v>
      </c>
      <c r="I402" s="55">
        <v>0.29166666666666669</v>
      </c>
      <c r="J402" s="130">
        <v>4.9299999999999997E-2</v>
      </c>
    </row>
    <row r="403" spans="1:10">
      <c r="A403" s="36" t="str">
        <f t="shared" si="7"/>
        <v>HP06_ALL_SSP_BHV3_GB</v>
      </c>
      <c r="B403" s="36" t="s">
        <v>748</v>
      </c>
      <c r="C403" s="36" t="s">
        <v>231</v>
      </c>
      <c r="D403" s="36" t="s">
        <v>250</v>
      </c>
      <c r="E403" s="36" t="s">
        <v>267</v>
      </c>
      <c r="F403" s="36" t="s">
        <v>273</v>
      </c>
      <c r="G403" s="36" t="s">
        <v>272</v>
      </c>
      <c r="H403" s="36" t="s">
        <v>130</v>
      </c>
      <c r="I403" s="55">
        <v>0.3125</v>
      </c>
      <c r="J403" s="130">
        <v>4.8099999999999997E-2</v>
      </c>
    </row>
    <row r="404" spans="1:10">
      <c r="A404" s="36" t="str">
        <f t="shared" si="7"/>
        <v>HP06_ALL_SSP_BHV3_GB</v>
      </c>
      <c r="B404" s="36" t="s">
        <v>748</v>
      </c>
      <c r="C404" s="36" t="s">
        <v>231</v>
      </c>
      <c r="D404" s="36" t="s">
        <v>250</v>
      </c>
      <c r="E404" s="36" t="s">
        <v>267</v>
      </c>
      <c r="F404" s="36" t="s">
        <v>273</v>
      </c>
      <c r="G404" s="36" t="s">
        <v>272</v>
      </c>
      <c r="H404" s="36" t="s">
        <v>130</v>
      </c>
      <c r="I404" s="55">
        <v>0.33333333333333331</v>
      </c>
      <c r="J404" s="130">
        <v>4.6699999999999998E-2</v>
      </c>
    </row>
    <row r="405" spans="1:10">
      <c r="A405" s="36" t="str">
        <f t="shared" si="7"/>
        <v>HP06_ALL_SSP_BHV3_GB</v>
      </c>
      <c r="B405" s="36" t="s">
        <v>748</v>
      </c>
      <c r="C405" s="36" t="s">
        <v>231</v>
      </c>
      <c r="D405" s="36" t="s">
        <v>250</v>
      </c>
      <c r="E405" s="36" t="s">
        <v>267</v>
      </c>
      <c r="F405" s="36" t="s">
        <v>273</v>
      </c>
      <c r="G405" s="36" t="s">
        <v>272</v>
      </c>
      <c r="H405" s="36" t="s">
        <v>130</v>
      </c>
      <c r="I405" s="55">
        <v>0.35416666666666669</v>
      </c>
      <c r="J405" s="130">
        <v>4.5199999999999997E-2</v>
      </c>
    </row>
    <row r="406" spans="1:10">
      <c r="A406" s="36" t="str">
        <f t="shared" si="7"/>
        <v>HP06_ALL_SSP_BHV3_GB</v>
      </c>
      <c r="B406" s="36" t="s">
        <v>748</v>
      </c>
      <c r="C406" s="36" t="s">
        <v>231</v>
      </c>
      <c r="D406" s="36" t="s">
        <v>250</v>
      </c>
      <c r="E406" s="36" t="s">
        <v>267</v>
      </c>
      <c r="F406" s="36" t="s">
        <v>273</v>
      </c>
      <c r="G406" s="36" t="s">
        <v>272</v>
      </c>
      <c r="H406" s="36" t="s">
        <v>130</v>
      </c>
      <c r="I406" s="55">
        <v>0.375</v>
      </c>
      <c r="J406" s="130">
        <v>4.36E-2</v>
      </c>
    </row>
    <row r="407" spans="1:10">
      <c r="A407" s="36" t="str">
        <f t="shared" si="7"/>
        <v>HP06_ALL_SSP_BHV3_GB</v>
      </c>
      <c r="B407" s="36" t="s">
        <v>748</v>
      </c>
      <c r="C407" s="36" t="s">
        <v>231</v>
      </c>
      <c r="D407" s="36" t="s">
        <v>250</v>
      </c>
      <c r="E407" s="36" t="s">
        <v>267</v>
      </c>
      <c r="F407" s="36" t="s">
        <v>273</v>
      </c>
      <c r="G407" s="36" t="s">
        <v>272</v>
      </c>
      <c r="H407" s="36" t="s">
        <v>130</v>
      </c>
      <c r="I407" s="55">
        <v>0.39583333333333331</v>
      </c>
      <c r="J407" s="130">
        <v>4.1599999999999998E-2</v>
      </c>
    </row>
    <row r="408" spans="1:10">
      <c r="A408" s="36" t="str">
        <f t="shared" si="7"/>
        <v>HP06_ALL_SSP_BHV3_GB</v>
      </c>
      <c r="B408" s="36" t="s">
        <v>748</v>
      </c>
      <c r="C408" s="36" t="s">
        <v>231</v>
      </c>
      <c r="D408" s="36" t="s">
        <v>250</v>
      </c>
      <c r="E408" s="36" t="s">
        <v>267</v>
      </c>
      <c r="F408" s="36" t="s">
        <v>273</v>
      </c>
      <c r="G408" s="36" t="s">
        <v>272</v>
      </c>
      <c r="H408" s="36" t="s">
        <v>130</v>
      </c>
      <c r="I408" s="55">
        <v>0.41666666666666669</v>
      </c>
      <c r="J408" s="130">
        <v>3.9899999999999998E-2</v>
      </c>
    </row>
    <row r="409" spans="1:10">
      <c r="A409" s="36" t="str">
        <f t="shared" si="7"/>
        <v>HP06_ALL_SSP_BHV3_GB</v>
      </c>
      <c r="B409" s="36" t="s">
        <v>748</v>
      </c>
      <c r="C409" s="36" t="s">
        <v>231</v>
      </c>
      <c r="D409" s="36" t="s">
        <v>250</v>
      </c>
      <c r="E409" s="36" t="s">
        <v>267</v>
      </c>
      <c r="F409" s="36" t="s">
        <v>273</v>
      </c>
      <c r="G409" s="36" t="s">
        <v>272</v>
      </c>
      <c r="H409" s="36" t="s">
        <v>130</v>
      </c>
      <c r="I409" s="55">
        <v>0.4375</v>
      </c>
      <c r="J409" s="130">
        <v>3.8300000000000001E-2</v>
      </c>
    </row>
    <row r="410" spans="1:10">
      <c r="A410" s="36" t="str">
        <f t="shared" si="7"/>
        <v>HP06_ALL_SSP_BHV3_GB</v>
      </c>
      <c r="B410" s="36" t="s">
        <v>748</v>
      </c>
      <c r="C410" s="36" t="s">
        <v>231</v>
      </c>
      <c r="D410" s="36" t="s">
        <v>250</v>
      </c>
      <c r="E410" s="36" t="s">
        <v>267</v>
      </c>
      <c r="F410" s="36" t="s">
        <v>273</v>
      </c>
      <c r="G410" s="36" t="s">
        <v>272</v>
      </c>
      <c r="H410" s="36" t="s">
        <v>130</v>
      </c>
      <c r="I410" s="55">
        <v>0.45833333333333331</v>
      </c>
      <c r="J410" s="130">
        <v>3.6799999999999999E-2</v>
      </c>
    </row>
    <row r="411" spans="1:10">
      <c r="A411" s="36" t="str">
        <f t="shared" si="7"/>
        <v>HP06_ALL_SSP_BHV3_GB</v>
      </c>
      <c r="B411" s="36" t="s">
        <v>748</v>
      </c>
      <c r="C411" s="36" t="s">
        <v>231</v>
      </c>
      <c r="D411" s="36" t="s">
        <v>250</v>
      </c>
      <c r="E411" s="36" t="s">
        <v>267</v>
      </c>
      <c r="F411" s="36" t="s">
        <v>273</v>
      </c>
      <c r="G411" s="36" t="s">
        <v>272</v>
      </c>
      <c r="H411" s="36" t="s">
        <v>130</v>
      </c>
      <c r="I411" s="55">
        <v>0.47916666666666669</v>
      </c>
      <c r="J411" s="130">
        <v>3.5499999999999997E-2</v>
      </c>
    </row>
    <row r="412" spans="1:10">
      <c r="A412" s="36" t="str">
        <f t="shared" si="7"/>
        <v>HP06_ALL_SSP_BHV3_GB</v>
      </c>
      <c r="B412" s="36" t="s">
        <v>748</v>
      </c>
      <c r="C412" s="36" t="s">
        <v>231</v>
      </c>
      <c r="D412" s="36" t="s">
        <v>250</v>
      </c>
      <c r="E412" s="36" t="s">
        <v>267</v>
      </c>
      <c r="F412" s="36" t="s">
        <v>273</v>
      </c>
      <c r="G412" s="36" t="s">
        <v>272</v>
      </c>
      <c r="H412" s="36" t="s">
        <v>130</v>
      </c>
      <c r="I412" s="55">
        <v>0.5</v>
      </c>
      <c r="J412" s="130">
        <v>3.4200000000000001E-2</v>
      </c>
    </row>
    <row r="413" spans="1:10">
      <c r="A413" s="36" t="str">
        <f t="shared" si="7"/>
        <v>HP06_ALL_SSP_BHV3_GB</v>
      </c>
      <c r="B413" s="36" t="s">
        <v>748</v>
      </c>
      <c r="C413" s="36" t="s">
        <v>231</v>
      </c>
      <c r="D413" s="36" t="s">
        <v>250</v>
      </c>
      <c r="E413" s="36" t="s">
        <v>267</v>
      </c>
      <c r="F413" s="36" t="s">
        <v>273</v>
      </c>
      <c r="G413" s="36" t="s">
        <v>272</v>
      </c>
      <c r="H413" s="36" t="s">
        <v>130</v>
      </c>
      <c r="I413" s="55">
        <v>0.52083333333333337</v>
      </c>
      <c r="J413" s="130">
        <v>3.3500000000000002E-2</v>
      </c>
    </row>
    <row r="414" spans="1:10">
      <c r="A414" s="36" t="str">
        <f t="shared" si="7"/>
        <v>HP06_ALL_SSP_BHV3_GB</v>
      </c>
      <c r="B414" s="36" t="s">
        <v>748</v>
      </c>
      <c r="C414" s="36" t="s">
        <v>231</v>
      </c>
      <c r="D414" s="36" t="s">
        <v>250</v>
      </c>
      <c r="E414" s="36" t="s">
        <v>267</v>
      </c>
      <c r="F414" s="36" t="s">
        <v>273</v>
      </c>
      <c r="G414" s="36" t="s">
        <v>272</v>
      </c>
      <c r="H414" s="36" t="s">
        <v>130</v>
      </c>
      <c r="I414" s="55">
        <v>0.54166666666666663</v>
      </c>
      <c r="J414" s="130">
        <v>3.27E-2</v>
      </c>
    </row>
    <row r="415" spans="1:10">
      <c r="A415" s="36" t="str">
        <f t="shared" si="7"/>
        <v>HP06_ALL_SSP_BHV3_GB</v>
      </c>
      <c r="B415" s="36" t="s">
        <v>748</v>
      </c>
      <c r="C415" s="36" t="s">
        <v>231</v>
      </c>
      <c r="D415" s="36" t="s">
        <v>250</v>
      </c>
      <c r="E415" s="36" t="s">
        <v>267</v>
      </c>
      <c r="F415" s="36" t="s">
        <v>273</v>
      </c>
      <c r="G415" s="36" t="s">
        <v>272</v>
      </c>
      <c r="H415" s="36" t="s">
        <v>130</v>
      </c>
      <c r="I415" s="55">
        <v>0.5625</v>
      </c>
      <c r="J415" s="130">
        <v>3.2300000000000002E-2</v>
      </c>
    </row>
    <row r="416" spans="1:10">
      <c r="A416" s="36" t="str">
        <f t="shared" si="7"/>
        <v>HP06_ALL_SSP_BHV3_GB</v>
      </c>
      <c r="B416" s="36" t="s">
        <v>748</v>
      </c>
      <c r="C416" s="36" t="s">
        <v>231</v>
      </c>
      <c r="D416" s="36" t="s">
        <v>250</v>
      </c>
      <c r="E416" s="36" t="s">
        <v>267</v>
      </c>
      <c r="F416" s="36" t="s">
        <v>273</v>
      </c>
      <c r="G416" s="36" t="s">
        <v>272</v>
      </c>
      <c r="H416" s="36" t="s">
        <v>130</v>
      </c>
      <c r="I416" s="55">
        <v>0.58333333333333337</v>
      </c>
      <c r="J416" s="130">
        <v>3.2399999999999998E-2</v>
      </c>
    </row>
    <row r="417" spans="1:10">
      <c r="A417" s="36" t="str">
        <f t="shared" si="7"/>
        <v>HP06_ALL_SSP_BHV3_GB</v>
      </c>
      <c r="B417" s="36" t="s">
        <v>748</v>
      </c>
      <c r="C417" s="36" t="s">
        <v>231</v>
      </c>
      <c r="D417" s="36" t="s">
        <v>250</v>
      </c>
      <c r="E417" s="36" t="s">
        <v>267</v>
      </c>
      <c r="F417" s="36" t="s">
        <v>273</v>
      </c>
      <c r="G417" s="36" t="s">
        <v>272</v>
      </c>
      <c r="H417" s="36" t="s">
        <v>130</v>
      </c>
      <c r="I417" s="55">
        <v>0.60416666666666663</v>
      </c>
      <c r="J417" s="130">
        <v>3.2899999999999999E-2</v>
      </c>
    </row>
    <row r="418" spans="1:10">
      <c r="A418" s="36" t="str">
        <f t="shared" si="7"/>
        <v>HP06_ALL_SSP_BHV3_GB</v>
      </c>
      <c r="B418" s="36" t="s">
        <v>748</v>
      </c>
      <c r="C418" s="36" t="s">
        <v>231</v>
      </c>
      <c r="D418" s="36" t="s">
        <v>250</v>
      </c>
      <c r="E418" s="36" t="s">
        <v>267</v>
      </c>
      <c r="F418" s="36" t="s">
        <v>273</v>
      </c>
      <c r="G418" s="36" t="s">
        <v>272</v>
      </c>
      <c r="H418" s="36" t="s">
        <v>130</v>
      </c>
      <c r="I418" s="55">
        <v>0.625</v>
      </c>
      <c r="J418" s="130">
        <v>3.3300000000000003E-2</v>
      </c>
    </row>
    <row r="419" spans="1:10">
      <c r="A419" s="36" t="str">
        <f t="shared" si="7"/>
        <v>HP06_ALL_SSP_BHV3_GB</v>
      </c>
      <c r="B419" s="36" t="s">
        <v>748</v>
      </c>
      <c r="C419" s="36" t="s">
        <v>231</v>
      </c>
      <c r="D419" s="36" t="s">
        <v>250</v>
      </c>
      <c r="E419" s="36" t="s">
        <v>267</v>
      </c>
      <c r="F419" s="36" t="s">
        <v>273</v>
      </c>
      <c r="G419" s="36" t="s">
        <v>272</v>
      </c>
      <c r="H419" s="36" t="s">
        <v>130</v>
      </c>
      <c r="I419" s="55">
        <v>0.64583333333333337</v>
      </c>
      <c r="J419" s="130">
        <v>3.3700000000000001E-2</v>
      </c>
    </row>
    <row r="420" spans="1:10">
      <c r="A420" s="36" t="str">
        <f t="shared" ref="A420:A483" si="8">_xlfn.CONCAT("HP06_",INDEX(dwelling_categories_short,MATCH(E420,dwelling_categories,0)),"_",INDEX(rep_days_short,MATCH(F420,rep_days,0)),"_",INDEX(HP_behaviours_short,MATCH(G420,HP_behaviours,0)),"_",H420)</f>
        <v>HP06_ALL_SSP_BHV3_GB</v>
      </c>
      <c r="B420" s="36" t="s">
        <v>748</v>
      </c>
      <c r="C420" s="36" t="s">
        <v>231</v>
      </c>
      <c r="D420" s="36" t="s">
        <v>250</v>
      </c>
      <c r="E420" s="36" t="s">
        <v>267</v>
      </c>
      <c r="F420" s="36" t="s">
        <v>273</v>
      </c>
      <c r="G420" s="36" t="s">
        <v>272</v>
      </c>
      <c r="H420" s="36" t="s">
        <v>130</v>
      </c>
      <c r="I420" s="55">
        <v>0.66666666666666663</v>
      </c>
      <c r="J420" s="130">
        <v>3.4000000000000002E-2</v>
      </c>
    </row>
    <row r="421" spans="1:10">
      <c r="A421" s="36" t="str">
        <f t="shared" si="8"/>
        <v>HP06_ALL_SSP_BHV3_GB</v>
      </c>
      <c r="B421" s="36" t="s">
        <v>748</v>
      </c>
      <c r="C421" s="36" t="s">
        <v>231</v>
      </c>
      <c r="D421" s="36" t="s">
        <v>250</v>
      </c>
      <c r="E421" s="36" t="s">
        <v>267</v>
      </c>
      <c r="F421" s="36" t="s">
        <v>273</v>
      </c>
      <c r="G421" s="36" t="s">
        <v>272</v>
      </c>
      <c r="H421" s="36" t="s">
        <v>130</v>
      </c>
      <c r="I421" s="55">
        <v>0.6875</v>
      </c>
      <c r="J421" s="130">
        <v>3.49E-2</v>
      </c>
    </row>
    <row r="422" spans="1:10">
      <c r="A422" s="36" t="str">
        <f t="shared" si="8"/>
        <v>HP06_ALL_SSP_BHV3_GB</v>
      </c>
      <c r="B422" s="36" t="s">
        <v>748</v>
      </c>
      <c r="C422" s="36" t="s">
        <v>231</v>
      </c>
      <c r="D422" s="36" t="s">
        <v>250</v>
      </c>
      <c r="E422" s="36" t="s">
        <v>267</v>
      </c>
      <c r="F422" s="36" t="s">
        <v>273</v>
      </c>
      <c r="G422" s="36" t="s">
        <v>272</v>
      </c>
      <c r="H422" s="36" t="s">
        <v>130</v>
      </c>
      <c r="I422" s="55">
        <v>0.70833333333333337</v>
      </c>
      <c r="J422" s="130">
        <v>3.5400000000000001E-2</v>
      </c>
    </row>
    <row r="423" spans="1:10">
      <c r="A423" s="36" t="str">
        <f t="shared" si="8"/>
        <v>HP06_ALL_SSP_BHV3_GB</v>
      </c>
      <c r="B423" s="36" t="s">
        <v>748</v>
      </c>
      <c r="C423" s="36" t="s">
        <v>231</v>
      </c>
      <c r="D423" s="36" t="s">
        <v>250</v>
      </c>
      <c r="E423" s="36" t="s">
        <v>267</v>
      </c>
      <c r="F423" s="36" t="s">
        <v>273</v>
      </c>
      <c r="G423" s="36" t="s">
        <v>272</v>
      </c>
      <c r="H423" s="36" t="s">
        <v>130</v>
      </c>
      <c r="I423" s="55">
        <v>0.72916666666666663</v>
      </c>
      <c r="J423" s="130">
        <v>3.5999999999999997E-2</v>
      </c>
    </row>
    <row r="424" spans="1:10">
      <c r="A424" s="36" t="str">
        <f t="shared" si="8"/>
        <v>HP06_ALL_SSP_BHV3_GB</v>
      </c>
      <c r="B424" s="36" t="s">
        <v>748</v>
      </c>
      <c r="C424" s="36" t="s">
        <v>231</v>
      </c>
      <c r="D424" s="36" t="s">
        <v>250</v>
      </c>
      <c r="E424" s="36" t="s">
        <v>267</v>
      </c>
      <c r="F424" s="36" t="s">
        <v>273</v>
      </c>
      <c r="G424" s="36" t="s">
        <v>272</v>
      </c>
      <c r="H424" s="36" t="s">
        <v>130</v>
      </c>
      <c r="I424" s="55">
        <v>0.75</v>
      </c>
      <c r="J424" s="130">
        <v>3.61E-2</v>
      </c>
    </row>
    <row r="425" spans="1:10">
      <c r="A425" s="36" t="str">
        <f t="shared" si="8"/>
        <v>HP06_ALL_SSP_BHV3_GB</v>
      </c>
      <c r="B425" s="36" t="s">
        <v>748</v>
      </c>
      <c r="C425" s="36" t="s">
        <v>231</v>
      </c>
      <c r="D425" s="36" t="s">
        <v>250</v>
      </c>
      <c r="E425" s="36" t="s">
        <v>267</v>
      </c>
      <c r="F425" s="36" t="s">
        <v>273</v>
      </c>
      <c r="G425" s="36" t="s">
        <v>272</v>
      </c>
      <c r="H425" s="36" t="s">
        <v>130</v>
      </c>
      <c r="I425" s="55">
        <v>0.77083333333333337</v>
      </c>
      <c r="J425" s="130">
        <v>3.6600000000000001E-2</v>
      </c>
    </row>
    <row r="426" spans="1:10">
      <c r="A426" s="36" t="str">
        <f t="shared" si="8"/>
        <v>HP06_ALL_SSP_BHV3_GB</v>
      </c>
      <c r="B426" s="36" t="s">
        <v>748</v>
      </c>
      <c r="C426" s="36" t="s">
        <v>231</v>
      </c>
      <c r="D426" s="36" t="s">
        <v>250</v>
      </c>
      <c r="E426" s="36" t="s">
        <v>267</v>
      </c>
      <c r="F426" s="36" t="s">
        <v>273</v>
      </c>
      <c r="G426" s="36" t="s">
        <v>272</v>
      </c>
      <c r="H426" s="36" t="s">
        <v>130</v>
      </c>
      <c r="I426" s="55">
        <v>0.79166666666666663</v>
      </c>
      <c r="J426" s="130">
        <v>3.7100000000000001E-2</v>
      </c>
    </row>
    <row r="427" spans="1:10">
      <c r="A427" s="36" t="str">
        <f t="shared" si="8"/>
        <v>HP06_ALL_SSP_BHV3_GB</v>
      </c>
      <c r="B427" s="36" t="s">
        <v>748</v>
      </c>
      <c r="C427" s="36" t="s">
        <v>231</v>
      </c>
      <c r="D427" s="36" t="s">
        <v>250</v>
      </c>
      <c r="E427" s="36" t="s">
        <v>267</v>
      </c>
      <c r="F427" s="36" t="s">
        <v>273</v>
      </c>
      <c r="G427" s="36" t="s">
        <v>272</v>
      </c>
      <c r="H427" s="36" t="s">
        <v>130</v>
      </c>
      <c r="I427" s="55">
        <v>0.8125</v>
      </c>
      <c r="J427" s="130">
        <v>3.7600000000000001E-2</v>
      </c>
    </row>
    <row r="428" spans="1:10">
      <c r="A428" s="36" t="str">
        <f t="shared" si="8"/>
        <v>HP06_ALL_SSP_BHV3_GB</v>
      </c>
      <c r="B428" s="36" t="s">
        <v>748</v>
      </c>
      <c r="C428" s="36" t="s">
        <v>231</v>
      </c>
      <c r="D428" s="36" t="s">
        <v>250</v>
      </c>
      <c r="E428" s="36" t="s">
        <v>267</v>
      </c>
      <c r="F428" s="36" t="s">
        <v>273</v>
      </c>
      <c r="G428" s="36" t="s">
        <v>272</v>
      </c>
      <c r="H428" s="36" t="s">
        <v>130</v>
      </c>
      <c r="I428" s="55">
        <v>0.83333333333333337</v>
      </c>
      <c r="J428" s="130">
        <v>3.7900000000000003E-2</v>
      </c>
    </row>
    <row r="429" spans="1:10">
      <c r="A429" s="36" t="str">
        <f t="shared" si="8"/>
        <v>HP06_ALL_SSP_BHV3_GB</v>
      </c>
      <c r="B429" s="36" t="s">
        <v>748</v>
      </c>
      <c r="C429" s="36" t="s">
        <v>231</v>
      </c>
      <c r="D429" s="36" t="s">
        <v>250</v>
      </c>
      <c r="E429" s="36" t="s">
        <v>267</v>
      </c>
      <c r="F429" s="36" t="s">
        <v>273</v>
      </c>
      <c r="G429" s="36" t="s">
        <v>272</v>
      </c>
      <c r="H429" s="36" t="s">
        <v>130</v>
      </c>
      <c r="I429" s="55">
        <v>0.85416666666666663</v>
      </c>
      <c r="J429" s="130">
        <v>3.7999999999999999E-2</v>
      </c>
    </row>
    <row r="430" spans="1:10">
      <c r="A430" s="36" t="str">
        <f t="shared" si="8"/>
        <v>HP06_ALL_SSP_BHV3_GB</v>
      </c>
      <c r="B430" s="36" t="s">
        <v>748</v>
      </c>
      <c r="C430" s="36" t="s">
        <v>231</v>
      </c>
      <c r="D430" s="36" t="s">
        <v>250</v>
      </c>
      <c r="E430" s="36" t="s">
        <v>267</v>
      </c>
      <c r="F430" s="36" t="s">
        <v>273</v>
      </c>
      <c r="G430" s="36" t="s">
        <v>272</v>
      </c>
      <c r="H430" s="36" t="s">
        <v>130</v>
      </c>
      <c r="I430" s="55">
        <v>0.875</v>
      </c>
      <c r="J430" s="130">
        <v>3.8100000000000002E-2</v>
      </c>
    </row>
    <row r="431" spans="1:10">
      <c r="A431" s="36" t="str">
        <f t="shared" si="8"/>
        <v>HP06_ALL_SSP_BHV3_GB</v>
      </c>
      <c r="B431" s="36" t="s">
        <v>748</v>
      </c>
      <c r="C431" s="36" t="s">
        <v>231</v>
      </c>
      <c r="D431" s="36" t="s">
        <v>250</v>
      </c>
      <c r="E431" s="36" t="s">
        <v>267</v>
      </c>
      <c r="F431" s="36" t="s">
        <v>273</v>
      </c>
      <c r="G431" s="36" t="s">
        <v>272</v>
      </c>
      <c r="H431" s="36" t="s">
        <v>130</v>
      </c>
      <c r="I431" s="55">
        <v>0.89583333333333337</v>
      </c>
      <c r="J431" s="130">
        <v>3.8300000000000001E-2</v>
      </c>
    </row>
    <row r="432" spans="1:10">
      <c r="A432" s="36" t="str">
        <f t="shared" si="8"/>
        <v>HP06_ALL_SSP_BHV3_GB</v>
      </c>
      <c r="B432" s="36" t="s">
        <v>748</v>
      </c>
      <c r="C432" s="36" t="s">
        <v>231</v>
      </c>
      <c r="D432" s="36" t="s">
        <v>250</v>
      </c>
      <c r="E432" s="36" t="s">
        <v>267</v>
      </c>
      <c r="F432" s="36" t="s">
        <v>273</v>
      </c>
      <c r="G432" s="36" t="s">
        <v>272</v>
      </c>
      <c r="H432" s="36" t="s">
        <v>130</v>
      </c>
      <c r="I432" s="55">
        <v>0.91666666666666663</v>
      </c>
      <c r="J432" s="130">
        <v>3.85E-2</v>
      </c>
    </row>
    <row r="433" spans="1:10">
      <c r="A433" s="36" t="str">
        <f t="shared" si="8"/>
        <v>HP06_ALL_SSP_BHV3_GB</v>
      </c>
      <c r="B433" s="36" t="s">
        <v>748</v>
      </c>
      <c r="C433" s="36" t="s">
        <v>231</v>
      </c>
      <c r="D433" s="36" t="s">
        <v>250</v>
      </c>
      <c r="E433" s="36" t="s">
        <v>267</v>
      </c>
      <c r="F433" s="36" t="s">
        <v>273</v>
      </c>
      <c r="G433" s="36" t="s">
        <v>272</v>
      </c>
      <c r="H433" s="36" t="s">
        <v>130</v>
      </c>
      <c r="I433" s="55">
        <v>0.9375</v>
      </c>
      <c r="J433" s="130">
        <v>3.8699999999999998E-2</v>
      </c>
    </row>
    <row r="434" spans="1:10">
      <c r="A434" s="36" t="str">
        <f t="shared" si="8"/>
        <v>HP06_ALL_SSP_BHV3_GB</v>
      </c>
      <c r="B434" s="36" t="s">
        <v>748</v>
      </c>
      <c r="C434" s="36" t="s">
        <v>231</v>
      </c>
      <c r="D434" s="36" t="s">
        <v>250</v>
      </c>
      <c r="E434" s="36" t="s">
        <v>267</v>
      </c>
      <c r="F434" s="36" t="s">
        <v>273</v>
      </c>
      <c r="G434" s="36" t="s">
        <v>272</v>
      </c>
      <c r="H434" s="36" t="s">
        <v>130</v>
      </c>
      <c r="I434" s="55">
        <v>0.95833333333333337</v>
      </c>
      <c r="J434" s="130">
        <v>3.8699999999999998E-2</v>
      </c>
    </row>
    <row r="435" spans="1:10">
      <c r="A435" s="36" t="str">
        <f t="shared" si="8"/>
        <v>HP06_ALL_SSP_BHV3_GB</v>
      </c>
      <c r="B435" s="36" t="s">
        <v>748</v>
      </c>
      <c r="C435" s="36" t="s">
        <v>231</v>
      </c>
      <c r="D435" s="36" t="s">
        <v>250</v>
      </c>
      <c r="E435" s="36" t="s">
        <v>267</v>
      </c>
      <c r="F435" s="36" t="s">
        <v>273</v>
      </c>
      <c r="G435" s="36" t="s">
        <v>272</v>
      </c>
      <c r="H435" s="36" t="s">
        <v>130</v>
      </c>
      <c r="I435" s="55">
        <v>0.97916666666666663</v>
      </c>
      <c r="J435" s="130">
        <v>3.85E-2</v>
      </c>
    </row>
    <row r="436" spans="1:10">
      <c r="A436" s="36" t="str">
        <f t="shared" si="8"/>
        <v>HP06_ALL_MIN_ALL_GB</v>
      </c>
      <c r="B436" s="36" t="s">
        <v>748</v>
      </c>
      <c r="C436" s="36" t="s">
        <v>231</v>
      </c>
      <c r="D436" s="36" t="s">
        <v>250</v>
      </c>
      <c r="E436" s="36" t="s">
        <v>267</v>
      </c>
      <c r="F436" s="36" t="s">
        <v>284</v>
      </c>
      <c r="G436" s="36" t="s">
        <v>267</v>
      </c>
      <c r="H436" s="36" t="s">
        <v>130</v>
      </c>
      <c r="I436" s="55">
        <v>0</v>
      </c>
      <c r="J436" s="130">
        <v>1.41E-2</v>
      </c>
    </row>
    <row r="437" spans="1:10">
      <c r="A437" s="36" t="str">
        <f t="shared" si="8"/>
        <v>HP06_ALL_MIN_ALL_GB</v>
      </c>
      <c r="B437" s="36" t="s">
        <v>748</v>
      </c>
      <c r="C437" s="36" t="s">
        <v>231</v>
      </c>
      <c r="D437" s="36" t="s">
        <v>250</v>
      </c>
      <c r="E437" s="36" t="s">
        <v>267</v>
      </c>
      <c r="F437" s="36" t="s">
        <v>284</v>
      </c>
      <c r="G437" s="36" t="s">
        <v>267</v>
      </c>
      <c r="H437" s="36" t="s">
        <v>130</v>
      </c>
      <c r="I437" s="55">
        <v>2.0833333333333332E-2</v>
      </c>
      <c r="J437" s="130">
        <v>1.29E-2</v>
      </c>
    </row>
    <row r="438" spans="1:10">
      <c r="A438" s="36" t="str">
        <f t="shared" si="8"/>
        <v>HP06_ALL_MIN_ALL_GB</v>
      </c>
      <c r="B438" s="36" t="s">
        <v>748</v>
      </c>
      <c r="C438" s="36" t="s">
        <v>231</v>
      </c>
      <c r="D438" s="36" t="s">
        <v>250</v>
      </c>
      <c r="E438" s="36" t="s">
        <v>267</v>
      </c>
      <c r="F438" s="36" t="s">
        <v>284</v>
      </c>
      <c r="G438" s="36" t="s">
        <v>267</v>
      </c>
      <c r="H438" s="36" t="s">
        <v>130</v>
      </c>
      <c r="I438" s="55">
        <v>4.1666666666666664E-2</v>
      </c>
      <c r="J438" s="130">
        <v>1.1900000000000001E-2</v>
      </c>
    </row>
    <row r="439" spans="1:10">
      <c r="A439" s="36" t="str">
        <f t="shared" si="8"/>
        <v>HP06_ALL_MIN_ALL_GB</v>
      </c>
      <c r="B439" s="36" t="s">
        <v>748</v>
      </c>
      <c r="C439" s="36" t="s">
        <v>231</v>
      </c>
      <c r="D439" s="36" t="s">
        <v>250</v>
      </c>
      <c r="E439" s="36" t="s">
        <v>267</v>
      </c>
      <c r="F439" s="36" t="s">
        <v>284</v>
      </c>
      <c r="G439" s="36" t="s">
        <v>267</v>
      </c>
      <c r="H439" s="36" t="s">
        <v>130</v>
      </c>
      <c r="I439" s="55">
        <v>6.25E-2</v>
      </c>
      <c r="J439" s="130">
        <v>1.1599999999999999E-2</v>
      </c>
    </row>
    <row r="440" spans="1:10">
      <c r="A440" s="36" t="str">
        <f t="shared" si="8"/>
        <v>HP06_ALL_MIN_ALL_GB</v>
      </c>
      <c r="B440" s="36" t="s">
        <v>748</v>
      </c>
      <c r="C440" s="36" t="s">
        <v>231</v>
      </c>
      <c r="D440" s="36" t="s">
        <v>250</v>
      </c>
      <c r="E440" s="36" t="s">
        <v>267</v>
      </c>
      <c r="F440" s="36" t="s">
        <v>284</v>
      </c>
      <c r="G440" s="36" t="s">
        <v>267</v>
      </c>
      <c r="H440" s="36" t="s">
        <v>130</v>
      </c>
      <c r="I440" s="55">
        <v>8.3333333333333329E-2</v>
      </c>
      <c r="J440" s="130">
        <v>1.14E-2</v>
      </c>
    </row>
    <row r="441" spans="1:10">
      <c r="A441" s="36" t="str">
        <f t="shared" si="8"/>
        <v>HP06_ALL_MIN_ALL_GB</v>
      </c>
      <c r="B441" s="36" t="s">
        <v>748</v>
      </c>
      <c r="C441" s="36" t="s">
        <v>231</v>
      </c>
      <c r="D441" s="36" t="s">
        <v>250</v>
      </c>
      <c r="E441" s="36" t="s">
        <v>267</v>
      </c>
      <c r="F441" s="36" t="s">
        <v>284</v>
      </c>
      <c r="G441" s="36" t="s">
        <v>267</v>
      </c>
      <c r="H441" s="36" t="s">
        <v>130</v>
      </c>
      <c r="I441" s="55">
        <v>0.10416666666666667</v>
      </c>
      <c r="J441" s="130">
        <v>1.1299999999999999E-2</v>
      </c>
    </row>
    <row r="442" spans="1:10">
      <c r="A442" s="36" t="str">
        <f t="shared" si="8"/>
        <v>HP06_ALL_MIN_ALL_GB</v>
      </c>
      <c r="B442" s="36" t="s">
        <v>748</v>
      </c>
      <c r="C442" s="36" t="s">
        <v>231</v>
      </c>
      <c r="D442" s="36" t="s">
        <v>250</v>
      </c>
      <c r="E442" s="36" t="s">
        <v>267</v>
      </c>
      <c r="F442" s="36" t="s">
        <v>284</v>
      </c>
      <c r="G442" s="36" t="s">
        <v>267</v>
      </c>
      <c r="H442" s="36" t="s">
        <v>130</v>
      </c>
      <c r="I442" s="55">
        <v>0.125</v>
      </c>
      <c r="J442" s="130">
        <v>1.17E-2</v>
      </c>
    </row>
    <row r="443" spans="1:10">
      <c r="A443" s="36" t="str">
        <f t="shared" si="8"/>
        <v>HP06_ALL_MIN_ALL_GB</v>
      </c>
      <c r="B443" s="36" t="s">
        <v>748</v>
      </c>
      <c r="C443" s="36" t="s">
        <v>231</v>
      </c>
      <c r="D443" s="36" t="s">
        <v>250</v>
      </c>
      <c r="E443" s="36" t="s">
        <v>267</v>
      </c>
      <c r="F443" s="36" t="s">
        <v>284</v>
      </c>
      <c r="G443" s="36" t="s">
        <v>267</v>
      </c>
      <c r="H443" s="36" t="s">
        <v>130</v>
      </c>
      <c r="I443" s="55">
        <v>0.14583333333333334</v>
      </c>
      <c r="J443" s="130">
        <v>1.24E-2</v>
      </c>
    </row>
    <row r="444" spans="1:10">
      <c r="A444" s="36" t="str">
        <f t="shared" si="8"/>
        <v>HP06_ALL_MIN_ALL_GB</v>
      </c>
      <c r="B444" s="36" t="s">
        <v>748</v>
      </c>
      <c r="C444" s="36" t="s">
        <v>231</v>
      </c>
      <c r="D444" s="36" t="s">
        <v>250</v>
      </c>
      <c r="E444" s="36" t="s">
        <v>267</v>
      </c>
      <c r="F444" s="36" t="s">
        <v>284</v>
      </c>
      <c r="G444" s="36" t="s">
        <v>267</v>
      </c>
      <c r="H444" s="36" t="s">
        <v>130</v>
      </c>
      <c r="I444" s="55">
        <v>0.16666666666666666</v>
      </c>
      <c r="J444" s="130">
        <v>1.4E-2</v>
      </c>
    </row>
    <row r="445" spans="1:10">
      <c r="A445" s="36" t="str">
        <f t="shared" si="8"/>
        <v>HP06_ALL_MIN_ALL_GB</v>
      </c>
      <c r="B445" s="36" t="s">
        <v>748</v>
      </c>
      <c r="C445" s="36" t="s">
        <v>231</v>
      </c>
      <c r="D445" s="36" t="s">
        <v>250</v>
      </c>
      <c r="E445" s="36" t="s">
        <v>267</v>
      </c>
      <c r="F445" s="36" t="s">
        <v>284</v>
      </c>
      <c r="G445" s="36" t="s">
        <v>267</v>
      </c>
      <c r="H445" s="36" t="s">
        <v>130</v>
      </c>
      <c r="I445" s="55">
        <v>0.1875</v>
      </c>
      <c r="J445" s="130">
        <v>1.7000000000000001E-2</v>
      </c>
    </row>
    <row r="446" spans="1:10">
      <c r="A446" s="36" t="str">
        <f t="shared" si="8"/>
        <v>HP06_ALL_MIN_ALL_GB</v>
      </c>
      <c r="B446" s="36" t="s">
        <v>748</v>
      </c>
      <c r="C446" s="36" t="s">
        <v>231</v>
      </c>
      <c r="D446" s="36" t="s">
        <v>250</v>
      </c>
      <c r="E446" s="36" t="s">
        <v>267</v>
      </c>
      <c r="F446" s="36" t="s">
        <v>284</v>
      </c>
      <c r="G446" s="36" t="s">
        <v>267</v>
      </c>
      <c r="H446" s="36" t="s">
        <v>130</v>
      </c>
      <c r="I446" s="55">
        <v>0.20833333333333334</v>
      </c>
      <c r="J446" s="130">
        <v>2.52E-2</v>
      </c>
    </row>
    <row r="447" spans="1:10">
      <c r="A447" s="36" t="str">
        <f t="shared" si="8"/>
        <v>HP06_ALL_MIN_ALL_GB</v>
      </c>
      <c r="B447" s="36" t="s">
        <v>748</v>
      </c>
      <c r="C447" s="36" t="s">
        <v>231</v>
      </c>
      <c r="D447" s="36" t="s">
        <v>250</v>
      </c>
      <c r="E447" s="36" t="s">
        <v>267</v>
      </c>
      <c r="F447" s="36" t="s">
        <v>284</v>
      </c>
      <c r="G447" s="36" t="s">
        <v>267</v>
      </c>
      <c r="H447" s="36" t="s">
        <v>130</v>
      </c>
      <c r="I447" s="55">
        <v>0.22916666666666666</v>
      </c>
      <c r="J447" s="130">
        <v>3.73E-2</v>
      </c>
    </row>
    <row r="448" spans="1:10">
      <c r="A448" s="36" t="str">
        <f t="shared" si="8"/>
        <v>HP06_ALL_MIN_ALL_GB</v>
      </c>
      <c r="B448" s="36" t="s">
        <v>748</v>
      </c>
      <c r="C448" s="36" t="s">
        <v>231</v>
      </c>
      <c r="D448" s="36" t="s">
        <v>250</v>
      </c>
      <c r="E448" s="36" t="s">
        <v>267</v>
      </c>
      <c r="F448" s="36" t="s">
        <v>284</v>
      </c>
      <c r="G448" s="36" t="s">
        <v>267</v>
      </c>
      <c r="H448" s="36" t="s">
        <v>130</v>
      </c>
      <c r="I448" s="55">
        <v>0.25</v>
      </c>
      <c r="J448" s="130">
        <v>5.7700000000000001E-2</v>
      </c>
    </row>
    <row r="449" spans="1:10">
      <c r="A449" s="36" t="str">
        <f t="shared" si="8"/>
        <v>HP06_ALL_MIN_ALL_GB</v>
      </c>
      <c r="B449" s="36" t="s">
        <v>748</v>
      </c>
      <c r="C449" s="36" t="s">
        <v>231</v>
      </c>
      <c r="D449" s="36" t="s">
        <v>250</v>
      </c>
      <c r="E449" s="36" t="s">
        <v>267</v>
      </c>
      <c r="F449" s="36" t="s">
        <v>284</v>
      </c>
      <c r="G449" s="36" t="s">
        <v>267</v>
      </c>
      <c r="H449" s="36" t="s">
        <v>130</v>
      </c>
      <c r="I449" s="55">
        <v>0.27083333333333331</v>
      </c>
      <c r="J449" s="130">
        <v>7.9799999999999996E-2</v>
      </c>
    </row>
    <row r="450" spans="1:10">
      <c r="A450" s="36" t="str">
        <f t="shared" si="8"/>
        <v>HP06_ALL_MIN_ALL_GB</v>
      </c>
      <c r="B450" s="36" t="s">
        <v>748</v>
      </c>
      <c r="C450" s="36" t="s">
        <v>231</v>
      </c>
      <c r="D450" s="36" t="s">
        <v>250</v>
      </c>
      <c r="E450" s="36" t="s">
        <v>267</v>
      </c>
      <c r="F450" s="36" t="s">
        <v>284</v>
      </c>
      <c r="G450" s="36" t="s">
        <v>267</v>
      </c>
      <c r="H450" s="36" t="s">
        <v>130</v>
      </c>
      <c r="I450" s="55">
        <v>0.29166666666666669</v>
      </c>
      <c r="J450" s="130">
        <v>8.9599999999999999E-2</v>
      </c>
    </row>
    <row r="451" spans="1:10">
      <c r="A451" s="36" t="str">
        <f t="shared" si="8"/>
        <v>HP06_ALL_MIN_ALL_GB</v>
      </c>
      <c r="B451" s="36" t="s">
        <v>748</v>
      </c>
      <c r="C451" s="36" t="s">
        <v>231</v>
      </c>
      <c r="D451" s="36" t="s">
        <v>250</v>
      </c>
      <c r="E451" s="36" t="s">
        <v>267</v>
      </c>
      <c r="F451" s="36" t="s">
        <v>284</v>
      </c>
      <c r="G451" s="36" t="s">
        <v>267</v>
      </c>
      <c r="H451" s="36" t="s">
        <v>130</v>
      </c>
      <c r="I451" s="55">
        <v>0.3125</v>
      </c>
      <c r="J451" s="130">
        <v>8.5199999999999998E-2</v>
      </c>
    </row>
    <row r="452" spans="1:10">
      <c r="A452" s="36" t="str">
        <f t="shared" si="8"/>
        <v>HP06_ALL_MIN_ALL_GB</v>
      </c>
      <c r="B452" s="36" t="s">
        <v>748</v>
      </c>
      <c r="C452" s="36" t="s">
        <v>231</v>
      </c>
      <c r="D452" s="36" t="s">
        <v>250</v>
      </c>
      <c r="E452" s="36" t="s">
        <v>267</v>
      </c>
      <c r="F452" s="36" t="s">
        <v>284</v>
      </c>
      <c r="G452" s="36" t="s">
        <v>267</v>
      </c>
      <c r="H452" s="36" t="s">
        <v>130</v>
      </c>
      <c r="I452" s="55">
        <v>0.33333333333333331</v>
      </c>
      <c r="J452" s="130">
        <v>7.5200000000000003E-2</v>
      </c>
    </row>
    <row r="453" spans="1:10">
      <c r="A453" s="36" t="str">
        <f t="shared" si="8"/>
        <v>HP06_ALL_MIN_ALL_GB</v>
      </c>
      <c r="B453" s="36" t="s">
        <v>748</v>
      </c>
      <c r="C453" s="36" t="s">
        <v>231</v>
      </c>
      <c r="D453" s="36" t="s">
        <v>250</v>
      </c>
      <c r="E453" s="36" t="s">
        <v>267</v>
      </c>
      <c r="F453" s="36" t="s">
        <v>284</v>
      </c>
      <c r="G453" s="36" t="s">
        <v>267</v>
      </c>
      <c r="H453" s="36" t="s">
        <v>130</v>
      </c>
      <c r="I453" s="55">
        <v>0.35416666666666669</v>
      </c>
      <c r="J453" s="130">
        <v>6.2600000000000003E-2</v>
      </c>
    </row>
    <row r="454" spans="1:10">
      <c r="A454" s="36" t="str">
        <f t="shared" si="8"/>
        <v>HP06_ALL_MIN_ALL_GB</v>
      </c>
      <c r="B454" s="36" t="s">
        <v>748</v>
      </c>
      <c r="C454" s="36" t="s">
        <v>231</v>
      </c>
      <c r="D454" s="36" t="s">
        <v>250</v>
      </c>
      <c r="E454" s="36" t="s">
        <v>267</v>
      </c>
      <c r="F454" s="36" t="s">
        <v>284</v>
      </c>
      <c r="G454" s="36" t="s">
        <v>267</v>
      </c>
      <c r="H454" s="36" t="s">
        <v>130</v>
      </c>
      <c r="I454" s="55">
        <v>0.375</v>
      </c>
      <c r="J454" s="130">
        <v>5.3800000000000001E-2</v>
      </c>
    </row>
    <row r="455" spans="1:10">
      <c r="A455" s="36" t="str">
        <f t="shared" si="8"/>
        <v>HP06_ALL_MIN_ALL_GB</v>
      </c>
      <c r="B455" s="36" t="s">
        <v>748</v>
      </c>
      <c r="C455" s="36" t="s">
        <v>231</v>
      </c>
      <c r="D455" s="36" t="s">
        <v>250</v>
      </c>
      <c r="E455" s="36" t="s">
        <v>267</v>
      </c>
      <c r="F455" s="36" t="s">
        <v>284</v>
      </c>
      <c r="G455" s="36" t="s">
        <v>267</v>
      </c>
      <c r="H455" s="36" t="s">
        <v>130</v>
      </c>
      <c r="I455" s="55">
        <v>0.39583333333333331</v>
      </c>
      <c r="J455" s="130">
        <v>4.6600000000000003E-2</v>
      </c>
    </row>
    <row r="456" spans="1:10">
      <c r="A456" s="36" t="str">
        <f t="shared" si="8"/>
        <v>HP06_ALL_MIN_ALL_GB</v>
      </c>
      <c r="B456" s="36" t="s">
        <v>748</v>
      </c>
      <c r="C456" s="36" t="s">
        <v>231</v>
      </c>
      <c r="D456" s="36" t="s">
        <v>250</v>
      </c>
      <c r="E456" s="36" t="s">
        <v>267</v>
      </c>
      <c r="F456" s="36" t="s">
        <v>284</v>
      </c>
      <c r="G456" s="36" t="s">
        <v>267</v>
      </c>
      <c r="H456" s="36" t="s">
        <v>130</v>
      </c>
      <c r="I456" s="55">
        <v>0.41666666666666669</v>
      </c>
      <c r="J456" s="130">
        <v>4.1099999999999998E-2</v>
      </c>
    </row>
    <row r="457" spans="1:10">
      <c r="A457" s="36" t="str">
        <f t="shared" si="8"/>
        <v>HP06_ALL_MIN_ALL_GB</v>
      </c>
      <c r="B457" s="36" t="s">
        <v>748</v>
      </c>
      <c r="C457" s="36" t="s">
        <v>231</v>
      </c>
      <c r="D457" s="36" t="s">
        <v>250</v>
      </c>
      <c r="E457" s="36" t="s">
        <v>267</v>
      </c>
      <c r="F457" s="36" t="s">
        <v>284</v>
      </c>
      <c r="G457" s="36" t="s">
        <v>267</v>
      </c>
      <c r="H457" s="36" t="s">
        <v>130</v>
      </c>
      <c r="I457" s="55">
        <v>0.4375</v>
      </c>
      <c r="J457" s="130">
        <v>3.7199999999999997E-2</v>
      </c>
    </row>
    <row r="458" spans="1:10">
      <c r="A458" s="36" t="str">
        <f t="shared" si="8"/>
        <v>HP06_ALL_MIN_ALL_GB</v>
      </c>
      <c r="B458" s="36" t="s">
        <v>748</v>
      </c>
      <c r="C458" s="36" t="s">
        <v>231</v>
      </c>
      <c r="D458" s="36" t="s">
        <v>250</v>
      </c>
      <c r="E458" s="36" t="s">
        <v>267</v>
      </c>
      <c r="F458" s="36" t="s">
        <v>284</v>
      </c>
      <c r="G458" s="36" t="s">
        <v>267</v>
      </c>
      <c r="H458" s="36" t="s">
        <v>130</v>
      </c>
      <c r="I458" s="55">
        <v>0.45833333333333331</v>
      </c>
      <c r="J458" s="130">
        <v>3.5099999999999999E-2</v>
      </c>
    </row>
    <row r="459" spans="1:10">
      <c r="A459" s="36" t="str">
        <f t="shared" si="8"/>
        <v>HP06_ALL_MIN_ALL_GB</v>
      </c>
      <c r="B459" s="36" t="s">
        <v>748</v>
      </c>
      <c r="C459" s="36" t="s">
        <v>231</v>
      </c>
      <c r="D459" s="36" t="s">
        <v>250</v>
      </c>
      <c r="E459" s="36" t="s">
        <v>267</v>
      </c>
      <c r="F459" s="36" t="s">
        <v>284</v>
      </c>
      <c r="G459" s="36" t="s">
        <v>267</v>
      </c>
      <c r="H459" s="36" t="s">
        <v>130</v>
      </c>
      <c r="I459" s="55">
        <v>0.47916666666666669</v>
      </c>
      <c r="J459" s="130">
        <v>3.5400000000000001E-2</v>
      </c>
    </row>
    <row r="460" spans="1:10">
      <c r="A460" s="36" t="str">
        <f t="shared" si="8"/>
        <v>HP06_ALL_MIN_ALL_GB</v>
      </c>
      <c r="B460" s="36" t="s">
        <v>748</v>
      </c>
      <c r="C460" s="36" t="s">
        <v>231</v>
      </c>
      <c r="D460" s="36" t="s">
        <v>250</v>
      </c>
      <c r="E460" s="36" t="s">
        <v>267</v>
      </c>
      <c r="F460" s="36" t="s">
        <v>284</v>
      </c>
      <c r="G460" s="36" t="s">
        <v>267</v>
      </c>
      <c r="H460" s="36" t="s">
        <v>130</v>
      </c>
      <c r="I460" s="55">
        <v>0.5</v>
      </c>
      <c r="J460" s="130">
        <v>3.7400000000000003E-2</v>
      </c>
    </row>
    <row r="461" spans="1:10">
      <c r="A461" s="36" t="str">
        <f t="shared" si="8"/>
        <v>HP06_ALL_MIN_ALL_GB</v>
      </c>
      <c r="B461" s="36" t="s">
        <v>748</v>
      </c>
      <c r="C461" s="36" t="s">
        <v>231</v>
      </c>
      <c r="D461" s="36" t="s">
        <v>250</v>
      </c>
      <c r="E461" s="36" t="s">
        <v>267</v>
      </c>
      <c r="F461" s="36" t="s">
        <v>284</v>
      </c>
      <c r="G461" s="36" t="s">
        <v>267</v>
      </c>
      <c r="H461" s="36" t="s">
        <v>130</v>
      </c>
      <c r="I461" s="55">
        <v>0.52083333333333337</v>
      </c>
      <c r="J461" s="130">
        <v>3.61E-2</v>
      </c>
    </row>
    <row r="462" spans="1:10">
      <c r="A462" s="36" t="str">
        <f t="shared" si="8"/>
        <v>HP06_ALL_MIN_ALL_GB</v>
      </c>
      <c r="B462" s="36" t="s">
        <v>748</v>
      </c>
      <c r="C462" s="36" t="s">
        <v>231</v>
      </c>
      <c r="D462" s="36" t="s">
        <v>250</v>
      </c>
      <c r="E462" s="36" t="s">
        <v>267</v>
      </c>
      <c r="F462" s="36" t="s">
        <v>284</v>
      </c>
      <c r="G462" s="36" t="s">
        <v>267</v>
      </c>
      <c r="H462" s="36" t="s">
        <v>130</v>
      </c>
      <c r="I462" s="55">
        <v>0.54166666666666663</v>
      </c>
      <c r="J462" s="130">
        <v>3.39E-2</v>
      </c>
    </row>
    <row r="463" spans="1:10">
      <c r="A463" s="36" t="str">
        <f t="shared" si="8"/>
        <v>HP06_ALL_MIN_ALL_GB</v>
      </c>
      <c r="B463" s="36" t="s">
        <v>748</v>
      </c>
      <c r="C463" s="36" t="s">
        <v>231</v>
      </c>
      <c r="D463" s="36" t="s">
        <v>250</v>
      </c>
      <c r="E463" s="36" t="s">
        <v>267</v>
      </c>
      <c r="F463" s="36" t="s">
        <v>284</v>
      </c>
      <c r="G463" s="36" t="s">
        <v>267</v>
      </c>
      <c r="H463" s="36" t="s">
        <v>130</v>
      </c>
      <c r="I463" s="55">
        <v>0.5625</v>
      </c>
      <c r="J463" s="130">
        <v>3.15E-2</v>
      </c>
    </row>
    <row r="464" spans="1:10">
      <c r="A464" s="36" t="str">
        <f t="shared" si="8"/>
        <v>HP06_ALL_MIN_ALL_GB</v>
      </c>
      <c r="B464" s="36" t="s">
        <v>748</v>
      </c>
      <c r="C464" s="36" t="s">
        <v>231</v>
      </c>
      <c r="D464" s="36" t="s">
        <v>250</v>
      </c>
      <c r="E464" s="36" t="s">
        <v>267</v>
      </c>
      <c r="F464" s="36" t="s">
        <v>284</v>
      </c>
      <c r="G464" s="36" t="s">
        <v>267</v>
      </c>
      <c r="H464" s="36" t="s">
        <v>130</v>
      </c>
      <c r="I464" s="55">
        <v>0.58333333333333337</v>
      </c>
      <c r="J464" s="130">
        <v>2.98E-2</v>
      </c>
    </row>
    <row r="465" spans="1:10">
      <c r="A465" s="36" t="str">
        <f t="shared" si="8"/>
        <v>HP06_ALL_MIN_ALL_GB</v>
      </c>
      <c r="B465" s="36" t="s">
        <v>748</v>
      </c>
      <c r="C465" s="36" t="s">
        <v>231</v>
      </c>
      <c r="D465" s="36" t="s">
        <v>250</v>
      </c>
      <c r="E465" s="36" t="s">
        <v>267</v>
      </c>
      <c r="F465" s="36" t="s">
        <v>284</v>
      </c>
      <c r="G465" s="36" t="s">
        <v>267</v>
      </c>
      <c r="H465" s="36" t="s">
        <v>130</v>
      </c>
      <c r="I465" s="55">
        <v>0.60416666666666663</v>
      </c>
      <c r="J465" s="130">
        <v>3.0200000000000001E-2</v>
      </c>
    </row>
    <row r="466" spans="1:10">
      <c r="A466" s="36" t="str">
        <f t="shared" si="8"/>
        <v>HP06_ALL_MIN_ALL_GB</v>
      </c>
      <c r="B466" s="36" t="s">
        <v>748</v>
      </c>
      <c r="C466" s="36" t="s">
        <v>231</v>
      </c>
      <c r="D466" s="36" t="s">
        <v>250</v>
      </c>
      <c r="E466" s="36" t="s">
        <v>267</v>
      </c>
      <c r="F466" s="36" t="s">
        <v>284</v>
      </c>
      <c r="G466" s="36" t="s">
        <v>267</v>
      </c>
      <c r="H466" s="36" t="s">
        <v>130</v>
      </c>
      <c r="I466" s="55">
        <v>0.625</v>
      </c>
      <c r="J466" s="130">
        <v>3.1800000000000002E-2</v>
      </c>
    </row>
    <row r="467" spans="1:10">
      <c r="A467" s="36" t="str">
        <f t="shared" si="8"/>
        <v>HP06_ALL_MIN_ALL_GB</v>
      </c>
      <c r="B467" s="36" t="s">
        <v>748</v>
      </c>
      <c r="C467" s="36" t="s">
        <v>231</v>
      </c>
      <c r="D467" s="36" t="s">
        <v>250</v>
      </c>
      <c r="E467" s="36" t="s">
        <v>267</v>
      </c>
      <c r="F467" s="36" t="s">
        <v>284</v>
      </c>
      <c r="G467" s="36" t="s">
        <v>267</v>
      </c>
      <c r="H467" s="36" t="s">
        <v>130</v>
      </c>
      <c r="I467" s="55">
        <v>0.64583333333333337</v>
      </c>
      <c r="J467" s="130">
        <v>3.9800000000000002E-2</v>
      </c>
    </row>
    <row r="468" spans="1:10">
      <c r="A468" s="36" t="str">
        <f t="shared" si="8"/>
        <v>HP06_ALL_MIN_ALL_GB</v>
      </c>
      <c r="B468" s="36" t="s">
        <v>748</v>
      </c>
      <c r="C468" s="36" t="s">
        <v>231</v>
      </c>
      <c r="D468" s="36" t="s">
        <v>250</v>
      </c>
      <c r="E468" s="36" t="s">
        <v>267</v>
      </c>
      <c r="F468" s="36" t="s">
        <v>284</v>
      </c>
      <c r="G468" s="36" t="s">
        <v>267</v>
      </c>
      <c r="H468" s="36" t="s">
        <v>130</v>
      </c>
      <c r="I468" s="55">
        <v>0.66666666666666663</v>
      </c>
      <c r="J468" s="130">
        <v>5.4699999999999999E-2</v>
      </c>
    </row>
    <row r="469" spans="1:10">
      <c r="A469" s="36" t="str">
        <f t="shared" si="8"/>
        <v>HP06_ALL_MIN_ALL_GB</v>
      </c>
      <c r="B469" s="36" t="s">
        <v>748</v>
      </c>
      <c r="C469" s="36" t="s">
        <v>231</v>
      </c>
      <c r="D469" s="36" t="s">
        <v>250</v>
      </c>
      <c r="E469" s="36" t="s">
        <v>267</v>
      </c>
      <c r="F469" s="36" t="s">
        <v>284</v>
      </c>
      <c r="G469" s="36" t="s">
        <v>267</v>
      </c>
      <c r="H469" s="36" t="s">
        <v>130</v>
      </c>
      <c r="I469" s="55">
        <v>0.6875</v>
      </c>
      <c r="J469" s="130">
        <v>7.2900000000000006E-2</v>
      </c>
    </row>
    <row r="470" spans="1:10">
      <c r="A470" s="36" t="str">
        <f t="shared" si="8"/>
        <v>HP06_ALL_MIN_ALL_GB</v>
      </c>
      <c r="B470" s="36" t="s">
        <v>748</v>
      </c>
      <c r="C470" s="36" t="s">
        <v>231</v>
      </c>
      <c r="D470" s="36" t="s">
        <v>250</v>
      </c>
      <c r="E470" s="36" t="s">
        <v>267</v>
      </c>
      <c r="F470" s="36" t="s">
        <v>284</v>
      </c>
      <c r="G470" s="36" t="s">
        <v>267</v>
      </c>
      <c r="H470" s="36" t="s">
        <v>130</v>
      </c>
      <c r="I470" s="55">
        <v>0.70833333333333337</v>
      </c>
      <c r="J470" s="130">
        <v>8.2799999999999999E-2</v>
      </c>
    </row>
    <row r="471" spans="1:10">
      <c r="A471" s="36" t="str">
        <f t="shared" si="8"/>
        <v>HP06_ALL_MIN_ALL_GB</v>
      </c>
      <c r="B471" s="36" t="s">
        <v>748</v>
      </c>
      <c r="C471" s="36" t="s">
        <v>231</v>
      </c>
      <c r="D471" s="36" t="s">
        <v>250</v>
      </c>
      <c r="E471" s="36" t="s">
        <v>267</v>
      </c>
      <c r="F471" s="36" t="s">
        <v>284</v>
      </c>
      <c r="G471" s="36" t="s">
        <v>267</v>
      </c>
      <c r="H471" s="36" t="s">
        <v>130</v>
      </c>
      <c r="I471" s="55">
        <v>0.72916666666666663</v>
      </c>
      <c r="J471" s="130">
        <v>7.9600000000000004E-2</v>
      </c>
    </row>
    <row r="472" spans="1:10">
      <c r="A472" s="36" t="str">
        <f t="shared" si="8"/>
        <v>HP06_ALL_MIN_ALL_GB</v>
      </c>
      <c r="B472" s="36" t="s">
        <v>748</v>
      </c>
      <c r="C472" s="36" t="s">
        <v>231</v>
      </c>
      <c r="D472" s="36" t="s">
        <v>250</v>
      </c>
      <c r="E472" s="36" t="s">
        <v>267</v>
      </c>
      <c r="F472" s="36" t="s">
        <v>284</v>
      </c>
      <c r="G472" s="36" t="s">
        <v>267</v>
      </c>
      <c r="H472" s="36" t="s">
        <v>130</v>
      </c>
      <c r="I472" s="55">
        <v>0.75</v>
      </c>
      <c r="J472" s="130">
        <v>7.8799999999999995E-2</v>
      </c>
    </row>
    <row r="473" spans="1:10">
      <c r="A473" s="36" t="str">
        <f t="shared" si="8"/>
        <v>HP06_ALL_MIN_ALL_GB</v>
      </c>
      <c r="B473" s="36" t="s">
        <v>748</v>
      </c>
      <c r="C473" s="36" t="s">
        <v>231</v>
      </c>
      <c r="D473" s="36" t="s">
        <v>250</v>
      </c>
      <c r="E473" s="36" t="s">
        <v>267</v>
      </c>
      <c r="F473" s="36" t="s">
        <v>284</v>
      </c>
      <c r="G473" s="36" t="s">
        <v>267</v>
      </c>
      <c r="H473" s="36" t="s">
        <v>130</v>
      </c>
      <c r="I473" s="55">
        <v>0.77083333333333337</v>
      </c>
      <c r="J473" s="130">
        <v>7.2999999999999995E-2</v>
      </c>
    </row>
    <row r="474" spans="1:10">
      <c r="A474" s="36" t="str">
        <f t="shared" si="8"/>
        <v>HP06_ALL_MIN_ALL_GB</v>
      </c>
      <c r="B474" s="36" t="s">
        <v>748</v>
      </c>
      <c r="C474" s="36" t="s">
        <v>231</v>
      </c>
      <c r="D474" s="36" t="s">
        <v>250</v>
      </c>
      <c r="E474" s="36" t="s">
        <v>267</v>
      </c>
      <c r="F474" s="36" t="s">
        <v>284</v>
      </c>
      <c r="G474" s="36" t="s">
        <v>267</v>
      </c>
      <c r="H474" s="36" t="s">
        <v>130</v>
      </c>
      <c r="I474" s="55">
        <v>0.79166666666666663</v>
      </c>
      <c r="J474" s="130">
        <v>6.6000000000000003E-2</v>
      </c>
    </row>
    <row r="475" spans="1:10">
      <c r="A475" s="36" t="str">
        <f t="shared" si="8"/>
        <v>HP06_ALL_MIN_ALL_GB</v>
      </c>
      <c r="B475" s="36" t="s">
        <v>748</v>
      </c>
      <c r="C475" s="36" t="s">
        <v>231</v>
      </c>
      <c r="D475" s="36" t="s">
        <v>250</v>
      </c>
      <c r="E475" s="36" t="s">
        <v>267</v>
      </c>
      <c r="F475" s="36" t="s">
        <v>284</v>
      </c>
      <c r="G475" s="36" t="s">
        <v>267</v>
      </c>
      <c r="H475" s="36" t="s">
        <v>130</v>
      </c>
      <c r="I475" s="55">
        <v>0.8125</v>
      </c>
      <c r="J475" s="130">
        <v>5.79E-2</v>
      </c>
    </row>
    <row r="476" spans="1:10">
      <c r="A476" s="36" t="str">
        <f t="shared" si="8"/>
        <v>HP06_ALL_MIN_ALL_GB</v>
      </c>
      <c r="B476" s="36" t="s">
        <v>748</v>
      </c>
      <c r="C476" s="36" t="s">
        <v>231</v>
      </c>
      <c r="D476" s="36" t="s">
        <v>250</v>
      </c>
      <c r="E476" s="36" t="s">
        <v>267</v>
      </c>
      <c r="F476" s="36" t="s">
        <v>284</v>
      </c>
      <c r="G476" s="36" t="s">
        <v>267</v>
      </c>
      <c r="H476" s="36" t="s">
        <v>130</v>
      </c>
      <c r="I476" s="55">
        <v>0.83333333333333337</v>
      </c>
      <c r="J476" s="130">
        <v>5.1799999999999999E-2</v>
      </c>
    </row>
    <row r="477" spans="1:10">
      <c r="A477" s="36" t="str">
        <f t="shared" si="8"/>
        <v>HP06_ALL_MIN_ALL_GB</v>
      </c>
      <c r="B477" s="36" t="s">
        <v>748</v>
      </c>
      <c r="C477" s="36" t="s">
        <v>231</v>
      </c>
      <c r="D477" s="36" t="s">
        <v>250</v>
      </c>
      <c r="E477" s="36" t="s">
        <v>267</v>
      </c>
      <c r="F477" s="36" t="s">
        <v>284</v>
      </c>
      <c r="G477" s="36" t="s">
        <v>267</v>
      </c>
      <c r="H477" s="36" t="s">
        <v>130</v>
      </c>
      <c r="I477" s="55">
        <v>0.85416666666666663</v>
      </c>
      <c r="J477" s="130">
        <v>4.65E-2</v>
      </c>
    </row>
    <row r="478" spans="1:10">
      <c r="A478" s="36" t="str">
        <f t="shared" si="8"/>
        <v>HP06_ALL_MIN_ALL_GB</v>
      </c>
      <c r="B478" s="36" t="s">
        <v>748</v>
      </c>
      <c r="C478" s="36" t="s">
        <v>231</v>
      </c>
      <c r="D478" s="36" t="s">
        <v>250</v>
      </c>
      <c r="E478" s="36" t="s">
        <v>267</v>
      </c>
      <c r="F478" s="36" t="s">
        <v>284</v>
      </c>
      <c r="G478" s="36" t="s">
        <v>267</v>
      </c>
      <c r="H478" s="36" t="s">
        <v>130</v>
      </c>
      <c r="I478" s="55">
        <v>0.875</v>
      </c>
      <c r="J478" s="130">
        <v>4.1099999999999998E-2</v>
      </c>
    </row>
    <row r="479" spans="1:10">
      <c r="A479" s="36" t="str">
        <f t="shared" si="8"/>
        <v>HP06_ALL_MIN_ALL_GB</v>
      </c>
      <c r="B479" s="36" t="s">
        <v>748</v>
      </c>
      <c r="C479" s="36" t="s">
        <v>231</v>
      </c>
      <c r="D479" s="36" t="s">
        <v>250</v>
      </c>
      <c r="E479" s="36" t="s">
        <v>267</v>
      </c>
      <c r="F479" s="36" t="s">
        <v>284</v>
      </c>
      <c r="G479" s="36" t="s">
        <v>267</v>
      </c>
      <c r="H479" s="36" t="s">
        <v>130</v>
      </c>
      <c r="I479" s="55">
        <v>0.89583333333333337</v>
      </c>
      <c r="J479" s="130">
        <v>3.6299999999999999E-2</v>
      </c>
    </row>
    <row r="480" spans="1:10">
      <c r="A480" s="36" t="str">
        <f t="shared" si="8"/>
        <v>HP06_ALL_MIN_ALL_GB</v>
      </c>
      <c r="B480" s="36" t="s">
        <v>748</v>
      </c>
      <c r="C480" s="36" t="s">
        <v>231</v>
      </c>
      <c r="D480" s="36" t="s">
        <v>250</v>
      </c>
      <c r="E480" s="36" t="s">
        <v>267</v>
      </c>
      <c r="F480" s="36" t="s">
        <v>284</v>
      </c>
      <c r="G480" s="36" t="s">
        <v>267</v>
      </c>
      <c r="H480" s="36" t="s">
        <v>130</v>
      </c>
      <c r="I480" s="55">
        <v>0.91666666666666663</v>
      </c>
      <c r="J480" s="130">
        <v>3.27E-2</v>
      </c>
    </row>
    <row r="481" spans="1:10">
      <c r="A481" s="36" t="str">
        <f t="shared" si="8"/>
        <v>HP06_ALL_MIN_ALL_GB</v>
      </c>
      <c r="B481" s="36" t="s">
        <v>748</v>
      </c>
      <c r="C481" s="36" t="s">
        <v>231</v>
      </c>
      <c r="D481" s="36" t="s">
        <v>250</v>
      </c>
      <c r="E481" s="36" t="s">
        <v>267</v>
      </c>
      <c r="F481" s="36" t="s">
        <v>284</v>
      </c>
      <c r="G481" s="36" t="s">
        <v>267</v>
      </c>
      <c r="H481" s="36" t="s">
        <v>130</v>
      </c>
      <c r="I481" s="55">
        <v>0.9375</v>
      </c>
      <c r="J481" s="130">
        <v>2.6800000000000001E-2</v>
      </c>
    </row>
    <row r="482" spans="1:10">
      <c r="A482" s="36" t="str">
        <f t="shared" si="8"/>
        <v>HP06_ALL_MIN_ALL_GB</v>
      </c>
      <c r="B482" s="36" t="s">
        <v>748</v>
      </c>
      <c r="C482" s="36" t="s">
        <v>231</v>
      </c>
      <c r="D482" s="36" t="s">
        <v>250</v>
      </c>
      <c r="E482" s="36" t="s">
        <v>267</v>
      </c>
      <c r="F482" s="36" t="s">
        <v>284</v>
      </c>
      <c r="G482" s="36" t="s">
        <v>267</v>
      </c>
      <c r="H482" s="36" t="s">
        <v>130</v>
      </c>
      <c r="I482" s="55">
        <v>0.95833333333333337</v>
      </c>
      <c r="J482" s="130">
        <v>2.12E-2</v>
      </c>
    </row>
    <row r="483" spans="1:10">
      <c r="A483" s="36" t="str">
        <f t="shared" si="8"/>
        <v>HP06_ALL_MIN_ALL_GB</v>
      </c>
      <c r="B483" s="36" t="s">
        <v>748</v>
      </c>
      <c r="C483" s="36" t="s">
        <v>231</v>
      </c>
      <c r="D483" s="36" t="s">
        <v>250</v>
      </c>
      <c r="E483" s="36" t="s">
        <v>267</v>
      </c>
      <c r="F483" s="36" t="s">
        <v>284</v>
      </c>
      <c r="G483" s="36" t="s">
        <v>267</v>
      </c>
      <c r="H483" s="36" t="s">
        <v>130</v>
      </c>
      <c r="I483" s="55">
        <v>0.97916666666666663</v>
      </c>
      <c r="J483" s="130">
        <v>1.72E-2</v>
      </c>
    </row>
  </sheetData>
  <hyperlinks>
    <hyperlink ref="A1" location="Contents!A1" display="Back to contents" xr:uid="{64D1AF8B-383E-4E07-9E68-9113CDE7256B}"/>
    <hyperlink ref="A2" location="'HP CPA Summary Table'!A1" display="Back to HP CPA Summary Table" xr:uid="{D8FD2851-9105-49F9-9195-12712AABEB6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36A3D-6941-4CAB-80A1-BF82DCBA340F}">
  <sheetPr>
    <tabColor theme="8" tint="0.79998168889431442"/>
  </sheetPr>
  <dimension ref="A1:I11"/>
  <sheetViews>
    <sheetView showGridLines="0" workbookViewId="0">
      <pane xSplit="1" ySplit="3" topLeftCell="B4" activePane="bottomRight" state="frozen"/>
      <selection pane="bottomRight"/>
      <selection pane="bottomLeft"/>
      <selection pane="topRight"/>
    </sheetView>
  </sheetViews>
  <sheetFormatPr defaultRowHeight="20.45"/>
  <cols>
    <col min="1" max="1" width="28.8984375" customWidth="1"/>
    <col min="2" max="2" width="5.8984375" customWidth="1"/>
    <col min="3" max="4" width="12.19921875" customWidth="1"/>
    <col min="5" max="5" width="24.19921875" customWidth="1"/>
    <col min="6" max="6" width="40.19921875" customWidth="1"/>
    <col min="7" max="7" width="24.19921875" customWidth="1"/>
    <col min="8" max="8" width="30.5" customWidth="1"/>
    <col min="9" max="9" width="15.8984375" customWidth="1"/>
  </cols>
  <sheetData>
    <row r="1" spans="1:9">
      <c r="A1" s="98" t="s">
        <v>57</v>
      </c>
    </row>
    <row r="2" spans="1:9">
      <c r="A2" s="98" t="s">
        <v>742</v>
      </c>
    </row>
    <row r="3" spans="1:9">
      <c r="A3" s="170" t="s">
        <v>162</v>
      </c>
      <c r="B3" s="170" t="s">
        <v>340</v>
      </c>
      <c r="C3" s="170" t="s">
        <v>166</v>
      </c>
      <c r="D3" s="170" t="s">
        <v>172</v>
      </c>
      <c r="E3" s="170" t="s">
        <v>115</v>
      </c>
      <c r="F3" s="170" t="s">
        <v>483</v>
      </c>
      <c r="G3" s="170" t="s">
        <v>743</v>
      </c>
      <c r="H3" s="170" t="s">
        <v>485</v>
      </c>
      <c r="I3" s="170" t="s">
        <v>488</v>
      </c>
    </row>
    <row r="4" spans="1:9">
      <c r="A4" s="36" t="str">
        <f t="shared" ref="A4:A11" si="0">_xlfn.CONCAT("HP07_",INDEX(dwelling_categories_short,MATCH(E4,dwelling_categories,0)),"_",INDEX(rep_days_short,MATCH(F4,rep_days,0)),"_",INDEX(HP_behaviours_short,MATCH(G4,HP_behaviours,0)),"_",H4)</f>
        <v>HP07_ALL_WP_BHV2_GB</v>
      </c>
      <c r="B4" s="36" t="s">
        <v>403</v>
      </c>
      <c r="C4" s="36" t="s">
        <v>231</v>
      </c>
      <c r="D4" s="36" t="s">
        <v>250</v>
      </c>
      <c r="E4" s="36" t="s">
        <v>267</v>
      </c>
      <c r="F4" s="36" t="s">
        <v>235</v>
      </c>
      <c r="G4" s="36" t="s">
        <v>253</v>
      </c>
      <c r="H4" s="36" t="s">
        <v>130</v>
      </c>
      <c r="I4" s="74">
        <v>0.46</v>
      </c>
    </row>
    <row r="5" spans="1:9">
      <c r="A5" s="36" t="str">
        <f t="shared" si="0"/>
        <v>HP07_ALL_WP_BHV1_GB</v>
      </c>
      <c r="B5" s="36" t="s">
        <v>403</v>
      </c>
      <c r="C5" s="36" t="s">
        <v>231</v>
      </c>
      <c r="D5" s="36" t="s">
        <v>250</v>
      </c>
      <c r="E5" s="36" t="s">
        <v>267</v>
      </c>
      <c r="F5" s="36" t="s">
        <v>235</v>
      </c>
      <c r="G5" s="36" t="s">
        <v>234</v>
      </c>
      <c r="H5" s="36" t="s">
        <v>130</v>
      </c>
      <c r="I5" s="74">
        <v>0.40500000000000003</v>
      </c>
    </row>
    <row r="6" spans="1:9">
      <c r="A6" s="36" t="str">
        <f t="shared" si="0"/>
        <v>HP07_ALL_WP_BHV3_GB</v>
      </c>
      <c r="B6" s="36" t="s">
        <v>403</v>
      </c>
      <c r="C6" s="36" t="s">
        <v>231</v>
      </c>
      <c r="D6" s="36" t="s">
        <v>250</v>
      </c>
      <c r="E6" s="36" t="s">
        <v>267</v>
      </c>
      <c r="F6" s="36" t="s">
        <v>235</v>
      </c>
      <c r="G6" s="36" t="s">
        <v>272</v>
      </c>
      <c r="H6" s="36" t="s">
        <v>130</v>
      </c>
      <c r="I6" s="74">
        <v>0.13500000000000001</v>
      </c>
    </row>
    <row r="7" spans="1:9">
      <c r="A7" s="36" t="str">
        <f t="shared" si="0"/>
        <v>HP07_ALL_SP_ALL_GB</v>
      </c>
      <c r="B7" s="36" t="s">
        <v>403</v>
      </c>
      <c r="C7" s="36" t="s">
        <v>231</v>
      </c>
      <c r="D7" s="36" t="s">
        <v>250</v>
      </c>
      <c r="E7" s="36" t="s">
        <v>267</v>
      </c>
      <c r="F7" s="36" t="s">
        <v>254</v>
      </c>
      <c r="G7" s="36" t="s">
        <v>267</v>
      </c>
      <c r="H7" s="36" t="s">
        <v>130</v>
      </c>
      <c r="I7" s="53">
        <v>1</v>
      </c>
    </row>
    <row r="8" spans="1:9">
      <c r="A8" s="36" t="str">
        <f t="shared" si="0"/>
        <v>HP07_ALL_SSP_BHV2_GB</v>
      </c>
      <c r="B8" s="36" t="s">
        <v>403</v>
      </c>
      <c r="C8" s="36" t="s">
        <v>231</v>
      </c>
      <c r="D8" s="36" t="s">
        <v>250</v>
      </c>
      <c r="E8" s="36" t="s">
        <v>267</v>
      </c>
      <c r="F8" s="36" t="s">
        <v>273</v>
      </c>
      <c r="G8" s="36" t="s">
        <v>253</v>
      </c>
      <c r="H8" s="36" t="s">
        <v>130</v>
      </c>
      <c r="I8" s="74">
        <v>0.44800000000000001</v>
      </c>
    </row>
    <row r="9" spans="1:9">
      <c r="A9" s="36" t="str">
        <f t="shared" si="0"/>
        <v>HP07_ALL_SSP_BHV1_GB</v>
      </c>
      <c r="B9" s="36" t="s">
        <v>403</v>
      </c>
      <c r="C9" s="36" t="s">
        <v>231</v>
      </c>
      <c r="D9" s="36" t="s">
        <v>250</v>
      </c>
      <c r="E9" s="36" t="s">
        <v>267</v>
      </c>
      <c r="F9" s="36" t="s">
        <v>273</v>
      </c>
      <c r="G9" s="36" t="s">
        <v>234</v>
      </c>
      <c r="H9" s="36" t="s">
        <v>130</v>
      </c>
      <c r="I9" s="74">
        <v>0.46</v>
      </c>
    </row>
    <row r="10" spans="1:9">
      <c r="A10" s="36" t="str">
        <f t="shared" si="0"/>
        <v>HP07_ALL_SSP_BHV3_GB</v>
      </c>
      <c r="B10" s="36" t="s">
        <v>403</v>
      </c>
      <c r="C10" s="36" t="s">
        <v>231</v>
      </c>
      <c r="D10" s="36" t="s">
        <v>250</v>
      </c>
      <c r="E10" s="36" t="s">
        <v>267</v>
      </c>
      <c r="F10" s="36" t="s">
        <v>273</v>
      </c>
      <c r="G10" s="36" t="s">
        <v>272</v>
      </c>
      <c r="H10" s="36" t="s">
        <v>130</v>
      </c>
      <c r="I10" s="74">
        <v>9.1999999999999998E-2</v>
      </c>
    </row>
    <row r="11" spans="1:9">
      <c r="A11" s="36" t="str">
        <f t="shared" si="0"/>
        <v>HP07_ALL_MIN_ALL_GB</v>
      </c>
      <c r="B11" s="36" t="s">
        <v>403</v>
      </c>
      <c r="C11" s="36" t="s">
        <v>231</v>
      </c>
      <c r="D11" s="36" t="s">
        <v>250</v>
      </c>
      <c r="E11" s="36" t="s">
        <v>267</v>
      </c>
      <c r="F11" s="36" t="s">
        <v>284</v>
      </c>
      <c r="G11" s="36" t="s">
        <v>267</v>
      </c>
      <c r="H11" s="36" t="s">
        <v>130</v>
      </c>
      <c r="I11" s="53">
        <v>1</v>
      </c>
    </row>
  </sheetData>
  <hyperlinks>
    <hyperlink ref="A1" location="Contents!A1" display="Back to contents" xr:uid="{9EE9C7AC-245A-4B39-A9B5-EDB0C789408E}"/>
    <hyperlink ref="A2" location="'HP CPA Summary Table'!A1" display="Back to HP CPA Summary Table" xr:uid="{CEDC3B10-8BF2-4393-89DE-092CA886B13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D696F-114C-4770-A4D3-1F48D34FFB62}">
  <sheetPr>
    <tabColor theme="8" tint="0.79998168889431442"/>
  </sheetPr>
  <dimension ref="A1:L90"/>
  <sheetViews>
    <sheetView showGridLines="0" workbookViewId="0">
      <pane xSplit="1" ySplit="3" topLeftCell="B4" activePane="bottomRight" state="frozen"/>
      <selection pane="bottomRight"/>
      <selection pane="bottomLeft" activeCell="C8" sqref="C8"/>
      <selection pane="topRight" activeCell="C8" sqref="C8"/>
    </sheetView>
  </sheetViews>
  <sheetFormatPr defaultRowHeight="20.45"/>
  <cols>
    <col min="1" max="1" width="26.8984375" customWidth="1"/>
    <col min="2" max="2" width="23.19921875" customWidth="1"/>
    <col min="3" max="4" width="12.19921875" customWidth="1"/>
    <col min="5" max="5" width="24.19921875" customWidth="1"/>
    <col min="6" max="6" width="40.19921875" customWidth="1"/>
    <col min="7" max="7" width="24.19921875" customWidth="1"/>
    <col min="8" max="8" width="22.5" bestFit="1" customWidth="1"/>
    <col min="9" max="9" width="32" customWidth="1"/>
    <col min="10" max="10" width="32.5" bestFit="1" customWidth="1"/>
    <col min="11" max="11" width="11.5" bestFit="1" customWidth="1"/>
  </cols>
  <sheetData>
    <row r="1" spans="1:11">
      <c r="A1" s="98" t="s">
        <v>57</v>
      </c>
    </row>
    <row r="2" spans="1:11">
      <c r="A2" s="98" t="s">
        <v>742</v>
      </c>
    </row>
    <row r="3" spans="1:11" ht="22.5" customHeight="1">
      <c r="A3" s="170" t="s">
        <v>162</v>
      </c>
      <c r="B3" s="170" t="s">
        <v>340</v>
      </c>
      <c r="C3" s="170" t="s">
        <v>166</v>
      </c>
      <c r="D3" s="170" t="s">
        <v>172</v>
      </c>
      <c r="E3" s="170" t="s">
        <v>115</v>
      </c>
      <c r="F3" s="170" t="s">
        <v>483</v>
      </c>
      <c r="G3" s="170" t="s">
        <v>743</v>
      </c>
      <c r="H3" s="170" t="s">
        <v>485</v>
      </c>
      <c r="I3" s="170" t="s">
        <v>753</v>
      </c>
      <c r="J3" s="170" t="s">
        <v>754</v>
      </c>
      <c r="K3" s="170" t="s">
        <v>488</v>
      </c>
    </row>
    <row r="4" spans="1:11">
      <c r="A4" s="36" t="str">
        <f t="shared" ref="A4:A22" si="0">_xlfn.CONCAT("HP08_",INDEX(dwelling_categories_short,MATCH(E4,dwelling_categories,0)),"_",INDEX(rep_days_short,MATCH(F4,rep_days,0)),"_",INDEX(HP_behaviours_short,MATCH(G4,HP_behaviours,0)),"_",H4)</f>
        <v>HP08_ALL_WP_ALL_GB</v>
      </c>
      <c r="B4" s="36" t="s">
        <v>443</v>
      </c>
      <c r="C4" s="36" t="s">
        <v>231</v>
      </c>
      <c r="D4" s="36" t="s">
        <v>250</v>
      </c>
      <c r="E4" s="36" t="s">
        <v>267</v>
      </c>
      <c r="F4" s="36" t="s">
        <v>235</v>
      </c>
      <c r="G4" s="36" t="s">
        <v>267</v>
      </c>
      <c r="H4" s="36" t="s">
        <v>130</v>
      </c>
      <c r="I4" s="36">
        <v>1</v>
      </c>
      <c r="J4" s="36">
        <v>1</v>
      </c>
      <c r="K4" s="56">
        <v>3.1720000000000002</v>
      </c>
    </row>
    <row r="5" spans="1:11">
      <c r="A5" s="36" t="str">
        <f t="shared" si="0"/>
        <v>HP08_ALL_WP_ALL_GB</v>
      </c>
      <c r="B5" s="36" t="s">
        <v>443</v>
      </c>
      <c r="C5" s="36" t="s">
        <v>231</v>
      </c>
      <c r="D5" s="36" t="s">
        <v>250</v>
      </c>
      <c r="E5" s="36" t="s">
        <v>267</v>
      </c>
      <c r="F5" s="36" t="s">
        <v>235</v>
      </c>
      <c r="G5" s="36" t="s">
        <v>267</v>
      </c>
      <c r="H5" s="36" t="s">
        <v>130</v>
      </c>
      <c r="I5" s="36">
        <v>2</v>
      </c>
      <c r="J5" s="36">
        <v>2</v>
      </c>
      <c r="K5" s="56">
        <v>2.5049999999999999</v>
      </c>
    </row>
    <row r="6" spans="1:11">
      <c r="A6" s="36" t="str">
        <f t="shared" si="0"/>
        <v>HP08_ALL_WP_ALL_GB</v>
      </c>
      <c r="B6" s="36" t="s">
        <v>443</v>
      </c>
      <c r="C6" s="36" t="s">
        <v>231</v>
      </c>
      <c r="D6" s="36" t="s">
        <v>250</v>
      </c>
      <c r="E6" s="36" t="s">
        <v>267</v>
      </c>
      <c r="F6" s="36" t="s">
        <v>235</v>
      </c>
      <c r="G6" s="36" t="s">
        <v>267</v>
      </c>
      <c r="H6" s="36" t="s">
        <v>130</v>
      </c>
      <c r="I6" s="36">
        <v>3</v>
      </c>
      <c r="J6" s="36">
        <v>3</v>
      </c>
      <c r="K6" s="56">
        <v>2.1720000000000002</v>
      </c>
    </row>
    <row r="7" spans="1:11">
      <c r="A7" s="36" t="str">
        <f t="shared" si="0"/>
        <v>HP08_ALL_WP_ALL_GB</v>
      </c>
      <c r="B7" s="36" t="s">
        <v>443</v>
      </c>
      <c r="C7" s="36" t="s">
        <v>231</v>
      </c>
      <c r="D7" s="36" t="s">
        <v>250</v>
      </c>
      <c r="E7" s="36" t="s">
        <v>267</v>
      </c>
      <c r="F7" s="36" t="s">
        <v>235</v>
      </c>
      <c r="G7" s="36" t="s">
        <v>267</v>
      </c>
      <c r="H7" s="36" t="s">
        <v>130</v>
      </c>
      <c r="I7" s="36">
        <v>4</v>
      </c>
      <c r="J7" s="36">
        <v>4</v>
      </c>
      <c r="K7" s="56">
        <v>1.966</v>
      </c>
    </row>
    <row r="8" spans="1:11">
      <c r="A8" s="36" t="str">
        <f t="shared" si="0"/>
        <v>HP08_ALL_WP_ALL_GB</v>
      </c>
      <c r="B8" s="36" t="s">
        <v>443</v>
      </c>
      <c r="C8" s="36" t="s">
        <v>231</v>
      </c>
      <c r="D8" s="36" t="s">
        <v>250</v>
      </c>
      <c r="E8" s="36" t="s">
        <v>267</v>
      </c>
      <c r="F8" s="36" t="s">
        <v>235</v>
      </c>
      <c r="G8" s="36" t="s">
        <v>267</v>
      </c>
      <c r="H8" s="36" t="s">
        <v>130</v>
      </c>
      <c r="I8" s="36">
        <v>5</v>
      </c>
      <c r="J8" s="36">
        <v>5</v>
      </c>
      <c r="K8" s="56">
        <v>1.8120000000000001</v>
      </c>
    </row>
    <row r="9" spans="1:11">
      <c r="A9" s="36" t="str">
        <f t="shared" si="0"/>
        <v>HP08_ALL_WP_ALL_GB</v>
      </c>
      <c r="B9" s="36" t="s">
        <v>443</v>
      </c>
      <c r="C9" s="36" t="s">
        <v>231</v>
      </c>
      <c r="D9" s="36" t="s">
        <v>250</v>
      </c>
      <c r="E9" s="36" t="s">
        <v>267</v>
      </c>
      <c r="F9" s="36" t="s">
        <v>235</v>
      </c>
      <c r="G9" s="36" t="s">
        <v>267</v>
      </c>
      <c r="H9" s="36" t="s">
        <v>130</v>
      </c>
      <c r="I9" s="36">
        <v>6</v>
      </c>
      <c r="J9" s="36">
        <v>6</v>
      </c>
      <c r="K9" s="56">
        <v>1.748</v>
      </c>
    </row>
    <row r="10" spans="1:11">
      <c r="A10" s="36" t="str">
        <f t="shared" si="0"/>
        <v>HP08_ALL_WP_ALL_GB</v>
      </c>
      <c r="B10" s="36" t="s">
        <v>443</v>
      </c>
      <c r="C10" s="36" t="s">
        <v>231</v>
      </c>
      <c r="D10" s="36" t="s">
        <v>250</v>
      </c>
      <c r="E10" s="36" t="s">
        <v>267</v>
      </c>
      <c r="F10" s="36" t="s">
        <v>235</v>
      </c>
      <c r="G10" s="36" t="s">
        <v>267</v>
      </c>
      <c r="H10" s="36" t="s">
        <v>130</v>
      </c>
      <c r="I10" s="36">
        <v>7</v>
      </c>
      <c r="J10" s="36">
        <v>9</v>
      </c>
      <c r="K10" s="56">
        <v>1.6679999999999999</v>
      </c>
    </row>
    <row r="11" spans="1:11">
      <c r="A11" s="36" t="str">
        <f t="shared" si="0"/>
        <v>HP08_ALL_WP_ALL_GB</v>
      </c>
      <c r="B11" s="36" t="s">
        <v>443</v>
      </c>
      <c r="C11" s="36" t="s">
        <v>231</v>
      </c>
      <c r="D11" s="36" t="s">
        <v>250</v>
      </c>
      <c r="E11" s="36" t="s">
        <v>267</v>
      </c>
      <c r="F11" s="36" t="s">
        <v>235</v>
      </c>
      <c r="G11" s="36" t="s">
        <v>267</v>
      </c>
      <c r="H11" s="36" t="s">
        <v>130</v>
      </c>
      <c r="I11" s="36">
        <v>10</v>
      </c>
      <c r="J11" s="36">
        <v>12</v>
      </c>
      <c r="K11" s="56">
        <v>1.5249999999999999</v>
      </c>
    </row>
    <row r="12" spans="1:11">
      <c r="A12" s="36" t="str">
        <f t="shared" si="0"/>
        <v>HP08_ALL_WP_ALL_GB</v>
      </c>
      <c r="B12" s="36" t="s">
        <v>443</v>
      </c>
      <c r="C12" s="36" t="s">
        <v>231</v>
      </c>
      <c r="D12" s="36" t="s">
        <v>250</v>
      </c>
      <c r="E12" s="36" t="s">
        <v>267</v>
      </c>
      <c r="F12" s="36" t="s">
        <v>235</v>
      </c>
      <c r="G12" s="36" t="s">
        <v>267</v>
      </c>
      <c r="H12" s="36" t="s">
        <v>130</v>
      </c>
      <c r="I12" s="36">
        <v>13</v>
      </c>
      <c r="J12" s="36">
        <v>15</v>
      </c>
      <c r="K12" s="56">
        <v>1.484</v>
      </c>
    </row>
    <row r="13" spans="1:11">
      <c r="A13" s="36" t="str">
        <f t="shared" si="0"/>
        <v>HP08_ALL_WP_ALL_GB</v>
      </c>
      <c r="B13" s="36" t="s">
        <v>443</v>
      </c>
      <c r="C13" s="36" t="s">
        <v>231</v>
      </c>
      <c r="D13" s="36" t="s">
        <v>250</v>
      </c>
      <c r="E13" s="36" t="s">
        <v>267</v>
      </c>
      <c r="F13" s="36" t="s">
        <v>235</v>
      </c>
      <c r="G13" s="36" t="s">
        <v>267</v>
      </c>
      <c r="H13" s="36" t="s">
        <v>130</v>
      </c>
      <c r="I13" s="36">
        <v>16</v>
      </c>
      <c r="J13" s="36">
        <v>19</v>
      </c>
      <c r="K13" s="56">
        <v>1.421</v>
      </c>
    </row>
    <row r="14" spans="1:11">
      <c r="A14" s="36" t="str">
        <f t="shared" si="0"/>
        <v>HP08_ALL_WP_ALL_GB</v>
      </c>
      <c r="B14" s="36" t="s">
        <v>443</v>
      </c>
      <c r="C14" s="36" t="s">
        <v>231</v>
      </c>
      <c r="D14" s="36" t="s">
        <v>250</v>
      </c>
      <c r="E14" s="36" t="s">
        <v>267</v>
      </c>
      <c r="F14" s="36" t="s">
        <v>235</v>
      </c>
      <c r="G14" s="36" t="s">
        <v>267</v>
      </c>
      <c r="H14" s="36" t="s">
        <v>130</v>
      </c>
      <c r="I14" s="36">
        <v>20</v>
      </c>
      <c r="J14" s="36">
        <v>24</v>
      </c>
      <c r="K14" s="56">
        <v>1.359</v>
      </c>
    </row>
    <row r="15" spans="1:11">
      <c r="A15" s="36" t="str">
        <f t="shared" si="0"/>
        <v>HP08_ALL_WP_ALL_GB</v>
      </c>
      <c r="B15" s="36" t="s">
        <v>443</v>
      </c>
      <c r="C15" s="36" t="s">
        <v>231</v>
      </c>
      <c r="D15" s="36" t="s">
        <v>250</v>
      </c>
      <c r="E15" s="36" t="s">
        <v>267</v>
      </c>
      <c r="F15" s="36" t="s">
        <v>235</v>
      </c>
      <c r="G15" s="36" t="s">
        <v>267</v>
      </c>
      <c r="H15" s="36" t="s">
        <v>130</v>
      </c>
      <c r="I15" s="36">
        <v>25</v>
      </c>
      <c r="J15" s="36">
        <v>29</v>
      </c>
      <c r="K15" s="56">
        <v>1.3220000000000001</v>
      </c>
    </row>
    <row r="16" spans="1:11">
      <c r="A16" s="36" t="str">
        <f t="shared" si="0"/>
        <v>HP08_ALL_WP_ALL_GB</v>
      </c>
      <c r="B16" s="36" t="s">
        <v>443</v>
      </c>
      <c r="C16" s="36" t="s">
        <v>231</v>
      </c>
      <c r="D16" s="36" t="s">
        <v>250</v>
      </c>
      <c r="E16" s="36" t="s">
        <v>267</v>
      </c>
      <c r="F16" s="36" t="s">
        <v>235</v>
      </c>
      <c r="G16" s="36" t="s">
        <v>267</v>
      </c>
      <c r="H16" s="36" t="s">
        <v>130</v>
      </c>
      <c r="I16" s="36">
        <v>30</v>
      </c>
      <c r="J16" s="36">
        <v>39</v>
      </c>
      <c r="K16" s="56">
        <v>1.284</v>
      </c>
    </row>
    <row r="17" spans="1:12">
      <c r="A17" s="36" t="str">
        <f t="shared" si="0"/>
        <v>HP08_ALL_WP_ALL_GB</v>
      </c>
      <c r="B17" s="36" t="s">
        <v>443</v>
      </c>
      <c r="C17" s="36" t="s">
        <v>231</v>
      </c>
      <c r="D17" s="36" t="s">
        <v>250</v>
      </c>
      <c r="E17" s="36" t="s">
        <v>267</v>
      </c>
      <c r="F17" s="36" t="s">
        <v>235</v>
      </c>
      <c r="G17" s="36" t="s">
        <v>267</v>
      </c>
      <c r="H17" s="36" t="s">
        <v>130</v>
      </c>
      <c r="I17" s="36">
        <v>40</v>
      </c>
      <c r="J17" s="36">
        <v>54</v>
      </c>
      <c r="K17" s="56">
        <v>1.2350000000000001</v>
      </c>
    </row>
    <row r="18" spans="1:12">
      <c r="A18" s="36" t="str">
        <f t="shared" si="0"/>
        <v>HP08_ALL_WP_ALL_GB</v>
      </c>
      <c r="B18" s="36" t="s">
        <v>443</v>
      </c>
      <c r="C18" s="36" t="s">
        <v>231</v>
      </c>
      <c r="D18" s="36" t="s">
        <v>250</v>
      </c>
      <c r="E18" s="36" t="s">
        <v>267</v>
      </c>
      <c r="F18" s="36" t="s">
        <v>235</v>
      </c>
      <c r="G18" s="36" t="s">
        <v>267</v>
      </c>
      <c r="H18" s="36" t="s">
        <v>130</v>
      </c>
      <c r="I18" s="36">
        <v>55</v>
      </c>
      <c r="J18" s="36" t="s">
        <v>269</v>
      </c>
      <c r="K18" s="56">
        <v>1</v>
      </c>
    </row>
    <row r="19" spans="1:12">
      <c r="A19" s="36" t="str">
        <f t="shared" si="0"/>
        <v>HP08_ALL_SP_ALL_GB</v>
      </c>
      <c r="B19" s="36" t="s">
        <v>443</v>
      </c>
      <c r="C19" s="36" t="s">
        <v>231</v>
      </c>
      <c r="D19" s="36" t="s">
        <v>250</v>
      </c>
      <c r="E19" s="36" t="s">
        <v>267</v>
      </c>
      <c r="F19" s="36" t="s">
        <v>254</v>
      </c>
      <c r="G19" s="36" t="s">
        <v>267</v>
      </c>
      <c r="H19" s="36" t="s">
        <v>130</v>
      </c>
      <c r="I19" s="36">
        <v>1</v>
      </c>
      <c r="J19" s="36">
        <v>1</v>
      </c>
      <c r="K19" s="56">
        <v>19.303999999999998</v>
      </c>
      <c r="L19" s="28"/>
    </row>
    <row r="20" spans="1:12">
      <c r="A20" s="36" t="str">
        <f t="shared" si="0"/>
        <v>HP08_ALL_SP_ALL_GB</v>
      </c>
      <c r="B20" s="36" t="s">
        <v>443</v>
      </c>
      <c r="C20" s="36" t="s">
        <v>231</v>
      </c>
      <c r="D20" s="36" t="s">
        <v>250</v>
      </c>
      <c r="E20" s="36" t="s">
        <v>267</v>
      </c>
      <c r="F20" s="36" t="s">
        <v>254</v>
      </c>
      <c r="G20" s="36" t="s">
        <v>267</v>
      </c>
      <c r="H20" s="36" t="s">
        <v>130</v>
      </c>
      <c r="I20" s="36">
        <v>2</v>
      </c>
      <c r="J20" s="36">
        <v>2</v>
      </c>
      <c r="K20" s="56">
        <v>10.95</v>
      </c>
      <c r="L20" s="28"/>
    </row>
    <row r="21" spans="1:12">
      <c r="A21" s="36" t="str">
        <f t="shared" si="0"/>
        <v>HP08_ALL_SP_ALL_GB</v>
      </c>
      <c r="B21" s="36" t="s">
        <v>443</v>
      </c>
      <c r="C21" s="36" t="s">
        <v>231</v>
      </c>
      <c r="D21" s="36" t="s">
        <v>250</v>
      </c>
      <c r="E21" s="36" t="s">
        <v>267</v>
      </c>
      <c r="F21" s="36" t="s">
        <v>254</v>
      </c>
      <c r="G21" s="36" t="s">
        <v>267</v>
      </c>
      <c r="H21" s="36" t="s">
        <v>130</v>
      </c>
      <c r="I21" s="36">
        <v>3</v>
      </c>
      <c r="J21" s="36">
        <v>3</v>
      </c>
      <c r="K21" s="56">
        <v>9.157</v>
      </c>
      <c r="L21" s="28"/>
    </row>
    <row r="22" spans="1:12">
      <c r="A22" s="36" t="str">
        <f t="shared" si="0"/>
        <v>HP08_ALL_SP_ALL_GB</v>
      </c>
      <c r="B22" s="36" t="s">
        <v>443</v>
      </c>
      <c r="C22" s="36" t="s">
        <v>231</v>
      </c>
      <c r="D22" s="36" t="s">
        <v>250</v>
      </c>
      <c r="E22" s="36" t="s">
        <v>267</v>
      </c>
      <c r="F22" s="36" t="s">
        <v>254</v>
      </c>
      <c r="G22" s="36" t="s">
        <v>267</v>
      </c>
      <c r="H22" s="36" t="s">
        <v>130</v>
      </c>
      <c r="I22" s="36">
        <v>4</v>
      </c>
      <c r="J22" s="36">
        <v>4</v>
      </c>
      <c r="K22" s="56">
        <v>7.5839999999999996</v>
      </c>
      <c r="L22" s="28"/>
    </row>
    <row r="23" spans="1:12">
      <c r="A23" s="36" t="str">
        <f t="shared" ref="A23:A29" si="1">_xlfn.CONCAT("HP08_",INDEX(dwelling_categories_short,MATCH(E23,dwelling_categories,0)),"_",INDEX(rep_days_short,MATCH(F23,rep_days,0)),"_",INDEX(HP_behaviours_short,MATCH(G23,HP_behaviours,0)),"_",H23)</f>
        <v>HP08_ALL_SP_ALL_GB</v>
      </c>
      <c r="B23" s="36" t="s">
        <v>443</v>
      </c>
      <c r="C23" s="36" t="s">
        <v>231</v>
      </c>
      <c r="D23" s="36" t="s">
        <v>250</v>
      </c>
      <c r="E23" s="36" t="s">
        <v>267</v>
      </c>
      <c r="F23" s="36" t="s">
        <v>254</v>
      </c>
      <c r="G23" s="36" t="s">
        <v>267</v>
      </c>
      <c r="H23" s="36" t="s">
        <v>130</v>
      </c>
      <c r="I23" s="36">
        <v>5</v>
      </c>
      <c r="J23" s="36">
        <v>5</v>
      </c>
      <c r="K23" s="56">
        <v>6.5519999999999996</v>
      </c>
      <c r="L23" s="28"/>
    </row>
    <row r="24" spans="1:12">
      <c r="A24" s="36" t="str">
        <f t="shared" si="1"/>
        <v>HP08_ALL_SP_ALL_GB</v>
      </c>
      <c r="B24" s="36" t="s">
        <v>443</v>
      </c>
      <c r="C24" s="36" t="s">
        <v>231</v>
      </c>
      <c r="D24" s="36" t="s">
        <v>250</v>
      </c>
      <c r="E24" s="36" t="s">
        <v>267</v>
      </c>
      <c r="F24" s="36" t="s">
        <v>254</v>
      </c>
      <c r="G24" s="36" t="s">
        <v>267</v>
      </c>
      <c r="H24" s="36" t="s">
        <v>130</v>
      </c>
      <c r="I24" s="36">
        <v>6</v>
      </c>
      <c r="J24" s="36">
        <v>6</v>
      </c>
      <c r="K24" s="56">
        <v>5.8680000000000003</v>
      </c>
      <c r="L24" s="28"/>
    </row>
    <row r="25" spans="1:12">
      <c r="A25" s="36" t="str">
        <f t="shared" si="1"/>
        <v>HP08_ALL_SP_ALL_GB</v>
      </c>
      <c r="B25" s="36" t="s">
        <v>443</v>
      </c>
      <c r="C25" s="36" t="s">
        <v>231</v>
      </c>
      <c r="D25" s="36" t="s">
        <v>250</v>
      </c>
      <c r="E25" s="36" t="s">
        <v>267</v>
      </c>
      <c r="F25" s="36" t="s">
        <v>254</v>
      </c>
      <c r="G25" s="36" t="s">
        <v>267</v>
      </c>
      <c r="H25" s="36" t="s">
        <v>130</v>
      </c>
      <c r="I25" s="36">
        <v>7</v>
      </c>
      <c r="J25" s="36">
        <v>7</v>
      </c>
      <c r="K25" s="56">
        <v>5.3129999999999997</v>
      </c>
      <c r="L25" s="28"/>
    </row>
    <row r="26" spans="1:12">
      <c r="A26" s="36" t="str">
        <f t="shared" si="1"/>
        <v>HP08_ALL_SP_ALL_GB</v>
      </c>
      <c r="B26" s="36" t="s">
        <v>443</v>
      </c>
      <c r="C26" s="36" t="s">
        <v>231</v>
      </c>
      <c r="D26" s="36" t="s">
        <v>250</v>
      </c>
      <c r="E26" s="36" t="s">
        <v>267</v>
      </c>
      <c r="F26" s="36" t="s">
        <v>254</v>
      </c>
      <c r="G26" s="36" t="s">
        <v>267</v>
      </c>
      <c r="H26" s="36" t="s">
        <v>130</v>
      </c>
      <c r="I26" s="36">
        <v>8</v>
      </c>
      <c r="J26" s="36">
        <v>8</v>
      </c>
      <c r="K26" s="56">
        <v>4.7060000000000004</v>
      </c>
      <c r="L26" s="28"/>
    </row>
    <row r="27" spans="1:12">
      <c r="A27" s="36" t="str">
        <f t="shared" si="1"/>
        <v>HP08_ALL_SP_ALL_GB</v>
      </c>
      <c r="B27" s="36" t="s">
        <v>443</v>
      </c>
      <c r="C27" s="36" t="s">
        <v>231</v>
      </c>
      <c r="D27" s="36" t="s">
        <v>250</v>
      </c>
      <c r="E27" s="36" t="s">
        <v>267</v>
      </c>
      <c r="F27" s="36" t="s">
        <v>254</v>
      </c>
      <c r="G27" s="36" t="s">
        <v>267</v>
      </c>
      <c r="H27" s="36" t="s">
        <v>130</v>
      </c>
      <c r="I27" s="36">
        <v>9</v>
      </c>
      <c r="J27" s="36">
        <v>9</v>
      </c>
      <c r="K27" s="56">
        <v>4.5880000000000001</v>
      </c>
      <c r="L27" s="28"/>
    </row>
    <row r="28" spans="1:12">
      <c r="A28" s="36" t="str">
        <f t="shared" si="1"/>
        <v>HP08_ALL_SP_ALL_GB</v>
      </c>
      <c r="B28" s="36" t="s">
        <v>443</v>
      </c>
      <c r="C28" s="36" t="s">
        <v>231</v>
      </c>
      <c r="D28" s="36" t="s">
        <v>250</v>
      </c>
      <c r="E28" s="36" t="s">
        <v>267</v>
      </c>
      <c r="F28" s="36" t="s">
        <v>254</v>
      </c>
      <c r="G28" s="36" t="s">
        <v>267</v>
      </c>
      <c r="H28" s="36" t="s">
        <v>130</v>
      </c>
      <c r="I28" s="36">
        <v>10</v>
      </c>
      <c r="J28" s="36">
        <v>10</v>
      </c>
      <c r="K28" s="56">
        <v>4.3150000000000004</v>
      </c>
      <c r="L28" s="28"/>
    </row>
    <row r="29" spans="1:12">
      <c r="A29" s="36" t="str">
        <f t="shared" si="1"/>
        <v>HP08_ALL_SP_ALL_GB</v>
      </c>
      <c r="B29" s="36" t="s">
        <v>443</v>
      </c>
      <c r="C29" s="36" t="s">
        <v>231</v>
      </c>
      <c r="D29" s="36" t="s">
        <v>250</v>
      </c>
      <c r="E29" s="36" t="s">
        <v>267</v>
      </c>
      <c r="F29" s="36" t="s">
        <v>254</v>
      </c>
      <c r="G29" s="36" t="s">
        <v>267</v>
      </c>
      <c r="H29" s="36" t="s">
        <v>130</v>
      </c>
      <c r="I29" s="36">
        <v>11</v>
      </c>
      <c r="J29" s="36">
        <v>11</v>
      </c>
      <c r="K29" s="56">
        <v>4.0439999999999996</v>
      </c>
      <c r="L29" s="28"/>
    </row>
    <row r="30" spans="1:12">
      <c r="A30" s="36" t="str">
        <f t="shared" ref="A30:A41" si="2">_xlfn.CONCAT("HP08_",INDEX(dwelling_categories_short,MATCH(E30,dwelling_categories,0)),"_",INDEX(rep_days_short,MATCH(F30,rep_days,0)),"_",INDEX(HP_behaviours_short,MATCH(G30,HP_behaviours,0)),"_",H30)</f>
        <v>HP08_ALL_SP_ALL_GB</v>
      </c>
      <c r="B30" s="36" t="s">
        <v>443</v>
      </c>
      <c r="C30" s="36" t="s">
        <v>231</v>
      </c>
      <c r="D30" s="36" t="s">
        <v>250</v>
      </c>
      <c r="E30" s="36" t="s">
        <v>267</v>
      </c>
      <c r="F30" s="36" t="s">
        <v>254</v>
      </c>
      <c r="G30" s="36" t="s">
        <v>267</v>
      </c>
      <c r="H30" s="36" t="s">
        <v>130</v>
      </c>
      <c r="I30" s="36">
        <v>12</v>
      </c>
      <c r="J30" s="36">
        <v>13</v>
      </c>
      <c r="K30" s="56">
        <v>4.0090000000000003</v>
      </c>
      <c r="L30" s="28"/>
    </row>
    <row r="31" spans="1:12">
      <c r="A31" s="36" t="str">
        <f t="shared" si="2"/>
        <v>HP08_ALL_SP_ALL_GB</v>
      </c>
      <c r="B31" s="36" t="s">
        <v>443</v>
      </c>
      <c r="C31" s="36" t="s">
        <v>231</v>
      </c>
      <c r="D31" s="36" t="s">
        <v>250</v>
      </c>
      <c r="E31" s="36" t="s">
        <v>267</v>
      </c>
      <c r="F31" s="36" t="s">
        <v>254</v>
      </c>
      <c r="G31" s="36" t="s">
        <v>267</v>
      </c>
      <c r="H31" s="36" t="s">
        <v>130</v>
      </c>
      <c r="I31" s="36">
        <v>14</v>
      </c>
      <c r="J31" s="36">
        <v>15</v>
      </c>
      <c r="K31" s="56">
        <v>3.6190000000000002</v>
      </c>
      <c r="L31" s="28"/>
    </row>
    <row r="32" spans="1:12">
      <c r="A32" s="36" t="str">
        <f t="shared" si="2"/>
        <v>HP08_ALL_SP_ALL_GB</v>
      </c>
      <c r="B32" s="36" t="s">
        <v>443</v>
      </c>
      <c r="C32" s="36" t="s">
        <v>231</v>
      </c>
      <c r="D32" s="36" t="s">
        <v>250</v>
      </c>
      <c r="E32" s="36" t="s">
        <v>267</v>
      </c>
      <c r="F32" s="36" t="s">
        <v>254</v>
      </c>
      <c r="G32" s="36" t="s">
        <v>267</v>
      </c>
      <c r="H32" s="36" t="s">
        <v>130</v>
      </c>
      <c r="I32" s="36">
        <v>16</v>
      </c>
      <c r="J32" s="36">
        <v>17</v>
      </c>
      <c r="K32" s="56">
        <v>3.3919999999999999</v>
      </c>
      <c r="L32" s="28"/>
    </row>
    <row r="33" spans="1:12">
      <c r="A33" s="36" t="str">
        <f t="shared" si="2"/>
        <v>HP08_ALL_SP_ALL_GB</v>
      </c>
      <c r="B33" s="36" t="s">
        <v>443</v>
      </c>
      <c r="C33" s="36" t="s">
        <v>231</v>
      </c>
      <c r="D33" s="36" t="s">
        <v>250</v>
      </c>
      <c r="E33" s="36" t="s">
        <v>267</v>
      </c>
      <c r="F33" s="36" t="s">
        <v>254</v>
      </c>
      <c r="G33" s="36" t="s">
        <v>267</v>
      </c>
      <c r="H33" s="36" t="s">
        <v>130</v>
      </c>
      <c r="I33" s="36">
        <v>18</v>
      </c>
      <c r="J33" s="36">
        <v>19</v>
      </c>
      <c r="K33" s="56">
        <v>3.23</v>
      </c>
      <c r="L33" s="28"/>
    </row>
    <row r="34" spans="1:12">
      <c r="A34" s="36" t="str">
        <f t="shared" si="2"/>
        <v>HP08_ALL_SP_ALL_GB</v>
      </c>
      <c r="B34" s="36" t="s">
        <v>443</v>
      </c>
      <c r="C34" s="36" t="s">
        <v>231</v>
      </c>
      <c r="D34" s="36" t="s">
        <v>250</v>
      </c>
      <c r="E34" s="36" t="s">
        <v>267</v>
      </c>
      <c r="F34" s="36" t="s">
        <v>254</v>
      </c>
      <c r="G34" s="36" t="s">
        <v>267</v>
      </c>
      <c r="H34" s="36" t="s">
        <v>130</v>
      </c>
      <c r="I34" s="36">
        <v>20</v>
      </c>
      <c r="J34" s="36">
        <v>24</v>
      </c>
      <c r="K34" s="56">
        <v>3.0379999999999998</v>
      </c>
      <c r="L34" s="28"/>
    </row>
    <row r="35" spans="1:12">
      <c r="A35" s="36" t="str">
        <f t="shared" si="2"/>
        <v>HP08_ALL_SP_ALL_GB</v>
      </c>
      <c r="B35" s="36" t="s">
        <v>443</v>
      </c>
      <c r="C35" s="36" t="s">
        <v>231</v>
      </c>
      <c r="D35" s="36" t="s">
        <v>250</v>
      </c>
      <c r="E35" s="36" t="s">
        <v>267</v>
      </c>
      <c r="F35" s="36" t="s">
        <v>254</v>
      </c>
      <c r="G35" s="36" t="s">
        <v>267</v>
      </c>
      <c r="H35" s="36" t="s">
        <v>130</v>
      </c>
      <c r="I35" s="36">
        <v>25</v>
      </c>
      <c r="J35" s="36">
        <v>29</v>
      </c>
      <c r="K35" s="56">
        <v>2.726</v>
      </c>
      <c r="L35" s="28"/>
    </row>
    <row r="36" spans="1:12">
      <c r="A36" s="36" t="str">
        <f t="shared" si="2"/>
        <v>HP08_ALL_SP_ALL_GB</v>
      </c>
      <c r="B36" s="36" t="s">
        <v>443</v>
      </c>
      <c r="C36" s="36" t="s">
        <v>231</v>
      </c>
      <c r="D36" s="36" t="s">
        <v>250</v>
      </c>
      <c r="E36" s="36" t="s">
        <v>267</v>
      </c>
      <c r="F36" s="36" t="s">
        <v>254</v>
      </c>
      <c r="G36" s="36" t="s">
        <v>267</v>
      </c>
      <c r="H36" s="36" t="s">
        <v>130</v>
      </c>
      <c r="I36" s="36">
        <v>30</v>
      </c>
      <c r="J36" s="36">
        <v>34</v>
      </c>
      <c r="K36" s="56">
        <v>2.5609999999999999</v>
      </c>
      <c r="L36" s="28"/>
    </row>
    <row r="37" spans="1:12">
      <c r="A37" s="36" t="str">
        <f t="shared" si="2"/>
        <v>HP08_ALL_SP_ALL_GB</v>
      </c>
      <c r="B37" s="36" t="s">
        <v>443</v>
      </c>
      <c r="C37" s="36" t="s">
        <v>231</v>
      </c>
      <c r="D37" s="36" t="s">
        <v>250</v>
      </c>
      <c r="E37" s="36" t="s">
        <v>267</v>
      </c>
      <c r="F37" s="36" t="s">
        <v>254</v>
      </c>
      <c r="G37" s="36" t="s">
        <v>267</v>
      </c>
      <c r="H37" s="36" t="s">
        <v>130</v>
      </c>
      <c r="I37" s="36">
        <v>35</v>
      </c>
      <c r="J37" s="36">
        <v>39</v>
      </c>
      <c r="K37" s="56">
        <v>2.4289999999999998</v>
      </c>
      <c r="L37" s="28"/>
    </row>
    <row r="38" spans="1:12">
      <c r="A38" s="36" t="str">
        <f t="shared" si="2"/>
        <v>HP08_ALL_SP_ALL_GB</v>
      </c>
      <c r="B38" s="36" t="s">
        <v>443</v>
      </c>
      <c r="C38" s="36" t="s">
        <v>231</v>
      </c>
      <c r="D38" s="36" t="s">
        <v>250</v>
      </c>
      <c r="E38" s="36" t="s">
        <v>267</v>
      </c>
      <c r="F38" s="36" t="s">
        <v>254</v>
      </c>
      <c r="G38" s="36" t="s">
        <v>267</v>
      </c>
      <c r="H38" s="36" t="s">
        <v>130</v>
      </c>
      <c r="I38" s="36">
        <v>40</v>
      </c>
      <c r="J38" s="36">
        <v>49</v>
      </c>
      <c r="K38" s="56">
        <v>2.2349999999999999</v>
      </c>
      <c r="L38" s="28"/>
    </row>
    <row r="39" spans="1:12">
      <c r="A39" s="36" t="str">
        <f t="shared" si="2"/>
        <v>HP08_ALL_SP_ALL_GB</v>
      </c>
      <c r="B39" s="36" t="s">
        <v>443</v>
      </c>
      <c r="C39" s="36" t="s">
        <v>231</v>
      </c>
      <c r="D39" s="36" t="s">
        <v>250</v>
      </c>
      <c r="E39" s="36" t="s">
        <v>267</v>
      </c>
      <c r="F39" s="36" t="s">
        <v>254</v>
      </c>
      <c r="G39" s="36" t="s">
        <v>267</v>
      </c>
      <c r="H39" s="36" t="s">
        <v>130</v>
      </c>
      <c r="I39" s="36">
        <v>50</v>
      </c>
      <c r="J39" s="36">
        <v>59</v>
      </c>
      <c r="K39" s="56">
        <v>2.085</v>
      </c>
      <c r="L39" s="28"/>
    </row>
    <row r="40" spans="1:12">
      <c r="A40" s="36" t="str">
        <f t="shared" si="2"/>
        <v>HP08_ALL_SP_ALL_GB</v>
      </c>
      <c r="B40" s="36" t="s">
        <v>443</v>
      </c>
      <c r="C40" s="36" t="s">
        <v>231</v>
      </c>
      <c r="D40" s="36" t="s">
        <v>250</v>
      </c>
      <c r="E40" s="36" t="s">
        <v>267</v>
      </c>
      <c r="F40" s="36" t="s">
        <v>254</v>
      </c>
      <c r="G40" s="36" t="s">
        <v>267</v>
      </c>
      <c r="H40" s="36" t="s">
        <v>130</v>
      </c>
      <c r="I40" s="36">
        <v>60</v>
      </c>
      <c r="J40" s="36">
        <v>89</v>
      </c>
      <c r="K40" s="56">
        <v>1.9530000000000001</v>
      </c>
      <c r="L40" s="28"/>
    </row>
    <row r="41" spans="1:12">
      <c r="A41" s="36" t="str">
        <f t="shared" si="2"/>
        <v>HP08_ALL_SP_ALL_GB</v>
      </c>
      <c r="B41" s="36" t="s">
        <v>443</v>
      </c>
      <c r="C41" s="36" t="s">
        <v>231</v>
      </c>
      <c r="D41" s="36" t="s">
        <v>250</v>
      </c>
      <c r="E41" s="36" t="s">
        <v>267</v>
      </c>
      <c r="F41" s="36" t="s">
        <v>254</v>
      </c>
      <c r="G41" s="36" t="s">
        <v>267</v>
      </c>
      <c r="H41" s="36" t="s">
        <v>130</v>
      </c>
      <c r="I41" s="36">
        <v>90</v>
      </c>
      <c r="J41" s="36">
        <v>149</v>
      </c>
      <c r="K41" s="56">
        <v>1.7290000000000001</v>
      </c>
      <c r="L41" s="28"/>
    </row>
    <row r="42" spans="1:12">
      <c r="A42" s="36" t="str">
        <f t="shared" ref="A42:A43" si="3">_xlfn.CONCAT("HP08_",INDEX(dwelling_categories_short,MATCH(E42,dwelling_categories,0)),"_",INDEX(rep_days_short,MATCH(F42,rep_days,0)),"_",INDEX(HP_behaviours_short,MATCH(G42,HP_behaviours,0)),"_",H42)</f>
        <v>HP08_ALL_SP_ALL_GB</v>
      </c>
      <c r="B42" s="36" t="s">
        <v>443</v>
      </c>
      <c r="C42" s="36" t="s">
        <v>231</v>
      </c>
      <c r="D42" s="36" t="s">
        <v>250</v>
      </c>
      <c r="E42" s="36" t="s">
        <v>267</v>
      </c>
      <c r="F42" s="36" t="s">
        <v>254</v>
      </c>
      <c r="G42" s="36" t="s">
        <v>267</v>
      </c>
      <c r="H42" s="36" t="s">
        <v>130</v>
      </c>
      <c r="I42" s="36">
        <v>150</v>
      </c>
      <c r="J42" s="36">
        <v>299</v>
      </c>
      <c r="K42" s="56">
        <v>1.5229999999999999</v>
      </c>
    </row>
    <row r="43" spans="1:12">
      <c r="A43" s="36" t="str">
        <f t="shared" si="3"/>
        <v>HP08_ALL_SP_ALL_GB</v>
      </c>
      <c r="B43" s="36" t="s">
        <v>443</v>
      </c>
      <c r="C43" s="36" t="s">
        <v>231</v>
      </c>
      <c r="D43" s="36" t="s">
        <v>250</v>
      </c>
      <c r="E43" s="36" t="s">
        <v>267</v>
      </c>
      <c r="F43" s="36" t="s">
        <v>254</v>
      </c>
      <c r="G43" s="36" t="s">
        <v>267</v>
      </c>
      <c r="H43" s="36" t="s">
        <v>130</v>
      </c>
      <c r="I43" s="36">
        <v>300</v>
      </c>
      <c r="J43" s="36">
        <v>499</v>
      </c>
      <c r="K43" s="56">
        <v>1.333</v>
      </c>
    </row>
    <row r="44" spans="1:12">
      <c r="A44" s="36" t="str">
        <f t="shared" ref="A44:A58" si="4">_xlfn.CONCAT("HP08_",INDEX(dwelling_categories_short,MATCH(E44,dwelling_categories,0)),"_",INDEX(rep_days_short,MATCH(F44,rep_days,0)),"_",INDEX(HP_behaviours_short,MATCH(G44,HP_behaviours,0)),"_",H44)</f>
        <v>HP08_ALL_SP_ALL_GB</v>
      </c>
      <c r="B44" s="36" t="s">
        <v>443</v>
      </c>
      <c r="C44" s="36" t="s">
        <v>231</v>
      </c>
      <c r="D44" s="36" t="s">
        <v>250</v>
      </c>
      <c r="E44" s="36" t="s">
        <v>267</v>
      </c>
      <c r="F44" s="36" t="s">
        <v>254</v>
      </c>
      <c r="G44" s="36" t="s">
        <v>267</v>
      </c>
      <c r="H44" s="36" t="s">
        <v>130</v>
      </c>
      <c r="I44" s="36">
        <v>500</v>
      </c>
      <c r="J44" s="36">
        <v>638</v>
      </c>
      <c r="K44" s="56">
        <v>1.236</v>
      </c>
    </row>
    <row r="45" spans="1:12">
      <c r="A45" s="36" t="str">
        <f t="shared" si="4"/>
        <v>HP08_ALL_SP_ALL_GB</v>
      </c>
      <c r="B45" s="36" t="s">
        <v>443</v>
      </c>
      <c r="C45" s="36" t="s">
        <v>231</v>
      </c>
      <c r="D45" s="36" t="s">
        <v>250</v>
      </c>
      <c r="E45" s="36" t="s">
        <v>267</v>
      </c>
      <c r="F45" s="36" t="s">
        <v>254</v>
      </c>
      <c r="G45" s="36" t="s">
        <v>267</v>
      </c>
      <c r="H45" s="36" t="s">
        <v>130</v>
      </c>
      <c r="I45" s="36">
        <v>639</v>
      </c>
      <c r="J45" s="36" t="s">
        <v>269</v>
      </c>
      <c r="K45" s="56">
        <v>1</v>
      </c>
    </row>
    <row r="46" spans="1:12">
      <c r="A46" s="36" t="str">
        <f t="shared" si="4"/>
        <v>HP08_ALL_SSP_ALL_GB</v>
      </c>
      <c r="B46" s="36" t="s">
        <v>443</v>
      </c>
      <c r="C46" s="36" t="s">
        <v>231</v>
      </c>
      <c r="D46" s="36" t="s">
        <v>250</v>
      </c>
      <c r="E46" s="36" t="s">
        <v>267</v>
      </c>
      <c r="F46" s="36" t="s">
        <v>273</v>
      </c>
      <c r="G46" s="36" t="s">
        <v>267</v>
      </c>
      <c r="H46" s="36" t="s">
        <v>130</v>
      </c>
      <c r="I46" s="36">
        <v>1</v>
      </c>
      <c r="J46" s="36">
        <v>1</v>
      </c>
      <c r="K46" s="56">
        <v>4.6779999999999999</v>
      </c>
    </row>
    <row r="47" spans="1:12">
      <c r="A47" s="36" t="str">
        <f t="shared" si="4"/>
        <v>HP08_ALL_SSP_ALL_GB</v>
      </c>
      <c r="B47" s="36" t="s">
        <v>443</v>
      </c>
      <c r="C47" s="36" t="s">
        <v>231</v>
      </c>
      <c r="D47" s="36" t="s">
        <v>250</v>
      </c>
      <c r="E47" s="36" t="s">
        <v>267</v>
      </c>
      <c r="F47" s="36" t="s">
        <v>273</v>
      </c>
      <c r="G47" s="36" t="s">
        <v>267</v>
      </c>
      <c r="H47" s="36" t="s">
        <v>130</v>
      </c>
      <c r="I47" s="36">
        <v>2</v>
      </c>
      <c r="J47" s="36">
        <v>2</v>
      </c>
      <c r="K47" s="56">
        <v>3.2570000000000001</v>
      </c>
    </row>
    <row r="48" spans="1:12">
      <c r="A48" s="36" t="str">
        <f t="shared" si="4"/>
        <v>HP08_ALL_SSP_ALL_GB</v>
      </c>
      <c r="B48" s="36" t="s">
        <v>443</v>
      </c>
      <c r="C48" s="36" t="s">
        <v>231</v>
      </c>
      <c r="D48" s="36" t="s">
        <v>250</v>
      </c>
      <c r="E48" s="36" t="s">
        <v>267</v>
      </c>
      <c r="F48" s="36" t="s">
        <v>273</v>
      </c>
      <c r="G48" s="36" t="s">
        <v>267</v>
      </c>
      <c r="H48" s="36" t="s">
        <v>130</v>
      </c>
      <c r="I48" s="36">
        <v>3</v>
      </c>
      <c r="J48" s="36">
        <v>3</v>
      </c>
      <c r="K48" s="56">
        <v>2.6949999999999998</v>
      </c>
    </row>
    <row r="49" spans="1:11">
      <c r="A49" s="36" t="str">
        <f t="shared" si="4"/>
        <v>HP08_ALL_SSP_ALL_GB</v>
      </c>
      <c r="B49" s="36" t="s">
        <v>443</v>
      </c>
      <c r="C49" s="36" t="s">
        <v>231</v>
      </c>
      <c r="D49" s="36" t="s">
        <v>250</v>
      </c>
      <c r="E49" s="36" t="s">
        <v>267</v>
      </c>
      <c r="F49" s="36" t="s">
        <v>273</v>
      </c>
      <c r="G49" s="36" t="s">
        <v>267</v>
      </c>
      <c r="H49" s="36" t="s">
        <v>130</v>
      </c>
      <c r="I49" s="36">
        <v>4</v>
      </c>
      <c r="J49" s="36">
        <v>4</v>
      </c>
      <c r="K49" s="56">
        <v>2.4220000000000002</v>
      </c>
    </row>
    <row r="50" spans="1:11">
      <c r="A50" s="36" t="str">
        <f t="shared" si="4"/>
        <v>HP08_ALL_SSP_ALL_GB</v>
      </c>
      <c r="B50" s="36" t="s">
        <v>443</v>
      </c>
      <c r="C50" s="36" t="s">
        <v>231</v>
      </c>
      <c r="D50" s="36" t="s">
        <v>250</v>
      </c>
      <c r="E50" s="36" t="s">
        <v>267</v>
      </c>
      <c r="F50" s="36" t="s">
        <v>273</v>
      </c>
      <c r="G50" s="36" t="s">
        <v>267</v>
      </c>
      <c r="H50" s="36" t="s">
        <v>130</v>
      </c>
      <c r="I50" s="36">
        <v>5</v>
      </c>
      <c r="J50" s="36">
        <v>5</v>
      </c>
      <c r="K50" s="56">
        <v>2.2109999999999999</v>
      </c>
    </row>
    <row r="51" spans="1:11">
      <c r="A51" s="36" t="str">
        <f t="shared" si="4"/>
        <v>HP08_ALL_SSP_ALL_GB</v>
      </c>
      <c r="B51" s="36" t="s">
        <v>443</v>
      </c>
      <c r="C51" s="36" t="s">
        <v>231</v>
      </c>
      <c r="D51" s="36" t="s">
        <v>250</v>
      </c>
      <c r="E51" s="36" t="s">
        <v>267</v>
      </c>
      <c r="F51" s="36" t="s">
        <v>273</v>
      </c>
      <c r="G51" s="36" t="s">
        <v>267</v>
      </c>
      <c r="H51" s="36" t="s">
        <v>130</v>
      </c>
      <c r="I51" s="36">
        <v>6</v>
      </c>
      <c r="J51" s="36">
        <v>7</v>
      </c>
      <c r="K51" s="56">
        <v>2.08</v>
      </c>
    </row>
    <row r="52" spans="1:11">
      <c r="A52" s="36" t="str">
        <f t="shared" si="4"/>
        <v>HP08_ALL_SSP_ALL_GB</v>
      </c>
      <c r="B52" s="36" t="s">
        <v>443</v>
      </c>
      <c r="C52" s="36" t="s">
        <v>231</v>
      </c>
      <c r="D52" s="36" t="s">
        <v>250</v>
      </c>
      <c r="E52" s="36" t="s">
        <v>267</v>
      </c>
      <c r="F52" s="36" t="s">
        <v>273</v>
      </c>
      <c r="G52" s="36" t="s">
        <v>267</v>
      </c>
      <c r="H52" s="36" t="s">
        <v>130</v>
      </c>
      <c r="I52" s="36">
        <v>8</v>
      </c>
      <c r="J52" s="36">
        <v>9</v>
      </c>
      <c r="K52" s="56">
        <v>1.8879999999999999</v>
      </c>
    </row>
    <row r="53" spans="1:11">
      <c r="A53" s="36" t="str">
        <f t="shared" si="4"/>
        <v>HP08_ALL_SSP_ALL_GB</v>
      </c>
      <c r="B53" s="36" t="s">
        <v>443</v>
      </c>
      <c r="C53" s="36" t="s">
        <v>231</v>
      </c>
      <c r="D53" s="36" t="s">
        <v>250</v>
      </c>
      <c r="E53" s="36" t="s">
        <v>267</v>
      </c>
      <c r="F53" s="36" t="s">
        <v>273</v>
      </c>
      <c r="G53" s="36" t="s">
        <v>267</v>
      </c>
      <c r="H53" s="36" t="s">
        <v>130</v>
      </c>
      <c r="I53" s="36">
        <v>10</v>
      </c>
      <c r="J53" s="36">
        <v>12</v>
      </c>
      <c r="K53" s="56">
        <v>1.7709999999999999</v>
      </c>
    </row>
    <row r="54" spans="1:11">
      <c r="A54" s="36" t="str">
        <f t="shared" si="4"/>
        <v>HP08_ALL_SSP_ALL_GB</v>
      </c>
      <c r="B54" s="36" t="s">
        <v>443</v>
      </c>
      <c r="C54" s="36" t="s">
        <v>231</v>
      </c>
      <c r="D54" s="36" t="s">
        <v>250</v>
      </c>
      <c r="E54" s="36" t="s">
        <v>267</v>
      </c>
      <c r="F54" s="36" t="s">
        <v>273</v>
      </c>
      <c r="G54" s="36" t="s">
        <v>267</v>
      </c>
      <c r="H54" s="36" t="s">
        <v>130</v>
      </c>
      <c r="I54" s="36">
        <v>13</v>
      </c>
      <c r="J54" s="36">
        <v>15</v>
      </c>
      <c r="K54" s="56">
        <v>1.673</v>
      </c>
    </row>
    <row r="55" spans="1:11">
      <c r="A55" s="36" t="str">
        <f t="shared" si="4"/>
        <v>HP08_ALL_SSP_ALL_GB</v>
      </c>
      <c r="B55" s="36" t="s">
        <v>443</v>
      </c>
      <c r="C55" s="36" t="s">
        <v>231</v>
      </c>
      <c r="D55" s="36" t="s">
        <v>250</v>
      </c>
      <c r="E55" s="36" t="s">
        <v>267</v>
      </c>
      <c r="F55" s="36" t="s">
        <v>273</v>
      </c>
      <c r="G55" s="36" t="s">
        <v>267</v>
      </c>
      <c r="H55" s="36" t="s">
        <v>130</v>
      </c>
      <c r="I55" s="36">
        <v>16</v>
      </c>
      <c r="J55" s="36">
        <v>19</v>
      </c>
      <c r="K55" s="56">
        <v>1.5580000000000001</v>
      </c>
    </row>
    <row r="56" spans="1:11">
      <c r="A56" s="36" t="str">
        <f t="shared" si="4"/>
        <v>HP08_ALL_SSP_ALL_GB</v>
      </c>
      <c r="B56" s="36" t="s">
        <v>443</v>
      </c>
      <c r="C56" s="36" t="s">
        <v>231</v>
      </c>
      <c r="D56" s="36" t="s">
        <v>250</v>
      </c>
      <c r="E56" s="36" t="s">
        <v>267</v>
      </c>
      <c r="F56" s="36" t="s">
        <v>273</v>
      </c>
      <c r="G56" s="36" t="s">
        <v>267</v>
      </c>
      <c r="H56" s="36" t="s">
        <v>130</v>
      </c>
      <c r="I56" s="36">
        <v>20</v>
      </c>
      <c r="J56" s="36">
        <v>24</v>
      </c>
      <c r="K56" s="56">
        <v>1.5</v>
      </c>
    </row>
    <row r="57" spans="1:11">
      <c r="A57" s="36" t="str">
        <f t="shared" si="4"/>
        <v>HP08_ALL_SSP_ALL_GB</v>
      </c>
      <c r="B57" s="36" t="s">
        <v>443</v>
      </c>
      <c r="C57" s="36" t="s">
        <v>231</v>
      </c>
      <c r="D57" s="36" t="s">
        <v>250</v>
      </c>
      <c r="E57" s="36" t="s">
        <v>267</v>
      </c>
      <c r="F57" s="36" t="s">
        <v>273</v>
      </c>
      <c r="G57" s="36" t="s">
        <v>267</v>
      </c>
      <c r="H57" s="36" t="s">
        <v>130</v>
      </c>
      <c r="I57" s="36">
        <v>25</v>
      </c>
      <c r="J57" s="36">
        <v>29</v>
      </c>
      <c r="K57" s="56">
        <v>1.458</v>
      </c>
    </row>
    <row r="58" spans="1:11">
      <c r="A58" s="36" t="str">
        <f t="shared" si="4"/>
        <v>HP08_ALL_SSP_ALL_GB</v>
      </c>
      <c r="B58" s="36" t="s">
        <v>443</v>
      </c>
      <c r="C58" s="36" t="s">
        <v>231</v>
      </c>
      <c r="D58" s="36" t="s">
        <v>250</v>
      </c>
      <c r="E58" s="36" t="s">
        <v>267</v>
      </c>
      <c r="F58" s="36" t="s">
        <v>273</v>
      </c>
      <c r="G58" s="36" t="s">
        <v>267</v>
      </c>
      <c r="H58" s="36" t="s">
        <v>130</v>
      </c>
      <c r="I58" s="36">
        <v>30</v>
      </c>
      <c r="J58" s="36">
        <v>39</v>
      </c>
      <c r="K58" s="56">
        <v>1.401</v>
      </c>
    </row>
    <row r="59" spans="1:11">
      <c r="A59" s="36" t="str">
        <f t="shared" ref="A59:A83" si="5">_xlfn.CONCAT("HP08_",INDEX(dwelling_categories_short,MATCH(E59,dwelling_categories,0)),"_",INDEX(rep_days_short,MATCH(F59,rep_days,0)),"_",INDEX(HP_behaviours_short,MATCH(G59,HP_behaviours,0)),"_",H59)</f>
        <v>HP08_ALL_SSP_ALL_GB</v>
      </c>
      <c r="B59" s="36" t="s">
        <v>443</v>
      </c>
      <c r="C59" s="36" t="s">
        <v>231</v>
      </c>
      <c r="D59" s="36" t="s">
        <v>250</v>
      </c>
      <c r="E59" s="36" t="s">
        <v>267</v>
      </c>
      <c r="F59" s="36" t="s">
        <v>273</v>
      </c>
      <c r="G59" s="36" t="s">
        <v>267</v>
      </c>
      <c r="H59" s="36" t="s">
        <v>130</v>
      </c>
      <c r="I59" s="36">
        <v>40</v>
      </c>
      <c r="J59" s="36">
        <v>49</v>
      </c>
      <c r="K59" s="56">
        <v>1.349</v>
      </c>
    </row>
    <row r="60" spans="1:11">
      <c r="A60" s="36" t="str">
        <f t="shared" si="5"/>
        <v>HP08_ALL_SSP_ALL_GB</v>
      </c>
      <c r="B60" s="36" t="s">
        <v>443</v>
      </c>
      <c r="C60" s="36" t="s">
        <v>231</v>
      </c>
      <c r="D60" s="36" t="s">
        <v>250</v>
      </c>
      <c r="E60" s="36" t="s">
        <v>267</v>
      </c>
      <c r="F60" s="36" t="s">
        <v>273</v>
      </c>
      <c r="G60" s="36" t="s">
        <v>267</v>
      </c>
      <c r="H60" s="36" t="s">
        <v>130</v>
      </c>
      <c r="I60" s="36">
        <v>50</v>
      </c>
      <c r="J60" s="36">
        <v>59</v>
      </c>
      <c r="K60" s="56">
        <v>1.3069999999999999</v>
      </c>
    </row>
    <row r="61" spans="1:11">
      <c r="A61" s="36" t="str">
        <f t="shared" si="5"/>
        <v>HP08_ALL_SSP_ALL_GB</v>
      </c>
      <c r="B61" s="36" t="s">
        <v>443</v>
      </c>
      <c r="C61" s="36" t="s">
        <v>231</v>
      </c>
      <c r="D61" s="36" t="s">
        <v>250</v>
      </c>
      <c r="E61" s="36" t="s">
        <v>267</v>
      </c>
      <c r="F61" s="36" t="s">
        <v>273</v>
      </c>
      <c r="G61" s="36" t="s">
        <v>267</v>
      </c>
      <c r="H61" s="36" t="s">
        <v>130</v>
      </c>
      <c r="I61" s="36">
        <v>60</v>
      </c>
      <c r="J61" s="36">
        <v>79</v>
      </c>
      <c r="K61" s="56">
        <v>1.274</v>
      </c>
    </row>
    <row r="62" spans="1:11">
      <c r="A62" s="36" t="str">
        <f t="shared" si="5"/>
        <v>HP08_ALL_SSP_ALL_GB</v>
      </c>
      <c r="B62" s="36" t="s">
        <v>443</v>
      </c>
      <c r="C62" s="36" t="s">
        <v>231</v>
      </c>
      <c r="D62" s="36" t="s">
        <v>250</v>
      </c>
      <c r="E62" s="36" t="s">
        <v>267</v>
      </c>
      <c r="F62" s="36" t="s">
        <v>273</v>
      </c>
      <c r="G62" s="36" t="s">
        <v>267</v>
      </c>
      <c r="H62" s="36" t="s">
        <v>130</v>
      </c>
      <c r="I62" s="36">
        <v>80</v>
      </c>
      <c r="J62" s="36">
        <v>105</v>
      </c>
      <c r="K62" s="56">
        <v>1.234</v>
      </c>
    </row>
    <row r="63" spans="1:11">
      <c r="A63" s="36" t="str">
        <f t="shared" si="5"/>
        <v>HP08_ALL_SSP_ALL_GB</v>
      </c>
      <c r="B63" s="36" t="s">
        <v>443</v>
      </c>
      <c r="C63" s="36" t="s">
        <v>231</v>
      </c>
      <c r="D63" s="36" t="s">
        <v>250</v>
      </c>
      <c r="E63" s="36" t="s">
        <v>267</v>
      </c>
      <c r="F63" s="36" t="s">
        <v>273</v>
      </c>
      <c r="G63" s="36" t="s">
        <v>267</v>
      </c>
      <c r="H63" s="36" t="s">
        <v>130</v>
      </c>
      <c r="I63" s="36">
        <v>106</v>
      </c>
      <c r="J63" s="36" t="s">
        <v>269</v>
      </c>
      <c r="K63" s="56">
        <v>1</v>
      </c>
    </row>
    <row r="64" spans="1:11">
      <c r="A64" s="36" t="str">
        <f t="shared" si="5"/>
        <v>HP08_ALL_MIN_ALL_GB</v>
      </c>
      <c r="B64" s="36" t="s">
        <v>443</v>
      </c>
      <c r="C64" s="36" t="s">
        <v>231</v>
      </c>
      <c r="D64" s="36" t="s">
        <v>250</v>
      </c>
      <c r="E64" s="36" t="s">
        <v>267</v>
      </c>
      <c r="F64" s="36" t="s">
        <v>284</v>
      </c>
      <c r="G64" s="36" t="s">
        <v>267</v>
      </c>
      <c r="H64" s="36" t="s">
        <v>130</v>
      </c>
      <c r="I64" s="36">
        <v>1</v>
      </c>
      <c r="J64" s="36">
        <v>1</v>
      </c>
      <c r="K64" s="56">
        <v>19.303999999999998</v>
      </c>
    </row>
    <row r="65" spans="1:11">
      <c r="A65" s="36" t="str">
        <f t="shared" si="5"/>
        <v>HP08_ALL_MIN_ALL_GB</v>
      </c>
      <c r="B65" s="36" t="s">
        <v>443</v>
      </c>
      <c r="C65" s="36" t="s">
        <v>231</v>
      </c>
      <c r="D65" s="36" t="s">
        <v>250</v>
      </c>
      <c r="E65" s="36" t="s">
        <v>267</v>
      </c>
      <c r="F65" s="36" t="s">
        <v>284</v>
      </c>
      <c r="G65" s="36" t="s">
        <v>267</v>
      </c>
      <c r="H65" s="36" t="s">
        <v>130</v>
      </c>
      <c r="I65" s="36">
        <v>2</v>
      </c>
      <c r="J65" s="36">
        <v>2</v>
      </c>
      <c r="K65" s="56">
        <v>10.95</v>
      </c>
    </row>
    <row r="66" spans="1:11">
      <c r="A66" s="36" t="str">
        <f t="shared" si="5"/>
        <v>HP08_ALL_MIN_ALL_GB</v>
      </c>
      <c r="B66" s="36" t="s">
        <v>443</v>
      </c>
      <c r="C66" s="36" t="s">
        <v>231</v>
      </c>
      <c r="D66" s="36" t="s">
        <v>250</v>
      </c>
      <c r="E66" s="36" t="s">
        <v>267</v>
      </c>
      <c r="F66" s="36" t="s">
        <v>284</v>
      </c>
      <c r="G66" s="36" t="s">
        <v>267</v>
      </c>
      <c r="H66" s="36" t="s">
        <v>130</v>
      </c>
      <c r="I66" s="36">
        <v>3</v>
      </c>
      <c r="J66" s="36">
        <v>3</v>
      </c>
      <c r="K66" s="56">
        <v>9.157</v>
      </c>
    </row>
    <row r="67" spans="1:11">
      <c r="A67" s="36" t="str">
        <f t="shared" si="5"/>
        <v>HP08_ALL_MIN_ALL_GB</v>
      </c>
      <c r="B67" s="36" t="s">
        <v>443</v>
      </c>
      <c r="C67" s="36" t="s">
        <v>231</v>
      </c>
      <c r="D67" s="36" t="s">
        <v>250</v>
      </c>
      <c r="E67" s="36" t="s">
        <v>267</v>
      </c>
      <c r="F67" s="36" t="s">
        <v>284</v>
      </c>
      <c r="G67" s="36" t="s">
        <v>267</v>
      </c>
      <c r="H67" s="36" t="s">
        <v>130</v>
      </c>
      <c r="I67" s="36">
        <v>4</v>
      </c>
      <c r="J67" s="36">
        <v>4</v>
      </c>
      <c r="K67" s="56">
        <v>7.5839999999999996</v>
      </c>
    </row>
    <row r="68" spans="1:11">
      <c r="A68" s="36" t="str">
        <f t="shared" si="5"/>
        <v>HP08_ALL_MIN_ALL_GB</v>
      </c>
      <c r="B68" s="36" t="s">
        <v>443</v>
      </c>
      <c r="C68" s="36" t="s">
        <v>231</v>
      </c>
      <c r="D68" s="36" t="s">
        <v>250</v>
      </c>
      <c r="E68" s="36" t="s">
        <v>267</v>
      </c>
      <c r="F68" s="36" t="s">
        <v>284</v>
      </c>
      <c r="G68" s="36" t="s">
        <v>267</v>
      </c>
      <c r="H68" s="36" t="s">
        <v>130</v>
      </c>
      <c r="I68" s="36">
        <v>5</v>
      </c>
      <c r="J68" s="36">
        <v>5</v>
      </c>
      <c r="K68" s="56">
        <v>6.5519999999999996</v>
      </c>
    </row>
    <row r="69" spans="1:11">
      <c r="A69" s="36" t="str">
        <f t="shared" si="5"/>
        <v>HP08_ALL_MIN_ALL_GB</v>
      </c>
      <c r="B69" s="36" t="s">
        <v>443</v>
      </c>
      <c r="C69" s="36" t="s">
        <v>231</v>
      </c>
      <c r="D69" s="36" t="s">
        <v>250</v>
      </c>
      <c r="E69" s="36" t="s">
        <v>267</v>
      </c>
      <c r="F69" s="36" t="s">
        <v>284</v>
      </c>
      <c r="G69" s="36" t="s">
        <v>267</v>
      </c>
      <c r="H69" s="36" t="s">
        <v>130</v>
      </c>
      <c r="I69" s="36">
        <v>6</v>
      </c>
      <c r="J69" s="36">
        <v>6</v>
      </c>
      <c r="K69" s="56">
        <v>5.8680000000000003</v>
      </c>
    </row>
    <row r="70" spans="1:11">
      <c r="A70" s="36" t="str">
        <f t="shared" si="5"/>
        <v>HP08_ALL_MIN_ALL_GB</v>
      </c>
      <c r="B70" s="36" t="s">
        <v>443</v>
      </c>
      <c r="C70" s="36" t="s">
        <v>231</v>
      </c>
      <c r="D70" s="36" t="s">
        <v>250</v>
      </c>
      <c r="E70" s="36" t="s">
        <v>267</v>
      </c>
      <c r="F70" s="36" t="s">
        <v>284</v>
      </c>
      <c r="G70" s="36" t="s">
        <v>267</v>
      </c>
      <c r="H70" s="36" t="s">
        <v>130</v>
      </c>
      <c r="I70" s="36">
        <v>7</v>
      </c>
      <c r="J70" s="36">
        <v>7</v>
      </c>
      <c r="K70" s="56">
        <v>5.3129999999999997</v>
      </c>
    </row>
    <row r="71" spans="1:11">
      <c r="A71" s="36" t="str">
        <f t="shared" si="5"/>
        <v>HP08_ALL_MIN_ALL_GB</v>
      </c>
      <c r="B71" s="36" t="s">
        <v>443</v>
      </c>
      <c r="C71" s="36" t="s">
        <v>231</v>
      </c>
      <c r="D71" s="36" t="s">
        <v>250</v>
      </c>
      <c r="E71" s="36" t="s">
        <v>267</v>
      </c>
      <c r="F71" s="36" t="s">
        <v>284</v>
      </c>
      <c r="G71" s="36" t="s">
        <v>267</v>
      </c>
      <c r="H71" s="36" t="s">
        <v>130</v>
      </c>
      <c r="I71" s="36">
        <v>8</v>
      </c>
      <c r="J71" s="36">
        <v>8</v>
      </c>
      <c r="K71" s="56">
        <v>4.7060000000000004</v>
      </c>
    </row>
    <row r="72" spans="1:11">
      <c r="A72" s="36" t="str">
        <f t="shared" si="5"/>
        <v>HP08_ALL_MIN_ALL_GB</v>
      </c>
      <c r="B72" s="36" t="s">
        <v>443</v>
      </c>
      <c r="C72" s="36" t="s">
        <v>231</v>
      </c>
      <c r="D72" s="36" t="s">
        <v>250</v>
      </c>
      <c r="E72" s="36" t="s">
        <v>267</v>
      </c>
      <c r="F72" s="36" t="s">
        <v>284</v>
      </c>
      <c r="G72" s="36" t="s">
        <v>267</v>
      </c>
      <c r="H72" s="36" t="s">
        <v>130</v>
      </c>
      <c r="I72" s="36">
        <v>9</v>
      </c>
      <c r="J72" s="36">
        <v>9</v>
      </c>
      <c r="K72" s="56">
        <v>4.5880000000000001</v>
      </c>
    </row>
    <row r="73" spans="1:11">
      <c r="A73" s="36" t="str">
        <f t="shared" si="5"/>
        <v>HP08_ALL_MIN_ALL_GB</v>
      </c>
      <c r="B73" s="36" t="s">
        <v>443</v>
      </c>
      <c r="C73" s="36" t="s">
        <v>231</v>
      </c>
      <c r="D73" s="36" t="s">
        <v>250</v>
      </c>
      <c r="E73" s="36" t="s">
        <v>267</v>
      </c>
      <c r="F73" s="36" t="s">
        <v>284</v>
      </c>
      <c r="G73" s="36" t="s">
        <v>267</v>
      </c>
      <c r="H73" s="36" t="s">
        <v>130</v>
      </c>
      <c r="I73" s="36">
        <v>10</v>
      </c>
      <c r="J73" s="36">
        <v>10</v>
      </c>
      <c r="K73" s="56">
        <v>4.3150000000000004</v>
      </c>
    </row>
    <row r="74" spans="1:11">
      <c r="A74" s="36" t="str">
        <f t="shared" si="5"/>
        <v>HP08_ALL_MIN_ALL_GB</v>
      </c>
      <c r="B74" s="36" t="s">
        <v>443</v>
      </c>
      <c r="C74" s="36" t="s">
        <v>231</v>
      </c>
      <c r="D74" s="36" t="s">
        <v>250</v>
      </c>
      <c r="E74" s="36" t="s">
        <v>267</v>
      </c>
      <c r="F74" s="36" t="s">
        <v>284</v>
      </c>
      <c r="G74" s="36" t="s">
        <v>267</v>
      </c>
      <c r="H74" s="36" t="s">
        <v>130</v>
      </c>
      <c r="I74" s="36">
        <v>11</v>
      </c>
      <c r="J74" s="36">
        <v>11</v>
      </c>
      <c r="K74" s="56">
        <v>4.0439999999999996</v>
      </c>
    </row>
    <row r="75" spans="1:11">
      <c r="A75" s="36" t="str">
        <f t="shared" si="5"/>
        <v>HP08_ALL_MIN_ALL_GB</v>
      </c>
      <c r="B75" s="36" t="s">
        <v>443</v>
      </c>
      <c r="C75" s="36" t="s">
        <v>231</v>
      </c>
      <c r="D75" s="36" t="s">
        <v>250</v>
      </c>
      <c r="E75" s="36" t="s">
        <v>267</v>
      </c>
      <c r="F75" s="36" t="s">
        <v>284</v>
      </c>
      <c r="G75" s="36" t="s">
        <v>267</v>
      </c>
      <c r="H75" s="36" t="s">
        <v>130</v>
      </c>
      <c r="I75" s="36">
        <v>12</v>
      </c>
      <c r="J75" s="36">
        <v>13</v>
      </c>
      <c r="K75" s="56">
        <v>4.0090000000000003</v>
      </c>
    </row>
    <row r="76" spans="1:11">
      <c r="A76" s="36" t="str">
        <f t="shared" si="5"/>
        <v>HP08_ALL_MIN_ALL_GB</v>
      </c>
      <c r="B76" s="36" t="s">
        <v>443</v>
      </c>
      <c r="C76" s="36" t="s">
        <v>231</v>
      </c>
      <c r="D76" s="36" t="s">
        <v>250</v>
      </c>
      <c r="E76" s="36" t="s">
        <v>267</v>
      </c>
      <c r="F76" s="36" t="s">
        <v>284</v>
      </c>
      <c r="G76" s="36" t="s">
        <v>267</v>
      </c>
      <c r="H76" s="36" t="s">
        <v>130</v>
      </c>
      <c r="I76" s="36">
        <v>14</v>
      </c>
      <c r="J76" s="36">
        <v>15</v>
      </c>
      <c r="K76" s="56">
        <v>3.6190000000000002</v>
      </c>
    </row>
    <row r="77" spans="1:11">
      <c r="A77" s="36" t="str">
        <f t="shared" si="5"/>
        <v>HP08_ALL_MIN_ALL_GB</v>
      </c>
      <c r="B77" s="36" t="s">
        <v>443</v>
      </c>
      <c r="C77" s="36" t="s">
        <v>231</v>
      </c>
      <c r="D77" s="36" t="s">
        <v>250</v>
      </c>
      <c r="E77" s="36" t="s">
        <v>267</v>
      </c>
      <c r="F77" s="36" t="s">
        <v>284</v>
      </c>
      <c r="G77" s="36" t="s">
        <v>267</v>
      </c>
      <c r="H77" s="36" t="s">
        <v>130</v>
      </c>
      <c r="I77" s="36">
        <v>16</v>
      </c>
      <c r="J77" s="36">
        <v>17</v>
      </c>
      <c r="K77" s="56">
        <v>3.3919999999999999</v>
      </c>
    </row>
    <row r="78" spans="1:11">
      <c r="A78" s="36" t="str">
        <f t="shared" si="5"/>
        <v>HP08_ALL_MIN_ALL_GB</v>
      </c>
      <c r="B78" s="36" t="s">
        <v>443</v>
      </c>
      <c r="C78" s="36" t="s">
        <v>231</v>
      </c>
      <c r="D78" s="36" t="s">
        <v>250</v>
      </c>
      <c r="E78" s="36" t="s">
        <v>267</v>
      </c>
      <c r="F78" s="36" t="s">
        <v>284</v>
      </c>
      <c r="G78" s="36" t="s">
        <v>267</v>
      </c>
      <c r="H78" s="36" t="s">
        <v>130</v>
      </c>
      <c r="I78" s="36">
        <v>18</v>
      </c>
      <c r="J78" s="36">
        <v>19</v>
      </c>
      <c r="K78" s="56">
        <v>3.23</v>
      </c>
    </row>
    <row r="79" spans="1:11">
      <c r="A79" s="36" t="str">
        <f t="shared" si="5"/>
        <v>HP08_ALL_MIN_ALL_GB</v>
      </c>
      <c r="B79" s="36" t="s">
        <v>443</v>
      </c>
      <c r="C79" s="36" t="s">
        <v>231</v>
      </c>
      <c r="D79" s="36" t="s">
        <v>250</v>
      </c>
      <c r="E79" s="36" t="s">
        <v>267</v>
      </c>
      <c r="F79" s="36" t="s">
        <v>284</v>
      </c>
      <c r="G79" s="36" t="s">
        <v>267</v>
      </c>
      <c r="H79" s="36" t="s">
        <v>130</v>
      </c>
      <c r="I79" s="36">
        <v>20</v>
      </c>
      <c r="J79" s="36">
        <v>24</v>
      </c>
      <c r="K79" s="56">
        <v>3.0379999999999998</v>
      </c>
    </row>
    <row r="80" spans="1:11">
      <c r="A80" s="36" t="str">
        <f t="shared" si="5"/>
        <v>HP08_ALL_MIN_ALL_GB</v>
      </c>
      <c r="B80" s="36" t="s">
        <v>443</v>
      </c>
      <c r="C80" s="36" t="s">
        <v>231</v>
      </c>
      <c r="D80" s="36" t="s">
        <v>250</v>
      </c>
      <c r="E80" s="36" t="s">
        <v>267</v>
      </c>
      <c r="F80" s="36" t="s">
        <v>284</v>
      </c>
      <c r="G80" s="36" t="s">
        <v>267</v>
      </c>
      <c r="H80" s="36" t="s">
        <v>130</v>
      </c>
      <c r="I80" s="36">
        <v>25</v>
      </c>
      <c r="J80" s="36">
        <v>29</v>
      </c>
      <c r="K80" s="56">
        <v>2.726</v>
      </c>
    </row>
    <row r="81" spans="1:11">
      <c r="A81" s="36" t="str">
        <f t="shared" si="5"/>
        <v>HP08_ALL_MIN_ALL_GB</v>
      </c>
      <c r="B81" s="36" t="s">
        <v>443</v>
      </c>
      <c r="C81" s="36" t="s">
        <v>231</v>
      </c>
      <c r="D81" s="36" t="s">
        <v>250</v>
      </c>
      <c r="E81" s="36" t="s">
        <v>267</v>
      </c>
      <c r="F81" s="36" t="s">
        <v>284</v>
      </c>
      <c r="G81" s="36" t="s">
        <v>267</v>
      </c>
      <c r="H81" s="36" t="s">
        <v>130</v>
      </c>
      <c r="I81" s="36">
        <v>30</v>
      </c>
      <c r="J81" s="36">
        <v>34</v>
      </c>
      <c r="K81" s="56">
        <v>2.5609999999999999</v>
      </c>
    </row>
    <row r="82" spans="1:11">
      <c r="A82" s="36" t="str">
        <f t="shared" si="5"/>
        <v>HP08_ALL_MIN_ALL_GB</v>
      </c>
      <c r="B82" s="36" t="s">
        <v>443</v>
      </c>
      <c r="C82" s="36" t="s">
        <v>231</v>
      </c>
      <c r="D82" s="36" t="s">
        <v>250</v>
      </c>
      <c r="E82" s="36" t="s">
        <v>267</v>
      </c>
      <c r="F82" s="36" t="s">
        <v>284</v>
      </c>
      <c r="G82" s="36" t="s">
        <v>267</v>
      </c>
      <c r="H82" s="36" t="s">
        <v>130</v>
      </c>
      <c r="I82" s="36">
        <v>35</v>
      </c>
      <c r="J82" s="36">
        <v>39</v>
      </c>
      <c r="K82" s="56">
        <v>2.4289999999999998</v>
      </c>
    </row>
    <row r="83" spans="1:11">
      <c r="A83" s="36" t="str">
        <f t="shared" si="5"/>
        <v>HP08_ALL_MIN_ALL_GB</v>
      </c>
      <c r="B83" s="36" t="s">
        <v>443</v>
      </c>
      <c r="C83" s="36" t="s">
        <v>231</v>
      </c>
      <c r="D83" s="36" t="s">
        <v>250</v>
      </c>
      <c r="E83" s="36" t="s">
        <v>267</v>
      </c>
      <c r="F83" s="36" t="s">
        <v>284</v>
      </c>
      <c r="G83" s="36" t="s">
        <v>267</v>
      </c>
      <c r="H83" s="36" t="s">
        <v>130</v>
      </c>
      <c r="I83" s="36">
        <v>40</v>
      </c>
      <c r="J83" s="36">
        <v>49</v>
      </c>
      <c r="K83" s="56">
        <v>2.2349999999999999</v>
      </c>
    </row>
    <row r="84" spans="1:11">
      <c r="A84" s="36" t="str">
        <f t="shared" ref="A84:A90" si="6">_xlfn.CONCAT("HP08_",INDEX(dwelling_categories_short,MATCH(E84,dwelling_categories,0)),"_",INDEX(rep_days_short,MATCH(F84,rep_days,0)),"_",INDEX(HP_behaviours_short,MATCH(G84,HP_behaviours,0)),"_",H84)</f>
        <v>HP08_ALL_MIN_ALL_GB</v>
      </c>
      <c r="B84" s="36" t="s">
        <v>443</v>
      </c>
      <c r="C84" s="36" t="s">
        <v>231</v>
      </c>
      <c r="D84" s="36" t="s">
        <v>250</v>
      </c>
      <c r="E84" s="36" t="s">
        <v>267</v>
      </c>
      <c r="F84" s="36" t="s">
        <v>284</v>
      </c>
      <c r="G84" s="36" t="s">
        <v>267</v>
      </c>
      <c r="H84" s="36" t="s">
        <v>130</v>
      </c>
      <c r="I84" s="36">
        <v>50</v>
      </c>
      <c r="J84" s="36">
        <v>59</v>
      </c>
      <c r="K84" s="56">
        <v>2.085</v>
      </c>
    </row>
    <row r="85" spans="1:11">
      <c r="A85" s="36" t="str">
        <f t="shared" si="6"/>
        <v>HP08_ALL_MIN_ALL_GB</v>
      </c>
      <c r="B85" s="36" t="s">
        <v>443</v>
      </c>
      <c r="C85" s="36" t="s">
        <v>231</v>
      </c>
      <c r="D85" s="36" t="s">
        <v>250</v>
      </c>
      <c r="E85" s="36" t="s">
        <v>267</v>
      </c>
      <c r="F85" s="36" t="s">
        <v>284</v>
      </c>
      <c r="G85" s="36" t="s">
        <v>267</v>
      </c>
      <c r="H85" s="36" t="s">
        <v>130</v>
      </c>
      <c r="I85" s="36">
        <v>60</v>
      </c>
      <c r="J85" s="36">
        <v>89</v>
      </c>
      <c r="K85" s="56">
        <v>1.9530000000000001</v>
      </c>
    </row>
    <row r="86" spans="1:11">
      <c r="A86" s="36" t="str">
        <f t="shared" si="6"/>
        <v>HP08_ALL_MIN_ALL_GB</v>
      </c>
      <c r="B86" s="36" t="s">
        <v>443</v>
      </c>
      <c r="C86" s="36" t="s">
        <v>231</v>
      </c>
      <c r="D86" s="36" t="s">
        <v>250</v>
      </c>
      <c r="E86" s="36" t="s">
        <v>267</v>
      </c>
      <c r="F86" s="36" t="s">
        <v>284</v>
      </c>
      <c r="G86" s="36" t="s">
        <v>267</v>
      </c>
      <c r="H86" s="36" t="s">
        <v>130</v>
      </c>
      <c r="I86" s="36">
        <v>90</v>
      </c>
      <c r="J86" s="36">
        <v>149</v>
      </c>
      <c r="K86" s="56">
        <v>1.7290000000000001</v>
      </c>
    </row>
    <row r="87" spans="1:11">
      <c r="A87" s="36" t="str">
        <f t="shared" si="6"/>
        <v>HP08_ALL_MIN_ALL_GB</v>
      </c>
      <c r="B87" s="36" t="s">
        <v>443</v>
      </c>
      <c r="C87" s="36" t="s">
        <v>231</v>
      </c>
      <c r="D87" s="36" t="s">
        <v>250</v>
      </c>
      <c r="E87" s="36" t="s">
        <v>267</v>
      </c>
      <c r="F87" s="36" t="s">
        <v>284</v>
      </c>
      <c r="G87" s="36" t="s">
        <v>267</v>
      </c>
      <c r="H87" s="36" t="s">
        <v>130</v>
      </c>
      <c r="I87" s="36">
        <v>150</v>
      </c>
      <c r="J87" s="36">
        <v>299</v>
      </c>
      <c r="K87" s="56">
        <v>1.5229999999999999</v>
      </c>
    </row>
    <row r="88" spans="1:11">
      <c r="A88" s="36" t="str">
        <f t="shared" si="6"/>
        <v>HP08_ALL_MIN_ALL_GB</v>
      </c>
      <c r="B88" s="36" t="s">
        <v>443</v>
      </c>
      <c r="C88" s="36" t="s">
        <v>231</v>
      </c>
      <c r="D88" s="36" t="s">
        <v>250</v>
      </c>
      <c r="E88" s="36" t="s">
        <v>267</v>
      </c>
      <c r="F88" s="36" t="s">
        <v>284</v>
      </c>
      <c r="G88" s="36" t="s">
        <v>267</v>
      </c>
      <c r="H88" s="36" t="s">
        <v>130</v>
      </c>
      <c r="I88" s="36">
        <v>300</v>
      </c>
      <c r="J88" s="36">
        <v>499</v>
      </c>
      <c r="K88" s="56">
        <v>1.333</v>
      </c>
    </row>
    <row r="89" spans="1:11">
      <c r="A89" s="36" t="str">
        <f t="shared" si="6"/>
        <v>HP08_ALL_MIN_ALL_GB</v>
      </c>
      <c r="B89" s="36" t="s">
        <v>443</v>
      </c>
      <c r="C89" s="36" t="s">
        <v>231</v>
      </c>
      <c r="D89" s="36" t="s">
        <v>250</v>
      </c>
      <c r="E89" s="36" t="s">
        <v>267</v>
      </c>
      <c r="F89" s="36" t="s">
        <v>284</v>
      </c>
      <c r="G89" s="36" t="s">
        <v>267</v>
      </c>
      <c r="H89" s="36" t="s">
        <v>130</v>
      </c>
      <c r="I89" s="36">
        <v>500</v>
      </c>
      <c r="J89" s="36">
        <v>638</v>
      </c>
      <c r="K89" s="56">
        <v>1.236</v>
      </c>
    </row>
    <row r="90" spans="1:11">
      <c r="A90" s="36" t="str">
        <f t="shared" si="6"/>
        <v>HP08_ALL_MIN_ALL_GB</v>
      </c>
      <c r="B90" s="36" t="s">
        <v>443</v>
      </c>
      <c r="C90" s="36" t="s">
        <v>231</v>
      </c>
      <c r="D90" s="36" t="s">
        <v>250</v>
      </c>
      <c r="E90" s="36" t="s">
        <v>267</v>
      </c>
      <c r="F90" s="36" t="s">
        <v>284</v>
      </c>
      <c r="G90" s="36" t="s">
        <v>267</v>
      </c>
      <c r="H90" s="36" t="s">
        <v>130</v>
      </c>
      <c r="I90" s="36">
        <v>639</v>
      </c>
      <c r="J90" s="36" t="s">
        <v>269</v>
      </c>
      <c r="K90" s="56">
        <v>1</v>
      </c>
    </row>
  </sheetData>
  <hyperlinks>
    <hyperlink ref="A1" location="Contents!A1" display="Back to contents" xr:uid="{65C3A9E9-47DF-477C-BDF5-65DB7354BDB8}"/>
    <hyperlink ref="A2" location="'HP CPA Summary Table'!A1" display="Back to HP CPA Summary Table" xr:uid="{AD9A89F6-6357-4229-8070-85381DF6C0E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EDBBE-E83E-4D54-8741-383E6A164B2E}">
  <sheetPr>
    <tabColor theme="8" tint="0.79998168889431442"/>
  </sheetPr>
  <dimension ref="A1:I7"/>
  <sheetViews>
    <sheetView showGridLines="0" workbookViewId="0">
      <pane xSplit="1" ySplit="3" topLeftCell="B4" activePane="bottomRight" state="frozen"/>
      <selection pane="bottomRight"/>
      <selection pane="bottomLeft" activeCell="C8" sqref="C8"/>
      <selection pane="topRight" activeCell="C8" sqref="C8"/>
    </sheetView>
  </sheetViews>
  <sheetFormatPr defaultRowHeight="20.45"/>
  <cols>
    <col min="1" max="1" width="26.8984375" customWidth="1"/>
    <col min="2" max="2" width="19.8984375" customWidth="1"/>
    <col min="3" max="4" width="12.19921875" customWidth="1"/>
    <col min="5" max="5" width="24.19921875" customWidth="1"/>
    <col min="6" max="6" width="40.19921875" customWidth="1"/>
    <col min="7" max="7" width="24.19921875" customWidth="1"/>
    <col min="8" max="8" width="30.5" customWidth="1"/>
    <col min="9" max="9" width="15.8984375" customWidth="1"/>
  </cols>
  <sheetData>
    <row r="1" spans="1:9">
      <c r="A1" s="98" t="s">
        <v>57</v>
      </c>
    </row>
    <row r="2" spans="1:9">
      <c r="A2" s="98" t="s">
        <v>742</v>
      </c>
    </row>
    <row r="3" spans="1:9">
      <c r="A3" s="170" t="s">
        <v>162</v>
      </c>
      <c r="B3" s="170" t="s">
        <v>340</v>
      </c>
      <c r="C3" s="170" t="s">
        <v>166</v>
      </c>
      <c r="D3" s="170" t="s">
        <v>172</v>
      </c>
      <c r="E3" s="170" t="s">
        <v>115</v>
      </c>
      <c r="F3" s="170" t="s">
        <v>483</v>
      </c>
      <c r="G3" s="170" t="s">
        <v>743</v>
      </c>
      <c r="H3" s="170" t="s">
        <v>485</v>
      </c>
      <c r="I3" s="170" t="s">
        <v>488</v>
      </c>
    </row>
    <row r="4" spans="1:9">
      <c r="A4" s="36" t="str">
        <f>_xlfn.CONCAT("HP09_",INDEX(dwelling_categories_short,MATCH(E4,dwelling_categories,0)),"_",INDEX(rep_days_short,MATCH(F4,rep_days,0)),"_",INDEX(HP_behaviours_short,MATCH(G4,HP_behaviours,0)),"_",H4)</f>
        <v>HP09_ALL_WP_ALL_GB</v>
      </c>
      <c r="B4" s="36" t="s">
        <v>749</v>
      </c>
      <c r="C4" s="36" t="s">
        <v>231</v>
      </c>
      <c r="D4" s="36" t="s">
        <v>250</v>
      </c>
      <c r="E4" s="36" t="s">
        <v>267</v>
      </c>
      <c r="F4" s="36" t="s">
        <v>235</v>
      </c>
      <c r="G4" s="36" t="s">
        <v>267</v>
      </c>
      <c r="H4" s="36" t="s">
        <v>130</v>
      </c>
      <c r="I4" s="36">
        <v>55</v>
      </c>
    </row>
    <row r="5" spans="1:9">
      <c r="A5" s="36" t="str">
        <f>_xlfn.CONCAT("HP09_",INDEX(dwelling_categories_short,MATCH(E5,dwelling_categories,0)),"_",INDEX(rep_days_short,MATCH(F5,rep_days,0)),"_",INDEX(HP_behaviours_short,MATCH(G5,HP_behaviours,0)),"_",H5)</f>
        <v>HP09_ALL_SP_ALL_GB</v>
      </c>
      <c r="B5" s="36" t="s">
        <v>749</v>
      </c>
      <c r="C5" s="36" t="s">
        <v>231</v>
      </c>
      <c r="D5" s="36" t="s">
        <v>250</v>
      </c>
      <c r="E5" s="36" t="s">
        <v>267</v>
      </c>
      <c r="F5" s="36" t="s">
        <v>254</v>
      </c>
      <c r="G5" s="36" t="s">
        <v>267</v>
      </c>
      <c r="H5" s="36" t="s">
        <v>130</v>
      </c>
      <c r="I5" s="36">
        <v>639</v>
      </c>
    </row>
    <row r="6" spans="1:9">
      <c r="A6" s="36" t="str">
        <f>_xlfn.CONCAT("HP09_",INDEX(dwelling_categories_short,MATCH(E6,dwelling_categories,0)),"_",INDEX(rep_days_short,MATCH(F6,rep_days,0)),"_",INDEX(HP_behaviours_short,MATCH(G6,HP_behaviours,0)),"_",H6)</f>
        <v>HP09_ALL_SSP_ALL_GB</v>
      </c>
      <c r="B6" s="36" t="s">
        <v>749</v>
      </c>
      <c r="C6" s="36" t="s">
        <v>231</v>
      </c>
      <c r="D6" s="36" t="s">
        <v>250</v>
      </c>
      <c r="E6" s="36" t="s">
        <v>267</v>
      </c>
      <c r="F6" s="36" t="s">
        <v>273</v>
      </c>
      <c r="G6" s="36" t="s">
        <v>267</v>
      </c>
      <c r="H6" s="36" t="s">
        <v>130</v>
      </c>
      <c r="I6" s="36">
        <v>106</v>
      </c>
    </row>
    <row r="7" spans="1:9">
      <c r="A7" s="36" t="str">
        <f>_xlfn.CONCAT("HP09_",INDEX(dwelling_categories_short,MATCH(E7,dwelling_categories,0)),"_",INDEX(rep_days_short,MATCH(F7,rep_days,0)),"_",INDEX(HP_behaviours_short,MATCH(G7,HP_behaviours,0)),"_",H7)</f>
        <v>HP09_ALL_MIN_ALL_GB</v>
      </c>
      <c r="B7" s="36" t="s">
        <v>749</v>
      </c>
      <c r="C7" s="36" t="s">
        <v>231</v>
      </c>
      <c r="D7" s="36" t="s">
        <v>250</v>
      </c>
      <c r="E7" s="36" t="s">
        <v>267</v>
      </c>
      <c r="F7" s="36" t="s">
        <v>284</v>
      </c>
      <c r="G7" s="36" t="s">
        <v>267</v>
      </c>
      <c r="H7" s="36" t="s">
        <v>130</v>
      </c>
      <c r="I7" s="36">
        <v>639</v>
      </c>
    </row>
  </sheetData>
  <hyperlinks>
    <hyperlink ref="A1" location="Contents!A1" display="Back to contents" xr:uid="{9C74899F-6E37-4158-B4F7-1755AC061F51}"/>
    <hyperlink ref="A2" location="'HP CPA Summary Table'!A1" display="Back to HP CPA Summary Table" xr:uid="{A914B147-7E8A-44E3-8699-6C3B7B4CD22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7046-E795-48E0-B6C2-272753A65361}">
  <sheetPr>
    <tabColor theme="8" tint="0.79998168889431442"/>
  </sheetPr>
  <dimension ref="A1:J31"/>
  <sheetViews>
    <sheetView zoomScale="80" zoomScaleNormal="80" workbookViewId="0">
      <selection activeCell="E1" sqref="E1"/>
    </sheetView>
  </sheetViews>
  <sheetFormatPr defaultColWidth="9.19921875" defaultRowHeight="20.45"/>
  <cols>
    <col min="1" max="1" width="9.19921875" style="25"/>
    <col min="2" max="2" width="50.8984375" style="25" customWidth="1"/>
    <col min="3" max="3" width="23.296875" style="25" customWidth="1"/>
    <col min="4" max="4" width="22" style="25" customWidth="1"/>
    <col min="5" max="5" width="13.19921875" style="25" customWidth="1"/>
    <col min="6" max="6" width="67.19921875" style="25" customWidth="1"/>
    <col min="7" max="7" width="70.5" style="25" customWidth="1"/>
    <col min="8" max="8" width="9.19921875" style="25"/>
    <col min="9" max="9" width="17" style="25" customWidth="1"/>
    <col min="10" max="16384" width="9.19921875" style="25"/>
  </cols>
  <sheetData>
    <row r="1" spans="1:10">
      <c r="A1" s="98" t="s">
        <v>57</v>
      </c>
    </row>
    <row r="2" spans="1:10">
      <c r="A2" s="98" t="s">
        <v>742</v>
      </c>
    </row>
    <row r="3" spans="1:10" ht="21" thickBot="1"/>
    <row r="4" spans="1:10" ht="24.6" thickBot="1">
      <c r="B4" s="73" t="s">
        <v>496</v>
      </c>
      <c r="C4" s="6"/>
      <c r="D4" s="6"/>
      <c r="E4" s="6"/>
    </row>
    <row r="6" spans="1:10">
      <c r="B6" s="34" t="s">
        <v>497</v>
      </c>
      <c r="C6" s="34" t="s">
        <v>7</v>
      </c>
      <c r="D6" s="34" t="s">
        <v>340</v>
      </c>
      <c r="E6" s="34" t="s">
        <v>499</v>
      </c>
    </row>
    <row r="7" spans="1:10" ht="40.9">
      <c r="B7" s="25" t="s">
        <v>755</v>
      </c>
      <c r="C7" s="33" t="s">
        <v>756</v>
      </c>
      <c r="D7" s="25" t="s">
        <v>757</v>
      </c>
      <c r="E7" s="77">
        <f>SUMPRODUCT(E15:E18,E27:E30)*E14</f>
        <v>8.2064598823153752</v>
      </c>
    </row>
    <row r="8" spans="1:10">
      <c r="B8" s="25" t="s">
        <v>758</v>
      </c>
      <c r="D8" s="25" t="s">
        <v>759</v>
      </c>
      <c r="E8" s="77">
        <f>E7*E19*E21/E20</f>
        <v>22.939716246596916</v>
      </c>
    </row>
    <row r="9" spans="1:10">
      <c r="B9" s="25" t="s">
        <v>760</v>
      </c>
      <c r="D9" s="25" t="s">
        <v>761</v>
      </c>
      <c r="E9" s="78">
        <f>E8*E22</f>
        <v>1.355553712443905</v>
      </c>
      <c r="F9" s="25" t="s">
        <v>762</v>
      </c>
    </row>
    <row r="10" spans="1:10" ht="21" thickBot="1"/>
    <row r="11" spans="1:10" ht="24.6" thickBot="1">
      <c r="B11" s="73" t="s">
        <v>522</v>
      </c>
      <c r="C11" s="6"/>
      <c r="D11" s="6"/>
      <c r="E11" s="6"/>
      <c r="G11" s="31"/>
    </row>
    <row r="12" spans="1:10">
      <c r="G12" s="31"/>
    </row>
    <row r="13" spans="1:10">
      <c r="B13" s="34" t="s">
        <v>18</v>
      </c>
      <c r="C13" s="34" t="s">
        <v>523</v>
      </c>
      <c r="D13" s="34" t="s">
        <v>340</v>
      </c>
      <c r="E13" s="34" t="s">
        <v>499</v>
      </c>
      <c r="G13" s="31"/>
    </row>
    <row r="14" spans="1:10">
      <c r="B14" s="25" t="s">
        <v>249</v>
      </c>
      <c r="C14" s="79">
        <v>2030</v>
      </c>
      <c r="D14" s="25" t="s">
        <v>403</v>
      </c>
      <c r="E14" s="80">
        <f>'HP02'!K10</f>
        <v>0.95227272727272727</v>
      </c>
      <c r="J14" s="81"/>
    </row>
    <row r="15" spans="1:10">
      <c r="B15" s="25" t="s">
        <v>653</v>
      </c>
      <c r="C15" s="33" t="s">
        <v>233</v>
      </c>
      <c r="D15" s="25" t="s">
        <v>656</v>
      </c>
      <c r="E15" s="32">
        <f>'HP01'!J4</f>
        <v>13.6</v>
      </c>
      <c r="J15" s="81"/>
    </row>
    <row r="16" spans="1:10">
      <c r="B16" s="25" t="s">
        <v>653</v>
      </c>
      <c r="C16" s="33" t="s">
        <v>763</v>
      </c>
      <c r="D16" s="25" t="s">
        <v>656</v>
      </c>
      <c r="E16" s="32">
        <f>'HP01'!J5</f>
        <v>8.6999999999999993</v>
      </c>
      <c r="J16" s="81"/>
    </row>
    <row r="17" spans="2:10">
      <c r="B17" s="25" t="s">
        <v>653</v>
      </c>
      <c r="C17" s="33" t="s">
        <v>764</v>
      </c>
      <c r="D17" s="25" t="s">
        <v>656</v>
      </c>
      <c r="E17" s="32">
        <f>'HP01'!J6</f>
        <v>6.3</v>
      </c>
      <c r="J17" s="81"/>
    </row>
    <row r="18" spans="2:10">
      <c r="B18" s="25" t="s">
        <v>653</v>
      </c>
      <c r="C18" s="33" t="s">
        <v>282</v>
      </c>
      <c r="D18" s="25" t="s">
        <v>656</v>
      </c>
      <c r="E18" s="32">
        <f>'HP01'!J7</f>
        <v>4.4000000000000004</v>
      </c>
    </row>
    <row r="19" spans="2:10">
      <c r="B19" s="25" t="s">
        <v>691</v>
      </c>
      <c r="C19" s="33" t="s">
        <v>235</v>
      </c>
      <c r="D19" s="25" t="s">
        <v>745</v>
      </c>
      <c r="E19" s="32">
        <f>'HP04'!I4</f>
        <v>0.34</v>
      </c>
    </row>
    <row r="20" spans="2:10" ht="40.9">
      <c r="B20" s="25" t="s">
        <v>678</v>
      </c>
      <c r="C20" s="33" t="s">
        <v>765</v>
      </c>
      <c r="D20" s="25" t="s">
        <v>744</v>
      </c>
      <c r="E20" s="82">
        <f>AVERAGE('HP03'!I4:I17)</f>
        <v>2.5664285714285713</v>
      </c>
    </row>
    <row r="21" spans="2:10" ht="40.9">
      <c r="B21" s="25" t="s">
        <v>291</v>
      </c>
      <c r="C21" s="33" t="s">
        <v>765</v>
      </c>
      <c r="D21" s="25" t="s">
        <v>747</v>
      </c>
      <c r="E21" s="83">
        <f>AVERAGE('HP05'!H4:H17)</f>
        <v>21.099999999999998</v>
      </c>
      <c r="J21" s="69"/>
    </row>
    <row r="22" spans="2:10" ht="61.15">
      <c r="B22" s="25" t="s">
        <v>530</v>
      </c>
      <c r="C22" s="33" t="s">
        <v>766</v>
      </c>
      <c r="D22" s="25" t="s">
        <v>748</v>
      </c>
      <c r="E22" s="84" cm="1">
        <f t="array" ref="E22">MAX(('HP06'!J52:J99*'HP07'!I4)+('HP06'!J100:J147*'HP07'!I5)+('HP06'!J148:J195*'HP07'!I6))</f>
        <v>5.9092000000000006E-2</v>
      </c>
    </row>
    <row r="23" spans="2:10" ht="21" thickBot="1">
      <c r="E23" s="32"/>
    </row>
    <row r="24" spans="2:10" ht="24.6" thickBot="1">
      <c r="B24" s="73" t="s">
        <v>536</v>
      </c>
      <c r="C24" s="6"/>
      <c r="D24" s="6"/>
      <c r="E24" s="6"/>
      <c r="F24" s="6"/>
      <c r="G24" s="6"/>
    </row>
    <row r="26" spans="2:10">
      <c r="B26" s="34" t="s">
        <v>537</v>
      </c>
      <c r="C26" s="34" t="s">
        <v>7</v>
      </c>
      <c r="D26" s="34" t="s">
        <v>340</v>
      </c>
      <c r="E26" s="34" t="s">
        <v>499</v>
      </c>
      <c r="F26" s="34" t="s">
        <v>538</v>
      </c>
      <c r="G26" s="34" t="s">
        <v>767</v>
      </c>
    </row>
    <row r="27" spans="2:10" ht="40.9">
      <c r="B27" s="25" t="s">
        <v>768</v>
      </c>
      <c r="C27" s="25" t="s">
        <v>233</v>
      </c>
      <c r="D27" s="25" t="s">
        <v>403</v>
      </c>
      <c r="E27" s="81">
        <v>0.2579026593075765</v>
      </c>
      <c r="F27" s="25" t="s">
        <v>769</v>
      </c>
      <c r="G27" s="85" t="s">
        <v>770</v>
      </c>
    </row>
    <row r="28" spans="2:10" ht="30" customHeight="1">
      <c r="B28" s="25" t="s">
        <v>768</v>
      </c>
      <c r="C28" s="25" t="s">
        <v>763</v>
      </c>
      <c r="D28" s="25" t="s">
        <v>403</v>
      </c>
      <c r="E28" s="81">
        <v>0.31911690918213748</v>
      </c>
      <c r="F28" s="25" t="s">
        <v>771</v>
      </c>
      <c r="G28" s="25" t="s">
        <v>771</v>
      </c>
    </row>
    <row r="29" spans="2:10" ht="30" customHeight="1">
      <c r="B29" s="25" t="s">
        <v>768</v>
      </c>
      <c r="C29" s="25" t="s">
        <v>764</v>
      </c>
      <c r="D29" s="25" t="s">
        <v>403</v>
      </c>
      <c r="E29" s="81">
        <v>0.24887104867034621</v>
      </c>
      <c r="F29" s="25" t="s">
        <v>771</v>
      </c>
      <c r="G29" s="25" t="s">
        <v>771</v>
      </c>
    </row>
    <row r="30" spans="2:10" ht="30" customHeight="1">
      <c r="B30" s="25" t="s">
        <v>768</v>
      </c>
      <c r="C30" s="25" t="s">
        <v>772</v>
      </c>
      <c r="D30" s="25" t="s">
        <v>403</v>
      </c>
      <c r="E30" s="81">
        <v>0.17410938283993979</v>
      </c>
      <c r="F30" s="25" t="s">
        <v>771</v>
      </c>
      <c r="G30" s="25" t="s">
        <v>771</v>
      </c>
    </row>
    <row r="31" spans="2:10">
      <c r="E31" s="81">
        <f>SUM(E27:E30)</f>
        <v>1</v>
      </c>
    </row>
  </sheetData>
  <hyperlinks>
    <hyperlink ref="G27" r:id="rId1" xr:uid="{AB77021E-13BF-44C3-8CFE-6DFDD453374E}"/>
    <hyperlink ref="A1" location="Contents!A1" display="Back to contents" xr:uid="{9E14E710-651F-4653-B5AB-E8459B75B11F}"/>
    <hyperlink ref="A2" location="'HP CPA Summary Table'!A1" display="Back to HP CPA Summary Table" xr:uid="{82B38C82-8142-4D16-8344-9DE06A631C9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565C-41B0-4612-B647-C52CA5DAE6C9}">
  <sheetPr>
    <tabColor theme="8" tint="0.79998168889431442"/>
  </sheetPr>
  <dimension ref="A1:AN203"/>
  <sheetViews>
    <sheetView zoomScale="60" zoomScaleNormal="60" workbookViewId="0"/>
  </sheetViews>
  <sheetFormatPr defaultColWidth="9.09765625" defaultRowHeight="20.45"/>
  <cols>
    <col min="1" max="2" width="3.5" style="3" customWidth="1"/>
    <col min="3" max="3" width="41.8984375" style="3" customWidth="1"/>
    <col min="4" max="4" width="23.09765625" style="3" customWidth="1"/>
    <col min="5" max="5" width="45.796875" style="3" bestFit="1" customWidth="1"/>
    <col min="6" max="6" width="28.8984375" style="3" bestFit="1" customWidth="1"/>
    <col min="7" max="7" width="30.09765625" style="3" customWidth="1"/>
    <col min="8" max="8" width="28.5" style="3" customWidth="1"/>
    <col min="9" max="9" width="20.8984375" style="3" bestFit="1" customWidth="1"/>
    <col min="10" max="10" width="25.09765625" style="3" customWidth="1"/>
    <col min="11" max="12" width="26.5" style="3" customWidth="1"/>
    <col min="13" max="13" width="20.5" style="3" bestFit="1" customWidth="1"/>
    <col min="14" max="14" width="21.5" style="3" bestFit="1" customWidth="1"/>
    <col min="15" max="15" width="15.09765625" style="3" bestFit="1" customWidth="1"/>
    <col min="16" max="16" width="19.69921875" style="3" bestFit="1" customWidth="1"/>
    <col min="17" max="17" width="20.5" style="3" bestFit="1" customWidth="1"/>
    <col min="18" max="19" width="27.8984375" style="3" bestFit="1" customWidth="1"/>
    <col min="20" max="20" width="32.5" style="3" customWidth="1"/>
    <col min="21" max="25" width="24.5" style="3" customWidth="1"/>
    <col min="26" max="26" width="13.09765625" style="3" customWidth="1"/>
    <col min="27" max="16384" width="9.09765625" style="3"/>
  </cols>
  <sheetData>
    <row r="1" spans="1:40" s="218" customFormat="1" ht="45" customHeight="1">
      <c r="A1" s="88" t="s">
        <v>773</v>
      </c>
      <c r="B1" s="88"/>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row>
    <row r="2" spans="1:40">
      <c r="A2" s="98" t="s">
        <v>57</v>
      </c>
      <c r="B2" s="98"/>
    </row>
    <row r="3" spans="1:40" ht="34.9">
      <c r="B3" s="194"/>
      <c r="C3" s="197" t="s">
        <v>545</v>
      </c>
      <c r="D3" s="194"/>
      <c r="E3" s="250"/>
      <c r="F3" s="194"/>
      <c r="G3" s="194"/>
      <c r="H3" s="194"/>
      <c r="I3" s="194"/>
      <c r="J3" s="194"/>
    </row>
    <row r="4" spans="1:40" ht="26.45">
      <c r="B4" s="194"/>
      <c r="C4" s="248" t="s">
        <v>546</v>
      </c>
      <c r="D4" s="194"/>
      <c r="E4" s="194"/>
      <c r="F4" s="194"/>
      <c r="G4" s="194"/>
      <c r="H4" s="194"/>
      <c r="I4" s="388" t="s">
        <v>547</v>
      </c>
      <c r="J4" s="389"/>
    </row>
    <row r="5" spans="1:40" ht="26.45">
      <c r="B5" s="194"/>
      <c r="C5" s="270" t="s">
        <v>548</v>
      </c>
      <c r="D5" s="194"/>
      <c r="E5" s="194"/>
      <c r="F5" s="194"/>
      <c r="G5" s="194"/>
      <c r="H5" s="194"/>
      <c r="I5" s="390" t="s">
        <v>549</v>
      </c>
      <c r="J5" s="391"/>
    </row>
    <row r="6" spans="1:40" ht="26.45">
      <c r="B6" s="194"/>
      <c r="C6" s="271" t="s">
        <v>774</v>
      </c>
      <c r="D6" s="194"/>
      <c r="E6" s="261"/>
      <c r="F6" s="194"/>
      <c r="G6" s="194"/>
      <c r="H6" s="194"/>
      <c r="I6" s="392" t="s">
        <v>551</v>
      </c>
      <c r="J6" s="393"/>
    </row>
    <row r="7" spans="1:40" ht="26.45">
      <c r="B7" s="194"/>
      <c r="C7" s="271" t="s">
        <v>552</v>
      </c>
      <c r="D7" s="194"/>
      <c r="E7" s="194"/>
      <c r="F7" s="194"/>
      <c r="G7" s="194"/>
      <c r="H7" s="194"/>
      <c r="I7" s="394" t="s">
        <v>553</v>
      </c>
      <c r="J7" s="395"/>
    </row>
    <row r="8" spans="1:40" ht="26.45">
      <c r="B8" s="194"/>
      <c r="C8" s="270" t="s">
        <v>775</v>
      </c>
      <c r="D8" s="194"/>
      <c r="E8" s="194"/>
      <c r="F8" s="194"/>
      <c r="G8" s="194"/>
      <c r="H8" s="194"/>
      <c r="I8" s="396" t="s">
        <v>555</v>
      </c>
      <c r="J8" s="397"/>
    </row>
    <row r="9" spans="1:40">
      <c r="B9" s="194"/>
      <c r="C9" s="194"/>
      <c r="D9" s="194"/>
      <c r="E9" s="194"/>
      <c r="F9" s="194"/>
      <c r="G9" s="194"/>
      <c r="H9" s="194"/>
      <c r="I9" s="194"/>
      <c r="J9" s="194"/>
    </row>
    <row r="11" spans="1:40" ht="34.9">
      <c r="B11" s="194"/>
      <c r="C11" s="197" t="s">
        <v>556</v>
      </c>
      <c r="D11" s="194"/>
      <c r="E11" s="194"/>
      <c r="F11" s="194"/>
      <c r="G11" s="194"/>
      <c r="H11" s="194"/>
      <c r="I11" s="194"/>
      <c r="J11" s="194"/>
      <c r="K11" s="194"/>
      <c r="L11" s="194"/>
    </row>
    <row r="12" spans="1:40" ht="31.9">
      <c r="B12" s="194"/>
      <c r="C12" s="246" t="s">
        <v>557</v>
      </c>
      <c r="D12" s="194"/>
      <c r="E12" s="194"/>
      <c r="F12" s="194"/>
      <c r="G12" s="194"/>
      <c r="H12" s="194"/>
      <c r="I12" s="194"/>
      <c r="J12" s="194"/>
      <c r="K12" s="194"/>
      <c r="L12" s="194"/>
    </row>
    <row r="13" spans="1:40">
      <c r="B13" s="194"/>
      <c r="C13" s="194"/>
      <c r="D13" s="194"/>
      <c r="E13" s="194"/>
      <c r="F13" s="194"/>
      <c r="G13" s="194"/>
      <c r="H13" s="194"/>
      <c r="I13" s="194"/>
      <c r="J13" s="194"/>
      <c r="K13" s="194"/>
      <c r="L13" s="194"/>
    </row>
    <row r="14" spans="1:40">
      <c r="B14" s="194"/>
      <c r="C14" s="194"/>
      <c r="D14" s="194"/>
      <c r="E14" s="194"/>
      <c r="F14" s="194"/>
      <c r="G14" s="194"/>
      <c r="H14" s="194"/>
      <c r="I14" s="194"/>
      <c r="J14" s="194"/>
      <c r="K14" s="194"/>
      <c r="L14" s="194"/>
    </row>
    <row r="15" spans="1:40">
      <c r="B15" s="194"/>
      <c r="C15" s="196" t="s">
        <v>558</v>
      </c>
      <c r="D15" s="194"/>
      <c r="E15" s="196" t="s">
        <v>776</v>
      </c>
      <c r="F15" s="194"/>
      <c r="G15" s="194"/>
      <c r="H15" s="194"/>
      <c r="I15" s="194"/>
      <c r="J15" s="194"/>
      <c r="K15" s="194"/>
      <c r="L15" s="194"/>
    </row>
    <row r="16" spans="1:40">
      <c r="B16" s="194"/>
      <c r="C16" s="168" t="s">
        <v>560</v>
      </c>
      <c r="D16" s="194"/>
      <c r="E16" s="168" t="s">
        <v>497</v>
      </c>
      <c r="F16" s="168" t="s">
        <v>777</v>
      </c>
      <c r="G16" s="168" t="s">
        <v>778</v>
      </c>
      <c r="H16" s="168" t="s">
        <v>215</v>
      </c>
      <c r="I16" s="168" t="s">
        <v>340</v>
      </c>
      <c r="J16" s="168" t="s">
        <v>499</v>
      </c>
      <c r="K16" s="194"/>
      <c r="L16" s="194"/>
    </row>
    <row r="17" spans="2:13">
      <c r="B17" s="194"/>
      <c r="C17" s="166" t="s">
        <v>308</v>
      </c>
      <c r="D17" s="194"/>
      <c r="E17" s="196" t="s">
        <v>779</v>
      </c>
      <c r="F17" s="194"/>
      <c r="G17" s="194"/>
      <c r="H17" s="194"/>
      <c r="I17" s="194"/>
      <c r="J17" s="194"/>
      <c r="K17" s="194"/>
      <c r="L17" s="194"/>
    </row>
    <row r="18" spans="2:13">
      <c r="B18" s="194"/>
      <c r="C18" s="194"/>
      <c r="D18" s="194"/>
      <c r="E18" s="176" t="s">
        <v>780</v>
      </c>
      <c r="F18" s="116" t="s">
        <v>231</v>
      </c>
      <c r="G18" s="116" t="s">
        <v>501</v>
      </c>
      <c r="H18" s="116" t="s">
        <v>501</v>
      </c>
      <c r="I18" s="116" t="s">
        <v>502</v>
      </c>
      <c r="J18" s="167">
        <v>500</v>
      </c>
      <c r="K18" s="194"/>
      <c r="L18" s="194"/>
    </row>
    <row r="19" spans="2:13">
      <c r="B19" s="194"/>
      <c r="C19" s="168" t="s">
        <v>483</v>
      </c>
      <c r="D19" s="194"/>
      <c r="E19" s="176" t="s">
        <v>781</v>
      </c>
      <c r="F19" s="116" t="s">
        <v>250</v>
      </c>
      <c r="G19" s="116" t="s">
        <v>501</v>
      </c>
      <c r="H19" s="116" t="s">
        <v>501</v>
      </c>
      <c r="I19" s="116" t="s">
        <v>502</v>
      </c>
      <c r="J19" s="167">
        <v>10</v>
      </c>
      <c r="K19" s="194"/>
      <c r="L19" s="194"/>
    </row>
    <row r="20" spans="2:13">
      <c r="B20" s="194"/>
      <c r="C20" s="166" t="s">
        <v>235</v>
      </c>
      <c r="D20" s="194"/>
      <c r="E20" s="194"/>
      <c r="F20" s="194"/>
      <c r="G20" s="194"/>
      <c r="H20" s="194"/>
      <c r="I20" s="194"/>
      <c r="J20" s="194"/>
      <c r="K20" s="194"/>
      <c r="L20" s="194"/>
    </row>
    <row r="21" spans="2:13" ht="21.6" customHeight="1">
      <c r="B21" s="194"/>
      <c r="C21" s="194"/>
      <c r="D21" s="194"/>
      <c r="E21" s="196" t="s">
        <v>782</v>
      </c>
      <c r="F21" s="194"/>
      <c r="G21" s="194"/>
      <c r="H21" s="194"/>
      <c r="I21" s="194"/>
      <c r="J21" s="194"/>
      <c r="K21" s="196" t="s">
        <v>783</v>
      </c>
      <c r="L21" s="264" t="s">
        <v>784</v>
      </c>
    </row>
    <row r="22" spans="2:13">
      <c r="B22" s="194"/>
      <c r="C22" s="168" t="s">
        <v>491</v>
      </c>
      <c r="D22" s="194"/>
      <c r="E22" s="176" t="s">
        <v>785</v>
      </c>
      <c r="F22" s="214" t="s">
        <v>501</v>
      </c>
      <c r="G22" s="116" t="s">
        <v>233</v>
      </c>
      <c r="H22" s="116" t="s">
        <v>786</v>
      </c>
      <c r="I22" s="215" t="s">
        <v>403</v>
      </c>
      <c r="J22" s="216">
        <v>0.25600000000000001</v>
      </c>
      <c r="K22" s="262">
        <v>0.25790000000000002</v>
      </c>
      <c r="L22" s="194"/>
    </row>
    <row r="23" spans="2:13">
      <c r="B23" s="194"/>
      <c r="C23" s="166">
        <v>2050</v>
      </c>
      <c r="D23" s="195"/>
      <c r="E23" s="176" t="s">
        <v>787</v>
      </c>
      <c r="F23" s="214" t="s">
        <v>501</v>
      </c>
      <c r="G23" s="176" t="s">
        <v>252</v>
      </c>
      <c r="H23" s="176" t="s">
        <v>786</v>
      </c>
      <c r="I23" s="215" t="s">
        <v>403</v>
      </c>
      <c r="J23" s="216">
        <v>0.31900000000000001</v>
      </c>
      <c r="K23" s="262">
        <v>0.31912000000000001</v>
      </c>
      <c r="L23" s="194"/>
      <c r="M23" s="247"/>
    </row>
    <row r="24" spans="2:13">
      <c r="B24" s="194"/>
      <c r="C24" s="194"/>
      <c r="D24" s="194"/>
      <c r="E24" s="176" t="s">
        <v>788</v>
      </c>
      <c r="F24" s="214" t="s">
        <v>501</v>
      </c>
      <c r="G24" s="176" t="s">
        <v>270</v>
      </c>
      <c r="H24" s="176" t="s">
        <v>786</v>
      </c>
      <c r="I24" s="215" t="s">
        <v>403</v>
      </c>
      <c r="J24" s="216">
        <v>0.25</v>
      </c>
      <c r="K24" s="262">
        <v>0.24887000000000001</v>
      </c>
      <c r="L24" s="194"/>
    </row>
    <row r="25" spans="2:13">
      <c r="B25" s="194"/>
      <c r="C25" s="194"/>
      <c r="D25" s="194"/>
      <c r="E25" s="176" t="s">
        <v>789</v>
      </c>
      <c r="F25" s="214" t="s">
        <v>501</v>
      </c>
      <c r="G25" s="176" t="s">
        <v>282</v>
      </c>
      <c r="H25" s="176" t="s">
        <v>786</v>
      </c>
      <c r="I25" s="215" t="s">
        <v>403</v>
      </c>
      <c r="J25" s="216">
        <v>0.17399999999999999</v>
      </c>
      <c r="K25" s="262">
        <v>0.17410999999999999</v>
      </c>
      <c r="L25" s="194"/>
    </row>
    <row r="26" spans="2:13">
      <c r="B26" s="194"/>
      <c r="C26" s="194"/>
      <c r="D26" s="194"/>
      <c r="E26" s="176" t="s">
        <v>790</v>
      </c>
      <c r="F26" s="214" t="s">
        <v>501</v>
      </c>
      <c r="G26" s="116" t="s">
        <v>233</v>
      </c>
      <c r="H26" s="116" t="s">
        <v>791</v>
      </c>
      <c r="I26" s="215" t="s">
        <v>403</v>
      </c>
      <c r="J26" s="216">
        <v>0</v>
      </c>
      <c r="K26" s="262">
        <v>0</v>
      </c>
      <c r="L26" s="194"/>
    </row>
    <row r="27" spans="2:13">
      <c r="B27" s="194"/>
      <c r="C27" s="194"/>
      <c r="D27" s="194"/>
      <c r="E27" s="176" t="s">
        <v>792</v>
      </c>
      <c r="F27" s="214" t="s">
        <v>501</v>
      </c>
      <c r="G27" s="176" t="s">
        <v>252</v>
      </c>
      <c r="H27" s="176" t="s">
        <v>791</v>
      </c>
      <c r="I27" s="215" t="s">
        <v>403</v>
      </c>
      <c r="J27" s="216">
        <v>0</v>
      </c>
      <c r="K27" s="262">
        <v>0</v>
      </c>
      <c r="L27" s="194"/>
    </row>
    <row r="28" spans="2:13">
      <c r="B28" s="194"/>
      <c r="C28" s="194"/>
      <c r="D28" s="194"/>
      <c r="E28" s="176" t="s">
        <v>793</v>
      </c>
      <c r="F28" s="214" t="s">
        <v>501</v>
      </c>
      <c r="G28" s="176" t="s">
        <v>270</v>
      </c>
      <c r="H28" s="176" t="s">
        <v>791</v>
      </c>
      <c r="I28" s="215" t="s">
        <v>403</v>
      </c>
      <c r="J28" s="216">
        <v>0</v>
      </c>
      <c r="K28" s="262">
        <v>0</v>
      </c>
      <c r="L28" s="194"/>
    </row>
    <row r="29" spans="2:13">
      <c r="B29" s="194"/>
      <c r="C29" s="194"/>
      <c r="D29" s="194"/>
      <c r="E29" s="176" t="s">
        <v>794</v>
      </c>
      <c r="F29" s="214" t="s">
        <v>501</v>
      </c>
      <c r="G29" s="176" t="s">
        <v>282</v>
      </c>
      <c r="H29" s="176" t="s">
        <v>791</v>
      </c>
      <c r="I29" s="215" t="s">
        <v>403</v>
      </c>
      <c r="J29" s="216">
        <v>0</v>
      </c>
      <c r="K29" s="262">
        <v>0</v>
      </c>
      <c r="L29" s="194"/>
    </row>
    <row r="30" spans="2:13">
      <c r="B30" s="194"/>
      <c r="C30" s="194"/>
      <c r="D30" s="194"/>
      <c r="E30" s="176" t="s">
        <v>795</v>
      </c>
      <c r="F30" s="176" t="s">
        <v>501</v>
      </c>
      <c r="G30" s="176" t="s">
        <v>501</v>
      </c>
      <c r="H30" s="176" t="s">
        <v>501</v>
      </c>
      <c r="I30" s="176" t="s">
        <v>403</v>
      </c>
      <c r="J30" s="217">
        <f>SUM(J22:J29)</f>
        <v>0.99899999999999989</v>
      </c>
      <c r="K30" s="263" t="str">
        <f>IF(J30&gt;1.01,"Total &gt;100% Check inputs!",IF(J30&lt;0.99,"Total &lt;100% Check inputs!", ""))</f>
        <v/>
      </c>
      <c r="L30" s="194"/>
    </row>
    <row r="31" spans="2:13">
      <c r="B31" s="194"/>
      <c r="C31" s="194"/>
      <c r="D31" s="194"/>
      <c r="E31" s="194"/>
      <c r="F31" s="194"/>
      <c r="G31" s="194"/>
      <c r="H31" s="194"/>
      <c r="I31" s="194"/>
      <c r="J31" s="194"/>
      <c r="K31" s="194"/>
      <c r="L31" s="194"/>
    </row>
    <row r="33" spans="2:27" ht="34.9">
      <c r="B33" s="194"/>
      <c r="C33" s="197" t="s">
        <v>567</v>
      </c>
      <c r="D33" s="194"/>
      <c r="E33" s="194"/>
      <c r="F33" s="198"/>
      <c r="G33" s="194"/>
      <c r="H33" s="194"/>
      <c r="I33" s="194"/>
      <c r="J33" s="194"/>
      <c r="K33" s="194"/>
      <c r="L33" s="194"/>
      <c r="M33" s="194"/>
      <c r="N33" s="194"/>
      <c r="O33" s="194"/>
      <c r="P33" s="194"/>
      <c r="Q33" s="194"/>
      <c r="R33" s="194"/>
      <c r="S33" s="194"/>
      <c r="T33" s="194"/>
      <c r="U33" s="194"/>
      <c r="V33" s="194"/>
      <c r="W33" s="194"/>
      <c r="X33" s="194"/>
      <c r="Y33" s="194"/>
      <c r="Z33" s="194"/>
      <c r="AA33" s="194"/>
    </row>
    <row r="34" spans="2:27">
      <c r="B34" s="194"/>
      <c r="C34" s="194"/>
      <c r="D34" s="194"/>
      <c r="E34" s="194"/>
      <c r="F34" s="198"/>
      <c r="G34" s="194"/>
      <c r="H34" s="194"/>
      <c r="I34" s="194"/>
      <c r="J34" s="194"/>
      <c r="K34" s="194"/>
      <c r="L34" s="194"/>
      <c r="M34" s="194"/>
      <c r="N34" s="194"/>
      <c r="O34" s="194"/>
      <c r="P34" s="194"/>
      <c r="Q34" s="194"/>
      <c r="R34" s="194"/>
      <c r="S34" s="194"/>
      <c r="T34" s="194"/>
      <c r="U34" s="194"/>
      <c r="V34" s="194"/>
      <c r="W34" s="194"/>
      <c r="X34" s="194"/>
      <c r="Y34" s="194"/>
      <c r="Z34" s="194"/>
      <c r="AA34" s="194"/>
    </row>
    <row r="35" spans="2:27" ht="37.9">
      <c r="B35" s="194"/>
      <c r="C35" s="402" t="str">
        <f>_xlfn.CONCAT($C$17,": ",$C$23, " ",$C$20)</f>
        <v>Northern: 2050 Peak demand winter day</v>
      </c>
      <c r="D35" s="402"/>
      <c r="E35" s="402"/>
      <c r="F35" s="198"/>
      <c r="G35" s="204" t="s">
        <v>796</v>
      </c>
      <c r="H35" s="203"/>
      <c r="I35" s="207" t="s">
        <v>569</v>
      </c>
      <c r="K35" s="207" t="s">
        <v>570</v>
      </c>
      <c r="M35" s="194"/>
      <c r="N35" s="204" t="s">
        <v>797</v>
      </c>
      <c r="O35" s="203"/>
      <c r="P35" s="207" t="s">
        <v>569</v>
      </c>
      <c r="R35" s="207" t="s">
        <v>570</v>
      </c>
      <c r="T35" s="194"/>
      <c r="U35" s="204" t="s">
        <v>798</v>
      </c>
      <c r="V35" s="204"/>
      <c r="W35" s="207" t="s">
        <v>569</v>
      </c>
      <c r="Y35" s="207" t="s">
        <v>570</v>
      </c>
      <c r="AA35" s="194"/>
    </row>
    <row r="36" spans="2:27" ht="37.9">
      <c r="B36" s="194"/>
      <c r="C36" s="402"/>
      <c r="D36" s="402"/>
      <c r="E36" s="402"/>
      <c r="F36" s="198"/>
      <c r="H36" s="236"/>
      <c r="I36" s="266">
        <f>$E$147</f>
        <v>703.04871887403613</v>
      </c>
      <c r="J36" s="206" t="s">
        <v>136</v>
      </c>
      <c r="K36" s="208">
        <f>$E$148</f>
        <v>0.29166666666666669</v>
      </c>
      <c r="M36" s="194"/>
      <c r="O36" s="236"/>
      <c r="P36" s="266">
        <f>$K$147</f>
        <v>1.378526899753012</v>
      </c>
      <c r="Q36" s="206" t="s">
        <v>136</v>
      </c>
      <c r="R36" s="208">
        <f>$K$148</f>
        <v>0.29166666666666669</v>
      </c>
      <c r="T36" s="194"/>
      <c r="U36" s="278" t="s">
        <v>799</v>
      </c>
      <c r="W36" s="234">
        <f>$E$147</f>
        <v>703.04871887403613</v>
      </c>
      <c r="X36" s="206" t="s">
        <v>136</v>
      </c>
      <c r="Y36" s="208">
        <f>$E$148</f>
        <v>0.29166666666666669</v>
      </c>
      <c r="Z36" s="206"/>
      <c r="AA36" s="194"/>
    </row>
    <row r="37" spans="2:27" ht="34.9">
      <c r="B37" s="194"/>
      <c r="C37" s="268" t="s">
        <v>800</v>
      </c>
      <c r="D37" s="221">
        <f>SUM(HP_number_BB5)</f>
        <v>500</v>
      </c>
      <c r="E37" s="3" t="s">
        <v>231</v>
      </c>
      <c r="F37" s="198"/>
      <c r="I37" s="209" t="str">
        <f>_xlfn.CONCAT(ROUND($F$147,2), " - ",ROUND($G$147,2))</f>
        <v>652.38 - 779.05</v>
      </c>
      <c r="J37" s="210" t="s">
        <v>136</v>
      </c>
      <c r="M37" s="194"/>
      <c r="P37" s="209" t="str">
        <f>_xlfn.CONCAT(ROUND($L$147,2), " - ",ROUND($M$147,2))</f>
        <v>1.28 - 1.53</v>
      </c>
      <c r="Q37" s="210" t="s">
        <v>136</v>
      </c>
      <c r="T37" s="194"/>
      <c r="U37" s="279" t="s">
        <v>488</v>
      </c>
      <c r="AA37" s="194"/>
    </row>
    <row r="38" spans="2:27" ht="37.9">
      <c r="B38" s="194"/>
      <c r="C38" s="268" t="s">
        <v>801</v>
      </c>
      <c r="D38" s="221">
        <f>SUM(HP_number_BB6)</f>
        <v>10</v>
      </c>
      <c r="E38" s="3" t="s">
        <v>250</v>
      </c>
      <c r="F38" s="198"/>
      <c r="M38" s="194"/>
      <c r="T38" s="194"/>
      <c r="V38" s="199"/>
      <c r="AA38" s="194"/>
    </row>
    <row r="39" spans="2:27">
      <c r="B39" s="194"/>
      <c r="F39" s="198"/>
      <c r="M39" s="194"/>
      <c r="T39" s="194"/>
      <c r="AA39" s="194"/>
    </row>
    <row r="40" spans="2:27" ht="37.9">
      <c r="B40" s="194"/>
      <c r="C40" s="268" t="s">
        <v>802</v>
      </c>
      <c r="D40" s="237">
        <f>IF(OR(HP_rep_day="Peak demand summer day",HP_rep_day="Overall minimum demand day"),"&gt;15.5",21-$O$74)</f>
        <v>-1.1999999999999993</v>
      </c>
      <c r="E40" s="199" t="s">
        <v>704</v>
      </c>
      <c r="F40" s="198"/>
      <c r="M40" s="194"/>
      <c r="T40" s="194"/>
      <c r="AA40" s="194"/>
    </row>
    <row r="41" spans="2:27" ht="34.9">
      <c r="B41" s="194"/>
      <c r="C41" s="269" t="s">
        <v>803</v>
      </c>
      <c r="D41" s="235" t="str">
        <f>IF(OR(HP_rep_day="Peak demand summer day",HP_rep_day="Overall minimum demand day"),"&gt;15.5˚C",_xlfn.CONCAT(ROUND(21-HP05_upper,1),"˚C"))</f>
        <v>-3.6˚C</v>
      </c>
      <c r="E41" s="238" t="str">
        <f>IF(OR(HP_rep_day="Peak demand summer day",HP_rep_day="Overall minimum demand day"),"&gt;15.5˚C",_xlfn.CONCAT(ROUND(21-HP05_lower,1),"˚C"))</f>
        <v>0.4˚C</v>
      </c>
      <c r="F41" s="198"/>
      <c r="M41" s="194"/>
      <c r="T41" s="194"/>
      <c r="V41" s="174"/>
      <c r="AA41" s="194"/>
    </row>
    <row r="42" spans="2:27">
      <c r="B42" s="194"/>
      <c r="F42" s="198"/>
      <c r="M42" s="194"/>
      <c r="T42" s="194"/>
      <c r="V42" s="174"/>
      <c r="AA42" s="194"/>
    </row>
    <row r="43" spans="2:27" ht="37.9">
      <c r="B43" s="194"/>
      <c r="C43" s="268" t="s">
        <v>578</v>
      </c>
      <c r="D43" s="244" t="str">
        <f>$J$138</f>
        <v>N</v>
      </c>
      <c r="F43" s="198"/>
      <c r="M43" s="194"/>
      <c r="T43" s="194"/>
      <c r="V43" s="174"/>
      <c r="X43" s="30"/>
      <c r="AA43" s="194"/>
    </row>
    <row r="44" spans="2:27" ht="24">
      <c r="B44" s="194"/>
      <c r="F44" s="198"/>
      <c r="M44" s="194"/>
      <c r="T44" s="194"/>
      <c r="V44" s="174"/>
      <c r="X44" s="30" t="b">
        <f>IF(OR(HP_rep_day="Peak demand summer day",HP_rep_day="Overall minimum demand day"),FALSE,TRUE)</f>
        <v>1</v>
      </c>
      <c r="Y44" s="243"/>
      <c r="Z44" s="239" t="s">
        <v>804</v>
      </c>
      <c r="AA44" s="194"/>
    </row>
    <row r="45" spans="2:27" ht="24">
      <c r="B45" s="194"/>
      <c r="C45" s="194"/>
      <c r="D45" s="194"/>
      <c r="E45" s="194"/>
      <c r="F45" s="198"/>
      <c r="M45" s="194"/>
      <c r="T45" s="194"/>
      <c r="V45" s="174"/>
      <c r="X45" s="30" t="b">
        <f>IF(OR(HP_rep_day="Peak demand summer day",HP_rep_day="Overall minimum demand day"),TRUE,FALSE)</f>
        <v>0</v>
      </c>
      <c r="Y45" s="242"/>
      <c r="Z45" s="239" t="s">
        <v>805</v>
      </c>
      <c r="AA45" s="194"/>
    </row>
    <row r="46" spans="2:27" ht="24">
      <c r="B46" s="194"/>
      <c r="C46" s="194"/>
      <c r="D46" s="194"/>
      <c r="E46" s="194"/>
      <c r="F46" s="198"/>
      <c r="M46" s="194"/>
      <c r="T46" s="194"/>
      <c r="V46" s="174"/>
      <c r="X46" s="30" t="b">
        <f>IF(OR(HP_rep_day="Peak demand summer day",HP_rep_day="Overall minimum demand day"),TRUE,FALSE)</f>
        <v>0</v>
      </c>
      <c r="Y46" s="241"/>
      <c r="Z46" s="239" t="s">
        <v>806</v>
      </c>
      <c r="AA46" s="194"/>
    </row>
    <row r="47" spans="2:27" ht="24">
      <c r="B47" s="194"/>
      <c r="C47" s="194"/>
      <c r="D47" s="194"/>
      <c r="E47" s="194"/>
      <c r="F47" s="198"/>
      <c r="M47" s="194"/>
      <c r="T47" s="194"/>
      <c r="V47" s="174"/>
      <c r="X47" s="30" t="b">
        <f>IF(OR(HP_rep_day="Peak demand summer day",HP_rep_day="Overall minimum demand day"),TRUE,FALSE)</f>
        <v>0</v>
      </c>
      <c r="Y47" s="240"/>
      <c r="Z47" s="239" t="s">
        <v>807</v>
      </c>
      <c r="AA47" s="194"/>
    </row>
    <row r="48" spans="2:27">
      <c r="B48" s="194"/>
      <c r="C48" s="194"/>
      <c r="D48" s="194"/>
      <c r="E48" s="194"/>
      <c r="F48" s="198"/>
      <c r="M48" s="194"/>
      <c r="T48" s="194"/>
      <c r="V48" s="174"/>
      <c r="X48" s="30"/>
      <c r="AA48" s="194"/>
    </row>
    <row r="49" spans="2:27">
      <c r="B49" s="194"/>
      <c r="C49" s="194"/>
      <c r="D49" s="194"/>
      <c r="E49" s="194"/>
      <c r="F49" s="198"/>
      <c r="M49" s="194"/>
      <c r="T49" s="194"/>
      <c r="V49" s="174"/>
      <c r="AA49" s="194"/>
    </row>
    <row r="50" spans="2:27">
      <c r="B50" s="194"/>
      <c r="C50" s="194"/>
      <c r="D50" s="194"/>
      <c r="E50" s="194"/>
      <c r="F50" s="198"/>
      <c r="M50" s="194"/>
      <c r="T50" s="194"/>
      <c r="V50" s="174"/>
      <c r="AA50" s="194"/>
    </row>
    <row r="51" spans="2:27">
      <c r="B51" s="194"/>
      <c r="C51" s="194"/>
      <c r="D51" s="194"/>
      <c r="E51" s="194"/>
      <c r="F51" s="198"/>
      <c r="M51" s="194"/>
      <c r="T51" s="194"/>
      <c r="V51" s="174"/>
      <c r="AA51" s="194"/>
    </row>
    <row r="52" spans="2:27">
      <c r="B52" s="194"/>
      <c r="C52" s="194"/>
      <c r="D52" s="194"/>
      <c r="E52" s="194"/>
      <c r="F52" s="198"/>
      <c r="M52" s="194"/>
      <c r="T52" s="194"/>
      <c r="V52" s="174"/>
      <c r="AA52" s="194"/>
    </row>
    <row r="53" spans="2:27">
      <c r="B53" s="194"/>
      <c r="C53" s="194"/>
      <c r="D53" s="194"/>
      <c r="E53" s="194"/>
      <c r="F53" s="198"/>
      <c r="M53" s="194"/>
      <c r="T53" s="194"/>
      <c r="V53" s="174"/>
      <c r="AA53" s="194"/>
    </row>
    <row r="54" spans="2:27">
      <c r="B54" s="194"/>
      <c r="C54" s="194"/>
      <c r="D54" s="194"/>
      <c r="E54" s="194"/>
      <c r="F54" s="198"/>
      <c r="G54" s="198"/>
      <c r="H54" s="198"/>
      <c r="I54" s="198"/>
      <c r="J54" s="198"/>
      <c r="K54" s="198"/>
      <c r="L54" s="198"/>
      <c r="M54" s="194"/>
      <c r="N54" s="194"/>
      <c r="O54" s="194"/>
      <c r="P54" s="194"/>
      <c r="Q54" s="194"/>
      <c r="R54" s="194"/>
      <c r="S54" s="194"/>
      <c r="T54" s="194"/>
      <c r="U54" s="194"/>
      <c r="V54" s="194"/>
      <c r="W54" s="194"/>
      <c r="X54" s="194"/>
      <c r="Y54" s="194"/>
      <c r="Z54" s="194"/>
      <c r="AA54" s="194"/>
    </row>
    <row r="55" spans="2:27">
      <c r="B55" s="194"/>
      <c r="C55" s="194"/>
      <c r="D55" s="194"/>
      <c r="E55" s="194"/>
      <c r="F55" s="198"/>
      <c r="G55" s="198"/>
      <c r="H55" s="198"/>
      <c r="I55" s="198"/>
      <c r="J55" s="198"/>
      <c r="K55" s="198"/>
      <c r="L55" s="198"/>
      <c r="M55" s="198"/>
      <c r="N55" s="194"/>
      <c r="O55" s="194"/>
      <c r="P55" s="194"/>
      <c r="Q55" s="194"/>
      <c r="R55" s="194"/>
      <c r="S55" s="194"/>
      <c r="T55" s="194"/>
      <c r="U55" s="194"/>
      <c r="V55" s="194"/>
      <c r="W55" s="194"/>
      <c r="X55" s="194"/>
      <c r="Y55" s="194"/>
      <c r="Z55" s="194"/>
      <c r="AA55" s="194"/>
    </row>
    <row r="56" spans="2:27">
      <c r="B56" s="194"/>
      <c r="C56" s="194"/>
      <c r="D56" s="194"/>
      <c r="E56" s="194"/>
      <c r="F56" s="198"/>
      <c r="G56" s="198"/>
      <c r="H56" s="198"/>
      <c r="I56" s="198"/>
      <c r="J56" s="198"/>
      <c r="K56" s="198"/>
      <c r="L56" s="198"/>
      <c r="M56" s="198"/>
      <c r="N56" s="194"/>
      <c r="O56" s="194"/>
      <c r="P56" s="194"/>
      <c r="Q56" s="194"/>
      <c r="R56" s="194"/>
      <c r="S56" s="194"/>
      <c r="T56" s="194"/>
      <c r="U56" s="194"/>
      <c r="V56" s="194"/>
      <c r="W56" s="194"/>
      <c r="X56" s="194"/>
      <c r="Y56" s="194"/>
      <c r="Z56" s="194"/>
      <c r="AA56" s="194"/>
    </row>
    <row r="57" spans="2:27">
      <c r="F57" s="174"/>
    </row>
    <row r="58" spans="2:27" ht="34.9">
      <c r="B58" s="194"/>
      <c r="C58" s="197" t="s">
        <v>584</v>
      </c>
      <c r="D58" s="194"/>
      <c r="E58" s="194"/>
      <c r="F58" s="198"/>
      <c r="G58" s="194"/>
      <c r="H58" s="194"/>
      <c r="I58" s="194"/>
      <c r="J58" s="194"/>
      <c r="K58" s="194"/>
      <c r="L58" s="194"/>
      <c r="M58" s="194"/>
      <c r="N58" s="194"/>
      <c r="O58" s="194"/>
      <c r="P58" s="194"/>
      <c r="Q58" s="194"/>
      <c r="R58" s="194"/>
    </row>
    <row r="59" spans="2:27" ht="31.9">
      <c r="B59" s="194"/>
      <c r="C59" s="246" t="s">
        <v>808</v>
      </c>
      <c r="D59" s="194"/>
      <c r="E59" s="194"/>
      <c r="F59" s="198"/>
      <c r="G59" s="194"/>
      <c r="H59" s="194"/>
      <c r="I59" s="194"/>
      <c r="J59" s="194"/>
      <c r="K59" s="194"/>
      <c r="L59" s="194"/>
      <c r="M59" s="194"/>
      <c r="N59" s="194"/>
      <c r="O59" s="194"/>
      <c r="P59" s="194"/>
      <c r="Q59" s="194"/>
      <c r="R59" s="194"/>
    </row>
    <row r="60" spans="2:27" ht="34.9">
      <c r="B60" s="194"/>
      <c r="C60" s="197"/>
      <c r="D60" s="194"/>
      <c r="E60" s="194"/>
      <c r="F60" s="198"/>
      <c r="G60" s="194"/>
      <c r="H60" s="194"/>
      <c r="I60" s="194"/>
      <c r="J60" s="194"/>
      <c r="K60" s="194"/>
      <c r="L60" s="194"/>
      <c r="M60" s="194"/>
      <c r="N60" s="194"/>
      <c r="O60" s="194"/>
      <c r="P60" s="194"/>
      <c r="Q60" s="194"/>
      <c r="R60" s="194"/>
    </row>
    <row r="61" spans="2:27">
      <c r="B61" s="194"/>
      <c r="C61" s="168" t="s">
        <v>162</v>
      </c>
      <c r="D61" s="168" t="s">
        <v>162</v>
      </c>
      <c r="E61" s="168" t="s">
        <v>18</v>
      </c>
      <c r="F61" s="168" t="s">
        <v>809</v>
      </c>
      <c r="G61" s="168" t="s">
        <v>810</v>
      </c>
      <c r="H61" s="168" t="s">
        <v>811</v>
      </c>
      <c r="I61" s="168" t="s">
        <v>215</v>
      </c>
      <c r="J61" s="168" t="s">
        <v>483</v>
      </c>
      <c r="K61" s="168" t="s">
        <v>743</v>
      </c>
      <c r="L61" s="168" t="s">
        <v>586</v>
      </c>
      <c r="M61" s="168" t="s">
        <v>491</v>
      </c>
      <c r="N61" s="168" t="s">
        <v>340</v>
      </c>
      <c r="O61" s="168" t="s">
        <v>587</v>
      </c>
      <c r="P61" s="168" t="s">
        <v>588</v>
      </c>
      <c r="Q61" s="168" t="s">
        <v>589</v>
      </c>
      <c r="R61" s="194"/>
    </row>
    <row r="62" spans="2:27" ht="21.6" customHeight="1">
      <c r="B62" s="194"/>
      <c r="C62" s="401" t="s">
        <v>31</v>
      </c>
      <c r="D62" s="176" t="s">
        <v>31</v>
      </c>
      <c r="E62" s="116" t="s">
        <v>653</v>
      </c>
      <c r="F62" s="116" t="s">
        <v>231</v>
      </c>
      <c r="G62" s="116" t="s">
        <v>250</v>
      </c>
      <c r="H62" s="116" t="s">
        <v>233</v>
      </c>
      <c r="I62" s="116" t="s">
        <v>786</v>
      </c>
      <c r="J62" s="116" t="s">
        <v>269</v>
      </c>
      <c r="K62" s="116" t="s">
        <v>267</v>
      </c>
      <c r="L62" s="169" t="str">
        <f>$C$17</f>
        <v>Northern</v>
      </c>
      <c r="M62" s="176" t="s">
        <v>501</v>
      </c>
      <c r="N62" s="116" t="s">
        <v>656</v>
      </c>
      <c r="O62" s="179">
        <f>'HP01'!J4</f>
        <v>13.6</v>
      </c>
      <c r="P62" s="179">
        <f>O62</f>
        <v>13.6</v>
      </c>
      <c r="Q62" s="179">
        <f>O62</f>
        <v>13.6</v>
      </c>
      <c r="R62" s="194"/>
    </row>
    <row r="63" spans="2:27" ht="21.6" customHeight="1">
      <c r="B63" s="194"/>
      <c r="C63" s="401"/>
      <c r="D63" s="176" t="s">
        <v>31</v>
      </c>
      <c r="E63" s="116" t="s">
        <v>653</v>
      </c>
      <c r="F63" s="116" t="s">
        <v>231</v>
      </c>
      <c r="G63" s="116" t="s">
        <v>250</v>
      </c>
      <c r="H63" s="116" t="s">
        <v>252</v>
      </c>
      <c r="I63" s="176" t="s">
        <v>786</v>
      </c>
      <c r="J63" s="116" t="s">
        <v>269</v>
      </c>
      <c r="K63" s="116" t="s">
        <v>267</v>
      </c>
      <c r="L63" s="169" t="str">
        <f t="shared" ref="L63:L69" si="0">$C$17</f>
        <v>Northern</v>
      </c>
      <c r="M63" s="176" t="s">
        <v>501</v>
      </c>
      <c r="N63" s="116" t="s">
        <v>656</v>
      </c>
      <c r="O63" s="179">
        <f>'HP01'!J5</f>
        <v>8.6999999999999993</v>
      </c>
      <c r="P63" s="179">
        <f t="shared" ref="P63:P69" si="1">O63</f>
        <v>8.6999999999999993</v>
      </c>
      <c r="Q63" s="179">
        <f t="shared" ref="Q63:Q69" si="2">O63</f>
        <v>8.6999999999999993</v>
      </c>
      <c r="R63" s="194"/>
    </row>
    <row r="64" spans="2:27" ht="21.6" customHeight="1">
      <c r="B64" s="194"/>
      <c r="C64" s="401"/>
      <c r="D64" s="176" t="s">
        <v>31</v>
      </c>
      <c r="E64" s="116" t="s">
        <v>653</v>
      </c>
      <c r="F64" s="116" t="s">
        <v>231</v>
      </c>
      <c r="G64" s="116" t="s">
        <v>250</v>
      </c>
      <c r="H64" s="116" t="s">
        <v>270</v>
      </c>
      <c r="I64" s="176" t="s">
        <v>786</v>
      </c>
      <c r="J64" s="116" t="s">
        <v>269</v>
      </c>
      <c r="K64" s="116" t="s">
        <v>267</v>
      </c>
      <c r="L64" s="169" t="str">
        <f t="shared" si="0"/>
        <v>Northern</v>
      </c>
      <c r="M64" s="176" t="s">
        <v>501</v>
      </c>
      <c r="N64" s="116" t="s">
        <v>656</v>
      </c>
      <c r="O64" s="179">
        <f>'HP01'!J6</f>
        <v>6.3</v>
      </c>
      <c r="P64" s="179">
        <f t="shared" si="1"/>
        <v>6.3</v>
      </c>
      <c r="Q64" s="179">
        <f t="shared" si="2"/>
        <v>6.3</v>
      </c>
      <c r="R64" s="194"/>
    </row>
    <row r="65" spans="2:18" ht="21.6" customHeight="1">
      <c r="B65" s="194"/>
      <c r="C65" s="401"/>
      <c r="D65" s="176" t="s">
        <v>31</v>
      </c>
      <c r="E65" s="116" t="s">
        <v>653</v>
      </c>
      <c r="F65" s="116" t="s">
        <v>231</v>
      </c>
      <c r="G65" s="116" t="s">
        <v>250</v>
      </c>
      <c r="H65" s="116" t="s">
        <v>282</v>
      </c>
      <c r="I65" s="176" t="s">
        <v>786</v>
      </c>
      <c r="J65" s="116" t="s">
        <v>269</v>
      </c>
      <c r="K65" s="116" t="s">
        <v>267</v>
      </c>
      <c r="L65" s="169" t="str">
        <f t="shared" si="0"/>
        <v>Northern</v>
      </c>
      <c r="M65" s="176" t="s">
        <v>501</v>
      </c>
      <c r="N65" s="116" t="s">
        <v>656</v>
      </c>
      <c r="O65" s="179">
        <f>'HP01'!J7</f>
        <v>4.4000000000000004</v>
      </c>
      <c r="P65" s="179">
        <f t="shared" si="1"/>
        <v>4.4000000000000004</v>
      </c>
      <c r="Q65" s="179">
        <f t="shared" si="2"/>
        <v>4.4000000000000004</v>
      </c>
      <c r="R65" s="194"/>
    </row>
    <row r="66" spans="2:18" ht="21.6" customHeight="1">
      <c r="B66" s="194"/>
      <c r="C66" s="401"/>
      <c r="D66" s="176" t="s">
        <v>31</v>
      </c>
      <c r="E66" s="176" t="s">
        <v>653</v>
      </c>
      <c r="F66" s="116" t="s">
        <v>231</v>
      </c>
      <c r="G66" s="116" t="s">
        <v>250</v>
      </c>
      <c r="H66" s="116" t="s">
        <v>233</v>
      </c>
      <c r="I66" s="116" t="s">
        <v>791</v>
      </c>
      <c r="J66" s="116" t="s">
        <v>269</v>
      </c>
      <c r="K66" s="116" t="s">
        <v>267</v>
      </c>
      <c r="L66" s="169" t="str">
        <f t="shared" si="0"/>
        <v>Northern</v>
      </c>
      <c r="M66" s="176" t="s">
        <v>501</v>
      </c>
      <c r="N66" s="176" t="s">
        <v>656</v>
      </c>
      <c r="O66" s="179">
        <f>'HP01'!J8</f>
        <v>9.9</v>
      </c>
      <c r="P66" s="179">
        <f t="shared" si="1"/>
        <v>9.9</v>
      </c>
      <c r="Q66" s="179">
        <f t="shared" si="2"/>
        <v>9.9</v>
      </c>
      <c r="R66" s="194"/>
    </row>
    <row r="67" spans="2:18" ht="21.6" customHeight="1">
      <c r="B67" s="194"/>
      <c r="C67" s="401"/>
      <c r="D67" s="176" t="s">
        <v>31</v>
      </c>
      <c r="E67" s="116" t="s">
        <v>653</v>
      </c>
      <c r="F67" s="116" t="s">
        <v>231</v>
      </c>
      <c r="G67" s="116" t="s">
        <v>250</v>
      </c>
      <c r="H67" s="116" t="s">
        <v>252</v>
      </c>
      <c r="I67" s="176" t="s">
        <v>791</v>
      </c>
      <c r="J67" s="116" t="s">
        <v>269</v>
      </c>
      <c r="K67" s="116" t="s">
        <v>267</v>
      </c>
      <c r="L67" s="169" t="str">
        <f t="shared" si="0"/>
        <v>Northern</v>
      </c>
      <c r="M67" s="176" t="s">
        <v>501</v>
      </c>
      <c r="N67" s="116" t="s">
        <v>656</v>
      </c>
      <c r="O67" s="179">
        <f>'HP01'!J9</f>
        <v>4.2</v>
      </c>
      <c r="P67" s="179">
        <f t="shared" si="1"/>
        <v>4.2</v>
      </c>
      <c r="Q67" s="179">
        <f t="shared" si="2"/>
        <v>4.2</v>
      </c>
      <c r="R67" s="194"/>
    </row>
    <row r="68" spans="2:18" ht="21.6" customHeight="1">
      <c r="B68" s="194"/>
      <c r="C68" s="401"/>
      <c r="D68" s="176" t="s">
        <v>31</v>
      </c>
      <c r="E68" s="116" t="s">
        <v>653</v>
      </c>
      <c r="F68" s="116" t="s">
        <v>231</v>
      </c>
      <c r="G68" s="116" t="s">
        <v>250</v>
      </c>
      <c r="H68" s="116" t="s">
        <v>270</v>
      </c>
      <c r="I68" s="176" t="s">
        <v>791</v>
      </c>
      <c r="J68" s="116" t="s">
        <v>269</v>
      </c>
      <c r="K68" s="116" t="s">
        <v>267</v>
      </c>
      <c r="L68" s="169" t="str">
        <f t="shared" si="0"/>
        <v>Northern</v>
      </c>
      <c r="M68" s="176" t="s">
        <v>501</v>
      </c>
      <c r="N68" s="116" t="s">
        <v>656</v>
      </c>
      <c r="O68" s="179">
        <f>'HP01'!J10</f>
        <v>4</v>
      </c>
      <c r="P68" s="179">
        <f t="shared" si="1"/>
        <v>4</v>
      </c>
      <c r="Q68" s="179">
        <f t="shared" si="2"/>
        <v>4</v>
      </c>
      <c r="R68" s="194"/>
    </row>
    <row r="69" spans="2:18" ht="21.6" customHeight="1">
      <c r="B69" s="194"/>
      <c r="C69" s="401"/>
      <c r="D69" s="176" t="s">
        <v>31</v>
      </c>
      <c r="E69" s="176" t="s">
        <v>653</v>
      </c>
      <c r="F69" s="116" t="s">
        <v>231</v>
      </c>
      <c r="G69" s="116" t="s">
        <v>250</v>
      </c>
      <c r="H69" s="116" t="s">
        <v>282</v>
      </c>
      <c r="I69" s="176" t="s">
        <v>791</v>
      </c>
      <c r="J69" s="116" t="s">
        <v>269</v>
      </c>
      <c r="K69" s="116" t="s">
        <v>267</v>
      </c>
      <c r="L69" s="169" t="str">
        <f t="shared" si="0"/>
        <v>Northern</v>
      </c>
      <c r="M69" s="176" t="s">
        <v>501</v>
      </c>
      <c r="N69" s="176" t="s">
        <v>656</v>
      </c>
      <c r="O69" s="179">
        <f>'HP01'!J11</f>
        <v>2.1</v>
      </c>
      <c r="P69" s="179">
        <f t="shared" si="1"/>
        <v>2.1</v>
      </c>
      <c r="Q69" s="179">
        <f t="shared" si="2"/>
        <v>2.1</v>
      </c>
      <c r="R69" s="194"/>
    </row>
    <row r="70" spans="2:18">
      <c r="B70" s="194"/>
      <c r="C70" s="401" t="s">
        <v>32</v>
      </c>
      <c r="D70" s="116" t="s">
        <v>32</v>
      </c>
      <c r="E70" s="116" t="s">
        <v>249</v>
      </c>
      <c r="F70" s="116" t="s">
        <v>231</v>
      </c>
      <c r="G70" s="116" t="s">
        <v>250</v>
      </c>
      <c r="H70" s="116" t="s">
        <v>267</v>
      </c>
      <c r="I70" s="176" t="s">
        <v>786</v>
      </c>
      <c r="J70" s="116" t="s">
        <v>269</v>
      </c>
      <c r="K70" s="116" t="s">
        <v>267</v>
      </c>
      <c r="L70" s="176" t="s">
        <v>130</v>
      </c>
      <c r="M70" s="169">
        <f>$C$23</f>
        <v>2050</v>
      </c>
      <c r="N70" s="176" t="s">
        <v>403</v>
      </c>
      <c r="O70" s="219">
        <f>INDEX('HP02'!$K$4:$K$30,MATCH($M70,year_list,0))</f>
        <v>0.89500000000000002</v>
      </c>
      <c r="P70" s="219">
        <f>INDEX('HP02'!$K$4:$K$30,MATCH($M70,year_list,0))</f>
        <v>0.89500000000000002</v>
      </c>
      <c r="Q70" s="219">
        <f>INDEX('HP02'!$K$4:$K$30,MATCH($M70,year_list,0))</f>
        <v>0.89500000000000002</v>
      </c>
      <c r="R70" s="194"/>
    </row>
    <row r="71" spans="2:18">
      <c r="B71" s="194"/>
      <c r="C71" s="401"/>
      <c r="D71" s="116" t="s">
        <v>32</v>
      </c>
      <c r="E71" s="116" t="s">
        <v>249</v>
      </c>
      <c r="F71" s="116" t="s">
        <v>231</v>
      </c>
      <c r="G71" s="116" t="s">
        <v>250</v>
      </c>
      <c r="H71" s="116" t="s">
        <v>267</v>
      </c>
      <c r="I71" s="116" t="s">
        <v>791</v>
      </c>
      <c r="J71" s="116" t="s">
        <v>269</v>
      </c>
      <c r="K71" s="116" t="s">
        <v>267</v>
      </c>
      <c r="L71" s="176" t="s">
        <v>130</v>
      </c>
      <c r="M71" s="169">
        <f>$C$23</f>
        <v>2050</v>
      </c>
      <c r="N71" s="176" t="s">
        <v>403</v>
      </c>
      <c r="O71" s="220">
        <f>'HP02'!$K$31</f>
        <v>1</v>
      </c>
      <c r="P71" s="220">
        <f>'HP02'!$K$31</f>
        <v>1</v>
      </c>
      <c r="Q71" s="220">
        <f>'HP02'!$K$31</f>
        <v>1</v>
      </c>
      <c r="R71" s="194"/>
    </row>
    <row r="72" spans="2:18" ht="31.9">
      <c r="B72" s="194"/>
      <c r="C72" s="222" t="s">
        <v>33</v>
      </c>
      <c r="D72" s="116" t="s">
        <v>33</v>
      </c>
      <c r="E72" s="116" t="s">
        <v>678</v>
      </c>
      <c r="F72" s="116" t="s">
        <v>231</v>
      </c>
      <c r="G72" s="116" t="s">
        <v>250</v>
      </c>
      <c r="H72" s="116" t="s">
        <v>267</v>
      </c>
      <c r="I72" s="116" t="s">
        <v>501</v>
      </c>
      <c r="J72" s="169" t="str">
        <f t="shared" ref="J72:J80" si="3">HP_rep_day</f>
        <v>Peak demand winter day</v>
      </c>
      <c r="K72" s="116" t="s">
        <v>267</v>
      </c>
      <c r="L72" s="169" t="str">
        <f t="shared" ref="L72" si="4">$C$17</f>
        <v>Northern</v>
      </c>
      <c r="M72" s="176" t="s">
        <v>501</v>
      </c>
      <c r="N72" s="176" t="s">
        <v>744</v>
      </c>
      <c r="O72" s="179" cm="1">
        <f t="array" ref="O72">INDEX('HP03'!$I$4:$I$59,MATCH(1,($L72='HP03'!$H$4:$H$59)*($J72='HP03'!$F$4:$F$59),0))</f>
        <v>2.4900000000000002</v>
      </c>
      <c r="P72" s="179">
        <f>O72</f>
        <v>2.4900000000000002</v>
      </c>
      <c r="Q72" s="179">
        <f>O72</f>
        <v>2.4900000000000002</v>
      </c>
      <c r="R72" s="194"/>
    </row>
    <row r="73" spans="2:18" ht="31.9">
      <c r="B73" s="194"/>
      <c r="C73" s="222" t="s">
        <v>34</v>
      </c>
      <c r="D73" s="116" t="s">
        <v>34</v>
      </c>
      <c r="E73" s="116" t="s">
        <v>691</v>
      </c>
      <c r="F73" s="116" t="s">
        <v>231</v>
      </c>
      <c r="G73" s="116" t="s">
        <v>250</v>
      </c>
      <c r="H73" s="116" t="s">
        <v>267</v>
      </c>
      <c r="I73" s="116" t="s">
        <v>501</v>
      </c>
      <c r="J73" s="169" t="str">
        <f t="shared" si="3"/>
        <v>Peak demand winter day</v>
      </c>
      <c r="K73" s="116" t="s">
        <v>267</v>
      </c>
      <c r="L73" s="176" t="s">
        <v>130</v>
      </c>
      <c r="M73" s="176" t="s">
        <v>501</v>
      </c>
      <c r="N73" s="116" t="s">
        <v>745</v>
      </c>
      <c r="O73" s="179">
        <f>INDEX('HP04'!$I$4:$I$7,MATCH($J73,'HP04'!$F$4:$F$7,0))</f>
        <v>0.34</v>
      </c>
      <c r="P73" s="179">
        <f>O73</f>
        <v>0.34</v>
      </c>
      <c r="Q73" s="179">
        <f>O73</f>
        <v>0.34</v>
      </c>
      <c r="R73" s="194"/>
    </row>
    <row r="74" spans="2:18" ht="31.9">
      <c r="B74" s="194"/>
      <c r="C74" s="222" t="s">
        <v>35</v>
      </c>
      <c r="D74" s="116" t="s">
        <v>35</v>
      </c>
      <c r="E74" s="116" t="s">
        <v>291</v>
      </c>
      <c r="F74" s="116" t="s">
        <v>231</v>
      </c>
      <c r="G74" s="116" t="s">
        <v>250</v>
      </c>
      <c r="H74" s="116" t="s">
        <v>269</v>
      </c>
      <c r="I74" s="116" t="s">
        <v>501</v>
      </c>
      <c r="J74" s="169" t="str">
        <f t="shared" si="3"/>
        <v>Peak demand winter day</v>
      </c>
      <c r="K74" s="116" t="s">
        <v>269</v>
      </c>
      <c r="L74" s="169" t="str">
        <f t="shared" ref="L74" si="5">$C$17</f>
        <v>Northern</v>
      </c>
      <c r="M74" s="176" t="s">
        <v>501</v>
      </c>
      <c r="N74" s="116" t="s">
        <v>747</v>
      </c>
      <c r="O74" s="179" cm="1">
        <f t="array" ref="O74">INDEX('HP05'!H$4:H$59,MATCH(1,($J74='HP05'!$E$4:$E$59)*($L74='HP05'!$G$4:$G$59),0))</f>
        <v>22.2</v>
      </c>
      <c r="P74" s="179" cm="1">
        <f t="array" ref="P74">INDEX('HP05'!I$4:I$59,MATCH(1,($J74='HP05'!$E$4:$E$59)*($L74='HP05'!$G$4:$G$59),0))</f>
        <v>20.6</v>
      </c>
      <c r="Q74" s="179" cm="1">
        <f t="array" ref="Q74">INDEX('HP05'!J$4:J$59,MATCH(1,($J74='HP05'!$E$4:$E$59)*($L74='HP05'!$G$4:$G$59),0))</f>
        <v>24.6</v>
      </c>
      <c r="R74" s="194"/>
    </row>
    <row r="75" spans="2:18" ht="30.6" customHeight="1">
      <c r="B75" s="194"/>
      <c r="C75" s="398" t="s">
        <v>37</v>
      </c>
      <c r="D75" s="116" t="s">
        <v>37</v>
      </c>
      <c r="E75" s="116" t="s">
        <v>418</v>
      </c>
      <c r="F75" s="116" t="s">
        <v>231</v>
      </c>
      <c r="G75" s="116" t="s">
        <v>250</v>
      </c>
      <c r="H75" s="116" t="s">
        <v>267</v>
      </c>
      <c r="I75" s="116" t="s">
        <v>501</v>
      </c>
      <c r="J75" s="169" t="str">
        <f t="shared" si="3"/>
        <v>Peak demand winter day</v>
      </c>
      <c r="K75" s="36" t="s">
        <v>253</v>
      </c>
      <c r="L75" s="176" t="s">
        <v>130</v>
      </c>
      <c r="M75" s="176" t="s">
        <v>501</v>
      </c>
      <c r="N75" s="116" t="s">
        <v>403</v>
      </c>
      <c r="O75" s="219" cm="1">
        <f t="array" ref="O75">IF(OR($J75="Peak demand summer day",$J75="Overall minimum demand day"),"",INDEX('HP07'!$I$4:$I$11,MATCH(1,($J75='HP07'!$F$4:$F$11)*($K75='HP07'!$G$4:$G$11),0)))</f>
        <v>0.46</v>
      </c>
      <c r="P75" s="220">
        <f t="shared" ref="P75:Q78" si="6">O75</f>
        <v>0.46</v>
      </c>
      <c r="Q75" s="220">
        <f t="shared" si="6"/>
        <v>0.46</v>
      </c>
      <c r="R75" s="194"/>
    </row>
    <row r="76" spans="2:18" ht="30.6" customHeight="1">
      <c r="B76" s="194"/>
      <c r="C76" s="399"/>
      <c r="D76" s="116" t="s">
        <v>37</v>
      </c>
      <c r="E76" s="116" t="s">
        <v>418</v>
      </c>
      <c r="F76" s="116" t="s">
        <v>231</v>
      </c>
      <c r="G76" s="116" t="s">
        <v>250</v>
      </c>
      <c r="H76" s="116" t="s">
        <v>267</v>
      </c>
      <c r="I76" s="116" t="s">
        <v>501</v>
      </c>
      <c r="J76" s="169" t="str">
        <f t="shared" si="3"/>
        <v>Peak demand winter day</v>
      </c>
      <c r="K76" s="36" t="s">
        <v>234</v>
      </c>
      <c r="L76" s="176" t="s">
        <v>130</v>
      </c>
      <c r="M76" s="176" t="s">
        <v>501</v>
      </c>
      <c r="N76" s="116" t="s">
        <v>403</v>
      </c>
      <c r="O76" s="219" cm="1">
        <f t="array" ref="O76">IF(OR($J76="Peak demand summer day",$J76="Overall minimum demand day"),"",INDEX('HP07'!$I$4:$I$11,MATCH(1,($J76='HP07'!$F$4:$F$11)*($K76='HP07'!$G$4:$G$11),0)))</f>
        <v>0.40500000000000003</v>
      </c>
      <c r="P76" s="220">
        <f t="shared" si="6"/>
        <v>0.40500000000000003</v>
      </c>
      <c r="Q76" s="220">
        <f t="shared" si="6"/>
        <v>0.40500000000000003</v>
      </c>
      <c r="R76" s="194"/>
    </row>
    <row r="77" spans="2:18" ht="30.6" customHeight="1">
      <c r="B77" s="194"/>
      <c r="C77" s="399"/>
      <c r="D77" s="116" t="s">
        <v>37</v>
      </c>
      <c r="E77" s="116" t="s">
        <v>418</v>
      </c>
      <c r="F77" s="116" t="s">
        <v>231</v>
      </c>
      <c r="G77" s="116" t="s">
        <v>250</v>
      </c>
      <c r="H77" s="116" t="s">
        <v>267</v>
      </c>
      <c r="I77" s="116" t="s">
        <v>501</v>
      </c>
      <c r="J77" s="169" t="str">
        <f t="shared" si="3"/>
        <v>Peak demand winter day</v>
      </c>
      <c r="K77" s="36" t="s">
        <v>272</v>
      </c>
      <c r="L77" s="176" t="s">
        <v>130</v>
      </c>
      <c r="M77" s="176" t="s">
        <v>501</v>
      </c>
      <c r="N77" s="116" t="s">
        <v>403</v>
      </c>
      <c r="O77" s="219" cm="1">
        <f t="array" ref="O77">IF(OR($J77="Peak demand summer day",$J77="Overall minimum demand day"),"",INDEX('HP07'!$I$4:$I$11,MATCH(1,($J77='HP07'!$F$4:$F$11)*($K77='HP07'!$G$4:$G$11),0)))</f>
        <v>0.13500000000000001</v>
      </c>
      <c r="P77" s="220">
        <f t="shared" si="6"/>
        <v>0.13500000000000001</v>
      </c>
      <c r="Q77" s="220">
        <f t="shared" si="6"/>
        <v>0.13500000000000001</v>
      </c>
      <c r="R77" s="194"/>
    </row>
    <row r="78" spans="2:18" ht="30.6" customHeight="1">
      <c r="B78" s="194"/>
      <c r="C78" s="400"/>
      <c r="D78" s="116" t="s">
        <v>37</v>
      </c>
      <c r="E78" s="116" t="s">
        <v>418</v>
      </c>
      <c r="F78" s="116" t="s">
        <v>231</v>
      </c>
      <c r="G78" s="116" t="s">
        <v>250</v>
      </c>
      <c r="H78" s="116" t="s">
        <v>267</v>
      </c>
      <c r="I78" s="116" t="s">
        <v>501</v>
      </c>
      <c r="J78" s="169" t="str">
        <f t="shared" si="3"/>
        <v>Peak demand winter day</v>
      </c>
      <c r="K78" s="36" t="s">
        <v>267</v>
      </c>
      <c r="L78" s="176" t="s">
        <v>130</v>
      </c>
      <c r="M78" s="176" t="s">
        <v>501</v>
      </c>
      <c r="N78" s="116" t="s">
        <v>403</v>
      </c>
      <c r="O78" s="179" t="str">
        <f>IF(OR($J78="Peak demand summer day",$J78="Overall minimum demand day"),INDEX('HP07'!$I$4:$I$11,MATCH($J78,'HP07'!$F$4:$F$11,0)),"")</f>
        <v/>
      </c>
      <c r="P78" s="179" t="str">
        <f t="shared" si="6"/>
        <v/>
      </c>
      <c r="Q78" s="179" t="str">
        <f t="shared" si="6"/>
        <v/>
      </c>
      <c r="R78" s="194"/>
    </row>
    <row r="79" spans="2:18" ht="31.9">
      <c r="B79" s="194"/>
      <c r="C79" s="222" t="s">
        <v>39</v>
      </c>
      <c r="D79" s="116" t="s">
        <v>39</v>
      </c>
      <c r="E79" s="116" t="s">
        <v>306</v>
      </c>
      <c r="F79" s="116" t="s">
        <v>231</v>
      </c>
      <c r="G79" s="116" t="s">
        <v>250</v>
      </c>
      <c r="H79" s="116" t="s">
        <v>267</v>
      </c>
      <c r="I79" s="116" t="s">
        <v>501</v>
      </c>
      <c r="J79" s="169" t="str">
        <f t="shared" si="3"/>
        <v>Peak demand winter day</v>
      </c>
      <c r="K79" s="36" t="s">
        <v>267</v>
      </c>
      <c r="L79" s="176" t="s">
        <v>130</v>
      </c>
      <c r="M79" s="176" t="s">
        <v>501</v>
      </c>
      <c r="N79" s="116" t="s">
        <v>502</v>
      </c>
      <c r="O79" s="179">
        <f>INDEX('HP09'!$I$4:$I$7,MATCH($J79,'HP09'!$F$4:$F$7,0))</f>
        <v>55</v>
      </c>
      <c r="P79" s="179">
        <f>O79</f>
        <v>55</v>
      </c>
      <c r="Q79" s="179">
        <f>O79</f>
        <v>55</v>
      </c>
      <c r="R79" s="194"/>
    </row>
    <row r="80" spans="2:18" ht="31.9">
      <c r="B80" s="194"/>
      <c r="C80" s="222" t="s">
        <v>38</v>
      </c>
      <c r="D80" s="116" t="s">
        <v>38</v>
      </c>
      <c r="E80" s="116" t="s">
        <v>590</v>
      </c>
      <c r="F80" s="116" t="s">
        <v>231</v>
      </c>
      <c r="G80" s="116" t="s">
        <v>250</v>
      </c>
      <c r="H80" s="116" t="s">
        <v>267</v>
      </c>
      <c r="I80" s="116" t="s">
        <v>501</v>
      </c>
      <c r="J80" s="169" t="str">
        <f t="shared" si="3"/>
        <v>Peak demand winter day</v>
      </c>
      <c r="K80" s="36" t="s">
        <v>267</v>
      </c>
      <c r="L80" s="176" t="s">
        <v>130</v>
      </c>
      <c r="M80" s="176" t="s">
        <v>501</v>
      </c>
      <c r="N80" s="36" t="s">
        <v>443</v>
      </c>
      <c r="O80" s="223" cm="1">
        <f t="array" ref="O80">INDEX('HP08'!$K$4:$K$90,MATCH(1,($J80='HP08'!$F$4:$F$90)*(SUM(HP_number_BB5,HP_number_BB6)&lt;='HP08'!$J$4:$J$90),0))</f>
        <v>1</v>
      </c>
      <c r="P80" s="223">
        <f>O80</f>
        <v>1</v>
      </c>
      <c r="Q80" s="223">
        <f>O80</f>
        <v>1</v>
      </c>
      <c r="R80" s="194"/>
    </row>
    <row r="81" spans="2:18">
      <c r="B81" s="194"/>
      <c r="C81" s="194"/>
      <c r="D81" s="194"/>
      <c r="E81" s="194"/>
      <c r="F81" s="194"/>
      <c r="G81" s="194"/>
      <c r="H81" s="194"/>
      <c r="I81" s="194"/>
      <c r="J81" s="194"/>
      <c r="K81" s="194"/>
      <c r="L81" s="194"/>
      <c r="M81" s="194"/>
      <c r="N81" s="194"/>
      <c r="O81" s="194"/>
      <c r="P81" s="194"/>
      <c r="Q81" s="194"/>
      <c r="R81" s="194"/>
    </row>
    <row r="82" spans="2:18">
      <c r="B82" s="194"/>
      <c r="C82" s="398" t="s">
        <v>36</v>
      </c>
      <c r="D82" s="194"/>
      <c r="E82" s="168" t="s">
        <v>292</v>
      </c>
      <c r="F82" s="168" t="s">
        <v>292</v>
      </c>
      <c r="G82" s="168" t="s">
        <v>292</v>
      </c>
      <c r="H82" s="194"/>
      <c r="I82" s="415" t="s">
        <v>812</v>
      </c>
      <c r="J82" s="416"/>
      <c r="K82" s="416"/>
      <c r="L82" s="417"/>
      <c r="M82" s="194"/>
      <c r="N82" s="194"/>
      <c r="O82" s="194"/>
      <c r="P82" s="194"/>
      <c r="Q82" s="194"/>
      <c r="R82" s="194"/>
    </row>
    <row r="83" spans="2:18">
      <c r="B83" s="194"/>
      <c r="C83" s="399"/>
      <c r="D83" s="176" t="s">
        <v>813</v>
      </c>
      <c r="E83" s="172" t="s">
        <v>593</v>
      </c>
      <c r="F83" s="172" t="s">
        <v>588</v>
      </c>
      <c r="G83" s="172" t="s">
        <v>589</v>
      </c>
      <c r="H83" s="194"/>
      <c r="I83" s="168" t="s">
        <v>234</v>
      </c>
      <c r="J83" s="168" t="s">
        <v>253</v>
      </c>
      <c r="K83" s="168" t="s">
        <v>272</v>
      </c>
      <c r="L83" s="168" t="s">
        <v>814</v>
      </c>
      <c r="M83" s="194"/>
      <c r="N83" s="194"/>
      <c r="O83" s="194"/>
      <c r="P83" s="194"/>
      <c r="Q83" s="194"/>
      <c r="R83" s="194"/>
    </row>
    <row r="84" spans="2:18">
      <c r="B84" s="194"/>
      <c r="C84" s="400"/>
      <c r="D84" s="168" t="s">
        <v>815</v>
      </c>
      <c r="E84" s="169" t="str">
        <f>HP_rep_day</f>
        <v>Peak demand winter day</v>
      </c>
      <c r="F84" s="169" t="str">
        <f>HP_rep_day</f>
        <v>Peak demand winter day</v>
      </c>
      <c r="G84" s="169" t="str">
        <f>HP_rep_day</f>
        <v>Peak demand winter day</v>
      </c>
      <c r="H84" s="194"/>
      <c r="I84" s="169" t="str">
        <f>HP_rep_day</f>
        <v>Peak demand winter day</v>
      </c>
      <c r="J84" s="169" t="str">
        <f>HP_rep_day</f>
        <v>Peak demand winter day</v>
      </c>
      <c r="K84" s="169" t="str">
        <f>HP_rep_day</f>
        <v>Peak demand winter day</v>
      </c>
      <c r="L84" s="169" t="str">
        <f>HP_rep_day</f>
        <v>Peak demand winter day</v>
      </c>
      <c r="M84" s="194"/>
      <c r="N84" s="194"/>
      <c r="O84" s="194"/>
      <c r="P84" s="194"/>
      <c r="Q84" s="194"/>
      <c r="R84" s="194"/>
    </row>
    <row r="85" spans="2:18">
      <c r="B85" s="194"/>
      <c r="C85" s="194"/>
      <c r="D85" s="180">
        <v>0</v>
      </c>
      <c r="E85" s="181" cm="1">
        <f t="array" ref="E85">IF(OR(HP_rep_day="Peak demand summer day",HP_rep_day="Overall minimum demand day"),
INDEX('HP06'!$J$4:$J$483, MATCH(1,(HP_rep_day='HP06'!$F$4:$F$483)*($D85='HP06'!$I$4:$I$483),0)),
INDEX('HP06'!$J$4:$J$483,MATCH(1,(HP_rep_day='HP06'!$F$4:$F$483)*(E$82='HP06'!$G$4:$G$483)*($D85='HP06'!$I$4:$I$483),0)))</f>
        <v>2.7400000000000001E-2</v>
      </c>
      <c r="F85" s="181">
        <f>E85</f>
        <v>2.7400000000000001E-2</v>
      </c>
      <c r="G85" s="181">
        <f>E85</f>
        <v>2.7400000000000001E-2</v>
      </c>
      <c r="H85" s="194"/>
      <c r="I85" s="181" cm="1">
        <f t="array" ref="I85">IF(OR(HP_rep_day="Peak demand summer day",HP_rep_day="Overall minimum demand day"),"",INDEX('HP06'!$J$52:$J$483,MATCH(1,(I$84='HP06'!$F$52:$F$483)*(I$83='HP06'!$G$52:$G$483)*($D85='HP06'!$I$52:$I$483),0)))</f>
        <v>3.1300000000000001E-2</v>
      </c>
      <c r="J85" s="181" cm="1">
        <f t="array" ref="J85">IF(OR(HP_rep_day="Peak demand summer day",HP_rep_day="Overall minimum demand day"),"",INDEX('HP06'!$J$52:$J$483,MATCH(1,(J$84='HP06'!$F$52:$F$483)*(J$83='HP06'!$G$52:$G$483)*($D85='HP06'!$I$52:$I$483),0)))</f>
        <v>1.84E-2</v>
      </c>
      <c r="K85" s="181" cm="1">
        <f t="array" ref="K85">IF(OR(HP_rep_day="Peak demand summer day",HP_rep_day="Overall minimum demand day"),"",INDEX('HP06'!$J$52:$J$483,MATCH(1,(K$84='HP06'!$F$52:$F$483)*(K$83='HP06'!$G$52:$G$483)*($D85='HP06'!$I$52:$I$483),0)))</f>
        <v>4.6399999999999997E-2</v>
      </c>
      <c r="L85" s="181" t="str" cm="1">
        <f t="array" ref="L85">IF(OR(HP_rep_day="Peak demand summer day",HP_rep_day="Overall minimum demand day"),INDEX('HP06'!$J$52:$J$483,MATCH(1,(L$84='HP06'!$F$52:$F$483)*($D85='HP06'!$I$52:$I$483),0)),"")</f>
        <v/>
      </c>
      <c r="M85" s="194"/>
      <c r="N85" s="194"/>
      <c r="O85" s="194"/>
      <c r="P85" s="194"/>
      <c r="Q85" s="194"/>
      <c r="R85" s="194"/>
    </row>
    <row r="86" spans="2:18">
      <c r="B86" s="194"/>
      <c r="C86" s="194"/>
      <c r="D86" s="180">
        <v>2.0833333333333332E-2</v>
      </c>
      <c r="E86" s="181" cm="1">
        <f t="array" ref="E86">IF(OR(HP_rep_day="Peak demand summer day",HP_rep_day="Overall minimum demand day"),
INDEX('HP06'!$J$4:$J$483, MATCH(1,(HP_rep_day='HP06'!$F$4:$F$483)*($D86='HP06'!$I$4:$I$483),0)),
INDEX('HP06'!$J$4:$J$483,MATCH(1,(HP_rep_day='HP06'!$F$4:$F$483)*(E$82='HP06'!$G$4:$G$483)*($D86='HP06'!$I$4:$I$483),0)))</f>
        <v>2.8299999999999999E-2</v>
      </c>
      <c r="F86" s="181">
        <f t="shared" ref="F86:F132" si="7">E86</f>
        <v>2.8299999999999999E-2</v>
      </c>
      <c r="G86" s="181">
        <f t="shared" ref="G86:G132" si="8">E86</f>
        <v>2.8299999999999999E-2</v>
      </c>
      <c r="H86" s="194"/>
      <c r="I86" s="181" cm="1">
        <f t="array" ref="I86">IF(OR(HP_rep_day="Peak demand summer day",HP_rep_day="Overall minimum demand day"),"",INDEX('HP06'!$J$52:$J$483,MATCH(1,(I$84='HP06'!$F$52:$F$483)*(I$83='HP06'!$G$52:$G$483)*($D86='HP06'!$I$52:$I$483),0)))</f>
        <v>3.27E-2</v>
      </c>
      <c r="J86" s="181" cm="1">
        <f t="array" ref="J86">IF(OR(HP_rep_day="Peak demand summer day",HP_rep_day="Overall minimum demand day"),"",INDEX('HP06'!$J$52:$J$483,MATCH(1,(J$84='HP06'!$F$52:$F$483)*(J$83='HP06'!$G$52:$G$483)*($D86='HP06'!$I$52:$I$483),0)))</f>
        <v>1.9300000000000001E-2</v>
      </c>
      <c r="K86" s="181" cm="1">
        <f t="array" ref="K86">IF(OR(HP_rep_day="Peak demand summer day",HP_rep_day="Overall minimum demand day"),"",INDEX('HP06'!$J$52:$J$483,MATCH(1,(K$84='HP06'!$F$52:$F$483)*(K$83='HP06'!$G$52:$G$483)*($D86='HP06'!$I$52:$I$483),0)))</f>
        <v>4.5900000000000003E-2</v>
      </c>
      <c r="L86" s="181" t="str" cm="1">
        <f t="array" ref="L86">IF(OR(HP_rep_day="Peak demand summer day",HP_rep_day="Overall minimum demand day"),INDEX('HP06'!$J$52:$J$483,MATCH(1,(L$84='HP06'!$F$52:$F$483)*($D86='HP06'!$I$52:$I$483),0)),"")</f>
        <v/>
      </c>
      <c r="M86" s="194"/>
      <c r="N86" s="194"/>
      <c r="O86" s="194"/>
      <c r="P86" s="194"/>
      <c r="Q86" s="194"/>
      <c r="R86" s="194"/>
    </row>
    <row r="87" spans="2:18">
      <c r="B87" s="194"/>
      <c r="C87" s="194"/>
      <c r="D87" s="180">
        <v>4.1666666666666664E-2</v>
      </c>
      <c r="E87" s="181" cm="1">
        <f t="array" ref="E87">IF(OR(HP_rep_day="Peak demand summer day",HP_rep_day="Overall minimum demand day"),
INDEX('HP06'!$J$4:$J$483, MATCH(1,(HP_rep_day='HP06'!$F$4:$F$483)*($D87='HP06'!$I$4:$I$483),0)),
INDEX('HP06'!$J$4:$J$483,MATCH(1,(HP_rep_day='HP06'!$F$4:$F$483)*(E$82='HP06'!$G$4:$G$483)*($D87='HP06'!$I$4:$I$483),0)))</f>
        <v>2.98E-2</v>
      </c>
      <c r="F87" s="181">
        <f t="shared" si="7"/>
        <v>2.98E-2</v>
      </c>
      <c r="G87" s="181">
        <f t="shared" si="8"/>
        <v>2.98E-2</v>
      </c>
      <c r="H87" s="194"/>
      <c r="I87" s="181" cm="1">
        <f t="array" ref="I87">IF(OR(HP_rep_day="Peak demand summer day",HP_rep_day="Overall minimum demand day"),"",INDEX('HP06'!$J$52:$J$483,MATCH(1,(I$84='HP06'!$F$52:$F$483)*(I$83='HP06'!$G$52:$G$483)*($D87='HP06'!$I$52:$I$483),0)))</f>
        <v>3.4799999999999998E-2</v>
      </c>
      <c r="J87" s="181" cm="1">
        <f t="array" ref="J87">IF(OR(HP_rep_day="Peak demand summer day",HP_rep_day="Overall minimum demand day"),"",INDEX('HP06'!$J$52:$J$483,MATCH(1,(J$84='HP06'!$F$52:$F$483)*(J$83='HP06'!$G$52:$G$483)*($D87='HP06'!$I$52:$I$483),0)))</f>
        <v>2.06E-2</v>
      </c>
      <c r="K87" s="181" cm="1">
        <f t="array" ref="K87">IF(OR(HP_rep_day="Peak demand summer day",HP_rep_day="Overall minimum demand day"),"",INDEX('HP06'!$J$52:$J$483,MATCH(1,(K$84='HP06'!$F$52:$F$483)*(K$83='HP06'!$G$52:$G$483)*($D87='HP06'!$I$52:$I$483),0)))</f>
        <v>4.5999999999999999E-2</v>
      </c>
      <c r="L87" s="181" t="str" cm="1">
        <f t="array" ref="L87">IF(OR(HP_rep_day="Peak demand summer day",HP_rep_day="Overall minimum demand day"),INDEX('HP06'!$J$52:$J$483,MATCH(1,(L$84='HP06'!$F$52:$F$483)*($D87='HP06'!$I$52:$I$483),0)),"")</f>
        <v/>
      </c>
      <c r="M87" s="194"/>
      <c r="N87" s="194"/>
      <c r="O87" s="194"/>
      <c r="P87" s="194"/>
      <c r="Q87" s="194"/>
      <c r="R87" s="194"/>
    </row>
    <row r="88" spans="2:18">
      <c r="B88" s="194"/>
      <c r="C88" s="194"/>
      <c r="D88" s="180">
        <v>6.25E-2</v>
      </c>
      <c r="E88" s="181" cm="1">
        <f t="array" ref="E88">IF(OR(HP_rep_day="Peak demand summer day",HP_rep_day="Overall minimum demand day"),
INDEX('HP06'!$J$4:$J$483, MATCH(1,(HP_rep_day='HP06'!$F$4:$F$483)*($D88='HP06'!$I$4:$I$483),0)),
INDEX('HP06'!$J$4:$J$483,MATCH(1,(HP_rep_day='HP06'!$F$4:$F$483)*(E$82='HP06'!$G$4:$G$483)*($D88='HP06'!$I$4:$I$483),0)))</f>
        <v>3.1399999999999997E-2</v>
      </c>
      <c r="F88" s="181">
        <f t="shared" si="7"/>
        <v>3.1399999999999997E-2</v>
      </c>
      <c r="G88" s="181">
        <f t="shared" si="8"/>
        <v>3.1399999999999997E-2</v>
      </c>
      <c r="H88" s="194"/>
      <c r="I88" s="181" cm="1">
        <f t="array" ref="I88">IF(OR(HP_rep_day="Peak demand summer day",HP_rep_day="Overall minimum demand day"),"",INDEX('HP06'!$J$52:$J$483,MATCH(1,(I$84='HP06'!$F$52:$F$483)*(I$83='HP06'!$G$52:$G$483)*($D88='HP06'!$I$52:$I$483),0)))</f>
        <v>3.6700000000000003E-2</v>
      </c>
      <c r="J88" s="181" cm="1">
        <f t="array" ref="J88">IF(OR(HP_rep_day="Peak demand summer day",HP_rep_day="Overall minimum demand day"),"",INDEX('HP06'!$J$52:$J$483,MATCH(1,(J$84='HP06'!$F$52:$F$483)*(J$83='HP06'!$G$52:$G$483)*($D88='HP06'!$I$52:$I$483),0)))</f>
        <v>2.2599999999999999E-2</v>
      </c>
      <c r="K88" s="181" cm="1">
        <f t="array" ref="K88">IF(OR(HP_rep_day="Peak demand summer day",HP_rep_day="Overall minimum demand day"),"",INDEX('HP06'!$J$52:$J$483,MATCH(1,(K$84='HP06'!$F$52:$F$483)*(K$83='HP06'!$G$52:$G$483)*($D88='HP06'!$I$52:$I$483),0)))</f>
        <v>4.5900000000000003E-2</v>
      </c>
      <c r="L88" s="181" t="str" cm="1">
        <f t="array" ref="L88">IF(OR(HP_rep_day="Peak demand summer day",HP_rep_day="Overall minimum demand day"),INDEX('HP06'!$J$52:$J$483,MATCH(1,(L$84='HP06'!$F$52:$F$483)*($D88='HP06'!$I$52:$I$483),0)),"")</f>
        <v/>
      </c>
      <c r="M88" s="194"/>
      <c r="N88" s="194"/>
      <c r="O88" s="194"/>
      <c r="P88" s="194"/>
      <c r="Q88" s="194"/>
      <c r="R88" s="194"/>
    </row>
    <row r="89" spans="2:18">
      <c r="B89" s="194"/>
      <c r="C89" s="194"/>
      <c r="D89" s="180">
        <v>8.3333333333333329E-2</v>
      </c>
      <c r="E89" s="181" cm="1">
        <f t="array" ref="E89">IF(OR(HP_rep_day="Peak demand summer day",HP_rep_day="Overall minimum demand day"),
INDEX('HP06'!$J$4:$J$483, MATCH(1,(HP_rep_day='HP06'!$F$4:$F$483)*($D89='HP06'!$I$4:$I$483),0)),
INDEX('HP06'!$J$4:$J$483,MATCH(1,(HP_rep_day='HP06'!$F$4:$F$483)*(E$82='HP06'!$G$4:$G$483)*($D89='HP06'!$I$4:$I$483),0)))</f>
        <v>3.2800000000000003E-2</v>
      </c>
      <c r="F89" s="181">
        <f t="shared" si="7"/>
        <v>3.2800000000000003E-2</v>
      </c>
      <c r="G89" s="181">
        <f t="shared" si="8"/>
        <v>3.2800000000000003E-2</v>
      </c>
      <c r="H89" s="194"/>
      <c r="I89" s="181" cm="1">
        <f t="array" ref="I89">IF(OR(HP_rep_day="Peak demand summer day",HP_rep_day="Overall minimum demand day"),"",INDEX('HP06'!$J$52:$J$483,MATCH(1,(I$84='HP06'!$F$52:$F$483)*(I$83='HP06'!$G$52:$G$483)*($D89='HP06'!$I$52:$I$483),0)))</f>
        <v>3.7900000000000003E-2</v>
      </c>
      <c r="J89" s="181" cm="1">
        <f t="array" ref="J89">IF(OR(HP_rep_day="Peak demand summer day",HP_rep_day="Overall minimum demand day"),"",INDEX('HP06'!$J$52:$J$483,MATCH(1,(J$84='HP06'!$F$52:$F$483)*(J$83='HP06'!$G$52:$G$483)*($D89='HP06'!$I$52:$I$483),0)))</f>
        <v>2.4199999999999999E-2</v>
      </c>
      <c r="K89" s="181" cm="1">
        <f t="array" ref="K89">IF(OR(HP_rep_day="Peak demand summer day",HP_rep_day="Overall minimum demand day"),"",INDEX('HP06'!$J$52:$J$483,MATCH(1,(K$84='HP06'!$F$52:$F$483)*(K$83='HP06'!$G$52:$G$483)*($D89='HP06'!$I$52:$I$483),0)))</f>
        <v>4.6600000000000003E-2</v>
      </c>
      <c r="L89" s="181" t="str" cm="1">
        <f t="array" ref="L89">IF(OR(HP_rep_day="Peak demand summer day",HP_rep_day="Overall minimum demand day"),INDEX('HP06'!$J$52:$J$483,MATCH(1,(L$84='HP06'!$F$52:$F$483)*($D89='HP06'!$I$52:$I$483),0)),"")</f>
        <v/>
      </c>
      <c r="M89" s="194"/>
      <c r="N89" s="194"/>
      <c r="O89" s="194"/>
      <c r="P89" s="194"/>
      <c r="Q89" s="194"/>
      <c r="R89" s="194"/>
    </row>
    <row r="90" spans="2:18">
      <c r="B90" s="194"/>
      <c r="C90" s="194"/>
      <c r="D90" s="180">
        <v>0.10416666666666667</v>
      </c>
      <c r="E90" s="181" cm="1">
        <f t="array" ref="E90">IF(OR(HP_rep_day="Peak demand summer day",HP_rep_day="Overall minimum demand day"),
INDEX('HP06'!$J$4:$J$483, MATCH(1,(HP_rep_day='HP06'!$F$4:$F$483)*($D90='HP06'!$I$4:$I$483),0)),
INDEX('HP06'!$J$4:$J$483,MATCH(1,(HP_rep_day='HP06'!$F$4:$F$483)*(E$82='HP06'!$G$4:$G$483)*($D90='HP06'!$I$4:$I$483),0)))</f>
        <v>3.44E-2</v>
      </c>
      <c r="F90" s="181">
        <f t="shared" si="7"/>
        <v>3.44E-2</v>
      </c>
      <c r="G90" s="181">
        <f t="shared" si="8"/>
        <v>3.44E-2</v>
      </c>
      <c r="H90" s="194"/>
      <c r="I90" s="181" cm="1">
        <f t="array" ref="I90">IF(OR(HP_rep_day="Peak demand summer day",HP_rep_day="Overall minimum demand day"),"",INDEX('HP06'!$J$52:$J$483,MATCH(1,(I$84='HP06'!$F$52:$F$483)*(I$83='HP06'!$G$52:$G$483)*($D90='HP06'!$I$52:$I$483),0)))</f>
        <v>3.9100000000000003E-2</v>
      </c>
      <c r="J90" s="181" cm="1">
        <f t="array" ref="J90">IF(OR(HP_rep_day="Peak demand summer day",HP_rep_day="Overall minimum demand day"),"",INDEX('HP06'!$J$52:$J$483,MATCH(1,(J$84='HP06'!$F$52:$F$483)*(J$83='HP06'!$G$52:$G$483)*($D90='HP06'!$I$52:$I$483),0)))</f>
        <v>2.64E-2</v>
      </c>
      <c r="K90" s="181" cm="1">
        <f t="array" ref="K90">IF(OR(HP_rep_day="Peak demand summer day",HP_rep_day="Overall minimum demand day"),"",INDEX('HP06'!$J$52:$J$483,MATCH(1,(K$84='HP06'!$F$52:$F$483)*(K$83='HP06'!$G$52:$G$483)*($D90='HP06'!$I$52:$I$483),0)))</f>
        <v>4.7399999999999998E-2</v>
      </c>
      <c r="L90" s="181" t="str" cm="1">
        <f t="array" ref="L90">IF(OR(HP_rep_day="Peak demand summer day",HP_rep_day="Overall minimum demand day"),INDEX('HP06'!$J$52:$J$483,MATCH(1,(L$84='HP06'!$F$52:$F$483)*($D90='HP06'!$I$52:$I$483),0)),"")</f>
        <v/>
      </c>
      <c r="M90" s="194"/>
      <c r="N90" s="194"/>
      <c r="O90" s="194"/>
      <c r="P90" s="194"/>
      <c r="Q90" s="194"/>
      <c r="R90" s="194"/>
    </row>
    <row r="91" spans="2:18">
      <c r="B91" s="194"/>
      <c r="C91" s="194"/>
      <c r="D91" s="180">
        <v>0.125</v>
      </c>
      <c r="E91" s="181" cm="1">
        <f t="array" ref="E91">IF(OR(HP_rep_day="Peak demand summer day",HP_rep_day="Overall minimum demand day"),
INDEX('HP06'!$J$4:$J$483, MATCH(1,(HP_rep_day='HP06'!$F$4:$F$483)*($D91='HP06'!$I$4:$I$483),0)),
INDEX('HP06'!$J$4:$J$483,MATCH(1,(HP_rep_day='HP06'!$F$4:$F$483)*(E$82='HP06'!$G$4:$G$483)*($D91='HP06'!$I$4:$I$483),0)))</f>
        <v>3.5400000000000001E-2</v>
      </c>
      <c r="F91" s="181">
        <f t="shared" si="7"/>
        <v>3.5400000000000001E-2</v>
      </c>
      <c r="G91" s="181">
        <f t="shared" si="8"/>
        <v>3.5400000000000001E-2</v>
      </c>
      <c r="H91" s="194"/>
      <c r="I91" s="181" cm="1">
        <f t="array" ref="I91">IF(OR(HP_rep_day="Peak demand summer day",HP_rep_day="Overall minimum demand day"),"",INDEX('HP06'!$J$52:$J$483,MATCH(1,(I$84='HP06'!$F$52:$F$483)*(I$83='HP06'!$G$52:$G$483)*($D91='HP06'!$I$52:$I$483),0)))</f>
        <v>3.9899999999999998E-2</v>
      </c>
      <c r="J91" s="181" cm="1">
        <f t="array" ref="J91">IF(OR(HP_rep_day="Peak demand summer day",HP_rep_day="Overall minimum demand day"),"",INDEX('HP06'!$J$52:$J$483,MATCH(1,(J$84='HP06'!$F$52:$F$483)*(J$83='HP06'!$G$52:$G$483)*($D91='HP06'!$I$52:$I$483),0)))</f>
        <v>2.7699999999999999E-2</v>
      </c>
      <c r="K91" s="181" cm="1">
        <f t="array" ref="K91">IF(OR(HP_rep_day="Peak demand summer day",HP_rep_day="Overall minimum demand day"),"",INDEX('HP06'!$J$52:$J$483,MATCH(1,(K$84='HP06'!$F$52:$F$483)*(K$83='HP06'!$G$52:$G$483)*($D91='HP06'!$I$52:$I$483),0)))</f>
        <v>4.7899999999999998E-2</v>
      </c>
      <c r="L91" s="181" t="str" cm="1">
        <f t="array" ref="L91">IF(OR(HP_rep_day="Peak demand summer day",HP_rep_day="Overall minimum demand day"),INDEX('HP06'!$J$52:$J$483,MATCH(1,(L$84='HP06'!$F$52:$F$483)*($D91='HP06'!$I$52:$I$483),0)),"")</f>
        <v/>
      </c>
      <c r="M91" s="194"/>
      <c r="N91" s="194"/>
      <c r="O91" s="194"/>
      <c r="P91" s="194"/>
      <c r="Q91" s="194"/>
      <c r="R91" s="194"/>
    </row>
    <row r="92" spans="2:18">
      <c r="B92" s="194"/>
      <c r="C92" s="194"/>
      <c r="D92" s="180">
        <v>0.14583333333333334</v>
      </c>
      <c r="E92" s="181" cm="1">
        <f t="array" ref="E92">IF(OR(HP_rep_day="Peak demand summer day",HP_rep_day="Overall minimum demand day"),
INDEX('HP06'!$J$4:$J$483, MATCH(1,(HP_rep_day='HP06'!$F$4:$F$483)*($D92='HP06'!$I$4:$I$483),0)),
INDEX('HP06'!$J$4:$J$483,MATCH(1,(HP_rep_day='HP06'!$F$4:$F$483)*(E$82='HP06'!$G$4:$G$483)*($D92='HP06'!$I$4:$I$483),0)))</f>
        <v>3.6600000000000001E-2</v>
      </c>
      <c r="F92" s="181">
        <f t="shared" si="7"/>
        <v>3.6600000000000001E-2</v>
      </c>
      <c r="G92" s="181">
        <f t="shared" si="8"/>
        <v>3.6600000000000001E-2</v>
      </c>
      <c r="H92" s="194"/>
      <c r="I92" s="181" cm="1">
        <f t="array" ref="I92">IF(OR(HP_rep_day="Peak demand summer day",HP_rep_day="Overall minimum demand day"),"",INDEX('HP06'!$J$52:$J$483,MATCH(1,(I$84='HP06'!$F$52:$F$483)*(I$83='HP06'!$G$52:$G$483)*($D92='HP06'!$I$52:$I$483),0)))</f>
        <v>4.1099999999999998E-2</v>
      </c>
      <c r="J92" s="181" cm="1">
        <f t="array" ref="J92">IF(OR(HP_rep_day="Peak demand summer day",HP_rep_day="Overall minimum demand day"),"",INDEX('HP06'!$J$52:$J$483,MATCH(1,(J$84='HP06'!$F$52:$F$483)*(J$83='HP06'!$G$52:$G$483)*($D92='HP06'!$I$52:$I$483),0)))</f>
        <v>2.92E-2</v>
      </c>
      <c r="K92" s="181" cm="1">
        <f t="array" ref="K92">IF(OR(HP_rep_day="Peak demand summer day",HP_rep_day="Overall minimum demand day"),"",INDEX('HP06'!$J$52:$J$483,MATCH(1,(K$84='HP06'!$F$52:$F$483)*(K$83='HP06'!$G$52:$G$483)*($D92='HP06'!$I$52:$I$483),0)))</f>
        <v>4.82E-2</v>
      </c>
      <c r="L92" s="181" t="str" cm="1">
        <f t="array" ref="L92">IF(OR(HP_rep_day="Peak demand summer day",HP_rep_day="Overall minimum demand day"),INDEX('HP06'!$J$52:$J$483,MATCH(1,(L$84='HP06'!$F$52:$F$483)*($D92='HP06'!$I$52:$I$483),0)),"")</f>
        <v/>
      </c>
      <c r="M92" s="194"/>
      <c r="N92" s="194"/>
      <c r="O92" s="194"/>
      <c r="P92" s="194"/>
      <c r="Q92" s="194"/>
      <c r="R92" s="194"/>
    </row>
    <row r="93" spans="2:18">
      <c r="B93" s="194"/>
      <c r="C93" s="194"/>
      <c r="D93" s="180">
        <v>0.16666666666666666</v>
      </c>
      <c r="E93" s="181" cm="1">
        <f t="array" ref="E93">IF(OR(HP_rep_day="Peak demand summer day",HP_rep_day="Overall minimum demand day"),
INDEX('HP06'!$J$4:$J$483, MATCH(1,(HP_rep_day='HP06'!$F$4:$F$483)*($D93='HP06'!$I$4:$I$483),0)),
INDEX('HP06'!$J$4:$J$483,MATCH(1,(HP_rep_day='HP06'!$F$4:$F$483)*(E$82='HP06'!$G$4:$G$483)*($D93='HP06'!$I$4:$I$483),0)))</f>
        <v>3.7999999999999999E-2</v>
      </c>
      <c r="F93" s="181">
        <f t="shared" si="7"/>
        <v>3.7999999999999999E-2</v>
      </c>
      <c r="G93" s="181">
        <f t="shared" si="8"/>
        <v>3.7999999999999999E-2</v>
      </c>
      <c r="H93" s="194"/>
      <c r="I93" s="181" cm="1">
        <f t="array" ref="I93">IF(OR(HP_rep_day="Peak demand summer day",HP_rep_day="Overall minimum demand day"),"",INDEX('HP06'!$J$52:$J$483,MATCH(1,(I$84='HP06'!$F$52:$F$483)*(I$83='HP06'!$G$52:$G$483)*($D93='HP06'!$I$52:$I$483),0)))</f>
        <v>4.2599999999999999E-2</v>
      </c>
      <c r="J93" s="181" cm="1">
        <f t="array" ref="J93">IF(OR(HP_rep_day="Peak demand summer day",HP_rep_day="Overall minimum demand day"),"",INDEX('HP06'!$J$52:$J$483,MATCH(1,(J$84='HP06'!$F$52:$F$483)*(J$83='HP06'!$G$52:$G$483)*($D93='HP06'!$I$52:$I$483),0)))</f>
        <v>3.09E-2</v>
      </c>
      <c r="K93" s="181" cm="1">
        <f t="array" ref="K93">IF(OR(HP_rep_day="Peak demand summer day",HP_rep_day="Overall minimum demand day"),"",INDEX('HP06'!$J$52:$J$483,MATCH(1,(K$84='HP06'!$F$52:$F$483)*(K$83='HP06'!$G$52:$G$483)*($D93='HP06'!$I$52:$I$483),0)))</f>
        <v>4.8099999999999997E-2</v>
      </c>
      <c r="L93" s="181" t="str" cm="1">
        <f t="array" ref="L93">IF(OR(HP_rep_day="Peak demand summer day",HP_rep_day="Overall minimum demand day"),INDEX('HP06'!$J$52:$J$483,MATCH(1,(L$84='HP06'!$F$52:$F$483)*($D93='HP06'!$I$52:$I$483),0)),"")</f>
        <v/>
      </c>
      <c r="M93" s="194"/>
      <c r="N93" s="194"/>
      <c r="O93" s="194"/>
      <c r="P93" s="194"/>
      <c r="Q93" s="194"/>
      <c r="R93" s="194"/>
    </row>
    <row r="94" spans="2:18">
      <c r="B94" s="194"/>
      <c r="C94" s="194"/>
      <c r="D94" s="180">
        <v>0.1875</v>
      </c>
      <c r="E94" s="181" cm="1">
        <f t="array" ref="E94">IF(OR(HP_rep_day="Peak demand summer day",HP_rep_day="Overall minimum demand day"),
INDEX('HP06'!$J$4:$J$483, MATCH(1,(HP_rep_day='HP06'!$F$4:$F$483)*($D94='HP06'!$I$4:$I$483),0)),
INDEX('HP06'!$J$4:$J$483,MATCH(1,(HP_rep_day='HP06'!$F$4:$F$483)*(E$82='HP06'!$G$4:$G$483)*($D94='HP06'!$I$4:$I$483),0)))</f>
        <v>4.0300000000000002E-2</v>
      </c>
      <c r="F94" s="181">
        <f t="shared" si="7"/>
        <v>4.0300000000000002E-2</v>
      </c>
      <c r="G94" s="181">
        <f t="shared" si="8"/>
        <v>4.0300000000000002E-2</v>
      </c>
      <c r="H94" s="194"/>
      <c r="I94" s="181" cm="1">
        <f t="array" ref="I94">IF(OR(HP_rep_day="Peak demand summer day",HP_rep_day="Overall minimum demand day"),"",INDEX('HP06'!$J$52:$J$483,MATCH(1,(I$84='HP06'!$F$52:$F$483)*(I$83='HP06'!$G$52:$G$483)*($D94='HP06'!$I$52:$I$483),0)))</f>
        <v>4.4699999999999997E-2</v>
      </c>
      <c r="J94" s="181" cm="1">
        <f t="array" ref="J94">IF(OR(HP_rep_day="Peak demand summer day",HP_rep_day="Overall minimum demand day"),"",INDEX('HP06'!$J$52:$J$483,MATCH(1,(J$84='HP06'!$F$52:$F$483)*(J$83='HP06'!$G$52:$G$483)*($D94='HP06'!$I$52:$I$483),0)))</f>
        <v>3.4200000000000001E-2</v>
      </c>
      <c r="K94" s="181" cm="1">
        <f t="array" ref="K94">IF(OR(HP_rep_day="Peak demand summer day",HP_rep_day="Overall minimum demand day"),"",INDEX('HP06'!$J$52:$J$483,MATCH(1,(K$84='HP06'!$F$52:$F$483)*(K$83='HP06'!$G$52:$G$483)*($D94='HP06'!$I$52:$I$483),0)))</f>
        <v>4.7800000000000002E-2</v>
      </c>
      <c r="L94" s="181" t="str" cm="1">
        <f t="array" ref="L94">IF(OR(HP_rep_day="Peak demand summer day",HP_rep_day="Overall minimum demand day"),INDEX('HP06'!$J$52:$J$483,MATCH(1,(L$84='HP06'!$F$52:$F$483)*($D94='HP06'!$I$52:$I$483),0)),"")</f>
        <v/>
      </c>
      <c r="M94" s="194"/>
      <c r="N94" s="194"/>
      <c r="O94" s="194"/>
      <c r="P94" s="194"/>
      <c r="Q94" s="194"/>
      <c r="R94" s="194"/>
    </row>
    <row r="95" spans="2:18">
      <c r="B95" s="194"/>
      <c r="C95" s="194"/>
      <c r="D95" s="180">
        <v>0.20833333333333334</v>
      </c>
      <c r="E95" s="181" cm="1">
        <f t="array" ref="E95">IF(OR(HP_rep_day="Peak demand summer day",HP_rep_day="Overall minimum demand day"),
INDEX('HP06'!$J$4:$J$483, MATCH(1,(HP_rep_day='HP06'!$F$4:$F$483)*($D95='HP06'!$I$4:$I$483),0)),
INDEX('HP06'!$J$4:$J$483,MATCH(1,(HP_rep_day='HP06'!$F$4:$F$483)*(E$82='HP06'!$G$4:$G$483)*($D95='HP06'!$I$4:$I$483),0)))</f>
        <v>4.3299999999999998E-2</v>
      </c>
      <c r="F95" s="181">
        <f t="shared" si="7"/>
        <v>4.3299999999999998E-2</v>
      </c>
      <c r="G95" s="181">
        <f t="shared" si="8"/>
        <v>4.3299999999999998E-2</v>
      </c>
      <c r="H95" s="194"/>
      <c r="I95" s="181" cm="1">
        <f t="array" ref="I95">IF(OR(HP_rep_day="Peak demand summer day",HP_rep_day="Overall minimum demand day"),"",INDEX('HP06'!$J$52:$J$483,MATCH(1,(I$84='HP06'!$F$52:$F$483)*(I$83='HP06'!$G$52:$G$483)*($D95='HP06'!$I$52:$I$483),0)))</f>
        <v>4.7199999999999999E-2</v>
      </c>
      <c r="J95" s="181" cm="1">
        <f t="array" ref="J95">IF(OR(HP_rep_day="Peak demand summer day",HP_rep_day="Overall minimum demand day"),"",INDEX('HP06'!$J$52:$J$483,MATCH(1,(J$84='HP06'!$F$52:$F$483)*(J$83='HP06'!$G$52:$G$483)*($D95='HP06'!$I$52:$I$483),0)))</f>
        <v>3.85E-2</v>
      </c>
      <c r="K95" s="181" cm="1">
        <f t="array" ref="K95">IF(OR(HP_rep_day="Peak demand summer day",HP_rep_day="Overall minimum demand day"),"",INDEX('HP06'!$J$52:$J$483,MATCH(1,(K$84='HP06'!$F$52:$F$483)*(K$83='HP06'!$G$52:$G$483)*($D95='HP06'!$I$52:$I$483),0)))</f>
        <v>4.8000000000000001E-2</v>
      </c>
      <c r="L95" s="181" t="str" cm="1">
        <f t="array" ref="L95">IF(OR(HP_rep_day="Peak demand summer day",HP_rep_day="Overall minimum demand day"),INDEX('HP06'!$J$52:$J$483,MATCH(1,(L$84='HP06'!$F$52:$F$483)*($D95='HP06'!$I$52:$I$483),0)),"")</f>
        <v/>
      </c>
      <c r="M95" s="194"/>
      <c r="N95" s="194"/>
      <c r="O95" s="194"/>
      <c r="P95" s="194"/>
      <c r="Q95" s="194"/>
      <c r="R95" s="194"/>
    </row>
    <row r="96" spans="2:18">
      <c r="B96" s="194"/>
      <c r="C96" s="194"/>
      <c r="D96" s="180">
        <v>0.22916666666666666</v>
      </c>
      <c r="E96" s="181" cm="1">
        <f t="array" ref="E96">IF(OR(HP_rep_day="Peak demand summer day",HP_rep_day="Overall minimum demand day"),
INDEX('HP06'!$J$4:$J$483, MATCH(1,(HP_rep_day='HP06'!$F$4:$F$483)*($D96='HP06'!$I$4:$I$483),0)),
INDEX('HP06'!$J$4:$J$483,MATCH(1,(HP_rep_day='HP06'!$F$4:$F$483)*(E$82='HP06'!$G$4:$G$483)*($D96='HP06'!$I$4:$I$483),0)))</f>
        <v>4.8099999999999997E-2</v>
      </c>
      <c r="F96" s="181">
        <f t="shared" si="7"/>
        <v>4.8099999999999997E-2</v>
      </c>
      <c r="G96" s="181">
        <f t="shared" si="8"/>
        <v>4.8099999999999997E-2</v>
      </c>
      <c r="H96" s="194"/>
      <c r="I96" s="181" cm="1">
        <f t="array" ref="I96">IF(OR(HP_rep_day="Peak demand summer day",HP_rep_day="Overall minimum demand day"),"",INDEX('HP06'!$J$52:$J$483,MATCH(1,(I$84='HP06'!$F$52:$F$483)*(I$83='HP06'!$G$52:$G$483)*($D96='HP06'!$I$52:$I$483),0)))</f>
        <v>5.0999999999999997E-2</v>
      </c>
      <c r="J96" s="181" cm="1">
        <f t="array" ref="J96">IF(OR(HP_rep_day="Peak demand summer day",HP_rep_day="Overall minimum demand day"),"",INDEX('HP06'!$J$52:$J$483,MATCH(1,(J$84='HP06'!$F$52:$F$483)*(J$83='HP06'!$G$52:$G$483)*($D96='HP06'!$I$52:$I$483),0)))</f>
        <v>4.5400000000000003E-2</v>
      </c>
      <c r="K96" s="181" cm="1">
        <f t="array" ref="K96">IF(OR(HP_rep_day="Peak demand summer day",HP_rep_day="Overall minimum demand day"),"",INDEX('HP06'!$J$52:$J$483,MATCH(1,(K$84='HP06'!$F$52:$F$483)*(K$83='HP06'!$G$52:$G$483)*($D96='HP06'!$I$52:$I$483),0)))</f>
        <v>4.8599999999999997E-2</v>
      </c>
      <c r="L96" s="181" t="str" cm="1">
        <f t="array" ref="L96">IF(OR(HP_rep_day="Peak demand summer day",HP_rep_day="Overall minimum demand day"),INDEX('HP06'!$J$52:$J$483,MATCH(1,(L$84='HP06'!$F$52:$F$483)*($D96='HP06'!$I$52:$I$483),0)),"")</f>
        <v/>
      </c>
      <c r="M96" s="194"/>
      <c r="N96" s="194"/>
      <c r="O96" s="194"/>
      <c r="P96" s="194"/>
      <c r="Q96" s="194"/>
      <c r="R96" s="194"/>
    </row>
    <row r="97" spans="2:18">
      <c r="B97" s="194"/>
      <c r="C97" s="194"/>
      <c r="D97" s="180">
        <v>0.25</v>
      </c>
      <c r="E97" s="181" cm="1">
        <f t="array" ref="E97">IF(OR(HP_rep_day="Peak demand summer day",HP_rep_day="Overall minimum demand day"),
INDEX('HP06'!$J$4:$J$483, MATCH(1,(HP_rep_day='HP06'!$F$4:$F$483)*($D97='HP06'!$I$4:$I$483),0)),
INDEX('HP06'!$J$4:$J$483,MATCH(1,(HP_rep_day='HP06'!$F$4:$F$483)*(E$82='HP06'!$G$4:$G$483)*($D97='HP06'!$I$4:$I$483),0)))</f>
        <v>5.2900000000000003E-2</v>
      </c>
      <c r="F97" s="181">
        <f t="shared" si="7"/>
        <v>5.2900000000000003E-2</v>
      </c>
      <c r="G97" s="181">
        <f t="shared" si="8"/>
        <v>5.2900000000000003E-2</v>
      </c>
      <c r="H97" s="194"/>
      <c r="I97" s="181" cm="1">
        <f t="array" ref="I97">IF(OR(HP_rep_day="Peak demand summer day",HP_rep_day="Overall minimum demand day"),"",INDEX('HP06'!$J$52:$J$483,MATCH(1,(I$84='HP06'!$F$52:$F$483)*(I$83='HP06'!$G$52:$G$483)*($D97='HP06'!$I$52:$I$483),0)))</f>
        <v>5.45E-2</v>
      </c>
      <c r="J97" s="181" cm="1">
        <f t="array" ref="J97">IF(OR(HP_rep_day="Peak demand summer day",HP_rep_day="Overall minimum demand day"),"",INDEX('HP06'!$J$52:$J$483,MATCH(1,(J$84='HP06'!$F$52:$F$483)*(J$83='HP06'!$G$52:$G$483)*($D97='HP06'!$I$52:$I$483),0)))</f>
        <v>5.2699999999999997E-2</v>
      </c>
      <c r="K97" s="181" cm="1">
        <f t="array" ref="K97">IF(OR(HP_rep_day="Peak demand summer day",HP_rep_day="Overall minimum demand day"),"",INDEX('HP06'!$J$52:$J$483,MATCH(1,(K$84='HP06'!$F$52:$F$483)*(K$83='HP06'!$G$52:$G$483)*($D97='HP06'!$I$52:$I$483),0)))</f>
        <v>4.9099999999999998E-2</v>
      </c>
      <c r="L97" s="181" t="str" cm="1">
        <f t="array" ref="L97">IF(OR(HP_rep_day="Peak demand summer day",HP_rep_day="Overall minimum demand day"),INDEX('HP06'!$J$52:$J$483,MATCH(1,(L$84='HP06'!$F$52:$F$483)*($D97='HP06'!$I$52:$I$483),0)),"")</f>
        <v/>
      </c>
      <c r="M97" s="194"/>
      <c r="N97" s="194"/>
      <c r="O97" s="194"/>
      <c r="P97" s="194"/>
      <c r="Q97" s="194"/>
      <c r="R97" s="194"/>
    </row>
    <row r="98" spans="2:18">
      <c r="B98" s="194"/>
      <c r="C98" s="194"/>
      <c r="D98" s="180">
        <v>0.27083333333333331</v>
      </c>
      <c r="E98" s="181" cm="1">
        <f t="array" ref="E98">IF(OR(HP_rep_day="Peak demand summer day",HP_rep_day="Overall minimum demand day"),
INDEX('HP06'!$J$4:$J$483, MATCH(1,(HP_rep_day='HP06'!$F$4:$F$483)*($D98='HP06'!$I$4:$I$483),0)),
INDEX('HP06'!$J$4:$J$483,MATCH(1,(HP_rep_day='HP06'!$F$4:$F$483)*(E$82='HP06'!$G$4:$G$483)*($D98='HP06'!$I$4:$I$483),0)))</f>
        <v>5.74E-2</v>
      </c>
      <c r="F98" s="181">
        <f t="shared" si="7"/>
        <v>5.74E-2</v>
      </c>
      <c r="G98" s="181">
        <f t="shared" si="8"/>
        <v>5.74E-2</v>
      </c>
      <c r="H98" s="194"/>
      <c r="I98" s="181" cm="1">
        <f t="array" ref="I98">IF(OR(HP_rep_day="Peak demand summer day",HP_rep_day="Overall minimum demand day"),"",INDEX('HP06'!$J$52:$J$483,MATCH(1,(I$84='HP06'!$F$52:$F$483)*(I$83='HP06'!$G$52:$G$483)*($D98='HP06'!$I$52:$I$483),0)))</f>
        <v>5.7200000000000001E-2</v>
      </c>
      <c r="J98" s="181" cm="1">
        <f t="array" ref="J98">IF(OR(HP_rep_day="Peak demand summer day",HP_rep_day="Overall minimum demand day"),"",INDEX('HP06'!$J$52:$J$483,MATCH(1,(J$84='HP06'!$F$52:$F$483)*(J$83='HP06'!$G$52:$G$483)*($D98='HP06'!$I$52:$I$483),0)))</f>
        <v>6.0100000000000001E-2</v>
      </c>
      <c r="K98" s="181" cm="1">
        <f t="array" ref="K98">IF(OR(HP_rep_day="Peak demand summer day",HP_rep_day="Overall minimum demand day"),"",INDEX('HP06'!$J$52:$J$483,MATCH(1,(K$84='HP06'!$F$52:$F$483)*(K$83='HP06'!$G$52:$G$483)*($D98='HP06'!$I$52:$I$483),0)))</f>
        <v>4.8500000000000001E-2</v>
      </c>
      <c r="L98" s="181" t="str" cm="1">
        <f t="array" ref="L98">IF(OR(HP_rep_day="Peak demand summer day",HP_rep_day="Overall minimum demand day"),INDEX('HP06'!$J$52:$J$483,MATCH(1,(L$84='HP06'!$F$52:$F$483)*($D98='HP06'!$I$52:$I$483),0)),"")</f>
        <v/>
      </c>
      <c r="M98" s="194"/>
      <c r="N98" s="194"/>
      <c r="O98" s="194"/>
      <c r="P98" s="194"/>
      <c r="Q98" s="194"/>
      <c r="R98" s="194"/>
    </row>
    <row r="99" spans="2:18">
      <c r="B99" s="194"/>
      <c r="C99" s="194"/>
      <c r="D99" s="180">
        <v>0.29166666666666669</v>
      </c>
      <c r="E99" s="181" cm="1">
        <f t="array" ref="E99">IF(OR(HP_rep_day="Peak demand summer day",HP_rep_day="Overall minimum demand day"),
INDEX('HP06'!$J$4:$J$483, MATCH(1,(HP_rep_day='HP06'!$F$4:$F$483)*($D99='HP06'!$I$4:$I$483),0)),
INDEX('HP06'!$J$4:$J$483,MATCH(1,(HP_rep_day='HP06'!$F$4:$F$483)*(E$82='HP06'!$G$4:$G$483)*($D99='HP06'!$I$4:$I$483),0)))</f>
        <v>5.91E-2</v>
      </c>
      <c r="F99" s="181">
        <f t="shared" si="7"/>
        <v>5.91E-2</v>
      </c>
      <c r="G99" s="181">
        <f t="shared" si="8"/>
        <v>5.91E-2</v>
      </c>
      <c r="H99" s="194"/>
      <c r="I99" s="181" cm="1">
        <f t="array" ref="I99">IF(OR(HP_rep_day="Peak demand summer day",HP_rep_day="Overall minimum demand day"),"",INDEX('HP06'!$J$52:$J$483,MATCH(1,(I$84='HP06'!$F$52:$F$483)*(I$83='HP06'!$G$52:$G$483)*($D99='HP06'!$I$52:$I$483),0)))</f>
        <v>5.6599999999999998E-2</v>
      </c>
      <c r="J99" s="181" cm="1">
        <f t="array" ref="J99">IF(OR(HP_rep_day="Peak demand summer day",HP_rep_day="Overall minimum demand day"),"",INDEX('HP06'!$J$52:$J$483,MATCH(1,(J$84='HP06'!$F$52:$F$483)*(J$83='HP06'!$G$52:$G$483)*($D99='HP06'!$I$52:$I$483),0)))</f>
        <v>6.4600000000000005E-2</v>
      </c>
      <c r="K99" s="181" cm="1">
        <f t="array" ref="K99">IF(OR(HP_rep_day="Peak demand summer day",HP_rep_day="Overall minimum demand day"),"",INDEX('HP06'!$J$52:$J$483,MATCH(1,(K$84='HP06'!$F$52:$F$483)*(K$83='HP06'!$G$52:$G$483)*($D99='HP06'!$I$52:$I$483),0)))</f>
        <v>4.7800000000000002E-2</v>
      </c>
      <c r="L99" s="181" t="str" cm="1">
        <f t="array" ref="L99">IF(OR(HP_rep_day="Peak demand summer day",HP_rep_day="Overall minimum demand day"),INDEX('HP06'!$J$52:$J$483,MATCH(1,(L$84='HP06'!$F$52:$F$483)*($D99='HP06'!$I$52:$I$483),0)),"")</f>
        <v/>
      </c>
      <c r="M99" s="194"/>
      <c r="N99" s="194"/>
      <c r="O99" s="194"/>
      <c r="P99" s="194"/>
      <c r="Q99" s="194"/>
      <c r="R99" s="194"/>
    </row>
    <row r="100" spans="2:18">
      <c r="B100" s="194"/>
      <c r="C100" s="194"/>
      <c r="D100" s="180">
        <v>0.3125</v>
      </c>
      <c r="E100" s="181" cm="1">
        <f t="array" ref="E100">IF(OR(HP_rep_day="Peak demand summer day",HP_rep_day="Overall minimum demand day"),
INDEX('HP06'!$J$4:$J$483, MATCH(1,(HP_rep_day='HP06'!$F$4:$F$483)*($D100='HP06'!$I$4:$I$483),0)),
INDEX('HP06'!$J$4:$J$483,MATCH(1,(HP_rep_day='HP06'!$F$4:$F$483)*(E$82='HP06'!$G$4:$G$483)*($D100='HP06'!$I$4:$I$483),0)))</f>
        <v>5.8700000000000002E-2</v>
      </c>
      <c r="F100" s="181">
        <f t="shared" si="7"/>
        <v>5.8700000000000002E-2</v>
      </c>
      <c r="G100" s="181">
        <f t="shared" si="8"/>
        <v>5.8700000000000002E-2</v>
      </c>
      <c r="H100" s="194"/>
      <c r="I100" s="181" cm="1">
        <f t="array" ref="I100">IF(OR(HP_rep_day="Peak demand summer day",HP_rep_day="Overall minimum demand day"),"",INDEX('HP06'!$J$52:$J$483,MATCH(1,(I$84='HP06'!$F$52:$F$483)*(I$83='HP06'!$G$52:$G$483)*($D100='HP06'!$I$52:$I$483),0)))</f>
        <v>5.3199999999999997E-2</v>
      </c>
      <c r="J100" s="181" cm="1">
        <f t="array" ref="J100">IF(OR(HP_rep_day="Peak demand summer day",HP_rep_day="Overall minimum demand day"),"",INDEX('HP06'!$J$52:$J$483,MATCH(1,(J$84='HP06'!$F$52:$F$483)*(J$83='HP06'!$G$52:$G$483)*($D100='HP06'!$I$52:$I$483),0)))</f>
        <v>6.7000000000000004E-2</v>
      </c>
      <c r="K100" s="181" cm="1">
        <f t="array" ref="K100">IF(OR(HP_rep_day="Peak demand summer day",HP_rep_day="Overall minimum demand day"),"",INDEX('HP06'!$J$52:$J$483,MATCH(1,(K$84='HP06'!$F$52:$F$483)*(K$83='HP06'!$G$52:$G$483)*($D100='HP06'!$I$52:$I$483),0)))</f>
        <v>4.7100000000000003E-2</v>
      </c>
      <c r="L100" s="181" t="str" cm="1">
        <f t="array" ref="L100">IF(OR(HP_rep_day="Peak demand summer day",HP_rep_day="Overall minimum demand day"),INDEX('HP06'!$J$52:$J$483,MATCH(1,(L$84='HP06'!$F$52:$F$483)*($D100='HP06'!$I$52:$I$483),0)),"")</f>
        <v/>
      </c>
      <c r="M100" s="194"/>
      <c r="N100" s="194"/>
      <c r="O100" s="194"/>
      <c r="P100" s="194"/>
      <c r="Q100" s="194"/>
      <c r="R100" s="194"/>
    </row>
    <row r="101" spans="2:18">
      <c r="B101" s="194"/>
      <c r="C101" s="194"/>
      <c r="D101" s="180">
        <v>0.33333333333333331</v>
      </c>
      <c r="E101" s="181" cm="1">
        <f t="array" ref="E101">IF(OR(HP_rep_day="Peak demand summer day",HP_rep_day="Overall minimum demand day"),
INDEX('HP06'!$J$4:$J$483, MATCH(1,(HP_rep_day='HP06'!$F$4:$F$483)*($D101='HP06'!$I$4:$I$483),0)),
INDEX('HP06'!$J$4:$J$483,MATCH(1,(HP_rep_day='HP06'!$F$4:$F$483)*(E$82='HP06'!$G$4:$G$483)*($D101='HP06'!$I$4:$I$483),0)))</f>
        <v>5.67E-2</v>
      </c>
      <c r="F101" s="181">
        <f t="shared" si="7"/>
        <v>5.67E-2</v>
      </c>
      <c r="G101" s="181">
        <f t="shared" si="8"/>
        <v>5.67E-2</v>
      </c>
      <c r="H101" s="194"/>
      <c r="I101" s="181" cm="1">
        <f t="array" ref="I101">IF(OR(HP_rep_day="Peak demand summer day",HP_rep_day="Overall minimum demand day"),"",INDEX('HP06'!$J$52:$J$483,MATCH(1,(I$84='HP06'!$F$52:$F$483)*(I$83='HP06'!$G$52:$G$483)*($D101='HP06'!$I$52:$I$483),0)))</f>
        <v>4.7699999999999999E-2</v>
      </c>
      <c r="J101" s="181" cm="1">
        <f t="array" ref="J101">IF(OR(HP_rep_day="Peak demand summer day",HP_rep_day="Overall minimum demand day"),"",INDEX('HP06'!$J$52:$J$483,MATCH(1,(J$84='HP06'!$F$52:$F$483)*(J$83='HP06'!$G$52:$G$483)*($D101='HP06'!$I$52:$I$483),0)))</f>
        <v>6.7400000000000002E-2</v>
      </c>
      <c r="K101" s="181" cm="1">
        <f t="array" ref="K101">IF(OR(HP_rep_day="Peak demand summer day",HP_rep_day="Overall minimum demand day"),"",INDEX('HP06'!$J$52:$J$483,MATCH(1,(K$84='HP06'!$F$52:$F$483)*(K$83='HP06'!$G$52:$G$483)*($D101='HP06'!$I$52:$I$483),0)))</f>
        <v>4.7300000000000002E-2</v>
      </c>
      <c r="L101" s="181" t="str" cm="1">
        <f t="array" ref="L101">IF(OR(HP_rep_day="Peak demand summer day",HP_rep_day="Overall minimum demand day"),INDEX('HP06'!$J$52:$J$483,MATCH(1,(L$84='HP06'!$F$52:$F$483)*($D101='HP06'!$I$52:$I$483),0)),"")</f>
        <v/>
      </c>
      <c r="M101" s="194"/>
      <c r="N101" s="194"/>
      <c r="O101" s="194"/>
      <c r="P101" s="194"/>
      <c r="Q101" s="194"/>
      <c r="R101" s="194"/>
    </row>
    <row r="102" spans="2:18">
      <c r="B102" s="194"/>
      <c r="C102" s="194"/>
      <c r="D102" s="180">
        <v>0.35416666666666669</v>
      </c>
      <c r="E102" s="181" cm="1">
        <f t="array" ref="E102">IF(OR(HP_rep_day="Peak demand summer day",HP_rep_day="Overall minimum demand day"),
INDEX('HP06'!$J$4:$J$483, MATCH(1,(HP_rep_day='HP06'!$F$4:$F$483)*($D102='HP06'!$I$4:$I$483),0)),
INDEX('HP06'!$J$4:$J$483,MATCH(1,(HP_rep_day='HP06'!$F$4:$F$483)*(E$82='HP06'!$G$4:$G$483)*($D102='HP06'!$I$4:$I$483),0)))</f>
        <v>5.3999999999999999E-2</v>
      </c>
      <c r="F102" s="181">
        <f t="shared" si="7"/>
        <v>5.3999999999999999E-2</v>
      </c>
      <c r="G102" s="181">
        <f t="shared" si="8"/>
        <v>5.3999999999999999E-2</v>
      </c>
      <c r="H102" s="194"/>
      <c r="I102" s="181" cm="1">
        <f t="array" ref="I102">IF(OR(HP_rep_day="Peak demand summer day",HP_rep_day="Overall minimum demand day"),"",INDEX('HP06'!$J$52:$J$483,MATCH(1,(I$84='HP06'!$F$52:$F$483)*(I$83='HP06'!$G$52:$G$483)*($D102='HP06'!$I$52:$I$483),0)))</f>
        <v>4.1700000000000001E-2</v>
      </c>
      <c r="J102" s="181" cm="1">
        <f t="array" ref="J102">IF(OR(HP_rep_day="Peak demand summer day",HP_rep_day="Overall minimum demand day"),"",INDEX('HP06'!$J$52:$J$483,MATCH(1,(J$84='HP06'!$F$52:$F$483)*(J$83='HP06'!$G$52:$G$483)*($D102='HP06'!$I$52:$I$483),0)))</f>
        <v>6.7000000000000004E-2</v>
      </c>
      <c r="K102" s="181" cm="1">
        <f t="array" ref="K102">IF(OR(HP_rep_day="Peak demand summer day",HP_rep_day="Overall minimum demand day"),"",INDEX('HP06'!$J$52:$J$483,MATCH(1,(K$84='HP06'!$F$52:$F$483)*(K$83='HP06'!$G$52:$G$483)*($D102='HP06'!$I$52:$I$483),0)))</f>
        <v>4.6600000000000003E-2</v>
      </c>
      <c r="L102" s="181" t="str" cm="1">
        <f t="array" ref="L102">IF(OR(HP_rep_day="Peak demand summer day",HP_rep_day="Overall minimum demand day"),INDEX('HP06'!$J$52:$J$483,MATCH(1,(L$84='HP06'!$F$52:$F$483)*($D102='HP06'!$I$52:$I$483),0)),"")</f>
        <v/>
      </c>
      <c r="M102" s="194"/>
      <c r="N102" s="194"/>
      <c r="O102" s="194"/>
      <c r="P102" s="194"/>
      <c r="Q102" s="194"/>
      <c r="R102" s="194"/>
    </row>
    <row r="103" spans="2:18">
      <c r="B103" s="194"/>
      <c r="C103" s="194"/>
      <c r="D103" s="180">
        <v>0.375</v>
      </c>
      <c r="E103" s="181" cm="1">
        <f t="array" ref="E103">IF(OR(HP_rep_day="Peak demand summer day",HP_rep_day="Overall minimum demand day"),
INDEX('HP06'!$J$4:$J$483, MATCH(1,(HP_rep_day='HP06'!$F$4:$F$483)*($D103='HP06'!$I$4:$I$483),0)),
INDEX('HP06'!$J$4:$J$483,MATCH(1,(HP_rep_day='HP06'!$F$4:$F$483)*(E$82='HP06'!$G$4:$G$483)*($D103='HP06'!$I$4:$I$483),0)))</f>
        <v>5.0700000000000002E-2</v>
      </c>
      <c r="F103" s="181">
        <f t="shared" si="7"/>
        <v>5.0700000000000002E-2</v>
      </c>
      <c r="G103" s="181">
        <f t="shared" si="8"/>
        <v>5.0700000000000002E-2</v>
      </c>
      <c r="H103" s="194"/>
      <c r="I103" s="181" cm="1">
        <f t="array" ref="I103">IF(OR(HP_rep_day="Peak demand summer day",HP_rep_day="Overall minimum demand day"),"",INDEX('HP06'!$J$52:$J$483,MATCH(1,(I$84='HP06'!$F$52:$F$483)*(I$83='HP06'!$G$52:$G$483)*($D103='HP06'!$I$52:$I$483),0)))</f>
        <v>3.6200000000000003E-2</v>
      </c>
      <c r="J103" s="181" cm="1">
        <f t="array" ref="J103">IF(OR(HP_rep_day="Peak demand summer day",HP_rep_day="Overall minimum demand day"),"",INDEX('HP06'!$J$52:$J$483,MATCH(1,(J$84='HP06'!$F$52:$F$483)*(J$83='HP06'!$G$52:$G$483)*($D103='HP06'!$I$52:$I$483),0)))</f>
        <v>6.5199999999999994E-2</v>
      </c>
      <c r="K103" s="181" cm="1">
        <f t="array" ref="K103">IF(OR(HP_rep_day="Peak demand summer day",HP_rep_day="Overall minimum demand day"),"",INDEX('HP06'!$J$52:$J$483,MATCH(1,(K$84='HP06'!$F$52:$F$483)*(K$83='HP06'!$G$52:$G$483)*($D103='HP06'!$I$52:$I$483),0)))</f>
        <v>4.4900000000000002E-2</v>
      </c>
      <c r="L103" s="181" t="str" cm="1">
        <f t="array" ref="L103">IF(OR(HP_rep_day="Peak demand summer day",HP_rep_day="Overall minimum demand day"),INDEX('HP06'!$J$52:$J$483,MATCH(1,(L$84='HP06'!$F$52:$F$483)*($D103='HP06'!$I$52:$I$483),0)),"")</f>
        <v/>
      </c>
      <c r="M103" s="194"/>
      <c r="N103" s="194"/>
      <c r="O103" s="194"/>
      <c r="P103" s="194"/>
      <c r="Q103" s="194"/>
      <c r="R103" s="194"/>
    </row>
    <row r="104" spans="2:18">
      <c r="B104" s="194"/>
      <c r="C104" s="194"/>
      <c r="D104" s="180">
        <v>0.39583333333333331</v>
      </c>
      <c r="E104" s="181" cm="1">
        <f t="array" ref="E104">IF(OR(HP_rep_day="Peak demand summer day",HP_rep_day="Overall minimum demand day"),
INDEX('HP06'!$J$4:$J$483, MATCH(1,(HP_rep_day='HP06'!$F$4:$F$483)*($D104='HP06'!$I$4:$I$483),0)),
INDEX('HP06'!$J$4:$J$483,MATCH(1,(HP_rep_day='HP06'!$F$4:$F$483)*(E$82='HP06'!$G$4:$G$483)*($D104='HP06'!$I$4:$I$483),0)))</f>
        <v>4.7699999999999999E-2</v>
      </c>
      <c r="F104" s="181">
        <f t="shared" si="7"/>
        <v>4.7699999999999999E-2</v>
      </c>
      <c r="G104" s="181">
        <f t="shared" si="8"/>
        <v>4.7699999999999999E-2</v>
      </c>
      <c r="H104" s="194"/>
      <c r="I104" s="181" cm="1">
        <f t="array" ref="I104">IF(OR(HP_rep_day="Peak demand summer day",HP_rep_day="Overall minimum demand day"),"",INDEX('HP06'!$J$52:$J$483,MATCH(1,(I$84='HP06'!$F$52:$F$483)*(I$83='HP06'!$G$52:$G$483)*($D104='HP06'!$I$52:$I$483),0)))</f>
        <v>3.2099999999999997E-2</v>
      </c>
      <c r="J104" s="181" cm="1">
        <f t="array" ref="J104">IF(OR(HP_rep_day="Peak demand summer day",HP_rep_day="Overall minimum demand day"),"",INDEX('HP06'!$J$52:$J$483,MATCH(1,(J$84='HP06'!$F$52:$F$483)*(J$83='HP06'!$G$52:$G$483)*($D104='HP06'!$I$52:$I$483),0)))</f>
        <v>6.2600000000000003E-2</v>
      </c>
      <c r="K104" s="181" cm="1">
        <f t="array" ref="K104">IF(OR(HP_rep_day="Peak demand summer day",HP_rep_day="Overall minimum demand day"),"",INDEX('HP06'!$J$52:$J$483,MATCH(1,(K$84='HP06'!$F$52:$F$483)*(K$83='HP06'!$G$52:$G$483)*($D104='HP06'!$I$52:$I$483),0)))</f>
        <v>4.3400000000000001E-2</v>
      </c>
      <c r="L104" s="181" t="str" cm="1">
        <f t="array" ref="L104">IF(OR(HP_rep_day="Peak demand summer day",HP_rep_day="Overall minimum demand day"),INDEX('HP06'!$J$52:$J$483,MATCH(1,(L$84='HP06'!$F$52:$F$483)*($D104='HP06'!$I$52:$I$483),0)),"")</f>
        <v/>
      </c>
      <c r="M104" s="194"/>
      <c r="N104" s="194"/>
      <c r="O104" s="194"/>
      <c r="P104" s="194"/>
      <c r="Q104" s="194"/>
      <c r="R104" s="194"/>
    </row>
    <row r="105" spans="2:18">
      <c r="B105" s="194"/>
      <c r="C105" s="194"/>
      <c r="D105" s="180">
        <v>0.41666666666666669</v>
      </c>
      <c r="E105" s="181" cm="1">
        <f t="array" ref="E105">IF(OR(HP_rep_day="Peak demand summer day",HP_rep_day="Overall minimum demand day"),
INDEX('HP06'!$J$4:$J$483, MATCH(1,(HP_rep_day='HP06'!$F$4:$F$483)*($D105='HP06'!$I$4:$I$483),0)),
INDEX('HP06'!$J$4:$J$483,MATCH(1,(HP_rep_day='HP06'!$F$4:$F$483)*(E$82='HP06'!$G$4:$G$483)*($D105='HP06'!$I$4:$I$483),0)))</f>
        <v>4.4900000000000002E-2</v>
      </c>
      <c r="F105" s="181">
        <f t="shared" si="7"/>
        <v>4.4900000000000002E-2</v>
      </c>
      <c r="G105" s="181">
        <f t="shared" si="8"/>
        <v>4.4900000000000002E-2</v>
      </c>
      <c r="H105" s="194"/>
      <c r="I105" s="181" cm="1">
        <f t="array" ref="I105">IF(OR(HP_rep_day="Peak demand summer day",HP_rep_day="Overall minimum demand day"),"",INDEX('HP06'!$J$52:$J$483,MATCH(1,(I$84='HP06'!$F$52:$F$483)*(I$83='HP06'!$G$52:$G$483)*($D105='HP06'!$I$52:$I$483),0)))</f>
        <v>2.93E-2</v>
      </c>
      <c r="J105" s="181" cm="1">
        <f t="array" ref="J105">IF(OR(HP_rep_day="Peak demand summer day",HP_rep_day="Overall minimum demand day"),"",INDEX('HP06'!$J$52:$J$483,MATCH(1,(J$84='HP06'!$F$52:$F$483)*(J$83='HP06'!$G$52:$G$483)*($D105='HP06'!$I$52:$I$483),0)))</f>
        <v>5.96E-2</v>
      </c>
      <c r="K105" s="181" cm="1">
        <f t="array" ref="K105">IF(OR(HP_rep_day="Peak demand summer day",HP_rep_day="Overall minimum demand day"),"",INDEX('HP06'!$J$52:$J$483,MATCH(1,(K$84='HP06'!$F$52:$F$483)*(K$83='HP06'!$G$52:$G$483)*($D105='HP06'!$I$52:$I$483),0)))</f>
        <v>4.2000000000000003E-2</v>
      </c>
      <c r="L105" s="181" t="str" cm="1">
        <f t="array" ref="L105">IF(OR(HP_rep_day="Peak demand summer day",HP_rep_day="Overall minimum demand day"),INDEX('HP06'!$J$52:$J$483,MATCH(1,(L$84='HP06'!$F$52:$F$483)*($D105='HP06'!$I$52:$I$483),0)),"")</f>
        <v/>
      </c>
      <c r="M105" s="194"/>
      <c r="N105" s="194"/>
      <c r="O105" s="194"/>
      <c r="P105" s="194"/>
      <c r="Q105" s="194"/>
      <c r="R105" s="194"/>
    </row>
    <row r="106" spans="2:18">
      <c r="B106" s="194"/>
      <c r="C106" s="194"/>
      <c r="D106" s="180">
        <v>0.4375</v>
      </c>
      <c r="E106" s="181" cm="1">
        <f t="array" ref="E106">IF(OR(HP_rep_day="Peak demand summer day",HP_rep_day="Overall minimum demand day"),
INDEX('HP06'!$J$4:$J$483, MATCH(1,(HP_rep_day='HP06'!$F$4:$F$483)*($D106='HP06'!$I$4:$I$483),0)),
INDEX('HP06'!$J$4:$J$483,MATCH(1,(HP_rep_day='HP06'!$F$4:$F$483)*(E$82='HP06'!$G$4:$G$483)*($D106='HP06'!$I$4:$I$483),0)))</f>
        <v>4.2999999999999997E-2</v>
      </c>
      <c r="F106" s="181">
        <f t="shared" si="7"/>
        <v>4.2999999999999997E-2</v>
      </c>
      <c r="G106" s="181">
        <f t="shared" si="8"/>
        <v>4.2999999999999997E-2</v>
      </c>
      <c r="H106" s="194"/>
      <c r="I106" s="181" cm="1">
        <f t="array" ref="I106">IF(OR(HP_rep_day="Peak demand summer day",HP_rep_day="Overall minimum demand day"),"",INDEX('HP06'!$J$52:$J$483,MATCH(1,(I$84='HP06'!$F$52:$F$483)*(I$83='HP06'!$G$52:$G$483)*($D106='HP06'!$I$52:$I$483),0)))</f>
        <v>2.8000000000000001E-2</v>
      </c>
      <c r="J106" s="181" cm="1">
        <f t="array" ref="J106">IF(OR(HP_rep_day="Peak demand summer day",HP_rep_day="Overall minimum demand day"),"",INDEX('HP06'!$J$52:$J$483,MATCH(1,(J$84='HP06'!$F$52:$F$483)*(J$83='HP06'!$G$52:$G$483)*($D106='HP06'!$I$52:$I$483),0)))</f>
        <v>5.67E-2</v>
      </c>
      <c r="K106" s="181" cm="1">
        <f t="array" ref="K106">IF(OR(HP_rep_day="Peak demand summer day",HP_rep_day="Overall minimum demand day"),"",INDEX('HP06'!$J$52:$J$483,MATCH(1,(K$84='HP06'!$F$52:$F$483)*(K$83='HP06'!$G$52:$G$483)*($D106='HP06'!$I$52:$I$483),0)))</f>
        <v>4.1000000000000002E-2</v>
      </c>
      <c r="L106" s="181" t="str" cm="1">
        <f t="array" ref="L106">IF(OR(HP_rep_day="Peak demand summer day",HP_rep_day="Overall minimum demand day"),INDEX('HP06'!$J$52:$J$483,MATCH(1,(L$84='HP06'!$F$52:$F$483)*($D106='HP06'!$I$52:$I$483),0)),"")</f>
        <v/>
      </c>
      <c r="M106" s="194"/>
      <c r="N106" s="194"/>
      <c r="O106" s="194"/>
      <c r="P106" s="194"/>
      <c r="Q106" s="194"/>
      <c r="R106" s="194"/>
    </row>
    <row r="107" spans="2:18">
      <c r="B107" s="194"/>
      <c r="C107" s="194"/>
      <c r="D107" s="180">
        <v>0.45833333333333331</v>
      </c>
      <c r="E107" s="181" cm="1">
        <f t="array" ref="E107">IF(OR(HP_rep_day="Peak demand summer day",HP_rep_day="Overall minimum demand day"),
INDEX('HP06'!$J$4:$J$483, MATCH(1,(HP_rep_day='HP06'!$F$4:$F$483)*($D107='HP06'!$I$4:$I$483),0)),
INDEX('HP06'!$J$4:$J$483,MATCH(1,(HP_rep_day='HP06'!$F$4:$F$483)*(E$82='HP06'!$G$4:$G$483)*($D107='HP06'!$I$4:$I$483),0)))</f>
        <v>4.1000000000000002E-2</v>
      </c>
      <c r="F107" s="181">
        <f t="shared" si="7"/>
        <v>4.1000000000000002E-2</v>
      </c>
      <c r="G107" s="181">
        <f t="shared" si="8"/>
        <v>4.1000000000000002E-2</v>
      </c>
      <c r="H107" s="194"/>
      <c r="I107" s="181" cm="1">
        <f t="array" ref="I107">IF(OR(HP_rep_day="Peak demand summer day",HP_rep_day="Overall minimum demand day"),"",INDEX('HP06'!$J$52:$J$483,MATCH(1,(I$84='HP06'!$F$52:$F$483)*(I$83='HP06'!$G$52:$G$483)*($D107='HP06'!$I$52:$I$483),0)))</f>
        <v>2.7300000000000001E-2</v>
      </c>
      <c r="J107" s="181" cm="1">
        <f t="array" ref="J107">IF(OR(HP_rep_day="Peak demand summer day",HP_rep_day="Overall minimum demand day"),"",INDEX('HP06'!$J$52:$J$483,MATCH(1,(J$84='HP06'!$F$52:$F$483)*(J$83='HP06'!$G$52:$G$483)*($D107='HP06'!$I$52:$I$483),0)))</f>
        <v>5.3699999999999998E-2</v>
      </c>
      <c r="K107" s="181" cm="1">
        <f t="array" ref="K107">IF(OR(HP_rep_day="Peak demand summer day",HP_rep_day="Overall minimum demand day"),"",INDEX('HP06'!$J$52:$J$483,MATCH(1,(K$84='HP06'!$F$52:$F$483)*(K$83='HP06'!$G$52:$G$483)*($D107='HP06'!$I$52:$I$483),0)))</f>
        <v>3.8899999999999997E-2</v>
      </c>
      <c r="L107" s="181" t="str" cm="1">
        <f t="array" ref="L107">IF(OR(HP_rep_day="Peak demand summer day",HP_rep_day="Overall minimum demand day"),INDEX('HP06'!$J$52:$J$483,MATCH(1,(L$84='HP06'!$F$52:$F$483)*($D107='HP06'!$I$52:$I$483),0)),"")</f>
        <v/>
      </c>
      <c r="M107" s="194"/>
      <c r="N107" s="194"/>
      <c r="O107" s="194"/>
      <c r="P107" s="194"/>
      <c r="Q107" s="194"/>
      <c r="R107" s="194"/>
    </row>
    <row r="108" spans="2:18">
      <c r="B108" s="194"/>
      <c r="C108" s="194"/>
      <c r="D108" s="180">
        <v>0.47916666666666669</v>
      </c>
      <c r="E108" s="181" cm="1">
        <f t="array" ref="E108">IF(OR(HP_rep_day="Peak demand summer day",HP_rep_day="Overall minimum demand day"),
INDEX('HP06'!$J$4:$J$483, MATCH(1,(HP_rep_day='HP06'!$F$4:$F$483)*($D108='HP06'!$I$4:$I$483),0)),
INDEX('HP06'!$J$4:$J$483,MATCH(1,(HP_rep_day='HP06'!$F$4:$F$483)*(E$82='HP06'!$G$4:$G$483)*($D108='HP06'!$I$4:$I$483),0)))</f>
        <v>3.9800000000000002E-2</v>
      </c>
      <c r="F108" s="181">
        <f t="shared" si="7"/>
        <v>3.9800000000000002E-2</v>
      </c>
      <c r="G108" s="181">
        <f t="shared" si="8"/>
        <v>3.9800000000000002E-2</v>
      </c>
      <c r="H108" s="194"/>
      <c r="I108" s="181" cm="1">
        <f t="array" ref="I108">IF(OR(HP_rep_day="Peak demand summer day",HP_rep_day="Overall minimum demand day"),"",INDEX('HP06'!$J$52:$J$483,MATCH(1,(I$84='HP06'!$F$52:$F$483)*(I$83='HP06'!$G$52:$G$483)*($D108='HP06'!$I$52:$I$483),0)))</f>
        <v>2.8000000000000001E-2</v>
      </c>
      <c r="J108" s="181" cm="1">
        <f t="array" ref="J108">IF(OR(HP_rep_day="Peak demand summer day",HP_rep_day="Overall minimum demand day"),"",INDEX('HP06'!$J$52:$J$483,MATCH(1,(J$84='HP06'!$F$52:$F$483)*(J$83='HP06'!$G$52:$G$483)*($D108='HP06'!$I$52:$I$483),0)))</f>
        <v>5.0999999999999997E-2</v>
      </c>
      <c r="K108" s="181" cm="1">
        <f t="array" ref="K108">IF(OR(HP_rep_day="Peak demand summer day",HP_rep_day="Overall minimum demand day"),"",INDEX('HP06'!$J$52:$J$483,MATCH(1,(K$84='HP06'!$F$52:$F$483)*(K$83='HP06'!$G$52:$G$483)*($D108='HP06'!$I$52:$I$483),0)))</f>
        <v>3.7400000000000003E-2</v>
      </c>
      <c r="L108" s="181" t="str" cm="1">
        <f t="array" ref="L108">IF(OR(HP_rep_day="Peak demand summer day",HP_rep_day="Overall minimum demand day"),INDEX('HP06'!$J$52:$J$483,MATCH(1,(L$84='HP06'!$F$52:$F$483)*($D108='HP06'!$I$52:$I$483),0)),"")</f>
        <v/>
      </c>
      <c r="M108" s="194"/>
      <c r="N108" s="194"/>
      <c r="O108" s="194"/>
      <c r="P108" s="194"/>
      <c r="Q108" s="194"/>
      <c r="R108" s="194"/>
    </row>
    <row r="109" spans="2:18">
      <c r="B109" s="194"/>
      <c r="C109" s="194"/>
      <c r="D109" s="180">
        <v>0.5</v>
      </c>
      <c r="E109" s="181" cm="1">
        <f t="array" ref="E109">IF(OR(HP_rep_day="Peak demand summer day",HP_rep_day="Overall minimum demand day"),
INDEX('HP06'!$J$4:$J$483, MATCH(1,(HP_rep_day='HP06'!$F$4:$F$483)*($D109='HP06'!$I$4:$I$483),0)),
INDEX('HP06'!$J$4:$J$483,MATCH(1,(HP_rep_day='HP06'!$F$4:$F$483)*(E$82='HP06'!$G$4:$G$483)*($D109='HP06'!$I$4:$I$483),0)))</f>
        <v>3.8800000000000001E-2</v>
      </c>
      <c r="F109" s="181">
        <f t="shared" si="7"/>
        <v>3.8800000000000001E-2</v>
      </c>
      <c r="G109" s="181">
        <f t="shared" si="8"/>
        <v>3.8800000000000001E-2</v>
      </c>
      <c r="H109" s="194"/>
      <c r="I109" s="181" cm="1">
        <f t="array" ref="I109">IF(OR(HP_rep_day="Peak demand summer day",HP_rep_day="Overall minimum demand day"),"",INDEX('HP06'!$J$52:$J$483,MATCH(1,(I$84='HP06'!$F$52:$F$483)*(I$83='HP06'!$G$52:$G$483)*($D109='HP06'!$I$52:$I$483),0)))</f>
        <v>2.86E-2</v>
      </c>
      <c r="J109" s="181" cm="1">
        <f t="array" ref="J109">IF(OR(HP_rep_day="Peak demand summer day",HP_rep_day="Overall minimum demand day"),"",INDEX('HP06'!$J$52:$J$483,MATCH(1,(J$84='HP06'!$F$52:$F$483)*(J$83='HP06'!$G$52:$G$483)*($D109='HP06'!$I$52:$I$483),0)))</f>
        <v>4.8599999999999997E-2</v>
      </c>
      <c r="K109" s="181" cm="1">
        <f t="array" ref="K109">IF(OR(HP_rep_day="Peak demand summer day",HP_rep_day="Overall minimum demand day"),"",INDEX('HP06'!$J$52:$J$483,MATCH(1,(K$84='HP06'!$F$52:$F$483)*(K$83='HP06'!$G$52:$G$483)*($D109='HP06'!$I$52:$I$483),0)))</f>
        <v>3.5900000000000001E-2</v>
      </c>
      <c r="L109" s="181" t="str" cm="1">
        <f t="array" ref="L109">IF(OR(HP_rep_day="Peak demand summer day",HP_rep_day="Overall minimum demand day"),INDEX('HP06'!$J$52:$J$483,MATCH(1,(L$84='HP06'!$F$52:$F$483)*($D109='HP06'!$I$52:$I$483),0)),"")</f>
        <v/>
      </c>
      <c r="M109" s="194"/>
      <c r="N109" s="194"/>
      <c r="O109" s="194"/>
      <c r="P109" s="194"/>
      <c r="Q109" s="194"/>
      <c r="R109" s="194"/>
    </row>
    <row r="110" spans="2:18">
      <c r="B110" s="194"/>
      <c r="C110" s="194"/>
      <c r="D110" s="180">
        <v>0.52083333333333337</v>
      </c>
      <c r="E110" s="181" cm="1">
        <f t="array" ref="E110">IF(OR(HP_rep_day="Peak demand summer day",HP_rep_day="Overall minimum demand day"),
INDEX('HP06'!$J$4:$J$483, MATCH(1,(HP_rep_day='HP06'!$F$4:$F$483)*($D110='HP06'!$I$4:$I$483),0)),
INDEX('HP06'!$J$4:$J$483,MATCH(1,(HP_rep_day='HP06'!$F$4:$F$483)*(E$82='HP06'!$G$4:$G$483)*($D110='HP06'!$I$4:$I$483),0)))</f>
        <v>3.8300000000000001E-2</v>
      </c>
      <c r="F110" s="181">
        <f t="shared" si="7"/>
        <v>3.8300000000000001E-2</v>
      </c>
      <c r="G110" s="181">
        <f t="shared" si="8"/>
        <v>3.8300000000000001E-2</v>
      </c>
      <c r="H110" s="194"/>
      <c r="I110" s="181" cm="1">
        <f t="array" ref="I110">IF(OR(HP_rep_day="Peak demand summer day",HP_rep_day="Overall minimum demand day"),"",INDEX('HP06'!$J$52:$J$483,MATCH(1,(I$84='HP06'!$F$52:$F$483)*(I$83='HP06'!$G$52:$G$483)*($D110='HP06'!$I$52:$I$483),0)))</f>
        <v>2.9100000000000001E-2</v>
      </c>
      <c r="J110" s="181" cm="1">
        <f t="array" ref="J110">IF(OR(HP_rep_day="Peak demand summer day",HP_rep_day="Overall minimum demand day"),"",INDEX('HP06'!$J$52:$J$483,MATCH(1,(J$84='HP06'!$F$52:$F$483)*(J$83='HP06'!$G$52:$G$483)*($D110='HP06'!$I$52:$I$483),0)))</f>
        <v>4.7199999999999999E-2</v>
      </c>
      <c r="K110" s="181" cm="1">
        <f t="array" ref="K110">IF(OR(HP_rep_day="Peak demand summer day",HP_rep_day="Overall minimum demand day"),"",INDEX('HP06'!$J$52:$J$483,MATCH(1,(K$84='HP06'!$F$52:$F$483)*(K$83='HP06'!$G$52:$G$483)*($D110='HP06'!$I$52:$I$483),0)))</f>
        <v>3.5200000000000002E-2</v>
      </c>
      <c r="L110" s="181" t="str" cm="1">
        <f t="array" ref="L110">IF(OR(HP_rep_day="Peak demand summer day",HP_rep_day="Overall minimum demand day"),INDEX('HP06'!$J$52:$J$483,MATCH(1,(L$84='HP06'!$F$52:$F$483)*($D110='HP06'!$I$52:$I$483),0)),"")</f>
        <v/>
      </c>
      <c r="M110" s="194"/>
      <c r="N110" s="194"/>
      <c r="O110" s="194"/>
      <c r="P110" s="194"/>
      <c r="Q110" s="194"/>
      <c r="R110" s="194"/>
    </row>
    <row r="111" spans="2:18">
      <c r="B111" s="194"/>
      <c r="C111" s="194"/>
      <c r="D111" s="180">
        <v>0.54166666666666663</v>
      </c>
      <c r="E111" s="181" cm="1">
        <f t="array" ref="E111">IF(OR(HP_rep_day="Peak demand summer day",HP_rep_day="Overall minimum demand day"),
INDEX('HP06'!$J$4:$J$483, MATCH(1,(HP_rep_day='HP06'!$F$4:$F$483)*($D111='HP06'!$I$4:$I$483),0)),
INDEX('HP06'!$J$4:$J$483,MATCH(1,(HP_rep_day='HP06'!$F$4:$F$483)*(E$82='HP06'!$G$4:$G$483)*($D111='HP06'!$I$4:$I$483),0)))</f>
        <v>3.7600000000000001E-2</v>
      </c>
      <c r="F111" s="181">
        <f t="shared" si="7"/>
        <v>3.7600000000000001E-2</v>
      </c>
      <c r="G111" s="181">
        <f t="shared" si="8"/>
        <v>3.7600000000000001E-2</v>
      </c>
      <c r="H111" s="194"/>
      <c r="I111" s="181" cm="1">
        <f t="array" ref="I111">IF(OR(HP_rep_day="Peak demand summer day",HP_rep_day="Overall minimum demand day"),"",INDEX('HP06'!$J$52:$J$483,MATCH(1,(I$84='HP06'!$F$52:$F$483)*(I$83='HP06'!$G$52:$G$483)*($D111='HP06'!$I$52:$I$483),0)))</f>
        <v>2.93E-2</v>
      </c>
      <c r="J111" s="181" cm="1">
        <f t="array" ref="J111">IF(OR(HP_rep_day="Peak demand summer day",HP_rep_day="Overall minimum demand day"),"",INDEX('HP06'!$J$52:$J$483,MATCH(1,(J$84='HP06'!$F$52:$F$483)*(J$83='HP06'!$G$52:$G$483)*($D111='HP06'!$I$52:$I$483),0)))</f>
        <v>4.58E-2</v>
      </c>
      <c r="K111" s="181" cm="1">
        <f t="array" ref="K111">IF(OR(HP_rep_day="Peak demand summer day",HP_rep_day="Overall minimum demand day"),"",INDEX('HP06'!$J$52:$J$483,MATCH(1,(K$84='HP06'!$F$52:$F$483)*(K$83='HP06'!$G$52:$G$483)*($D111='HP06'!$I$52:$I$483),0)))</f>
        <v>3.4200000000000001E-2</v>
      </c>
      <c r="L111" s="181" t="str" cm="1">
        <f t="array" ref="L111">IF(OR(HP_rep_day="Peak demand summer day",HP_rep_day="Overall minimum demand day"),INDEX('HP06'!$J$52:$J$483,MATCH(1,(L$84='HP06'!$F$52:$F$483)*($D111='HP06'!$I$52:$I$483),0)),"")</f>
        <v/>
      </c>
      <c r="M111" s="194"/>
      <c r="N111" s="194"/>
      <c r="O111" s="194"/>
      <c r="P111" s="194"/>
      <c r="Q111" s="194"/>
      <c r="R111" s="194"/>
    </row>
    <row r="112" spans="2:18">
      <c r="B112" s="194"/>
      <c r="C112" s="194"/>
      <c r="D112" s="180">
        <v>0.5625</v>
      </c>
      <c r="E112" s="181" cm="1">
        <f t="array" ref="E112">IF(OR(HP_rep_day="Peak demand summer day",HP_rep_day="Overall minimum demand day"),
INDEX('HP06'!$J$4:$J$483, MATCH(1,(HP_rep_day='HP06'!$F$4:$F$483)*($D112='HP06'!$I$4:$I$483),0)),
INDEX('HP06'!$J$4:$J$483,MATCH(1,(HP_rep_day='HP06'!$F$4:$F$483)*(E$82='HP06'!$G$4:$G$483)*($D112='HP06'!$I$4:$I$483),0)))</f>
        <v>3.73E-2</v>
      </c>
      <c r="F112" s="181">
        <f t="shared" si="7"/>
        <v>3.73E-2</v>
      </c>
      <c r="G112" s="181">
        <f t="shared" si="8"/>
        <v>3.73E-2</v>
      </c>
      <c r="H112" s="194"/>
      <c r="I112" s="181" cm="1">
        <f t="array" ref="I112">IF(OR(HP_rep_day="Peak demand summer day",HP_rep_day="Overall minimum demand day"),"",INDEX('HP06'!$J$52:$J$483,MATCH(1,(I$84='HP06'!$F$52:$F$483)*(I$83='HP06'!$G$52:$G$483)*($D112='HP06'!$I$52:$I$483),0)))</f>
        <v>3.0099999999999998E-2</v>
      </c>
      <c r="J112" s="181" cm="1">
        <f t="array" ref="J112">IF(OR(HP_rep_day="Peak demand summer day",HP_rep_day="Overall minimum demand day"),"",INDEX('HP06'!$J$52:$J$483,MATCH(1,(J$84='HP06'!$F$52:$F$483)*(J$83='HP06'!$G$52:$G$483)*($D112='HP06'!$I$52:$I$483),0)))</f>
        <v>4.4699999999999997E-2</v>
      </c>
      <c r="K112" s="181" cm="1">
        <f t="array" ref="K112">IF(OR(HP_rep_day="Peak demand summer day",HP_rep_day="Overall minimum demand day"),"",INDEX('HP06'!$J$52:$J$483,MATCH(1,(K$84='HP06'!$F$52:$F$483)*(K$83='HP06'!$G$52:$G$483)*($D112='HP06'!$I$52:$I$483),0)))</f>
        <v>3.39E-2</v>
      </c>
      <c r="L112" s="181" t="str" cm="1">
        <f t="array" ref="L112">IF(OR(HP_rep_day="Peak demand summer day",HP_rep_day="Overall minimum demand day"),INDEX('HP06'!$J$52:$J$483,MATCH(1,(L$84='HP06'!$F$52:$F$483)*($D112='HP06'!$I$52:$I$483),0)),"")</f>
        <v/>
      </c>
      <c r="M112" s="194"/>
      <c r="N112" s="194"/>
      <c r="O112" s="194"/>
      <c r="P112" s="194"/>
      <c r="Q112" s="194"/>
      <c r="R112" s="194"/>
    </row>
    <row r="113" spans="2:18">
      <c r="B113" s="194"/>
      <c r="C113" s="194"/>
      <c r="D113" s="180">
        <v>0.58333333333333337</v>
      </c>
      <c r="E113" s="181" cm="1">
        <f t="array" ref="E113">IF(OR(HP_rep_day="Peak demand summer day",HP_rep_day="Overall minimum demand day"),
INDEX('HP06'!$J$4:$J$483, MATCH(1,(HP_rep_day='HP06'!$F$4:$F$483)*($D113='HP06'!$I$4:$I$483),0)),
INDEX('HP06'!$J$4:$J$483,MATCH(1,(HP_rep_day='HP06'!$F$4:$F$483)*(E$82='HP06'!$G$4:$G$483)*($D113='HP06'!$I$4:$I$483),0)))</f>
        <v>3.7499999999999999E-2</v>
      </c>
      <c r="F113" s="181">
        <f t="shared" si="7"/>
        <v>3.7499999999999999E-2</v>
      </c>
      <c r="G113" s="181">
        <f t="shared" si="8"/>
        <v>3.7499999999999999E-2</v>
      </c>
      <c r="H113" s="194"/>
      <c r="I113" s="181" cm="1">
        <f t="array" ref="I113">IF(OR(HP_rep_day="Peak demand summer day",HP_rep_day="Overall minimum demand day"),"",INDEX('HP06'!$J$52:$J$483,MATCH(1,(I$84='HP06'!$F$52:$F$483)*(I$83='HP06'!$G$52:$G$483)*($D113='HP06'!$I$52:$I$483),0)))</f>
        <v>3.1600000000000003E-2</v>
      </c>
      <c r="J113" s="181" cm="1">
        <f t="array" ref="J113">IF(OR(HP_rep_day="Peak demand summer day",HP_rep_day="Overall minimum demand day"),"",INDEX('HP06'!$J$52:$J$483,MATCH(1,(J$84='HP06'!$F$52:$F$483)*(J$83='HP06'!$G$52:$G$483)*($D113='HP06'!$I$52:$I$483),0)))</f>
        <v>4.3799999999999999E-2</v>
      </c>
      <c r="K113" s="181" cm="1">
        <f t="array" ref="K113">IF(OR(HP_rep_day="Peak demand summer day",HP_rep_day="Overall minimum demand day"),"",INDEX('HP06'!$J$52:$J$483,MATCH(1,(K$84='HP06'!$F$52:$F$483)*(K$83='HP06'!$G$52:$G$483)*($D113='HP06'!$I$52:$I$483),0)))</f>
        <v>3.3799999999999997E-2</v>
      </c>
      <c r="L113" s="181" t="str" cm="1">
        <f t="array" ref="L113">IF(OR(HP_rep_day="Peak demand summer day",HP_rep_day="Overall minimum demand day"),INDEX('HP06'!$J$52:$J$483,MATCH(1,(L$84='HP06'!$F$52:$F$483)*($D113='HP06'!$I$52:$I$483),0)),"")</f>
        <v/>
      </c>
      <c r="M113" s="194"/>
      <c r="N113" s="194"/>
      <c r="O113" s="194"/>
      <c r="P113" s="194"/>
      <c r="Q113" s="194"/>
      <c r="R113" s="194"/>
    </row>
    <row r="114" spans="2:18">
      <c r="B114" s="194"/>
      <c r="C114" s="194"/>
      <c r="D114" s="180">
        <v>0.60416666666666663</v>
      </c>
      <c r="E114" s="181" cm="1">
        <f t="array" ref="E114">IF(OR(HP_rep_day="Peak demand summer day",HP_rep_day="Overall minimum demand day"),
INDEX('HP06'!$J$4:$J$483, MATCH(1,(HP_rep_day='HP06'!$F$4:$F$483)*($D114='HP06'!$I$4:$I$483),0)),
INDEX('HP06'!$J$4:$J$483,MATCH(1,(HP_rep_day='HP06'!$F$4:$F$483)*(E$82='HP06'!$G$4:$G$483)*($D114='HP06'!$I$4:$I$483),0)))</f>
        <v>3.8899999999999997E-2</v>
      </c>
      <c r="F114" s="181">
        <f t="shared" si="7"/>
        <v>3.8899999999999997E-2</v>
      </c>
      <c r="G114" s="181">
        <f t="shared" si="8"/>
        <v>3.8899999999999997E-2</v>
      </c>
      <c r="H114" s="194"/>
      <c r="I114" s="181" cm="1">
        <f t="array" ref="I114">IF(OR(HP_rep_day="Peak demand summer day",HP_rep_day="Overall minimum demand day"),"",INDEX('HP06'!$J$52:$J$483,MATCH(1,(I$84='HP06'!$F$52:$F$483)*(I$83='HP06'!$G$52:$G$483)*($D114='HP06'!$I$52:$I$483),0)))</f>
        <v>3.4599999999999999E-2</v>
      </c>
      <c r="J114" s="181" cm="1">
        <f t="array" ref="J114">IF(OR(HP_rep_day="Peak demand summer day",HP_rep_day="Overall minimum demand day"),"",INDEX('HP06'!$J$52:$J$483,MATCH(1,(J$84='HP06'!$F$52:$F$483)*(J$83='HP06'!$G$52:$G$483)*($D114='HP06'!$I$52:$I$483),0)))</f>
        <v>4.3900000000000002E-2</v>
      </c>
      <c r="K114" s="181" cm="1">
        <f t="array" ref="K114">IF(OR(HP_rep_day="Peak demand summer day",HP_rep_day="Overall minimum demand day"),"",INDEX('HP06'!$J$52:$J$483,MATCH(1,(K$84='HP06'!$F$52:$F$483)*(K$83='HP06'!$G$52:$G$483)*($D114='HP06'!$I$52:$I$483),0)))</f>
        <v>3.4500000000000003E-2</v>
      </c>
      <c r="L114" s="181" t="str" cm="1">
        <f t="array" ref="L114">IF(OR(HP_rep_day="Peak demand summer day",HP_rep_day="Overall minimum demand day"),INDEX('HP06'!$J$52:$J$483,MATCH(1,(L$84='HP06'!$F$52:$F$483)*($D114='HP06'!$I$52:$I$483),0)),"")</f>
        <v/>
      </c>
      <c r="M114" s="194"/>
      <c r="N114" s="194"/>
      <c r="O114" s="194"/>
      <c r="P114" s="194"/>
      <c r="Q114" s="194"/>
      <c r="R114" s="194"/>
    </row>
    <row r="115" spans="2:18">
      <c r="B115" s="194"/>
      <c r="C115" s="194"/>
      <c r="D115" s="180">
        <v>0.625</v>
      </c>
      <c r="E115" s="181" cm="1">
        <f t="array" ref="E115">IF(OR(HP_rep_day="Peak demand summer day",HP_rep_day="Overall minimum demand day"),
INDEX('HP06'!$J$4:$J$483, MATCH(1,(HP_rep_day='HP06'!$F$4:$F$483)*($D115='HP06'!$I$4:$I$483),0)),
INDEX('HP06'!$J$4:$J$483,MATCH(1,(HP_rep_day='HP06'!$F$4:$F$483)*(E$82='HP06'!$G$4:$G$483)*($D115='HP06'!$I$4:$I$483),0)))</f>
        <v>4.07E-2</v>
      </c>
      <c r="F115" s="181">
        <f t="shared" si="7"/>
        <v>4.07E-2</v>
      </c>
      <c r="G115" s="181">
        <f t="shared" si="8"/>
        <v>4.07E-2</v>
      </c>
      <c r="H115" s="194"/>
      <c r="I115" s="181" cm="1">
        <f t="array" ref="I115">IF(OR(HP_rep_day="Peak demand summer day",HP_rep_day="Overall minimum demand day"),"",INDEX('HP06'!$J$52:$J$483,MATCH(1,(I$84='HP06'!$F$52:$F$483)*(I$83='HP06'!$G$52:$G$483)*($D115='HP06'!$I$52:$I$483),0)))</f>
        <v>3.8199999999999998E-2</v>
      </c>
      <c r="J115" s="181" cm="1">
        <f t="array" ref="J115">IF(OR(HP_rep_day="Peak demand summer day",HP_rep_day="Overall minimum demand day"),"",INDEX('HP06'!$J$52:$J$483,MATCH(1,(J$84='HP06'!$F$52:$F$483)*(J$83='HP06'!$G$52:$G$483)*($D115='HP06'!$I$52:$I$483),0)))</f>
        <v>4.4499999999999998E-2</v>
      </c>
      <c r="K115" s="181" cm="1">
        <f t="array" ref="K115">IF(OR(HP_rep_day="Peak demand summer day",HP_rep_day="Overall minimum demand day"),"",INDEX('HP06'!$J$52:$J$483,MATCH(1,(K$84='HP06'!$F$52:$F$483)*(K$83='HP06'!$G$52:$G$483)*($D115='HP06'!$I$52:$I$483),0)))</f>
        <v>3.5200000000000002E-2</v>
      </c>
      <c r="L115" s="181" t="str" cm="1">
        <f t="array" ref="L115">IF(OR(HP_rep_day="Peak demand summer day",HP_rep_day="Overall minimum demand day"),INDEX('HP06'!$J$52:$J$483,MATCH(1,(L$84='HP06'!$F$52:$F$483)*($D115='HP06'!$I$52:$I$483),0)),"")</f>
        <v/>
      </c>
      <c r="M115" s="194"/>
      <c r="N115" s="194"/>
      <c r="O115" s="194"/>
      <c r="P115" s="194"/>
      <c r="Q115" s="194"/>
      <c r="R115" s="194"/>
    </row>
    <row r="116" spans="2:18">
      <c r="B116" s="194"/>
      <c r="C116" s="194"/>
      <c r="D116" s="180">
        <v>0.64583333333333337</v>
      </c>
      <c r="E116" s="181" cm="1">
        <f t="array" ref="E116">IF(OR(HP_rep_day="Peak demand summer day",HP_rep_day="Overall minimum demand day"),
INDEX('HP06'!$J$4:$J$483, MATCH(1,(HP_rep_day='HP06'!$F$4:$F$483)*($D116='HP06'!$I$4:$I$483),0)),
INDEX('HP06'!$J$4:$J$483,MATCH(1,(HP_rep_day='HP06'!$F$4:$F$483)*(E$82='HP06'!$G$4:$G$483)*($D116='HP06'!$I$4:$I$483),0)))</f>
        <v>4.2900000000000001E-2</v>
      </c>
      <c r="F116" s="181">
        <f t="shared" si="7"/>
        <v>4.2900000000000001E-2</v>
      </c>
      <c r="G116" s="181">
        <f t="shared" si="8"/>
        <v>4.2900000000000001E-2</v>
      </c>
      <c r="H116" s="194"/>
      <c r="I116" s="181" cm="1">
        <f t="array" ref="I116">IF(OR(HP_rep_day="Peak demand summer day",HP_rep_day="Overall minimum demand day"),"",INDEX('HP06'!$J$52:$J$483,MATCH(1,(I$84='HP06'!$F$52:$F$483)*(I$83='HP06'!$G$52:$G$483)*($D116='HP06'!$I$52:$I$483),0)))</f>
        <v>4.2700000000000002E-2</v>
      </c>
      <c r="J116" s="181" cm="1">
        <f t="array" ref="J116">IF(OR(HP_rep_day="Peak demand summer day",HP_rep_day="Overall minimum demand day"),"",INDEX('HP06'!$J$52:$J$483,MATCH(1,(J$84='HP06'!$F$52:$F$483)*(J$83='HP06'!$G$52:$G$483)*($D116='HP06'!$I$52:$I$483),0)))</f>
        <v>4.4999999999999998E-2</v>
      </c>
      <c r="K116" s="181" cm="1">
        <f t="array" ref="K116">IF(OR(HP_rep_day="Peak demand summer day",HP_rep_day="Overall minimum demand day"),"",INDEX('HP06'!$J$52:$J$483,MATCH(1,(K$84='HP06'!$F$52:$F$483)*(K$83='HP06'!$G$52:$G$483)*($D116='HP06'!$I$52:$I$483),0)))</f>
        <v>3.61E-2</v>
      </c>
      <c r="L116" s="181" t="str" cm="1">
        <f t="array" ref="L116">IF(OR(HP_rep_day="Peak demand summer day",HP_rep_day="Overall minimum demand day"),INDEX('HP06'!$J$52:$J$483,MATCH(1,(L$84='HP06'!$F$52:$F$483)*($D116='HP06'!$I$52:$I$483),0)),"")</f>
        <v/>
      </c>
      <c r="M116" s="194"/>
      <c r="N116" s="194"/>
      <c r="O116" s="194"/>
      <c r="P116" s="194"/>
      <c r="Q116" s="194"/>
      <c r="R116" s="194"/>
    </row>
    <row r="117" spans="2:18">
      <c r="B117" s="194"/>
      <c r="C117" s="194"/>
      <c r="D117" s="180">
        <v>0.66666666666666663</v>
      </c>
      <c r="E117" s="181" cm="1">
        <f t="array" ref="E117">IF(OR(HP_rep_day="Peak demand summer day",HP_rep_day="Overall minimum demand day"),
INDEX('HP06'!$J$4:$J$483, MATCH(1,(HP_rep_day='HP06'!$F$4:$F$483)*($D117='HP06'!$I$4:$I$483),0)),
INDEX('HP06'!$J$4:$J$483,MATCH(1,(HP_rep_day='HP06'!$F$4:$F$483)*(E$82='HP06'!$G$4:$G$483)*($D117='HP06'!$I$4:$I$483),0)))</f>
        <v>4.48E-2</v>
      </c>
      <c r="F117" s="181">
        <f t="shared" si="7"/>
        <v>4.48E-2</v>
      </c>
      <c r="G117" s="181">
        <f t="shared" si="8"/>
        <v>4.48E-2</v>
      </c>
      <c r="H117" s="194"/>
      <c r="I117" s="181" cm="1">
        <f t="array" ref="I117">IF(OR(HP_rep_day="Peak demand summer day",HP_rep_day="Overall minimum demand day"),"",INDEX('HP06'!$J$52:$J$483,MATCH(1,(I$84='HP06'!$F$52:$F$483)*(I$83='HP06'!$G$52:$G$483)*($D117='HP06'!$I$52:$I$483),0)))</f>
        <v>4.7199999999999999E-2</v>
      </c>
      <c r="J117" s="181" cm="1">
        <f t="array" ref="J117">IF(OR(HP_rep_day="Peak demand summer day",HP_rep_day="Overall minimum demand day"),"",INDEX('HP06'!$J$52:$J$483,MATCH(1,(J$84='HP06'!$F$52:$F$483)*(J$83='HP06'!$G$52:$G$483)*($D117='HP06'!$I$52:$I$483),0)))</f>
        <v>4.5100000000000001E-2</v>
      </c>
      <c r="K117" s="181" cm="1">
        <f t="array" ref="K117">IF(OR(HP_rep_day="Peak demand summer day",HP_rep_day="Overall minimum demand day"),"",INDEX('HP06'!$J$52:$J$483,MATCH(1,(K$84='HP06'!$F$52:$F$483)*(K$83='HP06'!$G$52:$G$483)*($D117='HP06'!$I$52:$I$483),0)))</f>
        <v>3.6499999999999998E-2</v>
      </c>
      <c r="L117" s="181" t="str" cm="1">
        <f t="array" ref="L117">IF(OR(HP_rep_day="Peak demand summer day",HP_rep_day="Overall minimum demand day"),INDEX('HP06'!$J$52:$J$483,MATCH(1,(L$84='HP06'!$F$52:$F$483)*($D117='HP06'!$I$52:$I$483),0)),"")</f>
        <v/>
      </c>
      <c r="M117" s="194"/>
      <c r="N117" s="194"/>
      <c r="O117" s="194"/>
      <c r="P117" s="194"/>
      <c r="Q117" s="194"/>
      <c r="R117" s="194"/>
    </row>
    <row r="118" spans="2:18">
      <c r="B118" s="194"/>
      <c r="C118" s="194"/>
      <c r="D118" s="180">
        <v>0.6875</v>
      </c>
      <c r="E118" s="181" cm="1">
        <f t="array" ref="E118">IF(OR(HP_rep_day="Peak demand summer day",HP_rep_day="Overall minimum demand day"),
INDEX('HP06'!$J$4:$J$483, MATCH(1,(HP_rep_day='HP06'!$F$4:$F$483)*($D118='HP06'!$I$4:$I$483),0)),
INDEX('HP06'!$J$4:$J$483,MATCH(1,(HP_rep_day='HP06'!$F$4:$F$483)*(E$82='HP06'!$G$4:$G$483)*($D118='HP06'!$I$4:$I$483),0)))</f>
        <v>4.6600000000000003E-2</v>
      </c>
      <c r="F118" s="181">
        <f t="shared" si="7"/>
        <v>4.6600000000000003E-2</v>
      </c>
      <c r="G118" s="181">
        <f t="shared" si="8"/>
        <v>4.6600000000000003E-2</v>
      </c>
      <c r="H118" s="194"/>
      <c r="I118" s="181" cm="1">
        <f t="array" ref="I118">IF(OR(HP_rep_day="Peak demand summer day",HP_rep_day="Overall minimum demand day"),"",INDEX('HP06'!$J$52:$J$483,MATCH(1,(I$84='HP06'!$F$52:$F$483)*(I$83='HP06'!$G$52:$G$483)*($D118='HP06'!$I$52:$I$483),0)))</f>
        <v>5.1499999999999997E-2</v>
      </c>
      <c r="J118" s="181" cm="1">
        <f t="array" ref="J118">IF(OR(HP_rep_day="Peak demand summer day",HP_rep_day="Overall minimum demand day"),"",INDEX('HP06'!$J$52:$J$483,MATCH(1,(J$84='HP06'!$F$52:$F$483)*(J$83='HP06'!$G$52:$G$483)*($D118='HP06'!$I$52:$I$483),0)))</f>
        <v>4.4999999999999998E-2</v>
      </c>
      <c r="K118" s="181" cm="1">
        <f t="array" ref="K118">IF(OR(HP_rep_day="Peak demand summer day",HP_rep_day="Overall minimum demand day"),"",INDEX('HP06'!$J$52:$J$483,MATCH(1,(K$84='HP06'!$F$52:$F$483)*(K$83='HP06'!$G$52:$G$483)*($D118='HP06'!$I$52:$I$483),0)))</f>
        <v>3.6799999999999999E-2</v>
      </c>
      <c r="L118" s="181" t="str" cm="1">
        <f t="array" ref="L118">IF(OR(HP_rep_day="Peak demand summer day",HP_rep_day="Overall minimum demand day"),INDEX('HP06'!$J$52:$J$483,MATCH(1,(L$84='HP06'!$F$52:$F$483)*($D118='HP06'!$I$52:$I$483),0)),"")</f>
        <v/>
      </c>
      <c r="M118" s="194"/>
      <c r="N118" s="194"/>
      <c r="O118" s="194"/>
      <c r="P118" s="194"/>
      <c r="Q118" s="194"/>
      <c r="R118" s="194"/>
    </row>
    <row r="119" spans="2:18">
      <c r="B119" s="194"/>
      <c r="C119" s="194"/>
      <c r="D119" s="180">
        <v>0.70833333333333337</v>
      </c>
      <c r="E119" s="181" cm="1">
        <f t="array" ref="E119">IF(OR(HP_rep_day="Peak demand summer day",HP_rep_day="Overall minimum demand day"),
INDEX('HP06'!$J$4:$J$483, MATCH(1,(HP_rep_day='HP06'!$F$4:$F$483)*($D119='HP06'!$I$4:$I$483),0)),
INDEX('HP06'!$J$4:$J$483,MATCH(1,(HP_rep_day='HP06'!$F$4:$F$483)*(E$82='HP06'!$G$4:$G$483)*($D119='HP06'!$I$4:$I$483),0)))</f>
        <v>4.7600000000000003E-2</v>
      </c>
      <c r="F119" s="181">
        <f t="shared" si="7"/>
        <v>4.7600000000000003E-2</v>
      </c>
      <c r="G119" s="181">
        <f t="shared" si="8"/>
        <v>4.7600000000000003E-2</v>
      </c>
      <c r="H119" s="194"/>
      <c r="I119" s="181" cm="1">
        <f t="array" ref="I119">IF(OR(HP_rep_day="Peak demand summer day",HP_rep_day="Overall minimum demand day"),"",INDEX('HP06'!$J$52:$J$483,MATCH(1,(I$84='HP06'!$F$52:$F$483)*(I$83='HP06'!$G$52:$G$483)*($D119='HP06'!$I$52:$I$483),0)))</f>
        <v>5.4699999999999999E-2</v>
      </c>
      <c r="J119" s="181" cm="1">
        <f t="array" ref="J119">IF(OR(HP_rep_day="Peak demand summer day",HP_rep_day="Overall minimum demand day"),"",INDEX('HP06'!$J$52:$J$483,MATCH(1,(J$84='HP06'!$F$52:$F$483)*(J$83='HP06'!$G$52:$G$483)*($D119='HP06'!$I$52:$I$483),0)))</f>
        <v>4.4600000000000001E-2</v>
      </c>
      <c r="K119" s="181" cm="1">
        <f t="array" ref="K119">IF(OR(HP_rep_day="Peak demand summer day",HP_rep_day="Overall minimum demand day"),"",INDEX('HP06'!$J$52:$J$483,MATCH(1,(K$84='HP06'!$F$52:$F$483)*(K$83='HP06'!$G$52:$G$483)*($D119='HP06'!$I$52:$I$483),0)))</f>
        <v>3.6799999999999999E-2</v>
      </c>
      <c r="L119" s="181" t="str" cm="1">
        <f t="array" ref="L119">IF(OR(HP_rep_day="Peak demand summer day",HP_rep_day="Overall minimum demand day"),INDEX('HP06'!$J$52:$J$483,MATCH(1,(L$84='HP06'!$F$52:$F$483)*($D119='HP06'!$I$52:$I$483),0)),"")</f>
        <v/>
      </c>
      <c r="M119" s="194"/>
      <c r="N119" s="194"/>
      <c r="O119" s="194"/>
      <c r="P119" s="194"/>
      <c r="Q119" s="194"/>
      <c r="R119" s="194"/>
    </row>
    <row r="120" spans="2:18">
      <c r="B120" s="194"/>
      <c r="C120" s="194"/>
      <c r="D120" s="180">
        <v>0.72916666666666663</v>
      </c>
      <c r="E120" s="181" cm="1">
        <f t="array" ref="E120">IF(OR(HP_rep_day="Peak demand summer day",HP_rep_day="Overall minimum demand day"),
INDEX('HP06'!$J$4:$J$483, MATCH(1,(HP_rep_day='HP06'!$F$4:$F$483)*($D120='HP06'!$I$4:$I$483),0)),
INDEX('HP06'!$J$4:$J$483,MATCH(1,(HP_rep_day='HP06'!$F$4:$F$483)*(E$82='HP06'!$G$4:$G$483)*($D120='HP06'!$I$4:$I$483),0)))</f>
        <v>4.8099999999999997E-2</v>
      </c>
      <c r="F120" s="181">
        <f t="shared" si="7"/>
        <v>4.8099999999999997E-2</v>
      </c>
      <c r="G120" s="181">
        <f t="shared" si="8"/>
        <v>4.8099999999999997E-2</v>
      </c>
      <c r="H120" s="194"/>
      <c r="I120" s="181" cm="1">
        <f t="array" ref="I120">IF(OR(HP_rep_day="Peak demand summer day",HP_rep_day="Overall minimum demand day"),"",INDEX('HP06'!$J$52:$J$483,MATCH(1,(I$84='HP06'!$F$52:$F$483)*(I$83='HP06'!$G$52:$G$483)*($D120='HP06'!$I$52:$I$483),0)))</f>
        <v>5.67E-2</v>
      </c>
      <c r="J120" s="181" cm="1">
        <f t="array" ref="J120">IF(OR(HP_rep_day="Peak demand summer day",HP_rep_day="Overall minimum demand day"),"",INDEX('HP06'!$J$52:$J$483,MATCH(1,(J$84='HP06'!$F$52:$F$483)*(J$83='HP06'!$G$52:$G$483)*($D120='HP06'!$I$52:$I$483),0)))</f>
        <v>4.3799999999999999E-2</v>
      </c>
      <c r="K120" s="181" cm="1">
        <f t="array" ref="K120">IF(OR(HP_rep_day="Peak demand summer day",HP_rep_day="Overall minimum demand day"),"",INDEX('HP06'!$J$52:$J$483,MATCH(1,(K$84='HP06'!$F$52:$F$483)*(K$83='HP06'!$G$52:$G$483)*($D120='HP06'!$I$52:$I$483),0)))</f>
        <v>3.6999999999999998E-2</v>
      </c>
      <c r="L120" s="181" t="str" cm="1">
        <f t="array" ref="L120">IF(OR(HP_rep_day="Peak demand summer day",HP_rep_day="Overall minimum demand day"),INDEX('HP06'!$J$52:$J$483,MATCH(1,(L$84='HP06'!$F$52:$F$483)*($D120='HP06'!$I$52:$I$483),0)),"")</f>
        <v/>
      </c>
      <c r="M120" s="194"/>
      <c r="N120" s="194"/>
      <c r="O120" s="194"/>
      <c r="P120" s="194"/>
      <c r="Q120" s="194"/>
      <c r="R120" s="194"/>
    </row>
    <row r="121" spans="2:18">
      <c r="B121" s="194"/>
      <c r="C121" s="194"/>
      <c r="D121" s="180">
        <v>0.75</v>
      </c>
      <c r="E121" s="181" cm="1">
        <f t="array" ref="E121">IF(OR(HP_rep_day="Peak demand summer day",HP_rep_day="Overall minimum demand day"),
INDEX('HP06'!$J$4:$J$483, MATCH(1,(HP_rep_day='HP06'!$F$4:$F$483)*($D121='HP06'!$I$4:$I$483),0)),
INDEX('HP06'!$J$4:$J$483,MATCH(1,(HP_rep_day='HP06'!$F$4:$F$483)*(E$82='HP06'!$G$4:$G$483)*($D121='HP06'!$I$4:$I$483),0)))</f>
        <v>4.8000000000000001E-2</v>
      </c>
      <c r="F121" s="181">
        <f t="shared" si="7"/>
        <v>4.8000000000000001E-2</v>
      </c>
      <c r="G121" s="181">
        <f t="shared" si="8"/>
        <v>4.8000000000000001E-2</v>
      </c>
      <c r="H121" s="194"/>
      <c r="I121" s="181" cm="1">
        <f t="array" ref="I121">IF(OR(HP_rep_day="Peak demand summer day",HP_rep_day="Overall minimum demand day"),"",INDEX('HP06'!$J$52:$J$483,MATCH(1,(I$84='HP06'!$F$52:$F$483)*(I$83='HP06'!$G$52:$G$483)*($D121='HP06'!$I$52:$I$483),0)))</f>
        <v>5.7700000000000001E-2</v>
      </c>
      <c r="J121" s="181" cm="1">
        <f t="array" ref="J121">IF(OR(HP_rep_day="Peak demand summer day",HP_rep_day="Overall minimum demand day"),"",INDEX('HP06'!$J$52:$J$483,MATCH(1,(J$84='HP06'!$F$52:$F$483)*(J$83='HP06'!$G$52:$G$483)*($D121='HP06'!$I$52:$I$483),0)))</f>
        <v>4.2700000000000002E-2</v>
      </c>
      <c r="K121" s="181" cm="1">
        <f t="array" ref="K121">IF(OR(HP_rep_day="Peak demand summer day",HP_rep_day="Overall minimum demand day"),"",INDEX('HP06'!$J$52:$J$483,MATCH(1,(K$84='HP06'!$F$52:$F$483)*(K$83='HP06'!$G$52:$G$483)*($D121='HP06'!$I$52:$I$483),0)))</f>
        <v>3.7199999999999997E-2</v>
      </c>
      <c r="L121" s="181" t="str" cm="1">
        <f t="array" ref="L121">IF(OR(HP_rep_day="Peak demand summer day",HP_rep_day="Overall minimum demand day"),INDEX('HP06'!$J$52:$J$483,MATCH(1,(L$84='HP06'!$F$52:$F$483)*($D121='HP06'!$I$52:$I$483),0)),"")</f>
        <v/>
      </c>
      <c r="M121" s="194"/>
      <c r="N121" s="194"/>
      <c r="O121" s="194"/>
      <c r="P121" s="194"/>
      <c r="Q121" s="194"/>
      <c r="R121" s="194"/>
    </row>
    <row r="122" spans="2:18">
      <c r="B122" s="194"/>
      <c r="C122" s="194"/>
      <c r="D122" s="180">
        <v>0.77083333333333337</v>
      </c>
      <c r="E122" s="181" cm="1">
        <f t="array" ref="E122">IF(OR(HP_rep_day="Peak demand summer day",HP_rep_day="Overall minimum demand day"),
INDEX('HP06'!$J$4:$J$483, MATCH(1,(HP_rep_day='HP06'!$F$4:$F$483)*($D122='HP06'!$I$4:$I$483),0)),
INDEX('HP06'!$J$4:$J$483,MATCH(1,(HP_rep_day='HP06'!$F$4:$F$483)*(E$82='HP06'!$G$4:$G$483)*($D122='HP06'!$I$4:$I$483),0)))</f>
        <v>4.8099999999999997E-2</v>
      </c>
      <c r="F122" s="181">
        <f t="shared" si="7"/>
        <v>4.8099999999999997E-2</v>
      </c>
      <c r="G122" s="181">
        <f t="shared" si="8"/>
        <v>4.8099999999999997E-2</v>
      </c>
      <c r="H122" s="194"/>
      <c r="I122" s="181" cm="1">
        <f t="array" ref="I122">IF(OR(HP_rep_day="Peak demand summer day",HP_rep_day="Overall minimum demand day"),"",INDEX('HP06'!$J$52:$J$483,MATCH(1,(I$84='HP06'!$F$52:$F$483)*(I$83='HP06'!$G$52:$G$483)*($D122='HP06'!$I$52:$I$483),0)))</f>
        <v>5.8200000000000002E-2</v>
      </c>
      <c r="J122" s="181" cm="1">
        <f t="array" ref="J122">IF(OR(HP_rep_day="Peak demand summer day",HP_rep_day="Overall minimum demand day"),"",INDEX('HP06'!$J$52:$J$483,MATCH(1,(J$84='HP06'!$F$52:$F$483)*(J$83='HP06'!$G$52:$G$483)*($D122='HP06'!$I$52:$I$483),0)))</f>
        <v>4.2200000000000001E-2</v>
      </c>
      <c r="K122" s="181" cm="1">
        <f t="array" ref="K122">IF(OR(HP_rep_day="Peak demand summer day",HP_rep_day="Overall minimum demand day"),"",INDEX('HP06'!$J$52:$J$483,MATCH(1,(K$84='HP06'!$F$52:$F$483)*(K$83='HP06'!$G$52:$G$483)*($D122='HP06'!$I$52:$I$483),0)))</f>
        <v>3.78E-2</v>
      </c>
      <c r="L122" s="181" t="str" cm="1">
        <f t="array" ref="L122">IF(OR(HP_rep_day="Peak demand summer day",HP_rep_day="Overall minimum demand day"),INDEX('HP06'!$J$52:$J$483,MATCH(1,(L$84='HP06'!$F$52:$F$483)*($D122='HP06'!$I$52:$I$483),0)),"")</f>
        <v/>
      </c>
      <c r="M122" s="194"/>
      <c r="N122" s="194"/>
      <c r="O122" s="194"/>
      <c r="P122" s="194"/>
      <c r="Q122" s="194"/>
      <c r="R122" s="194"/>
    </row>
    <row r="123" spans="2:18">
      <c r="B123" s="194"/>
      <c r="C123" s="194"/>
      <c r="D123" s="180">
        <v>0.79166666666666663</v>
      </c>
      <c r="E123" s="181" cm="1">
        <f t="array" ref="E123">IF(OR(HP_rep_day="Peak demand summer day",HP_rep_day="Overall minimum demand day"),
INDEX('HP06'!$J$4:$J$483, MATCH(1,(HP_rep_day='HP06'!$F$4:$F$483)*($D123='HP06'!$I$4:$I$483),0)),
INDEX('HP06'!$J$4:$J$483,MATCH(1,(HP_rep_day='HP06'!$F$4:$F$483)*(E$82='HP06'!$G$4:$G$483)*($D123='HP06'!$I$4:$I$483),0)))</f>
        <v>4.7800000000000002E-2</v>
      </c>
      <c r="F123" s="181">
        <f t="shared" si="7"/>
        <v>4.7800000000000002E-2</v>
      </c>
      <c r="G123" s="181">
        <f t="shared" si="8"/>
        <v>4.7800000000000002E-2</v>
      </c>
      <c r="H123" s="194"/>
      <c r="I123" s="181" cm="1">
        <f t="array" ref="I123">IF(OR(HP_rep_day="Peak demand summer day",HP_rep_day="Overall minimum demand day"),"",INDEX('HP06'!$J$52:$J$483,MATCH(1,(I$84='HP06'!$F$52:$F$483)*(I$83='HP06'!$G$52:$G$483)*($D123='HP06'!$I$52:$I$483),0)))</f>
        <v>5.7599999999999998E-2</v>
      </c>
      <c r="J123" s="181" cm="1">
        <f t="array" ref="J123">IF(OR(HP_rep_day="Peak demand summer day",HP_rep_day="Overall minimum demand day"),"",INDEX('HP06'!$J$52:$J$483,MATCH(1,(J$84='HP06'!$F$52:$F$483)*(J$83='HP06'!$G$52:$G$483)*($D123='HP06'!$I$52:$I$483),0)))</f>
        <v>4.2099999999999999E-2</v>
      </c>
      <c r="K123" s="181" cm="1">
        <f t="array" ref="K123">IF(OR(HP_rep_day="Peak demand summer day",HP_rep_day="Overall minimum demand day"),"",INDEX('HP06'!$J$52:$J$483,MATCH(1,(K$84='HP06'!$F$52:$F$483)*(K$83='HP06'!$G$52:$G$483)*($D123='HP06'!$I$52:$I$483),0)))</f>
        <v>3.8199999999999998E-2</v>
      </c>
      <c r="L123" s="181" t="str" cm="1">
        <f t="array" ref="L123">IF(OR(HP_rep_day="Peak demand summer day",HP_rep_day="Overall minimum demand day"),INDEX('HP06'!$J$52:$J$483,MATCH(1,(L$84='HP06'!$F$52:$F$483)*($D123='HP06'!$I$52:$I$483),0)),"")</f>
        <v/>
      </c>
      <c r="M123" s="194"/>
      <c r="N123" s="194"/>
      <c r="O123" s="194"/>
      <c r="P123" s="194"/>
      <c r="Q123" s="194"/>
      <c r="R123" s="194"/>
    </row>
    <row r="124" spans="2:18">
      <c r="B124" s="194"/>
      <c r="C124" s="194"/>
      <c r="D124" s="180">
        <v>0.8125</v>
      </c>
      <c r="E124" s="181" cm="1">
        <f t="array" ref="E124">IF(OR(HP_rep_day="Peak demand summer day",HP_rep_day="Overall minimum demand day"),
INDEX('HP06'!$J$4:$J$483, MATCH(1,(HP_rep_day='HP06'!$F$4:$F$483)*($D124='HP06'!$I$4:$I$483),0)),
INDEX('HP06'!$J$4:$J$483,MATCH(1,(HP_rep_day='HP06'!$F$4:$F$483)*(E$82='HP06'!$G$4:$G$483)*($D124='HP06'!$I$4:$I$483),0)))</f>
        <v>4.7199999999999999E-2</v>
      </c>
      <c r="F124" s="181">
        <f t="shared" si="7"/>
        <v>4.7199999999999999E-2</v>
      </c>
      <c r="G124" s="181">
        <f t="shared" si="8"/>
        <v>4.7199999999999999E-2</v>
      </c>
      <c r="H124" s="194"/>
      <c r="I124" s="181" cm="1">
        <f t="array" ref="I124">IF(OR(HP_rep_day="Peak demand summer day",HP_rep_day="Overall minimum demand day"),"",INDEX('HP06'!$J$52:$J$483,MATCH(1,(I$84='HP06'!$F$52:$F$483)*(I$83='HP06'!$G$52:$G$483)*($D124='HP06'!$I$52:$I$483),0)))</f>
        <v>5.6099999999999997E-2</v>
      </c>
      <c r="J124" s="181" cm="1">
        <f t="array" ref="J124">IF(OR(HP_rep_day="Peak demand summer day",HP_rep_day="Overall minimum demand day"),"",INDEX('HP06'!$J$52:$J$483,MATCH(1,(J$84='HP06'!$F$52:$F$483)*(J$83='HP06'!$G$52:$G$483)*($D124='HP06'!$I$52:$I$483),0)))</f>
        <v>4.1799999999999997E-2</v>
      </c>
      <c r="K124" s="181" cm="1">
        <f t="array" ref="K124">IF(OR(HP_rep_day="Peak demand summer day",HP_rep_day="Overall minimum demand day"),"",INDEX('HP06'!$J$52:$J$483,MATCH(1,(K$84='HP06'!$F$52:$F$483)*(K$83='HP06'!$G$52:$G$483)*($D124='HP06'!$I$52:$I$483),0)))</f>
        <v>3.8899999999999997E-2</v>
      </c>
      <c r="L124" s="181" t="str" cm="1">
        <f t="array" ref="L124">IF(OR(HP_rep_day="Peak demand summer day",HP_rep_day="Overall minimum demand day"),INDEX('HP06'!$J$52:$J$483,MATCH(1,(L$84='HP06'!$F$52:$F$483)*($D124='HP06'!$I$52:$I$483),0)),"")</f>
        <v/>
      </c>
      <c r="M124" s="194"/>
      <c r="N124" s="194"/>
      <c r="O124" s="194"/>
      <c r="P124" s="194"/>
      <c r="Q124" s="194"/>
      <c r="R124" s="194"/>
    </row>
    <row r="125" spans="2:18">
      <c r="B125" s="194"/>
      <c r="C125" s="194"/>
      <c r="D125" s="180">
        <v>0.83333333333333337</v>
      </c>
      <c r="E125" s="181" cm="1">
        <f t="array" ref="E125">IF(OR(HP_rep_day="Peak demand summer day",HP_rep_day="Overall minimum demand day"),
INDEX('HP06'!$J$4:$J$483, MATCH(1,(HP_rep_day='HP06'!$F$4:$F$483)*($D125='HP06'!$I$4:$I$483),0)),
INDEX('HP06'!$J$4:$J$483,MATCH(1,(HP_rep_day='HP06'!$F$4:$F$483)*(E$82='HP06'!$G$4:$G$483)*($D125='HP06'!$I$4:$I$483),0)))</f>
        <v>4.58E-2</v>
      </c>
      <c r="F125" s="181">
        <f t="shared" si="7"/>
        <v>4.58E-2</v>
      </c>
      <c r="G125" s="181">
        <f t="shared" si="8"/>
        <v>4.58E-2</v>
      </c>
      <c r="H125" s="194"/>
      <c r="I125" s="181" cm="1">
        <f t="array" ref="I125">IF(OR(HP_rep_day="Peak demand summer day",HP_rep_day="Overall minimum demand day"),"",INDEX('HP06'!$J$52:$J$483,MATCH(1,(I$84='HP06'!$F$52:$F$483)*(I$83='HP06'!$G$52:$G$483)*($D125='HP06'!$I$52:$I$483),0)))</f>
        <v>5.3999999999999999E-2</v>
      </c>
      <c r="J125" s="181" cm="1">
        <f t="array" ref="J125">IF(OR(HP_rep_day="Peak demand summer day",HP_rep_day="Overall minimum demand day"),"",INDEX('HP06'!$J$52:$J$483,MATCH(1,(J$84='HP06'!$F$52:$F$483)*(J$83='HP06'!$G$52:$G$483)*($D125='HP06'!$I$52:$I$483),0)))</f>
        <v>4.0500000000000001E-2</v>
      </c>
      <c r="K125" s="181" cm="1">
        <f t="array" ref="K125">IF(OR(HP_rep_day="Peak demand summer day",HP_rep_day="Overall minimum demand day"),"",INDEX('HP06'!$J$52:$J$483,MATCH(1,(K$84='HP06'!$F$52:$F$483)*(K$83='HP06'!$G$52:$G$483)*($D125='HP06'!$I$52:$I$483),0)))</f>
        <v>3.9199999999999999E-2</v>
      </c>
      <c r="L125" s="181" t="str" cm="1">
        <f t="array" ref="L125">IF(OR(HP_rep_day="Peak demand summer day",HP_rep_day="Overall minimum demand day"),INDEX('HP06'!$J$52:$J$483,MATCH(1,(L$84='HP06'!$F$52:$F$483)*($D125='HP06'!$I$52:$I$483),0)),"")</f>
        <v/>
      </c>
      <c r="M125" s="194"/>
      <c r="N125" s="194"/>
      <c r="O125" s="194"/>
      <c r="P125" s="194"/>
      <c r="Q125" s="194"/>
      <c r="R125" s="194"/>
    </row>
    <row r="126" spans="2:18">
      <c r="B126" s="194"/>
      <c r="C126" s="194"/>
      <c r="D126" s="180">
        <v>0.85416666666666663</v>
      </c>
      <c r="E126" s="181" cm="1">
        <f t="array" ref="E126">IF(OR(HP_rep_day="Peak demand summer day",HP_rep_day="Overall minimum demand day"),
INDEX('HP06'!$J$4:$J$483, MATCH(1,(HP_rep_day='HP06'!$F$4:$F$483)*($D126='HP06'!$I$4:$I$483),0)),
INDEX('HP06'!$J$4:$J$483,MATCH(1,(HP_rep_day='HP06'!$F$4:$F$483)*(E$82='HP06'!$G$4:$G$483)*($D126='HP06'!$I$4:$I$483),0)))</f>
        <v>4.3499999999999997E-2</v>
      </c>
      <c r="F126" s="181">
        <f t="shared" si="7"/>
        <v>4.3499999999999997E-2</v>
      </c>
      <c r="G126" s="181">
        <f t="shared" si="8"/>
        <v>4.3499999999999997E-2</v>
      </c>
      <c r="H126" s="194"/>
      <c r="I126" s="181" cm="1">
        <f t="array" ref="I126">IF(OR(HP_rep_day="Peak demand summer day",HP_rep_day="Overall minimum demand day"),"",INDEX('HP06'!$J$52:$J$483,MATCH(1,(I$84='HP06'!$F$52:$F$483)*(I$83='HP06'!$G$52:$G$483)*($D126='HP06'!$I$52:$I$483),0)))</f>
        <v>5.0599999999999999E-2</v>
      </c>
      <c r="J126" s="181" cm="1">
        <f t="array" ref="J126">IF(OR(HP_rep_day="Peak demand summer day",HP_rep_day="Overall minimum demand day"),"",INDEX('HP06'!$J$52:$J$483,MATCH(1,(J$84='HP06'!$F$52:$F$483)*(J$83='HP06'!$G$52:$G$483)*($D126='HP06'!$I$52:$I$483),0)))</f>
        <v>3.8399999999999997E-2</v>
      </c>
      <c r="K126" s="181" cm="1">
        <f t="array" ref="K126">IF(OR(HP_rep_day="Peak demand summer day",HP_rep_day="Overall minimum demand day"),"",INDEX('HP06'!$J$52:$J$483,MATCH(1,(K$84='HP06'!$F$52:$F$483)*(K$83='HP06'!$G$52:$G$483)*($D126='HP06'!$I$52:$I$483),0)))</f>
        <v>3.9600000000000003E-2</v>
      </c>
      <c r="L126" s="181" t="str" cm="1">
        <f t="array" ref="L126">IF(OR(HP_rep_day="Peak demand summer day",HP_rep_day="Overall minimum demand day"),INDEX('HP06'!$J$52:$J$483,MATCH(1,(L$84='HP06'!$F$52:$F$483)*($D126='HP06'!$I$52:$I$483),0)),"")</f>
        <v/>
      </c>
      <c r="M126" s="194"/>
      <c r="N126" s="194"/>
      <c r="O126" s="194"/>
      <c r="P126" s="194"/>
      <c r="Q126" s="194"/>
      <c r="R126" s="194"/>
    </row>
    <row r="127" spans="2:18">
      <c r="B127" s="194"/>
      <c r="C127" s="194"/>
      <c r="D127" s="180">
        <v>0.875</v>
      </c>
      <c r="E127" s="181" cm="1">
        <f t="array" ref="E127">IF(OR(HP_rep_day="Peak demand summer day",HP_rep_day="Overall minimum demand day"),
INDEX('HP06'!$J$4:$J$483, MATCH(1,(HP_rep_day='HP06'!$F$4:$F$483)*($D127='HP06'!$I$4:$I$483),0)),
INDEX('HP06'!$J$4:$J$483,MATCH(1,(HP_rep_day='HP06'!$F$4:$F$483)*(E$82='HP06'!$G$4:$G$483)*($D127='HP06'!$I$4:$I$483),0)))</f>
        <v>4.0500000000000001E-2</v>
      </c>
      <c r="F127" s="181">
        <f t="shared" si="7"/>
        <v>4.0500000000000001E-2</v>
      </c>
      <c r="G127" s="181">
        <f t="shared" si="8"/>
        <v>4.0500000000000001E-2</v>
      </c>
      <c r="H127" s="194"/>
      <c r="I127" s="181" cm="1">
        <f t="array" ref="I127">IF(OR(HP_rep_day="Peak demand summer day",HP_rep_day="Overall minimum demand day"),"",INDEX('HP06'!$J$52:$J$483,MATCH(1,(I$84='HP06'!$F$52:$F$483)*(I$83='HP06'!$G$52:$G$483)*($D127='HP06'!$I$52:$I$483),0)))</f>
        <v>4.6800000000000001E-2</v>
      </c>
      <c r="J127" s="181" cm="1">
        <f t="array" ref="J127">IF(OR(HP_rep_day="Peak demand summer day",HP_rep_day="Overall minimum demand day"),"",INDEX('HP06'!$J$52:$J$483,MATCH(1,(J$84='HP06'!$F$52:$F$483)*(J$83='HP06'!$G$52:$G$483)*($D127='HP06'!$I$52:$I$483),0)))</f>
        <v>3.5200000000000002E-2</v>
      </c>
      <c r="K127" s="181" cm="1">
        <f t="array" ref="K127">IF(OR(HP_rep_day="Peak demand summer day",HP_rep_day="Overall minimum demand day"),"",INDEX('HP06'!$J$52:$J$483,MATCH(1,(K$84='HP06'!$F$52:$F$483)*(K$83='HP06'!$G$52:$G$483)*($D127='HP06'!$I$52:$I$483),0)))</f>
        <v>3.9699999999999999E-2</v>
      </c>
      <c r="L127" s="181" t="str" cm="1">
        <f t="array" ref="L127">IF(OR(HP_rep_day="Peak demand summer day",HP_rep_day="Overall minimum demand day"),INDEX('HP06'!$J$52:$J$483,MATCH(1,(L$84='HP06'!$F$52:$F$483)*($D127='HP06'!$I$52:$I$483),0)),"")</f>
        <v/>
      </c>
      <c r="M127" s="194"/>
      <c r="N127" s="194"/>
      <c r="O127" s="194"/>
      <c r="P127" s="194"/>
      <c r="Q127" s="194"/>
      <c r="R127" s="194"/>
    </row>
    <row r="128" spans="2:18">
      <c r="B128" s="194"/>
      <c r="C128" s="194"/>
      <c r="D128" s="180">
        <v>0.89583333333333337</v>
      </c>
      <c r="E128" s="181" cm="1">
        <f t="array" ref="E128">IF(OR(HP_rep_day="Peak demand summer day",HP_rep_day="Overall minimum demand day"),
INDEX('HP06'!$J$4:$J$483, MATCH(1,(HP_rep_day='HP06'!$F$4:$F$483)*($D128='HP06'!$I$4:$I$483),0)),
INDEX('HP06'!$J$4:$J$483,MATCH(1,(HP_rep_day='HP06'!$F$4:$F$483)*(E$82='HP06'!$G$4:$G$483)*($D128='HP06'!$I$4:$I$483),0)))</f>
        <v>3.5999999999999997E-2</v>
      </c>
      <c r="F128" s="181">
        <f t="shared" si="7"/>
        <v>3.5999999999999997E-2</v>
      </c>
      <c r="G128" s="181">
        <f t="shared" si="8"/>
        <v>3.5999999999999997E-2</v>
      </c>
      <c r="H128" s="194"/>
      <c r="I128" s="181" cm="1">
        <f t="array" ref="I128">IF(OR(HP_rep_day="Peak demand summer day",HP_rep_day="Overall minimum demand day"),"",INDEX('HP06'!$J$52:$J$483,MATCH(1,(I$84='HP06'!$F$52:$F$483)*(I$83='HP06'!$G$52:$G$483)*($D128='HP06'!$I$52:$I$483),0)))</f>
        <v>4.1399999999999999E-2</v>
      </c>
      <c r="J128" s="181" cm="1">
        <f t="array" ref="J128">IF(OR(HP_rep_day="Peak demand summer day",HP_rep_day="Overall minimum demand day"),"",INDEX('HP06'!$J$52:$J$483,MATCH(1,(J$84='HP06'!$F$52:$F$483)*(J$83='HP06'!$G$52:$G$483)*($D128='HP06'!$I$52:$I$483),0)))</f>
        <v>0.03</v>
      </c>
      <c r="K128" s="181" cm="1">
        <f t="array" ref="K128">IF(OR(HP_rep_day="Peak demand summer day",HP_rep_day="Overall minimum demand day"),"",INDEX('HP06'!$J$52:$J$483,MATCH(1,(K$84='HP06'!$F$52:$F$483)*(K$83='HP06'!$G$52:$G$483)*($D128='HP06'!$I$52:$I$483),0)))</f>
        <v>0.04</v>
      </c>
      <c r="L128" s="181" t="str" cm="1">
        <f t="array" ref="L128">IF(OR(HP_rep_day="Peak demand summer day",HP_rep_day="Overall minimum demand day"),INDEX('HP06'!$J$52:$J$483,MATCH(1,(L$84='HP06'!$F$52:$F$483)*($D128='HP06'!$I$52:$I$483),0)),"")</f>
        <v/>
      </c>
      <c r="M128" s="194"/>
      <c r="N128" s="194"/>
      <c r="O128" s="194"/>
      <c r="P128" s="194"/>
      <c r="Q128" s="194"/>
      <c r="R128" s="194"/>
    </row>
    <row r="129" spans="2:21">
      <c r="B129" s="194"/>
      <c r="C129" s="194"/>
      <c r="D129" s="180">
        <v>0.91666666666666663</v>
      </c>
      <c r="E129" s="181" cm="1">
        <f t="array" ref="E129">IF(OR(HP_rep_day="Peak demand summer day",HP_rep_day="Overall minimum demand day"),
INDEX('HP06'!$J$4:$J$483, MATCH(1,(HP_rep_day='HP06'!$F$4:$F$483)*($D129='HP06'!$I$4:$I$483),0)),
INDEX('HP06'!$J$4:$J$483,MATCH(1,(HP_rep_day='HP06'!$F$4:$F$483)*(E$82='HP06'!$G$4:$G$483)*($D129='HP06'!$I$4:$I$483),0)))</f>
        <v>3.1699999999999999E-2</v>
      </c>
      <c r="F129" s="181">
        <f t="shared" si="7"/>
        <v>3.1699999999999999E-2</v>
      </c>
      <c r="G129" s="181">
        <f t="shared" si="8"/>
        <v>3.1699999999999999E-2</v>
      </c>
      <c r="H129" s="194"/>
      <c r="I129" s="181" cm="1">
        <f t="array" ref="I129">IF(OR(HP_rep_day="Peak demand summer day",HP_rep_day="Overall minimum demand day"),"",INDEX('HP06'!$J$52:$J$483,MATCH(1,(I$84='HP06'!$F$52:$F$483)*(I$83='HP06'!$G$52:$G$483)*($D129='HP06'!$I$52:$I$483),0)))</f>
        <v>3.7199999999999997E-2</v>
      </c>
      <c r="J129" s="181" cm="1">
        <f t="array" ref="J129">IF(OR(HP_rep_day="Peak demand summer day",HP_rep_day="Overall minimum demand day"),"",INDEX('HP06'!$J$52:$J$483,MATCH(1,(J$84='HP06'!$F$52:$F$483)*(J$83='HP06'!$G$52:$G$483)*($D129='HP06'!$I$52:$I$483),0)))</f>
        <v>2.4400000000000002E-2</v>
      </c>
      <c r="K129" s="181" cm="1">
        <f t="array" ref="K129">IF(OR(HP_rep_day="Peak demand summer day",HP_rep_day="Overall minimum demand day"),"",INDEX('HP06'!$J$52:$J$483,MATCH(1,(K$84='HP06'!$F$52:$F$483)*(K$83='HP06'!$G$52:$G$483)*($D129='HP06'!$I$52:$I$483),0)))</f>
        <v>4.0099999999999997E-2</v>
      </c>
      <c r="L129" s="181" t="str" cm="1">
        <f t="array" ref="L129">IF(OR(HP_rep_day="Peak demand summer day",HP_rep_day="Overall minimum demand day"),INDEX('HP06'!$J$52:$J$483,MATCH(1,(L$84='HP06'!$F$52:$F$483)*($D129='HP06'!$I$52:$I$483),0)),"")</f>
        <v/>
      </c>
      <c r="M129" s="194"/>
      <c r="N129" s="194"/>
      <c r="O129" s="194"/>
      <c r="P129" s="194"/>
      <c r="Q129" s="194"/>
      <c r="R129" s="194"/>
    </row>
    <row r="130" spans="2:21">
      <c r="B130" s="194"/>
      <c r="C130" s="194"/>
      <c r="D130" s="180">
        <v>0.9375</v>
      </c>
      <c r="E130" s="181" cm="1">
        <f t="array" ref="E130">IF(OR(HP_rep_day="Peak demand summer day",HP_rep_day="Overall minimum demand day"),
INDEX('HP06'!$J$4:$J$483, MATCH(1,(HP_rep_day='HP06'!$F$4:$F$483)*($D130='HP06'!$I$4:$I$483),0)),
INDEX('HP06'!$J$4:$J$483,MATCH(1,(HP_rep_day='HP06'!$F$4:$F$483)*(E$82='HP06'!$G$4:$G$483)*($D130='HP06'!$I$4:$I$483),0)))</f>
        <v>2.81E-2</v>
      </c>
      <c r="F130" s="181">
        <f t="shared" si="7"/>
        <v>2.81E-2</v>
      </c>
      <c r="G130" s="181">
        <f t="shared" si="8"/>
        <v>2.81E-2</v>
      </c>
      <c r="H130" s="194"/>
      <c r="I130" s="181" cm="1">
        <f t="array" ref="I130">IF(OR(HP_rep_day="Peak demand summer day",HP_rep_day="Overall minimum demand day"),"",INDEX('HP06'!$J$52:$J$483,MATCH(1,(I$84='HP06'!$F$52:$F$483)*(I$83='HP06'!$G$52:$G$483)*($D130='HP06'!$I$52:$I$483),0)))</f>
        <v>3.3300000000000003E-2</v>
      </c>
      <c r="J130" s="181" cm="1">
        <f t="array" ref="J130">IF(OR(HP_rep_day="Peak demand summer day",HP_rep_day="Overall minimum demand day"),"",INDEX('HP06'!$J$52:$J$483,MATCH(1,(J$84='HP06'!$F$52:$F$483)*(J$83='HP06'!$G$52:$G$483)*($D130='HP06'!$I$52:$I$483),0)))</f>
        <v>1.9800000000000002E-2</v>
      </c>
      <c r="K130" s="181" cm="1">
        <f t="array" ref="K130">IF(OR(HP_rep_day="Peak demand summer day",HP_rep_day="Overall minimum demand day"),"",INDEX('HP06'!$J$52:$J$483,MATCH(1,(K$84='HP06'!$F$52:$F$483)*(K$83='HP06'!$G$52:$G$483)*($D130='HP06'!$I$52:$I$483),0)))</f>
        <v>4.0300000000000002E-2</v>
      </c>
      <c r="L130" s="181" t="str" cm="1">
        <f t="array" ref="L130">IF(OR(HP_rep_day="Peak demand summer day",HP_rep_day="Overall minimum demand day"),INDEX('HP06'!$J$52:$J$483,MATCH(1,(L$84='HP06'!$F$52:$F$483)*($D130='HP06'!$I$52:$I$483),0)),"")</f>
        <v/>
      </c>
      <c r="M130" s="194"/>
      <c r="N130" s="194"/>
      <c r="O130" s="194"/>
      <c r="P130" s="194"/>
      <c r="Q130" s="194"/>
      <c r="R130" s="194"/>
    </row>
    <row r="131" spans="2:21">
      <c r="B131" s="194"/>
      <c r="C131" s="194"/>
      <c r="D131" s="180">
        <v>0.95833333333333337</v>
      </c>
      <c r="E131" s="181" cm="1">
        <f t="array" ref="E131">IF(OR(HP_rep_day="Peak demand summer day",HP_rep_day="Overall minimum demand day"),
INDEX('HP06'!$J$4:$J$483, MATCH(1,(HP_rep_day='HP06'!$F$4:$F$483)*($D131='HP06'!$I$4:$I$483),0)),
INDEX('HP06'!$J$4:$J$483,MATCH(1,(HP_rep_day='HP06'!$F$4:$F$483)*(E$82='HP06'!$G$4:$G$483)*($D131='HP06'!$I$4:$I$483),0)))</f>
        <v>2.6599999999999999E-2</v>
      </c>
      <c r="F131" s="181">
        <f t="shared" si="7"/>
        <v>2.6599999999999999E-2</v>
      </c>
      <c r="G131" s="181">
        <f t="shared" si="8"/>
        <v>2.6599999999999999E-2</v>
      </c>
      <c r="H131" s="194"/>
      <c r="I131" s="181" cm="1">
        <f t="array" ref="I131">IF(OR(HP_rep_day="Peak demand summer day",HP_rep_day="Overall minimum demand day"),"",INDEX('HP06'!$J$52:$J$483,MATCH(1,(I$84='HP06'!$F$52:$F$483)*(I$83='HP06'!$G$52:$G$483)*($D131='HP06'!$I$52:$I$483),0)))</f>
        <v>3.15E-2</v>
      </c>
      <c r="J131" s="181" cm="1">
        <f t="array" ref="J131">IF(OR(HP_rep_day="Peak demand summer day",HP_rep_day="Overall minimum demand day"),"",INDEX('HP06'!$J$52:$J$483,MATCH(1,(J$84='HP06'!$F$52:$F$483)*(J$83='HP06'!$G$52:$G$483)*($D131='HP06'!$I$52:$I$483),0)))</f>
        <v>1.8100000000000002E-2</v>
      </c>
      <c r="K131" s="181" cm="1">
        <f t="array" ref="K131">IF(OR(HP_rep_day="Peak demand summer day",HP_rep_day="Overall minimum demand day"),"",INDEX('HP06'!$J$52:$J$483,MATCH(1,(K$84='HP06'!$F$52:$F$483)*(K$83='HP06'!$G$52:$G$483)*($D131='HP06'!$I$52:$I$483),0)))</f>
        <v>4.1000000000000002E-2</v>
      </c>
      <c r="L131" s="181" t="str" cm="1">
        <f t="array" ref="L131">IF(OR(HP_rep_day="Peak demand summer day",HP_rep_day="Overall minimum demand day"),INDEX('HP06'!$J$52:$J$483,MATCH(1,(L$84='HP06'!$F$52:$F$483)*($D131='HP06'!$I$52:$I$483),0)),"")</f>
        <v/>
      </c>
      <c r="M131" s="194"/>
      <c r="N131" s="194"/>
      <c r="O131" s="194"/>
      <c r="P131" s="194"/>
      <c r="Q131" s="194"/>
      <c r="R131" s="194"/>
    </row>
    <row r="132" spans="2:21">
      <c r="B132" s="194"/>
      <c r="C132" s="194"/>
      <c r="D132" s="180">
        <v>0.97916666666666663</v>
      </c>
      <c r="E132" s="181" cm="1">
        <f t="array" ref="E132">IF(OR(HP_rep_day="Peak demand summer day",HP_rep_day="Overall minimum demand day"),
INDEX('HP06'!$J$4:$J$483, MATCH(1,(HP_rep_day='HP06'!$F$4:$F$483)*($D132='HP06'!$I$4:$I$483),0)),
INDEX('HP06'!$J$4:$J$483,MATCH(1,(HP_rep_day='HP06'!$F$4:$F$483)*(E$82='HP06'!$G$4:$G$483)*($D132='HP06'!$I$4:$I$483),0)))</f>
        <v>2.6100000000000002E-2</v>
      </c>
      <c r="F132" s="181">
        <f t="shared" si="7"/>
        <v>2.6100000000000002E-2</v>
      </c>
      <c r="G132" s="181">
        <f t="shared" si="8"/>
        <v>2.6100000000000002E-2</v>
      </c>
      <c r="H132" s="194"/>
      <c r="I132" s="181" cm="1">
        <f t="array" ref="I132">IF(OR(HP_rep_day="Peak demand summer day",HP_rep_day="Overall minimum demand day"),"",INDEX('HP06'!$J$52:$J$483,MATCH(1,(I$84='HP06'!$F$52:$F$483)*(I$83='HP06'!$G$52:$G$483)*($D132='HP06'!$I$52:$I$483),0)))</f>
        <v>3.0700000000000002E-2</v>
      </c>
      <c r="J132" s="181" cm="1">
        <f t="array" ref="J132">IF(OR(HP_rep_day="Peak demand summer day",HP_rep_day="Overall minimum demand day"),"",INDEX('HP06'!$J$52:$J$483,MATCH(1,(J$84='HP06'!$F$52:$F$483)*(J$83='HP06'!$G$52:$G$483)*($D132='HP06'!$I$52:$I$483),0)))</f>
        <v>1.7600000000000001E-2</v>
      </c>
      <c r="K132" s="181" cm="1">
        <f t="array" ref="K132">IF(OR(HP_rep_day="Peak demand summer day",HP_rep_day="Overall minimum demand day"),"",INDEX('HP06'!$J$52:$J$483,MATCH(1,(K$84='HP06'!$F$52:$F$483)*(K$83='HP06'!$G$52:$G$483)*($D132='HP06'!$I$52:$I$483),0)))</f>
        <v>4.1300000000000003E-2</v>
      </c>
      <c r="L132" s="181" t="str" cm="1">
        <f t="array" ref="L132">IF(OR(HP_rep_day="Peak demand summer day",HP_rep_day="Overall minimum demand day"),INDEX('HP06'!$J$52:$J$483,MATCH(1,(L$84='HP06'!$F$52:$F$483)*($D132='HP06'!$I$52:$I$483),0)),"")</f>
        <v/>
      </c>
      <c r="M132" s="194"/>
      <c r="N132" s="194"/>
      <c r="O132" s="194"/>
      <c r="P132" s="194"/>
      <c r="Q132" s="194"/>
      <c r="R132" s="194"/>
    </row>
    <row r="133" spans="2:21">
      <c r="B133" s="194"/>
      <c r="C133" s="194"/>
      <c r="D133" s="194"/>
      <c r="E133" s="194"/>
      <c r="F133" s="194"/>
      <c r="G133" s="194"/>
      <c r="H133" s="194"/>
      <c r="I133" s="194"/>
      <c r="J133" s="194"/>
      <c r="K133" s="194"/>
      <c r="L133" s="194"/>
      <c r="M133" s="194"/>
      <c r="N133" s="194"/>
      <c r="O133" s="194"/>
      <c r="P133" s="194"/>
      <c r="Q133" s="194"/>
      <c r="R133" s="194"/>
    </row>
    <row r="135" spans="2:21" ht="34.9">
      <c r="B135" s="194"/>
      <c r="C135" s="197" t="s">
        <v>596</v>
      </c>
      <c r="D135" s="194"/>
      <c r="E135" s="194"/>
      <c r="F135" s="194"/>
      <c r="G135" s="194"/>
      <c r="H135" s="194"/>
      <c r="I135" s="194"/>
      <c r="J135" s="194"/>
      <c r="K135" s="194"/>
      <c r="L135" s="194"/>
      <c r="M135" s="194"/>
      <c r="N135" s="194"/>
      <c r="O135" s="194"/>
      <c r="P135" s="194"/>
      <c r="Q135" s="194"/>
      <c r="R135" s="194"/>
      <c r="S135" s="194"/>
      <c r="T135" s="194"/>
      <c r="U135" s="194"/>
    </row>
    <row r="136" spans="2:21">
      <c r="B136" s="194"/>
      <c r="C136" s="194"/>
      <c r="D136" s="194"/>
      <c r="E136" s="194"/>
      <c r="F136" s="194"/>
      <c r="G136" s="194"/>
      <c r="H136" s="194"/>
      <c r="I136" s="194"/>
      <c r="J136" s="194"/>
      <c r="K136" s="194"/>
      <c r="L136" s="194"/>
      <c r="M136" s="194"/>
      <c r="N136" s="194"/>
      <c r="O136" s="194"/>
      <c r="P136" s="194"/>
      <c r="Q136" s="194"/>
      <c r="R136" s="194"/>
      <c r="S136" s="194"/>
      <c r="T136" s="194"/>
      <c r="U136" s="194"/>
    </row>
    <row r="137" spans="2:21">
      <c r="B137" s="194"/>
      <c r="C137" s="194"/>
      <c r="D137" s="194"/>
      <c r="E137" s="168" t="s">
        <v>497</v>
      </c>
      <c r="F137" s="168" t="s">
        <v>809</v>
      </c>
      <c r="G137" s="168" t="s">
        <v>810</v>
      </c>
      <c r="H137" s="168" t="s">
        <v>811</v>
      </c>
      <c r="I137" s="168" t="s">
        <v>340</v>
      </c>
      <c r="J137" s="168" t="s">
        <v>587</v>
      </c>
      <c r="K137" s="168" t="s">
        <v>588</v>
      </c>
      <c r="L137" s="168" t="s">
        <v>589</v>
      </c>
      <c r="M137" s="194"/>
      <c r="N137" s="194"/>
      <c r="O137" s="194"/>
      <c r="P137" s="194"/>
      <c r="Q137" s="194"/>
      <c r="R137" s="194"/>
      <c r="S137" s="194"/>
      <c r="T137" s="194"/>
      <c r="U137" s="194"/>
    </row>
    <row r="138" spans="2:21" ht="24">
      <c r="B138" s="194"/>
      <c r="C138" s="251" t="s">
        <v>598</v>
      </c>
      <c r="D138" s="194"/>
      <c r="E138" s="176" t="s">
        <v>599</v>
      </c>
      <c r="F138" s="116" t="s">
        <v>231</v>
      </c>
      <c r="G138" s="116" t="s">
        <v>250</v>
      </c>
      <c r="H138" s="116" t="s">
        <v>501</v>
      </c>
      <c r="I138" s="176" t="s">
        <v>601</v>
      </c>
      <c r="J138" s="183" t="str">
        <f>IF(SUM(HP_number_BB5,HP_number_BB6)&gt;HP09_Default,"N","Y")</f>
        <v>N</v>
      </c>
      <c r="K138" s="183" t="str">
        <f>IF(SUM(HP_number_BB5,HP_number_BB6)&gt;HP09_lower,"N","Y")</f>
        <v>N</v>
      </c>
      <c r="L138" s="183" t="str">
        <f>IF(SUM(HP_number_BB5,HP_number_BB6)&gt;HP09_upper,"N","Y")</f>
        <v>N</v>
      </c>
      <c r="M138" s="194"/>
      <c r="N138" s="194"/>
      <c r="O138" s="194"/>
      <c r="P138" s="194"/>
      <c r="Q138" s="194"/>
      <c r="R138" s="194"/>
      <c r="S138" s="194"/>
      <c r="T138" s="194"/>
      <c r="U138" s="194"/>
    </row>
    <row r="139" spans="2:21" ht="24">
      <c r="B139" s="194"/>
      <c r="C139" s="251" t="s">
        <v>816</v>
      </c>
      <c r="D139" s="194"/>
      <c r="E139" s="176" t="s">
        <v>817</v>
      </c>
      <c r="F139" s="116" t="s">
        <v>231</v>
      </c>
      <c r="G139" s="116" t="s">
        <v>250</v>
      </c>
      <c r="H139" s="176" t="s">
        <v>501</v>
      </c>
      <c r="I139" s="176" t="s">
        <v>656</v>
      </c>
      <c r="J139" s="232">
        <f>SUM(HP_number_BB5,HP_number_BB6)*(SUMPRODUCT(HP_DC_proportions_existing,HP01_existing_Default)*HP02_existing_Default+(SUMPRODUCT(HP_DC_proportions_new,HP01_new_Default)*HP02_new_Default))</f>
        <v>3924.3288750000002</v>
      </c>
      <c r="K139" s="232">
        <f>SUM(HP_number_BB5,HP_number_BB6)*(SUMPRODUCT(HP_DC_proportions_existing,HP01_existing_lower)*HP02_existing_lower+(SUMPRODUCT(HP_DC_proportions_new,HP01_new_lower)*HP02_new_lower))</f>
        <v>3924.3288750000002</v>
      </c>
      <c r="L139" s="232">
        <f>SUM(HP_number_BB5,HP_number_BB6)*(SUMPRODUCT(HP_DC_proportions_existing,HP01_existing_upper)*HP02_existing_upper+(SUMPRODUCT(HP_DC_proportions_new,HP01_new_upper)*HP02_new_upper))</f>
        <v>3924.3288750000002</v>
      </c>
      <c r="M139" s="194"/>
      <c r="N139" s="194"/>
      <c r="O139" s="194"/>
      <c r="P139" s="194"/>
      <c r="Q139" s="194"/>
      <c r="R139" s="194"/>
      <c r="S139" s="194"/>
      <c r="T139" s="194"/>
      <c r="U139" s="194"/>
    </row>
    <row r="140" spans="2:21" ht="24">
      <c r="B140" s="194"/>
      <c r="C140" s="251" t="s">
        <v>818</v>
      </c>
      <c r="D140" s="194"/>
      <c r="E140" s="176" t="s">
        <v>758</v>
      </c>
      <c r="F140" s="116" t="s">
        <v>231</v>
      </c>
      <c r="G140" s="116" t="s">
        <v>250</v>
      </c>
      <c r="H140" s="176" t="s">
        <v>501</v>
      </c>
      <c r="I140" s="176" t="s">
        <v>819</v>
      </c>
      <c r="J140" s="232">
        <f>IF(OR(HP_rep_day="Peak demand summer day",HP_rep_day="Overall minimum demand day"),J139*HP04_Default/HP03_Default,J139*HP04_Default*HP05_Default/HP03_Default)</f>
        <v>11895.917409036145</v>
      </c>
      <c r="K140" s="232">
        <f>IF(OR(HP_rep_day="Peak demand summer day",HP_rep_day="Overall minimum demand day"),K139*HP04_lower/HP03_lower,K139*HP04_lower*HP05_lower/HP03_lower)</f>
        <v>11038.553992168676</v>
      </c>
      <c r="L140" s="232">
        <f>IF(OR(HP_rep_day="Peak demand summer day",HP_rep_day="Overall minimum demand day"),L139*HP04_upper/HP03_upper,L139*HP04_upper*HP05_upper/HP03_upper)</f>
        <v>13181.962534337352</v>
      </c>
      <c r="M140" s="194"/>
      <c r="N140" s="194"/>
      <c r="O140" s="194"/>
      <c r="P140" s="194"/>
      <c r="Q140" s="194"/>
      <c r="R140" s="194"/>
      <c r="S140" s="194"/>
      <c r="T140" s="194"/>
      <c r="U140" s="194"/>
    </row>
    <row r="141" spans="2:21">
      <c r="B141" s="194"/>
      <c r="C141" s="194"/>
      <c r="D141" s="194"/>
      <c r="E141" s="194"/>
      <c r="F141" s="194"/>
      <c r="G141" s="194"/>
      <c r="H141" s="194"/>
      <c r="I141" s="194"/>
      <c r="J141" s="194"/>
      <c r="K141" s="233"/>
      <c r="L141" s="233"/>
      <c r="M141" s="194"/>
      <c r="N141" s="194"/>
      <c r="O141" s="194"/>
      <c r="P141" s="194"/>
      <c r="Q141" s="194"/>
      <c r="R141" s="194"/>
      <c r="S141" s="194"/>
      <c r="T141" s="194"/>
      <c r="U141" s="194"/>
    </row>
    <row r="142" spans="2:21">
      <c r="B142" s="194"/>
      <c r="C142" s="194"/>
      <c r="D142" s="194"/>
      <c r="E142" s="194"/>
      <c r="F142" s="194"/>
      <c r="G142" s="194"/>
      <c r="H142" s="194"/>
      <c r="I142" s="194"/>
      <c r="J142" s="194"/>
      <c r="K142" s="233"/>
      <c r="L142" s="233"/>
      <c r="M142" s="194"/>
      <c r="N142" s="194"/>
      <c r="O142" s="194"/>
      <c r="P142" s="194"/>
      <c r="Q142" s="194"/>
      <c r="R142" s="194"/>
      <c r="S142" s="194"/>
      <c r="T142" s="194"/>
      <c r="U142" s="194"/>
    </row>
    <row r="143" spans="2:21" ht="24">
      <c r="B143" s="194"/>
      <c r="C143" s="251" t="s">
        <v>820</v>
      </c>
      <c r="D143" s="194"/>
      <c r="E143" s="194"/>
      <c r="F143" s="194"/>
      <c r="G143" s="194"/>
      <c r="H143" s="194"/>
      <c r="I143" s="194"/>
      <c r="J143" s="194"/>
      <c r="K143" s="194"/>
      <c r="L143" s="194"/>
      <c r="M143" s="194"/>
      <c r="N143" s="194"/>
      <c r="O143" s="233"/>
      <c r="P143" s="233"/>
      <c r="Q143" s="194"/>
      <c r="R143" s="194"/>
      <c r="S143" s="194"/>
      <c r="T143" s="194"/>
      <c r="U143" s="194"/>
    </row>
    <row r="144" spans="2:21" ht="24">
      <c r="B144" s="194"/>
      <c r="C144" s="254" t="s">
        <v>821</v>
      </c>
      <c r="D144" s="194"/>
      <c r="E144" s="194"/>
      <c r="F144" s="194"/>
      <c r="G144" s="194"/>
      <c r="H144" s="194"/>
      <c r="I144" s="254" t="s">
        <v>822</v>
      </c>
      <c r="J144" s="194"/>
      <c r="K144" s="233"/>
      <c r="L144" s="233"/>
      <c r="M144" s="194"/>
      <c r="N144" s="194"/>
      <c r="O144" s="254" t="s">
        <v>823</v>
      </c>
      <c r="P144" s="194"/>
      <c r="Q144" s="194"/>
      <c r="R144" s="194"/>
      <c r="S144" s="194"/>
      <c r="T144" s="194"/>
      <c r="U144" s="194"/>
    </row>
    <row r="145" spans="2:21">
      <c r="B145" s="194"/>
      <c r="C145" s="194"/>
      <c r="D145" s="194"/>
      <c r="E145" s="168" t="s">
        <v>796</v>
      </c>
      <c r="F145" s="168" t="s">
        <v>796</v>
      </c>
      <c r="G145" s="168" t="s">
        <v>796</v>
      </c>
      <c r="H145" s="194"/>
      <c r="I145" s="194"/>
      <c r="J145" s="194"/>
      <c r="K145" s="168" t="s">
        <v>824</v>
      </c>
      <c r="L145" s="168" t="s">
        <v>824</v>
      </c>
      <c r="M145" s="168" t="s">
        <v>824</v>
      </c>
      <c r="N145" s="194"/>
      <c r="O145" s="194"/>
      <c r="P145" s="194"/>
      <c r="Q145" s="168" t="s">
        <v>807</v>
      </c>
      <c r="R145" s="168" t="s">
        <v>806</v>
      </c>
      <c r="S145" s="168" t="s">
        <v>805</v>
      </c>
      <c r="T145" s="168" t="s">
        <v>825</v>
      </c>
      <c r="U145" s="194"/>
    </row>
    <row r="146" spans="2:21">
      <c r="B146" s="194"/>
      <c r="C146" s="168" t="s">
        <v>497</v>
      </c>
      <c r="D146" s="168" t="s">
        <v>340</v>
      </c>
      <c r="E146" s="172" t="s">
        <v>593</v>
      </c>
      <c r="F146" s="172" t="s">
        <v>588</v>
      </c>
      <c r="G146" s="172" t="s">
        <v>589</v>
      </c>
      <c r="H146" s="194"/>
      <c r="I146" s="168" t="s">
        <v>497</v>
      </c>
      <c r="J146" s="168" t="s">
        <v>340</v>
      </c>
      <c r="K146" s="172" t="s">
        <v>593</v>
      </c>
      <c r="L146" s="172" t="s">
        <v>588</v>
      </c>
      <c r="M146" s="172" t="s">
        <v>589</v>
      </c>
      <c r="N146" s="194"/>
      <c r="O146" s="168" t="s">
        <v>497</v>
      </c>
      <c r="P146" s="168" t="s">
        <v>340</v>
      </c>
      <c r="Q146" s="172" t="s">
        <v>593</v>
      </c>
      <c r="R146" s="172" t="s">
        <v>593</v>
      </c>
      <c r="S146" s="172" t="s">
        <v>593</v>
      </c>
      <c r="T146" s="172" t="s">
        <v>593</v>
      </c>
      <c r="U146" s="194"/>
    </row>
    <row r="147" spans="2:21">
      <c r="B147" s="194"/>
      <c r="C147" s="2" t="s">
        <v>569</v>
      </c>
      <c r="D147" s="2" t="s">
        <v>136</v>
      </c>
      <c r="E147" s="231">
        <f>MAX(E153:E200)</f>
        <v>703.04871887403613</v>
      </c>
      <c r="F147" s="231">
        <f>MAX(F153:F200)</f>
        <v>652.37854093716874</v>
      </c>
      <c r="G147" s="231">
        <f>MAX(G153:G200)</f>
        <v>779.05398577933749</v>
      </c>
      <c r="H147" s="194"/>
      <c r="I147" s="2" t="s">
        <v>569</v>
      </c>
      <c r="J147" s="2" t="s">
        <v>136</v>
      </c>
      <c r="K147" s="231">
        <f>MAX(K153:K200)</f>
        <v>1.378526899753012</v>
      </c>
      <c r="L147" s="231">
        <f>MAX(L153:L200)</f>
        <v>1.2791736096807229</v>
      </c>
      <c r="M147" s="231">
        <f>MAX(M153:M200)</f>
        <v>1.5275568348614461</v>
      </c>
      <c r="N147" s="194"/>
      <c r="O147" s="2" t="s">
        <v>569</v>
      </c>
      <c r="P147" s="2" t="s">
        <v>136</v>
      </c>
      <c r="Q147" s="231">
        <f>IF(OR(HP_rep_day="Peak demand summer day",HP_rep_day="Overall minimum demand day"),"",MAX(Q153:Q200))</f>
        <v>692.3423932059037</v>
      </c>
      <c r="R147" s="231">
        <f>IF(OR(HP_rep_day="Peak demand summer day",HP_rep_day="Overall minimum demand day"),"",MAX(R153:R200))</f>
        <v>801.78483336903616</v>
      </c>
      <c r="S147" s="231">
        <f>IF(OR(HP_rep_day="Peak demand summer day",HP_rep_day="Overall minimum demand day"),"",MAX(S153:S200))</f>
        <v>584.08954478367468</v>
      </c>
      <c r="T147" s="231" t="str">
        <f>IF(OR(HP_rep_day="Peak demand summer day",HP_rep_day="Overall minimum demand day"),MAX(T153:T200),"")</f>
        <v/>
      </c>
      <c r="U147" s="194"/>
    </row>
    <row r="148" spans="2:21">
      <c r="B148" s="194"/>
      <c r="C148" s="2" t="s">
        <v>643</v>
      </c>
      <c r="D148" s="2" t="s">
        <v>594</v>
      </c>
      <c r="E148" s="193">
        <f>INDEX(times,MATCH(E147,E153:E200,0))</f>
        <v>0.29166666666666669</v>
      </c>
      <c r="F148" s="193">
        <f>INDEX(times,MATCH(F147,F153:F200,0))</f>
        <v>0.29166666666666669</v>
      </c>
      <c r="G148" s="193">
        <f>INDEX(times,MATCH(G147,G153:G200,0))</f>
        <v>0.29166666666666669</v>
      </c>
      <c r="H148" s="194"/>
      <c r="I148" s="2" t="s">
        <v>643</v>
      </c>
      <c r="J148" s="2" t="s">
        <v>594</v>
      </c>
      <c r="K148" s="193">
        <f>INDEX(times,MATCH(K147,K153:K200,0))</f>
        <v>0.29166666666666669</v>
      </c>
      <c r="L148" s="193">
        <f>INDEX(times,MATCH(L147,L153:L200,0))</f>
        <v>0.29166666666666669</v>
      </c>
      <c r="M148" s="193">
        <f>INDEX(times,MATCH(M147,M153:M200,0))</f>
        <v>0.29166666666666669</v>
      </c>
      <c r="N148" s="194"/>
      <c r="O148" s="2" t="s">
        <v>643</v>
      </c>
      <c r="P148" s="2" t="s">
        <v>594</v>
      </c>
      <c r="Q148" s="193">
        <f>IF(OR(HP_rep_day="Peak demand summer day",HP_rep_day="Overall minimum demand day"),"",INDEX(times,MATCH(Q147,Q153:Q200,0)))</f>
        <v>0.77083333333333337</v>
      </c>
      <c r="R148" s="193">
        <f>IF(OR(HP_rep_day="Peak demand summer day",HP_rep_day="Overall minimum demand day"),"",INDEX(times,MATCH(R147,R153:R200,0)))</f>
        <v>0.33333333333333331</v>
      </c>
      <c r="S148" s="193">
        <f>IF(OR(HP_rep_day="Peak demand summer day",HP_rep_day="Overall minimum demand day"),"",INDEX(times,MATCH(S147,S153:S200,0)))</f>
        <v>0.25</v>
      </c>
      <c r="T148" s="193" t="str">
        <f>IF(OR(HP_rep_day="Peak demand summer day",HP_rep_day="Overall minimum demand day"),INDEX(times,MATCH(T147,T153:T200,0)),"")</f>
        <v/>
      </c>
      <c r="U148" s="194"/>
    </row>
    <row r="149" spans="2:21">
      <c r="B149" s="194"/>
      <c r="C149" s="194"/>
      <c r="D149" s="194"/>
      <c r="E149" s="194"/>
      <c r="F149" s="194"/>
      <c r="G149" s="194"/>
      <c r="H149" s="194"/>
      <c r="I149" s="194"/>
      <c r="J149" s="194"/>
      <c r="K149" s="194"/>
      <c r="L149" s="194"/>
      <c r="M149" s="194"/>
      <c r="N149" s="194"/>
      <c r="O149" s="194"/>
      <c r="P149" s="194"/>
      <c r="Q149" s="194"/>
      <c r="R149" s="194"/>
      <c r="S149" s="194"/>
      <c r="T149" s="194"/>
      <c r="U149" s="194"/>
    </row>
    <row r="150" spans="2:21">
      <c r="B150" s="194"/>
      <c r="C150" s="194"/>
      <c r="D150" s="194"/>
      <c r="E150" s="168" t="s">
        <v>796</v>
      </c>
      <c r="F150" s="168" t="s">
        <v>796</v>
      </c>
      <c r="G150" s="168" t="s">
        <v>796</v>
      </c>
      <c r="H150" s="194"/>
      <c r="I150" s="194"/>
      <c r="J150" s="194"/>
      <c r="K150" s="168" t="s">
        <v>824</v>
      </c>
      <c r="L150" s="168" t="s">
        <v>824</v>
      </c>
      <c r="M150" s="168" t="s">
        <v>824</v>
      </c>
      <c r="N150" s="194"/>
      <c r="O150" s="194"/>
      <c r="P150" s="194"/>
      <c r="Q150" s="168" t="s">
        <v>807</v>
      </c>
      <c r="R150" s="168" t="s">
        <v>806</v>
      </c>
      <c r="S150" s="168" t="s">
        <v>805</v>
      </c>
      <c r="T150" s="168" t="s">
        <v>825</v>
      </c>
      <c r="U150" s="194"/>
    </row>
    <row r="151" spans="2:21">
      <c r="B151" s="194"/>
      <c r="C151" s="194"/>
      <c r="D151" s="176" t="s">
        <v>644</v>
      </c>
      <c r="E151" s="172" t="s">
        <v>593</v>
      </c>
      <c r="F151" s="172" t="s">
        <v>588</v>
      </c>
      <c r="G151" s="172" t="s">
        <v>589</v>
      </c>
      <c r="H151" s="194"/>
      <c r="I151" s="194"/>
      <c r="J151" s="176" t="s">
        <v>644</v>
      </c>
      <c r="K151" s="172" t="s">
        <v>593</v>
      </c>
      <c r="L151" s="172" t="s">
        <v>588</v>
      </c>
      <c r="M151" s="172" t="s">
        <v>589</v>
      </c>
      <c r="N151" s="194"/>
      <c r="O151" s="194"/>
      <c r="P151" s="176" t="s">
        <v>644</v>
      </c>
      <c r="Q151" s="172" t="s">
        <v>593</v>
      </c>
      <c r="R151" s="172" t="s">
        <v>593</v>
      </c>
      <c r="S151" s="172" t="s">
        <v>593</v>
      </c>
      <c r="T151" s="172" t="s">
        <v>593</v>
      </c>
      <c r="U151" s="194"/>
    </row>
    <row r="152" spans="2:21">
      <c r="B152" s="194"/>
      <c r="C152" s="194"/>
      <c r="D152" s="168" t="s">
        <v>594</v>
      </c>
      <c r="E152" s="169" t="str">
        <f>HP_rep_day</f>
        <v>Peak demand winter day</v>
      </c>
      <c r="F152" s="169" t="str">
        <f>HP_rep_day</f>
        <v>Peak demand winter day</v>
      </c>
      <c r="G152" s="169" t="str">
        <f>HP_rep_day</f>
        <v>Peak demand winter day</v>
      </c>
      <c r="H152" s="194"/>
      <c r="I152" s="194"/>
      <c r="J152" s="168" t="s">
        <v>594</v>
      </c>
      <c r="K152" s="169" t="str">
        <f>HP_rep_day</f>
        <v>Peak demand winter day</v>
      </c>
      <c r="L152" s="169" t="str">
        <f>HP_rep_day</f>
        <v>Peak demand winter day</v>
      </c>
      <c r="M152" s="169" t="str">
        <f>HP_rep_day</f>
        <v>Peak demand winter day</v>
      </c>
      <c r="N152" s="194"/>
      <c r="O152" s="194"/>
      <c r="P152" s="168" t="s">
        <v>594</v>
      </c>
      <c r="Q152" s="169" t="s">
        <v>273</v>
      </c>
      <c r="R152" s="169" t="str">
        <f>HP_rep_day</f>
        <v>Peak demand winter day</v>
      </c>
      <c r="S152" s="169" t="str">
        <f>HP_rep_day</f>
        <v>Peak demand winter day</v>
      </c>
      <c r="T152" s="169" t="str">
        <f>HP_rep_day</f>
        <v>Peak demand winter day</v>
      </c>
      <c r="U152" s="194"/>
    </row>
    <row r="153" spans="2:21">
      <c r="B153" s="194"/>
      <c r="C153" s="194"/>
      <c r="D153" s="180">
        <v>0</v>
      </c>
      <c r="E153" s="231">
        <f t="shared" ref="E153:E200" si="9">J$140*E85*HP08_Default</f>
        <v>325.94813700759039</v>
      </c>
      <c r="F153" s="231">
        <f t="shared" ref="F153:F200" si="10">K$140*F85*HP08_lower</f>
        <v>302.45637938542171</v>
      </c>
      <c r="G153" s="231">
        <f t="shared" ref="G153:G200" si="11">L$140*G85*HP08_upper</f>
        <v>361.18577344084343</v>
      </c>
      <c r="H153" s="194"/>
      <c r="I153" s="194"/>
      <c r="J153" s="180">
        <v>0</v>
      </c>
      <c r="K153" s="231">
        <f t="shared" ref="K153:K200" si="12">E153/(SUM(HP_number_BB5,HP_number_BB6))</f>
        <v>0.63911399413253023</v>
      </c>
      <c r="L153" s="231">
        <f t="shared" ref="L153:L200" si="13">F153/(SUM(HP_number_BB5,HP_number_BB6))</f>
        <v>0.59305172428514064</v>
      </c>
      <c r="M153" s="231">
        <f t="shared" ref="M153:M200" si="14">G153/(SUM(HP_number_BB5,HP_number_BB6))</f>
        <v>0.70820739890361462</v>
      </c>
      <c r="N153" s="194"/>
      <c r="O153" s="194">
        <v>1</v>
      </c>
      <c r="P153" s="180">
        <v>0</v>
      </c>
      <c r="Q153" s="231">
        <f t="shared" ref="Q153:Q200" si="15">IF(OR(HP_rep_day="Peak demand summer day",HP_rep_day="Overall minimum demand day"),"",$J$140*I85*HP08_Default)</f>
        <v>372.34221490283136</v>
      </c>
      <c r="R153" s="231">
        <f t="shared" ref="R153:R200" si="16">IF(OR(HP_rep_day="Peak demand summer day",HP_rep_day="Overall minimum demand day"),"",$J$140*J85*HP08_Default)</f>
        <v>218.88488032626506</v>
      </c>
      <c r="S153" s="231">
        <f t="shared" ref="S153:S200" si="17">IF(OR(HP_rep_day="Peak demand summer day",HP_rep_day="Overall minimum demand day"),"",$J$140*K85*HP08_Default)</f>
        <v>551.97056777927708</v>
      </c>
      <c r="T153" s="231" t="str">
        <f t="shared" ref="T153:T200" si="18">IF(OR(HP_rep_day="Peak demand summer day",HP_rep_day="Overall minimum demand day"),$J$140*L85*HP08_Default,"")</f>
        <v/>
      </c>
      <c r="U153" s="194"/>
    </row>
    <row r="154" spans="2:21">
      <c r="B154" s="194"/>
      <c r="C154" s="194"/>
      <c r="D154" s="180">
        <v>2.0833333333333332E-2</v>
      </c>
      <c r="E154" s="231">
        <f t="shared" si="9"/>
        <v>336.65446267572287</v>
      </c>
      <c r="F154" s="231">
        <f t="shared" si="10"/>
        <v>312.39107797837352</v>
      </c>
      <c r="G154" s="231">
        <f t="shared" si="11"/>
        <v>373.04953972174707</v>
      </c>
      <c r="H154" s="194"/>
      <c r="I154" s="194"/>
      <c r="J154" s="180">
        <v>2.0833333333333332E-2</v>
      </c>
      <c r="K154" s="231">
        <f t="shared" si="12"/>
        <v>0.66010678956024094</v>
      </c>
      <c r="L154" s="231">
        <f t="shared" si="13"/>
        <v>0.61253152544779121</v>
      </c>
      <c r="M154" s="231">
        <f t="shared" si="14"/>
        <v>0.7314696857289158</v>
      </c>
      <c r="N154" s="194"/>
      <c r="O154" s="194">
        <v>2</v>
      </c>
      <c r="P154" s="180">
        <v>2.0833333333333332E-2</v>
      </c>
      <c r="Q154" s="231">
        <f t="shared" si="15"/>
        <v>388.99649927548194</v>
      </c>
      <c r="R154" s="231">
        <f t="shared" si="16"/>
        <v>229.5912059943976</v>
      </c>
      <c r="S154" s="231">
        <f t="shared" si="17"/>
        <v>546.02260907475909</v>
      </c>
      <c r="T154" s="231" t="str">
        <f t="shared" si="18"/>
        <v/>
      </c>
      <c r="U154" s="194"/>
    </row>
    <row r="155" spans="2:21">
      <c r="B155" s="194"/>
      <c r="C155" s="194"/>
      <c r="D155" s="180">
        <v>4.1666666666666664E-2</v>
      </c>
      <c r="E155" s="231">
        <f t="shared" si="9"/>
        <v>354.49833878927711</v>
      </c>
      <c r="F155" s="231">
        <f t="shared" si="10"/>
        <v>328.94890896662656</v>
      </c>
      <c r="G155" s="231">
        <f t="shared" si="11"/>
        <v>392.82248352325308</v>
      </c>
      <c r="H155" s="194"/>
      <c r="I155" s="194"/>
      <c r="J155" s="180">
        <v>4.1666666666666664E-2</v>
      </c>
      <c r="K155" s="231">
        <f t="shared" si="12"/>
        <v>0.69509478193975904</v>
      </c>
      <c r="L155" s="231">
        <f t="shared" si="13"/>
        <v>0.64499786071887566</v>
      </c>
      <c r="M155" s="231">
        <f t="shared" si="14"/>
        <v>0.77024016377108451</v>
      </c>
      <c r="N155" s="194"/>
      <c r="O155" s="194">
        <v>3</v>
      </c>
      <c r="P155" s="180">
        <v>4.1666666666666664E-2</v>
      </c>
      <c r="Q155" s="231">
        <f t="shared" si="15"/>
        <v>413.97792583445784</v>
      </c>
      <c r="R155" s="231">
        <f t="shared" si="16"/>
        <v>245.0558986261446</v>
      </c>
      <c r="S155" s="231">
        <f t="shared" si="17"/>
        <v>547.21220081566264</v>
      </c>
      <c r="T155" s="231" t="str">
        <f t="shared" si="18"/>
        <v/>
      </c>
      <c r="U155" s="194"/>
    </row>
    <row r="156" spans="2:21">
      <c r="B156" s="194"/>
      <c r="C156" s="194"/>
      <c r="D156" s="180">
        <v>6.25E-2</v>
      </c>
      <c r="E156" s="231">
        <f t="shared" si="9"/>
        <v>373.53180664373491</v>
      </c>
      <c r="F156" s="231">
        <f t="shared" si="10"/>
        <v>346.6105953540964</v>
      </c>
      <c r="G156" s="231">
        <f t="shared" si="11"/>
        <v>413.91362357819281</v>
      </c>
      <c r="H156" s="194"/>
      <c r="I156" s="194"/>
      <c r="J156" s="180">
        <v>6.25E-2</v>
      </c>
      <c r="K156" s="231">
        <f t="shared" si="12"/>
        <v>0.73241530714457825</v>
      </c>
      <c r="L156" s="231">
        <f t="shared" si="13"/>
        <v>0.67962861834136545</v>
      </c>
      <c r="M156" s="231">
        <f t="shared" si="14"/>
        <v>0.81159534034939762</v>
      </c>
      <c r="N156" s="194"/>
      <c r="O156" s="194">
        <v>4</v>
      </c>
      <c r="P156" s="180">
        <v>6.25E-2</v>
      </c>
      <c r="Q156" s="231">
        <f t="shared" si="15"/>
        <v>436.58016891162657</v>
      </c>
      <c r="R156" s="231">
        <f t="shared" si="16"/>
        <v>268.84773344421683</v>
      </c>
      <c r="S156" s="231">
        <f t="shared" si="17"/>
        <v>546.02260907475909</v>
      </c>
      <c r="T156" s="231" t="str">
        <f t="shared" si="18"/>
        <v/>
      </c>
      <c r="U156" s="194"/>
    </row>
    <row r="157" spans="2:21">
      <c r="B157" s="194"/>
      <c r="C157" s="194"/>
      <c r="D157" s="180">
        <v>8.3333333333333329E-2</v>
      </c>
      <c r="E157" s="231">
        <f t="shared" si="9"/>
        <v>390.1860910163856</v>
      </c>
      <c r="F157" s="231">
        <f t="shared" si="10"/>
        <v>362.06457094313259</v>
      </c>
      <c r="G157" s="231">
        <f t="shared" si="11"/>
        <v>432.36837112626517</v>
      </c>
      <c r="H157" s="194"/>
      <c r="I157" s="194"/>
      <c r="J157" s="180">
        <v>8.3333333333333329E-2</v>
      </c>
      <c r="K157" s="231">
        <f t="shared" si="12"/>
        <v>0.76507076669879526</v>
      </c>
      <c r="L157" s="231">
        <f t="shared" si="13"/>
        <v>0.70993053126104433</v>
      </c>
      <c r="M157" s="231">
        <f t="shared" si="14"/>
        <v>0.84778111985542193</v>
      </c>
      <c r="N157" s="194"/>
      <c r="O157" s="194">
        <v>5</v>
      </c>
      <c r="P157" s="180">
        <v>8.3333333333333329E-2</v>
      </c>
      <c r="Q157" s="231">
        <f t="shared" si="15"/>
        <v>450.85526980246993</v>
      </c>
      <c r="R157" s="231">
        <f t="shared" si="16"/>
        <v>287.88120129867468</v>
      </c>
      <c r="S157" s="231">
        <f t="shared" si="17"/>
        <v>554.34975126108441</v>
      </c>
      <c r="T157" s="231" t="str">
        <f t="shared" si="18"/>
        <v/>
      </c>
      <c r="U157" s="194"/>
    </row>
    <row r="158" spans="2:21">
      <c r="B158" s="194"/>
      <c r="C158" s="194"/>
      <c r="D158" s="180">
        <v>0.10416666666666667</v>
      </c>
      <c r="E158" s="231">
        <f t="shared" si="9"/>
        <v>409.2195588708434</v>
      </c>
      <c r="F158" s="231">
        <f t="shared" si="10"/>
        <v>379.72625733060244</v>
      </c>
      <c r="G158" s="231">
        <f t="shared" si="11"/>
        <v>453.4595111812049</v>
      </c>
      <c r="H158" s="194"/>
      <c r="I158" s="194"/>
      <c r="J158" s="180">
        <v>0.10416666666666667</v>
      </c>
      <c r="K158" s="231">
        <f t="shared" si="12"/>
        <v>0.80239129190361447</v>
      </c>
      <c r="L158" s="231">
        <f t="shared" si="13"/>
        <v>0.74456128888353423</v>
      </c>
      <c r="M158" s="231">
        <f t="shared" si="14"/>
        <v>0.88913629643373515</v>
      </c>
      <c r="N158" s="194"/>
      <c r="O158" s="194">
        <v>6</v>
      </c>
      <c r="P158" s="180">
        <v>0.10416666666666667</v>
      </c>
      <c r="Q158" s="231">
        <f t="shared" si="15"/>
        <v>465.1303706933133</v>
      </c>
      <c r="R158" s="231">
        <f t="shared" si="16"/>
        <v>314.05221959855425</v>
      </c>
      <c r="S158" s="231">
        <f t="shared" si="17"/>
        <v>563.86648518831328</v>
      </c>
      <c r="T158" s="231" t="str">
        <f t="shared" si="18"/>
        <v/>
      </c>
      <c r="U158" s="194"/>
    </row>
    <row r="159" spans="2:21">
      <c r="B159" s="194"/>
      <c r="C159" s="194"/>
      <c r="D159" s="180">
        <v>0.125</v>
      </c>
      <c r="E159" s="231">
        <f t="shared" si="9"/>
        <v>421.11547627987954</v>
      </c>
      <c r="F159" s="231">
        <f t="shared" si="10"/>
        <v>390.76481132277115</v>
      </c>
      <c r="G159" s="231">
        <f t="shared" si="11"/>
        <v>466.64147371554225</v>
      </c>
      <c r="H159" s="194"/>
      <c r="I159" s="194"/>
      <c r="J159" s="180">
        <v>0.125</v>
      </c>
      <c r="K159" s="231">
        <f t="shared" si="12"/>
        <v>0.82571662015662661</v>
      </c>
      <c r="L159" s="231">
        <f t="shared" si="13"/>
        <v>0.76620551239759049</v>
      </c>
      <c r="M159" s="231">
        <f t="shared" si="14"/>
        <v>0.91498328179518085</v>
      </c>
      <c r="N159" s="194"/>
      <c r="O159" s="194">
        <v>7</v>
      </c>
      <c r="P159" s="180">
        <v>0.125</v>
      </c>
      <c r="Q159" s="231">
        <f t="shared" si="15"/>
        <v>474.64710462054217</v>
      </c>
      <c r="R159" s="231">
        <f t="shared" si="16"/>
        <v>329.51691223030122</v>
      </c>
      <c r="S159" s="231">
        <f t="shared" si="17"/>
        <v>569.81444389283126</v>
      </c>
      <c r="T159" s="231" t="str">
        <f t="shared" si="18"/>
        <v/>
      </c>
      <c r="U159" s="194"/>
    </row>
    <row r="160" spans="2:21">
      <c r="B160" s="194"/>
      <c r="C160" s="194"/>
      <c r="D160" s="180">
        <v>0.14583333333333334</v>
      </c>
      <c r="E160" s="231">
        <f t="shared" si="9"/>
        <v>435.39057717072291</v>
      </c>
      <c r="F160" s="231">
        <f t="shared" si="10"/>
        <v>404.01107611337352</v>
      </c>
      <c r="G160" s="231">
        <f t="shared" si="11"/>
        <v>482.45982875674707</v>
      </c>
      <c r="H160" s="194"/>
      <c r="I160" s="194"/>
      <c r="J160" s="180">
        <v>0.14583333333333334</v>
      </c>
      <c r="K160" s="231">
        <f t="shared" si="12"/>
        <v>0.85370701406024097</v>
      </c>
      <c r="L160" s="231">
        <f t="shared" si="13"/>
        <v>0.79217858061445789</v>
      </c>
      <c r="M160" s="231">
        <f t="shared" si="14"/>
        <v>0.94599966422891579</v>
      </c>
      <c r="N160" s="194"/>
      <c r="O160" s="194">
        <v>8</v>
      </c>
      <c r="P160" s="180">
        <v>0.14583333333333334</v>
      </c>
      <c r="Q160" s="231">
        <f t="shared" si="15"/>
        <v>488.92220551138553</v>
      </c>
      <c r="R160" s="231">
        <f t="shared" si="16"/>
        <v>347.3607883438554</v>
      </c>
      <c r="S160" s="231">
        <f t="shared" si="17"/>
        <v>573.38321911554215</v>
      </c>
      <c r="T160" s="231" t="str">
        <f t="shared" si="18"/>
        <v/>
      </c>
      <c r="U160" s="194"/>
    </row>
    <row r="161" spans="2:21">
      <c r="B161" s="194"/>
      <c r="C161" s="194"/>
      <c r="D161" s="180">
        <v>0.16666666666666666</v>
      </c>
      <c r="E161" s="231">
        <f t="shared" si="9"/>
        <v>452.04486154337349</v>
      </c>
      <c r="F161" s="231">
        <f t="shared" si="10"/>
        <v>419.46505170240965</v>
      </c>
      <c r="G161" s="231">
        <f t="shared" si="11"/>
        <v>500.91457630481938</v>
      </c>
      <c r="H161" s="194"/>
      <c r="I161" s="194"/>
      <c r="J161" s="180">
        <v>0.16666666666666666</v>
      </c>
      <c r="K161" s="231">
        <f t="shared" si="12"/>
        <v>0.88636247361445786</v>
      </c>
      <c r="L161" s="231">
        <f t="shared" si="13"/>
        <v>0.82248049353413655</v>
      </c>
      <c r="M161" s="231">
        <f t="shared" si="14"/>
        <v>0.98218544373493999</v>
      </c>
      <c r="N161" s="194"/>
      <c r="O161" s="194">
        <v>9</v>
      </c>
      <c r="P161" s="180">
        <v>0.16666666666666666</v>
      </c>
      <c r="Q161" s="231">
        <f t="shared" si="15"/>
        <v>506.76608162493977</v>
      </c>
      <c r="R161" s="231">
        <f t="shared" si="16"/>
        <v>367.58384793921687</v>
      </c>
      <c r="S161" s="231">
        <f t="shared" si="17"/>
        <v>572.19362737463848</v>
      </c>
      <c r="T161" s="231" t="str">
        <f t="shared" si="18"/>
        <v/>
      </c>
      <c r="U161" s="194"/>
    </row>
    <row r="162" spans="2:21">
      <c r="B162" s="194"/>
      <c r="C162" s="194"/>
      <c r="D162" s="180">
        <v>0.1875</v>
      </c>
      <c r="E162" s="231">
        <f t="shared" si="9"/>
        <v>479.40547158415666</v>
      </c>
      <c r="F162" s="231">
        <f t="shared" si="10"/>
        <v>444.85372588439765</v>
      </c>
      <c r="G162" s="231">
        <f t="shared" si="11"/>
        <v>531.23309013379526</v>
      </c>
      <c r="H162" s="194"/>
      <c r="I162" s="194"/>
      <c r="J162" s="180">
        <v>0.1875</v>
      </c>
      <c r="K162" s="231">
        <f t="shared" si="12"/>
        <v>0.94001072859638557</v>
      </c>
      <c r="L162" s="231">
        <f t="shared" si="13"/>
        <v>0.872262207616466</v>
      </c>
      <c r="M162" s="231">
        <f t="shared" si="14"/>
        <v>1.0416335100662653</v>
      </c>
      <c r="N162" s="194"/>
      <c r="O162" s="194">
        <v>10</v>
      </c>
      <c r="P162" s="180">
        <v>0.1875</v>
      </c>
      <c r="Q162" s="231">
        <f t="shared" si="15"/>
        <v>531.74750818391567</v>
      </c>
      <c r="R162" s="231">
        <f t="shared" si="16"/>
        <v>406.84037538903618</v>
      </c>
      <c r="S162" s="231">
        <f t="shared" si="17"/>
        <v>568.62485215192771</v>
      </c>
      <c r="T162" s="231" t="str">
        <f t="shared" si="18"/>
        <v/>
      </c>
      <c r="U162" s="194"/>
    </row>
    <row r="163" spans="2:21">
      <c r="B163" s="194"/>
      <c r="C163" s="194"/>
      <c r="D163" s="180">
        <v>0.20833333333333334</v>
      </c>
      <c r="E163" s="231">
        <f t="shared" si="9"/>
        <v>515.09322381126503</v>
      </c>
      <c r="F163" s="231">
        <f t="shared" si="10"/>
        <v>477.96938786090362</v>
      </c>
      <c r="G163" s="231">
        <f t="shared" si="11"/>
        <v>570.77897773680729</v>
      </c>
      <c r="H163" s="194"/>
      <c r="I163" s="194"/>
      <c r="J163" s="180">
        <v>0.20833333333333334</v>
      </c>
      <c r="K163" s="231">
        <f t="shared" si="12"/>
        <v>1.0099867133554217</v>
      </c>
      <c r="L163" s="231">
        <f t="shared" si="13"/>
        <v>0.93719487815863456</v>
      </c>
      <c r="M163" s="231">
        <f t="shared" si="14"/>
        <v>1.1191744661506025</v>
      </c>
      <c r="N163" s="194"/>
      <c r="O163" s="194">
        <v>11</v>
      </c>
      <c r="P163" s="180">
        <v>0.20833333333333334</v>
      </c>
      <c r="Q163" s="231">
        <f t="shared" si="15"/>
        <v>561.48730170650606</v>
      </c>
      <c r="R163" s="231">
        <f t="shared" si="16"/>
        <v>457.99282024789159</v>
      </c>
      <c r="S163" s="231">
        <f t="shared" si="17"/>
        <v>571.00403563373493</v>
      </c>
      <c r="T163" s="231" t="str">
        <f t="shared" si="18"/>
        <v/>
      </c>
      <c r="U163" s="194"/>
    </row>
    <row r="164" spans="2:21">
      <c r="B164" s="194"/>
      <c r="C164" s="194"/>
      <c r="D164" s="180">
        <v>0.22916666666666666</v>
      </c>
      <c r="E164" s="231">
        <f t="shared" si="9"/>
        <v>572.19362737463848</v>
      </c>
      <c r="F164" s="231">
        <f t="shared" si="10"/>
        <v>530.95444702331326</v>
      </c>
      <c r="G164" s="231">
        <f t="shared" si="11"/>
        <v>634.05239790162659</v>
      </c>
      <c r="H164" s="194"/>
      <c r="I164" s="194"/>
      <c r="J164" s="180">
        <v>0.22916666666666666</v>
      </c>
      <c r="K164" s="231">
        <f t="shared" si="12"/>
        <v>1.1219482889698793</v>
      </c>
      <c r="L164" s="231">
        <f t="shared" si="13"/>
        <v>1.0410871510261044</v>
      </c>
      <c r="M164" s="231">
        <f t="shared" si="14"/>
        <v>1.2432399958855422</v>
      </c>
      <c r="N164" s="194"/>
      <c r="O164" s="194">
        <v>12</v>
      </c>
      <c r="P164" s="180">
        <v>0.22916666666666666</v>
      </c>
      <c r="Q164" s="231">
        <f t="shared" si="15"/>
        <v>606.69178786084331</v>
      </c>
      <c r="R164" s="231">
        <f t="shared" si="16"/>
        <v>540.07465037024099</v>
      </c>
      <c r="S164" s="231">
        <f t="shared" si="17"/>
        <v>578.14158607915658</v>
      </c>
      <c r="T164" s="231" t="str">
        <f t="shared" si="18"/>
        <v/>
      </c>
      <c r="U164" s="194"/>
    </row>
    <row r="165" spans="2:21">
      <c r="B165" s="194"/>
      <c r="C165" s="194"/>
      <c r="D165" s="180">
        <v>0.25</v>
      </c>
      <c r="E165" s="231">
        <f t="shared" si="9"/>
        <v>629.29403093801204</v>
      </c>
      <c r="F165" s="231">
        <f t="shared" si="10"/>
        <v>583.93950618572296</v>
      </c>
      <c r="G165" s="231">
        <f t="shared" si="11"/>
        <v>697.32581806644589</v>
      </c>
      <c r="H165" s="194"/>
      <c r="I165" s="194"/>
      <c r="J165" s="180">
        <v>0.25</v>
      </c>
      <c r="K165" s="231">
        <f t="shared" si="12"/>
        <v>1.2339098645843374</v>
      </c>
      <c r="L165" s="231">
        <f t="shared" si="13"/>
        <v>1.1449794238935744</v>
      </c>
      <c r="M165" s="231">
        <f t="shared" si="14"/>
        <v>1.3673055256204822</v>
      </c>
      <c r="N165" s="194"/>
      <c r="O165" s="194">
        <v>13</v>
      </c>
      <c r="P165" s="180">
        <v>0.25</v>
      </c>
      <c r="Q165" s="231">
        <f t="shared" si="15"/>
        <v>648.3274987924699</v>
      </c>
      <c r="R165" s="231">
        <f t="shared" si="16"/>
        <v>626.91484745620482</v>
      </c>
      <c r="S165" s="231">
        <f t="shared" si="17"/>
        <v>584.08954478367468</v>
      </c>
      <c r="T165" s="231" t="str">
        <f t="shared" si="18"/>
        <v/>
      </c>
      <c r="U165" s="194"/>
    </row>
    <row r="166" spans="2:21">
      <c r="B166" s="194"/>
      <c r="C166" s="194"/>
      <c r="D166" s="180">
        <v>0.27083333333333331</v>
      </c>
      <c r="E166" s="231">
        <f t="shared" si="9"/>
        <v>682.82565927867472</v>
      </c>
      <c r="F166" s="231">
        <f t="shared" si="10"/>
        <v>633.61299915048198</v>
      </c>
      <c r="G166" s="231">
        <f t="shared" si="11"/>
        <v>756.64464947096394</v>
      </c>
      <c r="H166" s="194"/>
      <c r="I166" s="194"/>
      <c r="J166" s="180">
        <v>0.27083333333333331</v>
      </c>
      <c r="K166" s="231">
        <f t="shared" si="12"/>
        <v>1.3388738417228916</v>
      </c>
      <c r="L166" s="231">
        <f t="shared" si="13"/>
        <v>1.2423784297068274</v>
      </c>
      <c r="M166" s="231">
        <f t="shared" si="14"/>
        <v>1.4836169597469882</v>
      </c>
      <c r="N166" s="194"/>
      <c r="O166" s="194">
        <v>14</v>
      </c>
      <c r="P166" s="180">
        <v>0.27083333333333331</v>
      </c>
      <c r="Q166" s="231">
        <f t="shared" si="15"/>
        <v>680.4464757968675</v>
      </c>
      <c r="R166" s="231">
        <f t="shared" si="16"/>
        <v>714.94463628307233</v>
      </c>
      <c r="S166" s="231">
        <f t="shared" si="17"/>
        <v>576.95199433825303</v>
      </c>
      <c r="T166" s="231" t="str">
        <f t="shared" si="18"/>
        <v/>
      </c>
      <c r="U166" s="194"/>
    </row>
    <row r="167" spans="2:21">
      <c r="B167" s="194"/>
      <c r="C167" s="194"/>
      <c r="D167" s="180">
        <v>0.29166666666666669</v>
      </c>
      <c r="E167" s="231">
        <f t="shared" si="9"/>
        <v>703.04871887403613</v>
      </c>
      <c r="F167" s="231">
        <f t="shared" si="10"/>
        <v>652.37854093716874</v>
      </c>
      <c r="G167" s="231">
        <f t="shared" si="11"/>
        <v>779.05398577933749</v>
      </c>
      <c r="H167" s="194"/>
      <c r="I167" s="194"/>
      <c r="J167" s="180">
        <v>0.29166666666666669</v>
      </c>
      <c r="K167" s="231">
        <f t="shared" si="12"/>
        <v>1.378526899753012</v>
      </c>
      <c r="L167" s="231">
        <f t="shared" si="13"/>
        <v>1.2791736096807229</v>
      </c>
      <c r="M167" s="231">
        <f t="shared" si="14"/>
        <v>1.5275568348614461</v>
      </c>
      <c r="N167" s="194"/>
      <c r="O167" s="194">
        <v>15</v>
      </c>
      <c r="P167" s="180">
        <v>0.29166666666666669</v>
      </c>
      <c r="Q167" s="231">
        <f t="shared" si="15"/>
        <v>673.30892535144574</v>
      </c>
      <c r="R167" s="231">
        <f t="shared" si="16"/>
        <v>768.47626462373501</v>
      </c>
      <c r="S167" s="231">
        <f t="shared" si="17"/>
        <v>568.62485215192771</v>
      </c>
      <c r="T167" s="231" t="str">
        <f t="shared" si="18"/>
        <v/>
      </c>
      <c r="U167" s="194"/>
    </row>
    <row r="168" spans="2:21">
      <c r="B168" s="194"/>
      <c r="C168" s="194"/>
      <c r="D168" s="180">
        <v>0.3125</v>
      </c>
      <c r="E168" s="231">
        <f t="shared" si="9"/>
        <v>698.29035191042169</v>
      </c>
      <c r="F168" s="231">
        <f t="shared" si="10"/>
        <v>647.96311934030132</v>
      </c>
      <c r="G168" s="231">
        <f t="shared" si="11"/>
        <v>773.78120076560253</v>
      </c>
      <c r="H168" s="194"/>
      <c r="I168" s="194"/>
      <c r="J168" s="180">
        <v>0.3125</v>
      </c>
      <c r="K168" s="231">
        <f t="shared" si="12"/>
        <v>1.3691967684518072</v>
      </c>
      <c r="L168" s="231">
        <f t="shared" si="13"/>
        <v>1.2705159202751006</v>
      </c>
      <c r="M168" s="231">
        <f t="shared" si="14"/>
        <v>1.5172180407168676</v>
      </c>
      <c r="N168" s="194"/>
      <c r="O168" s="194">
        <v>16</v>
      </c>
      <c r="P168" s="180">
        <v>0.3125</v>
      </c>
      <c r="Q168" s="231">
        <f t="shared" si="15"/>
        <v>632.86280616072293</v>
      </c>
      <c r="R168" s="231">
        <f t="shared" si="16"/>
        <v>797.02646640542173</v>
      </c>
      <c r="S168" s="231">
        <f t="shared" si="17"/>
        <v>560.29770996560251</v>
      </c>
      <c r="T168" s="231" t="str">
        <f t="shared" si="18"/>
        <v/>
      </c>
      <c r="U168" s="194"/>
    </row>
    <row r="169" spans="2:21">
      <c r="B169" s="194"/>
      <c r="C169" s="194"/>
      <c r="D169" s="180">
        <v>0.33333333333333331</v>
      </c>
      <c r="E169" s="231">
        <f t="shared" si="9"/>
        <v>674.4985170923494</v>
      </c>
      <c r="F169" s="231">
        <f t="shared" si="10"/>
        <v>625.88601135596389</v>
      </c>
      <c r="G169" s="231">
        <f t="shared" si="11"/>
        <v>747.41727569692785</v>
      </c>
      <c r="H169" s="194"/>
      <c r="I169" s="194"/>
      <c r="J169" s="180">
        <v>0.33333333333333331</v>
      </c>
      <c r="K169" s="231">
        <f t="shared" si="12"/>
        <v>1.3225461119457831</v>
      </c>
      <c r="L169" s="231">
        <f t="shared" si="13"/>
        <v>1.2272274732469881</v>
      </c>
      <c r="M169" s="231">
        <f t="shared" si="14"/>
        <v>1.4655240699939762</v>
      </c>
      <c r="N169" s="194"/>
      <c r="O169" s="194">
        <v>17</v>
      </c>
      <c r="P169" s="180">
        <v>0.33333333333333331</v>
      </c>
      <c r="Q169" s="231">
        <f t="shared" si="15"/>
        <v>567.43526041102405</v>
      </c>
      <c r="R169" s="231">
        <f t="shared" si="16"/>
        <v>801.78483336903616</v>
      </c>
      <c r="S169" s="231">
        <f t="shared" si="17"/>
        <v>562.67689344740973</v>
      </c>
      <c r="T169" s="231" t="str">
        <f t="shared" si="18"/>
        <v/>
      </c>
      <c r="U169" s="194"/>
    </row>
    <row r="170" spans="2:21">
      <c r="B170" s="194"/>
      <c r="C170" s="194"/>
      <c r="D170" s="180">
        <v>0.35416666666666669</v>
      </c>
      <c r="E170" s="231">
        <f t="shared" si="9"/>
        <v>642.3795400879518</v>
      </c>
      <c r="F170" s="231">
        <f t="shared" si="10"/>
        <v>596.08191557710848</v>
      </c>
      <c r="G170" s="231">
        <f t="shared" si="11"/>
        <v>711.82597685421695</v>
      </c>
      <c r="H170" s="194"/>
      <c r="I170" s="194"/>
      <c r="J170" s="180">
        <v>0.35416666666666669</v>
      </c>
      <c r="K170" s="231">
        <f t="shared" si="12"/>
        <v>1.2595677256626505</v>
      </c>
      <c r="L170" s="231">
        <f t="shared" si="13"/>
        <v>1.1687880697590363</v>
      </c>
      <c r="M170" s="231">
        <f t="shared" si="14"/>
        <v>1.3957372095180725</v>
      </c>
      <c r="N170" s="194"/>
      <c r="O170" s="194">
        <v>18</v>
      </c>
      <c r="P170" s="180">
        <v>0.35416666666666669</v>
      </c>
      <c r="Q170" s="231">
        <f t="shared" si="15"/>
        <v>496.05975595680724</v>
      </c>
      <c r="R170" s="231">
        <f t="shared" si="16"/>
        <v>797.02646640542173</v>
      </c>
      <c r="S170" s="231">
        <f t="shared" si="17"/>
        <v>554.34975126108441</v>
      </c>
      <c r="T170" s="231" t="str">
        <f t="shared" si="18"/>
        <v/>
      </c>
      <c r="U170" s="194"/>
    </row>
    <row r="171" spans="2:21">
      <c r="B171" s="194"/>
      <c r="C171" s="194"/>
      <c r="D171" s="180">
        <v>0.375</v>
      </c>
      <c r="E171" s="231">
        <f t="shared" si="9"/>
        <v>603.12301263813254</v>
      </c>
      <c r="F171" s="231">
        <f t="shared" si="10"/>
        <v>559.65468740295194</v>
      </c>
      <c r="G171" s="231">
        <f t="shared" si="11"/>
        <v>668.32550049090378</v>
      </c>
      <c r="H171" s="194"/>
      <c r="I171" s="194"/>
      <c r="J171" s="180">
        <v>0.375</v>
      </c>
      <c r="K171" s="231">
        <f t="shared" si="12"/>
        <v>1.1825941424277109</v>
      </c>
      <c r="L171" s="231">
        <f t="shared" si="13"/>
        <v>1.0973621321626508</v>
      </c>
      <c r="M171" s="231">
        <f t="shared" si="14"/>
        <v>1.3104421578253016</v>
      </c>
      <c r="N171" s="194"/>
      <c r="O171" s="194">
        <v>19</v>
      </c>
      <c r="P171" s="180">
        <v>0.375</v>
      </c>
      <c r="Q171" s="231">
        <f t="shared" si="15"/>
        <v>430.63221020710847</v>
      </c>
      <c r="R171" s="231">
        <f t="shared" si="16"/>
        <v>775.61381506915654</v>
      </c>
      <c r="S171" s="231">
        <f t="shared" si="17"/>
        <v>534.12669166572289</v>
      </c>
      <c r="T171" s="231" t="str">
        <f t="shared" si="18"/>
        <v/>
      </c>
      <c r="U171" s="194"/>
    </row>
    <row r="172" spans="2:21">
      <c r="B172" s="194"/>
      <c r="C172" s="194"/>
      <c r="D172" s="180">
        <v>0.39583333333333331</v>
      </c>
      <c r="E172" s="231">
        <f t="shared" si="9"/>
        <v>567.43526041102405</v>
      </c>
      <c r="F172" s="231">
        <f t="shared" si="10"/>
        <v>526.53902542644585</v>
      </c>
      <c r="G172" s="231">
        <f t="shared" si="11"/>
        <v>628.77961288789163</v>
      </c>
      <c r="H172" s="194"/>
      <c r="I172" s="194"/>
      <c r="J172" s="180">
        <v>0.39583333333333331</v>
      </c>
      <c r="K172" s="231">
        <f t="shared" si="12"/>
        <v>1.1126181576686747</v>
      </c>
      <c r="L172" s="231">
        <f t="shared" si="13"/>
        <v>1.0324294616204821</v>
      </c>
      <c r="M172" s="231">
        <f t="shared" si="14"/>
        <v>1.232901201740964</v>
      </c>
      <c r="N172" s="194"/>
      <c r="O172" s="194">
        <v>20</v>
      </c>
      <c r="P172" s="180">
        <v>0.39583333333333331</v>
      </c>
      <c r="Q172" s="231">
        <f t="shared" si="15"/>
        <v>381.85894883006023</v>
      </c>
      <c r="R172" s="231">
        <f t="shared" si="16"/>
        <v>744.68442980566272</v>
      </c>
      <c r="S172" s="231">
        <f t="shared" si="17"/>
        <v>516.2828155521687</v>
      </c>
      <c r="T172" s="231" t="str">
        <f t="shared" si="18"/>
        <v/>
      </c>
      <c r="U172" s="194"/>
    </row>
    <row r="173" spans="2:21">
      <c r="B173" s="194"/>
      <c r="C173" s="194"/>
      <c r="D173" s="180">
        <v>0.41666666666666669</v>
      </c>
      <c r="E173" s="231">
        <f t="shared" si="9"/>
        <v>534.12669166572289</v>
      </c>
      <c r="F173" s="231">
        <f t="shared" si="10"/>
        <v>495.63107424837358</v>
      </c>
      <c r="G173" s="231">
        <f t="shared" si="11"/>
        <v>591.87011779174713</v>
      </c>
      <c r="H173" s="194"/>
      <c r="I173" s="194"/>
      <c r="J173" s="180">
        <v>0.41666666666666669</v>
      </c>
      <c r="K173" s="231">
        <f t="shared" si="12"/>
        <v>1.0473072385602409</v>
      </c>
      <c r="L173" s="231">
        <f t="shared" si="13"/>
        <v>0.97182563578112469</v>
      </c>
      <c r="M173" s="231">
        <f t="shared" si="14"/>
        <v>1.160529642728916</v>
      </c>
      <c r="N173" s="194"/>
      <c r="O173" s="194">
        <v>21</v>
      </c>
      <c r="P173" s="180">
        <v>0.41666666666666669</v>
      </c>
      <c r="Q173" s="231">
        <f t="shared" si="15"/>
        <v>348.55038008475901</v>
      </c>
      <c r="R173" s="231">
        <f t="shared" si="16"/>
        <v>708.99667757855423</v>
      </c>
      <c r="S173" s="231">
        <f t="shared" si="17"/>
        <v>499.62853117951812</v>
      </c>
      <c r="T173" s="231" t="str">
        <f t="shared" si="18"/>
        <v/>
      </c>
      <c r="U173" s="194"/>
    </row>
    <row r="174" spans="2:21">
      <c r="B174" s="194"/>
      <c r="C174" s="194"/>
      <c r="D174" s="180">
        <v>0.4375</v>
      </c>
      <c r="E174" s="231">
        <f t="shared" si="9"/>
        <v>511.52444858855421</v>
      </c>
      <c r="F174" s="231">
        <f t="shared" si="10"/>
        <v>474.657821663253</v>
      </c>
      <c r="G174" s="231">
        <f t="shared" si="11"/>
        <v>566.82438897650604</v>
      </c>
      <c r="H174" s="194"/>
      <c r="I174" s="194"/>
      <c r="J174" s="180">
        <v>0.4375</v>
      </c>
      <c r="K174" s="231">
        <f t="shared" si="12"/>
        <v>1.002989114879518</v>
      </c>
      <c r="L174" s="231">
        <f t="shared" si="13"/>
        <v>0.93070161110441763</v>
      </c>
      <c r="M174" s="231">
        <f t="shared" si="14"/>
        <v>1.1114203705421688</v>
      </c>
      <c r="N174" s="194"/>
      <c r="O174" s="194">
        <v>22</v>
      </c>
      <c r="P174" s="180">
        <v>0.4375</v>
      </c>
      <c r="Q174" s="231">
        <f t="shared" si="15"/>
        <v>333.08568745301204</v>
      </c>
      <c r="R174" s="231">
        <f t="shared" si="16"/>
        <v>674.4985170923494</v>
      </c>
      <c r="S174" s="231">
        <f t="shared" si="17"/>
        <v>487.73261377048198</v>
      </c>
      <c r="T174" s="231" t="str">
        <f t="shared" si="18"/>
        <v/>
      </c>
      <c r="U174" s="194"/>
    </row>
    <row r="175" spans="2:21">
      <c r="B175" s="194"/>
      <c r="C175" s="194"/>
      <c r="D175" s="180">
        <v>0.45833333333333331</v>
      </c>
      <c r="E175" s="231">
        <f t="shared" si="9"/>
        <v>487.73261377048198</v>
      </c>
      <c r="F175" s="231">
        <f t="shared" si="10"/>
        <v>452.58071367891574</v>
      </c>
      <c r="G175" s="231">
        <f t="shared" si="11"/>
        <v>540.46046390783147</v>
      </c>
      <c r="H175" s="194"/>
      <c r="I175" s="194"/>
      <c r="J175" s="180">
        <v>0.45833333333333331</v>
      </c>
      <c r="K175" s="231">
        <f t="shared" si="12"/>
        <v>0.95633845837349407</v>
      </c>
      <c r="L175" s="231">
        <f t="shared" si="13"/>
        <v>0.88741316407630533</v>
      </c>
      <c r="M175" s="231">
        <f t="shared" si="14"/>
        <v>1.0597263998192774</v>
      </c>
      <c r="N175" s="194"/>
      <c r="O175" s="194">
        <v>23</v>
      </c>
      <c r="P175" s="180">
        <v>0.45833333333333331</v>
      </c>
      <c r="Q175" s="231">
        <f t="shared" si="15"/>
        <v>324.75854526668678</v>
      </c>
      <c r="R175" s="231">
        <f t="shared" si="16"/>
        <v>638.81076486524091</v>
      </c>
      <c r="S175" s="231">
        <f t="shared" si="17"/>
        <v>462.75118721150602</v>
      </c>
      <c r="T175" s="231" t="str">
        <f t="shared" si="18"/>
        <v/>
      </c>
      <c r="U175" s="194"/>
    </row>
    <row r="176" spans="2:21">
      <c r="B176" s="194"/>
      <c r="C176" s="194"/>
      <c r="D176" s="180">
        <v>0.47916666666666669</v>
      </c>
      <c r="E176" s="231">
        <f t="shared" si="9"/>
        <v>473.45751287963861</v>
      </c>
      <c r="F176" s="231">
        <f t="shared" si="10"/>
        <v>439.33444888831332</v>
      </c>
      <c r="G176" s="231">
        <f t="shared" si="11"/>
        <v>524.64210886662659</v>
      </c>
      <c r="H176" s="194"/>
      <c r="I176" s="194"/>
      <c r="J176" s="180">
        <v>0.47916666666666669</v>
      </c>
      <c r="K176" s="231">
        <f t="shared" si="12"/>
        <v>0.92834806446987961</v>
      </c>
      <c r="L176" s="231">
        <f t="shared" si="13"/>
        <v>0.86144009585943793</v>
      </c>
      <c r="M176" s="231">
        <f t="shared" si="14"/>
        <v>1.0287100173855424</v>
      </c>
      <c r="N176" s="194"/>
      <c r="O176" s="194">
        <v>24</v>
      </c>
      <c r="P176" s="180">
        <v>0.47916666666666669</v>
      </c>
      <c r="Q176" s="231">
        <f t="shared" si="15"/>
        <v>333.08568745301204</v>
      </c>
      <c r="R176" s="231">
        <f t="shared" si="16"/>
        <v>606.69178786084331</v>
      </c>
      <c r="S176" s="231">
        <f t="shared" si="17"/>
        <v>444.90731109795183</v>
      </c>
      <c r="T176" s="231" t="str">
        <f t="shared" si="18"/>
        <v/>
      </c>
      <c r="U176" s="194"/>
    </row>
    <row r="177" spans="2:21">
      <c r="B177" s="194"/>
      <c r="C177" s="194"/>
      <c r="D177" s="180">
        <v>0.5</v>
      </c>
      <c r="E177" s="231">
        <f t="shared" si="9"/>
        <v>461.56159547060241</v>
      </c>
      <c r="F177" s="231">
        <f t="shared" si="10"/>
        <v>428.29589489614466</v>
      </c>
      <c r="G177" s="231">
        <f t="shared" si="11"/>
        <v>511.46014633228924</v>
      </c>
      <c r="H177" s="194"/>
      <c r="I177" s="194"/>
      <c r="J177" s="180">
        <v>0.5</v>
      </c>
      <c r="K177" s="231">
        <f t="shared" si="12"/>
        <v>0.90502273621686746</v>
      </c>
      <c r="L177" s="231">
        <f t="shared" si="13"/>
        <v>0.83979587234538167</v>
      </c>
      <c r="M177" s="231">
        <f t="shared" si="14"/>
        <v>1.0028630320240965</v>
      </c>
      <c r="N177" s="194"/>
      <c r="O177" s="194">
        <v>25</v>
      </c>
      <c r="P177" s="180">
        <v>0.5</v>
      </c>
      <c r="Q177" s="231">
        <f t="shared" si="15"/>
        <v>340.22323789843375</v>
      </c>
      <c r="R177" s="231">
        <f t="shared" si="16"/>
        <v>578.14158607915658</v>
      </c>
      <c r="S177" s="231">
        <f t="shared" si="17"/>
        <v>427.06343498439759</v>
      </c>
      <c r="T177" s="231" t="str">
        <f t="shared" si="18"/>
        <v/>
      </c>
      <c r="U177" s="194"/>
    </row>
    <row r="178" spans="2:21">
      <c r="B178" s="194"/>
      <c r="C178" s="194"/>
      <c r="D178" s="180">
        <v>0.52083333333333337</v>
      </c>
      <c r="E178" s="231">
        <f t="shared" si="9"/>
        <v>455.61363676608437</v>
      </c>
      <c r="F178" s="231">
        <f t="shared" si="10"/>
        <v>422.77661790006027</v>
      </c>
      <c r="G178" s="231">
        <f t="shared" si="11"/>
        <v>504.86916506512057</v>
      </c>
      <c r="H178" s="194"/>
      <c r="I178" s="194"/>
      <c r="J178" s="180">
        <v>0.52083333333333337</v>
      </c>
      <c r="K178" s="231">
        <f t="shared" si="12"/>
        <v>0.8933600720903615</v>
      </c>
      <c r="L178" s="231">
        <f t="shared" si="13"/>
        <v>0.82897376058835348</v>
      </c>
      <c r="M178" s="231">
        <f t="shared" si="14"/>
        <v>0.98993953934337364</v>
      </c>
      <c r="N178" s="194"/>
      <c r="O178" s="194">
        <v>26</v>
      </c>
      <c r="P178" s="180">
        <v>0.52083333333333337</v>
      </c>
      <c r="Q178" s="231">
        <f t="shared" si="15"/>
        <v>346.17119660295185</v>
      </c>
      <c r="R178" s="231">
        <f t="shared" si="16"/>
        <v>561.48730170650606</v>
      </c>
      <c r="S178" s="231">
        <f t="shared" si="17"/>
        <v>418.73629279807233</v>
      </c>
      <c r="T178" s="231" t="str">
        <f t="shared" si="18"/>
        <v/>
      </c>
      <c r="U178" s="194"/>
    </row>
    <row r="179" spans="2:21">
      <c r="B179" s="194"/>
      <c r="C179" s="194"/>
      <c r="D179" s="180">
        <v>0.54166666666666663</v>
      </c>
      <c r="E179" s="231">
        <f t="shared" si="9"/>
        <v>447.28649457975905</v>
      </c>
      <c r="F179" s="231">
        <f t="shared" si="10"/>
        <v>415.04963010554224</v>
      </c>
      <c r="G179" s="231">
        <f t="shared" si="11"/>
        <v>495.64179129108447</v>
      </c>
      <c r="H179" s="194"/>
      <c r="I179" s="194"/>
      <c r="J179" s="180">
        <v>0.54166666666666663</v>
      </c>
      <c r="K179" s="231">
        <f t="shared" si="12"/>
        <v>0.877032342313253</v>
      </c>
      <c r="L179" s="231">
        <f t="shared" si="13"/>
        <v>0.81382280412851415</v>
      </c>
      <c r="M179" s="231">
        <f t="shared" si="14"/>
        <v>0.97184664959036171</v>
      </c>
      <c r="N179" s="194"/>
      <c r="O179" s="194">
        <v>27</v>
      </c>
      <c r="P179" s="180">
        <v>0.54166666666666663</v>
      </c>
      <c r="Q179" s="231">
        <f t="shared" si="15"/>
        <v>348.55038008475901</v>
      </c>
      <c r="R179" s="231">
        <f t="shared" si="16"/>
        <v>544.83301733385542</v>
      </c>
      <c r="S179" s="231">
        <f t="shared" si="17"/>
        <v>406.84037538903618</v>
      </c>
      <c r="T179" s="231" t="str">
        <f t="shared" si="18"/>
        <v/>
      </c>
      <c r="U179" s="194"/>
    </row>
    <row r="180" spans="2:21">
      <c r="B180" s="194"/>
      <c r="C180" s="194"/>
      <c r="D180" s="180">
        <v>0.5625</v>
      </c>
      <c r="E180" s="231">
        <f t="shared" si="9"/>
        <v>443.71771935704822</v>
      </c>
      <c r="F180" s="231">
        <f t="shared" si="10"/>
        <v>411.73806390789161</v>
      </c>
      <c r="G180" s="231">
        <f t="shared" si="11"/>
        <v>491.68720253078322</v>
      </c>
      <c r="H180" s="194"/>
      <c r="I180" s="194"/>
      <c r="J180" s="180">
        <v>0.5625</v>
      </c>
      <c r="K180" s="231">
        <f t="shared" si="12"/>
        <v>0.87003474383734947</v>
      </c>
      <c r="L180" s="231">
        <f t="shared" si="13"/>
        <v>0.80732953707429733</v>
      </c>
      <c r="M180" s="231">
        <f t="shared" si="14"/>
        <v>0.96409255398192795</v>
      </c>
      <c r="N180" s="194"/>
      <c r="O180" s="194">
        <v>28</v>
      </c>
      <c r="P180" s="180">
        <v>0.5625</v>
      </c>
      <c r="Q180" s="231">
        <f t="shared" si="15"/>
        <v>358.06711401198794</v>
      </c>
      <c r="R180" s="231">
        <f t="shared" si="16"/>
        <v>531.74750818391567</v>
      </c>
      <c r="S180" s="231">
        <f t="shared" si="17"/>
        <v>403.2716001663253</v>
      </c>
      <c r="T180" s="231" t="str">
        <f t="shared" si="18"/>
        <v/>
      </c>
      <c r="U180" s="194"/>
    </row>
    <row r="181" spans="2:21">
      <c r="B181" s="194"/>
      <c r="C181" s="194"/>
      <c r="D181" s="180">
        <v>0.58333333333333337</v>
      </c>
      <c r="E181" s="231">
        <f t="shared" si="9"/>
        <v>446.09690283885544</v>
      </c>
      <c r="F181" s="231">
        <f t="shared" si="10"/>
        <v>413.94577470632532</v>
      </c>
      <c r="G181" s="231">
        <f t="shared" si="11"/>
        <v>494.32359503765065</v>
      </c>
      <c r="H181" s="194"/>
      <c r="I181" s="194"/>
      <c r="J181" s="180">
        <v>0.58333333333333337</v>
      </c>
      <c r="K181" s="231">
        <f t="shared" si="12"/>
        <v>0.8746998094879519</v>
      </c>
      <c r="L181" s="231">
        <f t="shared" si="13"/>
        <v>0.81165838177710847</v>
      </c>
      <c r="M181" s="231">
        <f t="shared" si="14"/>
        <v>0.96926195105421697</v>
      </c>
      <c r="N181" s="194"/>
      <c r="O181" s="194">
        <v>29</v>
      </c>
      <c r="P181" s="180">
        <v>0.58333333333333337</v>
      </c>
      <c r="Q181" s="231">
        <f t="shared" si="15"/>
        <v>375.91099012554218</v>
      </c>
      <c r="R181" s="231">
        <f t="shared" si="16"/>
        <v>521.04118251578313</v>
      </c>
      <c r="S181" s="231">
        <f t="shared" si="17"/>
        <v>402.08200842542163</v>
      </c>
      <c r="T181" s="231" t="str">
        <f t="shared" si="18"/>
        <v/>
      </c>
      <c r="U181" s="194"/>
    </row>
    <row r="182" spans="2:21">
      <c r="B182" s="194"/>
      <c r="C182" s="194"/>
      <c r="D182" s="180">
        <v>0.60416666666666663</v>
      </c>
      <c r="E182" s="231">
        <f t="shared" si="9"/>
        <v>462.75118721150602</v>
      </c>
      <c r="F182" s="231">
        <f t="shared" si="10"/>
        <v>429.39975029536146</v>
      </c>
      <c r="G182" s="231">
        <f t="shared" si="11"/>
        <v>512.77834258572295</v>
      </c>
      <c r="H182" s="194"/>
      <c r="I182" s="194"/>
      <c r="J182" s="180">
        <v>0.60416666666666663</v>
      </c>
      <c r="K182" s="231">
        <f t="shared" si="12"/>
        <v>0.90735526904216868</v>
      </c>
      <c r="L182" s="231">
        <f t="shared" si="13"/>
        <v>0.84196029469678713</v>
      </c>
      <c r="M182" s="231">
        <f t="shared" si="14"/>
        <v>1.0054477305602412</v>
      </c>
      <c r="N182" s="194"/>
      <c r="O182" s="194">
        <v>30</v>
      </c>
      <c r="P182" s="180">
        <v>0.60416666666666663</v>
      </c>
      <c r="Q182" s="231">
        <f t="shared" si="15"/>
        <v>411.59874235265062</v>
      </c>
      <c r="R182" s="231">
        <f t="shared" si="16"/>
        <v>522.2307742566868</v>
      </c>
      <c r="S182" s="231">
        <f t="shared" si="17"/>
        <v>410.40915061174701</v>
      </c>
      <c r="T182" s="231" t="str">
        <f t="shared" si="18"/>
        <v/>
      </c>
      <c r="U182" s="194"/>
    </row>
    <row r="183" spans="2:21">
      <c r="B183" s="194"/>
      <c r="C183" s="194"/>
      <c r="D183" s="180">
        <v>0.625</v>
      </c>
      <c r="E183" s="231">
        <f t="shared" si="9"/>
        <v>484.16383854777109</v>
      </c>
      <c r="F183" s="231">
        <f t="shared" si="10"/>
        <v>449.26914748126512</v>
      </c>
      <c r="G183" s="231">
        <f t="shared" si="11"/>
        <v>536.50587514753022</v>
      </c>
      <c r="H183" s="194"/>
      <c r="I183" s="194"/>
      <c r="J183" s="180">
        <v>0.625</v>
      </c>
      <c r="K183" s="231">
        <f t="shared" si="12"/>
        <v>0.94934085989759043</v>
      </c>
      <c r="L183" s="231">
        <f t="shared" si="13"/>
        <v>0.8809198970220885</v>
      </c>
      <c r="M183" s="231">
        <f t="shared" si="14"/>
        <v>1.0519723042108435</v>
      </c>
      <c r="N183" s="194"/>
      <c r="O183" s="194">
        <v>31</v>
      </c>
      <c r="P183" s="180">
        <v>0.625</v>
      </c>
      <c r="Q183" s="231">
        <f t="shared" si="15"/>
        <v>454.4240450251807</v>
      </c>
      <c r="R183" s="231">
        <f t="shared" si="16"/>
        <v>529.36832470210845</v>
      </c>
      <c r="S183" s="231">
        <f t="shared" si="17"/>
        <v>418.73629279807233</v>
      </c>
      <c r="T183" s="231" t="str">
        <f t="shared" si="18"/>
        <v/>
      </c>
      <c r="U183" s="194"/>
    </row>
    <row r="184" spans="2:21">
      <c r="B184" s="194"/>
      <c r="C184" s="194"/>
      <c r="D184" s="180">
        <v>0.64583333333333337</v>
      </c>
      <c r="E184" s="231">
        <f t="shared" si="9"/>
        <v>510.3348568476506</v>
      </c>
      <c r="F184" s="231">
        <f t="shared" si="10"/>
        <v>473.55396626403621</v>
      </c>
      <c r="G184" s="231">
        <f t="shared" si="11"/>
        <v>565.50619272307245</v>
      </c>
      <c r="H184" s="194"/>
      <c r="I184" s="194"/>
      <c r="J184" s="180">
        <v>0.64583333333333337</v>
      </c>
      <c r="K184" s="231">
        <f t="shared" si="12"/>
        <v>1.0006565820542168</v>
      </c>
      <c r="L184" s="231">
        <f t="shared" si="13"/>
        <v>0.92853718875301217</v>
      </c>
      <c r="M184" s="231">
        <f t="shared" si="14"/>
        <v>1.1088356720060244</v>
      </c>
      <c r="N184" s="194"/>
      <c r="O184" s="194">
        <v>32</v>
      </c>
      <c r="P184" s="180">
        <v>0.64583333333333337</v>
      </c>
      <c r="Q184" s="231">
        <f t="shared" si="15"/>
        <v>507.95567336584338</v>
      </c>
      <c r="R184" s="231">
        <f t="shared" si="16"/>
        <v>535.31628340662655</v>
      </c>
      <c r="S184" s="231">
        <f t="shared" si="17"/>
        <v>429.44261846620481</v>
      </c>
      <c r="T184" s="231" t="str">
        <f t="shared" si="18"/>
        <v/>
      </c>
      <c r="U184" s="194"/>
    </row>
    <row r="185" spans="2:21">
      <c r="B185" s="194"/>
      <c r="C185" s="194"/>
      <c r="D185" s="180">
        <v>0.66666666666666663</v>
      </c>
      <c r="E185" s="231">
        <f t="shared" si="9"/>
        <v>532.93709992481934</v>
      </c>
      <c r="F185" s="231">
        <f t="shared" si="10"/>
        <v>494.52721884915667</v>
      </c>
      <c r="G185" s="231">
        <f t="shared" si="11"/>
        <v>590.55192153831331</v>
      </c>
      <c r="H185" s="194"/>
      <c r="I185" s="194"/>
      <c r="J185" s="180">
        <v>0.66666666666666663</v>
      </c>
      <c r="K185" s="231">
        <f t="shared" si="12"/>
        <v>1.0449747057349399</v>
      </c>
      <c r="L185" s="231">
        <f t="shared" si="13"/>
        <v>0.969661213429719</v>
      </c>
      <c r="M185" s="231">
        <f t="shared" si="14"/>
        <v>1.1579449441927712</v>
      </c>
      <c r="N185" s="194"/>
      <c r="O185" s="194">
        <v>33</v>
      </c>
      <c r="P185" s="180">
        <v>0.66666666666666663</v>
      </c>
      <c r="Q185" s="231">
        <f t="shared" si="15"/>
        <v>561.48730170650606</v>
      </c>
      <c r="R185" s="231">
        <f t="shared" si="16"/>
        <v>536.50587514753011</v>
      </c>
      <c r="S185" s="231">
        <f t="shared" si="17"/>
        <v>434.20098542981924</v>
      </c>
      <c r="T185" s="231" t="str">
        <f t="shared" si="18"/>
        <v/>
      </c>
      <c r="U185" s="194"/>
    </row>
    <row r="186" spans="2:21">
      <c r="B186" s="194"/>
      <c r="C186" s="194"/>
      <c r="D186" s="180">
        <v>0.6875</v>
      </c>
      <c r="E186" s="231">
        <f t="shared" si="9"/>
        <v>554.34975126108441</v>
      </c>
      <c r="F186" s="231">
        <f t="shared" si="10"/>
        <v>514.39661603506033</v>
      </c>
      <c r="G186" s="231">
        <f t="shared" si="11"/>
        <v>614.27945410012057</v>
      </c>
      <c r="H186" s="194"/>
      <c r="I186" s="194"/>
      <c r="J186" s="180">
        <v>0.6875</v>
      </c>
      <c r="K186" s="231">
        <f t="shared" si="12"/>
        <v>1.0869602965903615</v>
      </c>
      <c r="L186" s="231">
        <f t="shared" si="13"/>
        <v>1.0086208157550203</v>
      </c>
      <c r="M186" s="231">
        <f t="shared" si="14"/>
        <v>1.2044695178433737</v>
      </c>
      <c r="N186" s="194"/>
      <c r="O186" s="194">
        <v>34</v>
      </c>
      <c r="P186" s="180">
        <v>0.6875</v>
      </c>
      <c r="Q186" s="231">
        <f t="shared" si="15"/>
        <v>612.63974656536141</v>
      </c>
      <c r="R186" s="231">
        <f t="shared" si="16"/>
        <v>535.31628340662655</v>
      </c>
      <c r="S186" s="231">
        <f t="shared" si="17"/>
        <v>437.76976065253012</v>
      </c>
      <c r="T186" s="231" t="str">
        <f t="shared" si="18"/>
        <v/>
      </c>
      <c r="U186" s="194"/>
    </row>
    <row r="187" spans="2:21">
      <c r="B187" s="194"/>
      <c r="C187" s="194"/>
      <c r="D187" s="180">
        <v>0.70833333333333337</v>
      </c>
      <c r="E187" s="231">
        <f t="shared" si="9"/>
        <v>566.24566867012049</v>
      </c>
      <c r="F187" s="231">
        <f t="shared" si="10"/>
        <v>525.43517002722899</v>
      </c>
      <c r="G187" s="231">
        <f t="shared" si="11"/>
        <v>627.46141663445803</v>
      </c>
      <c r="H187" s="194"/>
      <c r="I187" s="194"/>
      <c r="J187" s="180">
        <v>0.70833333333333337</v>
      </c>
      <c r="K187" s="231">
        <f t="shared" si="12"/>
        <v>1.1102856248433735</v>
      </c>
      <c r="L187" s="231">
        <f t="shared" si="13"/>
        <v>1.0302650392690764</v>
      </c>
      <c r="M187" s="231">
        <f t="shared" si="14"/>
        <v>1.2303165032048198</v>
      </c>
      <c r="N187" s="194"/>
      <c r="O187" s="194">
        <v>35</v>
      </c>
      <c r="P187" s="180">
        <v>0.70833333333333337</v>
      </c>
      <c r="Q187" s="231">
        <f t="shared" si="15"/>
        <v>650.70668227427711</v>
      </c>
      <c r="R187" s="231">
        <f t="shared" si="16"/>
        <v>530.55791644301212</v>
      </c>
      <c r="S187" s="231">
        <f t="shared" si="17"/>
        <v>437.76976065253012</v>
      </c>
      <c r="T187" s="231" t="str">
        <f t="shared" si="18"/>
        <v/>
      </c>
      <c r="U187" s="194"/>
    </row>
    <row r="188" spans="2:21">
      <c r="B188" s="194"/>
      <c r="C188" s="194"/>
      <c r="D188" s="180">
        <v>0.72916666666666663</v>
      </c>
      <c r="E188" s="231">
        <f t="shared" si="9"/>
        <v>572.19362737463848</v>
      </c>
      <c r="F188" s="231">
        <f t="shared" si="10"/>
        <v>530.95444702331326</v>
      </c>
      <c r="G188" s="231">
        <f t="shared" si="11"/>
        <v>634.05239790162659</v>
      </c>
      <c r="H188" s="194"/>
      <c r="I188" s="194"/>
      <c r="J188" s="180">
        <v>0.72916666666666663</v>
      </c>
      <c r="K188" s="231">
        <f t="shared" si="12"/>
        <v>1.1219482889698793</v>
      </c>
      <c r="L188" s="231">
        <f t="shared" si="13"/>
        <v>1.0410871510261044</v>
      </c>
      <c r="M188" s="231">
        <f t="shared" si="14"/>
        <v>1.2432399958855422</v>
      </c>
      <c r="N188" s="194"/>
      <c r="O188" s="194">
        <v>36</v>
      </c>
      <c r="P188" s="180">
        <v>0.72916666666666663</v>
      </c>
      <c r="Q188" s="231">
        <f t="shared" si="15"/>
        <v>674.4985170923494</v>
      </c>
      <c r="R188" s="231">
        <f t="shared" si="16"/>
        <v>521.04118251578313</v>
      </c>
      <c r="S188" s="231">
        <f t="shared" si="17"/>
        <v>440.14894413433734</v>
      </c>
      <c r="T188" s="231" t="str">
        <f t="shared" si="18"/>
        <v/>
      </c>
      <c r="U188" s="194"/>
    </row>
    <row r="189" spans="2:21">
      <c r="B189" s="194"/>
      <c r="C189" s="194"/>
      <c r="D189" s="180">
        <v>0.75</v>
      </c>
      <c r="E189" s="231">
        <f t="shared" si="9"/>
        <v>571.00403563373493</v>
      </c>
      <c r="F189" s="231">
        <f t="shared" si="10"/>
        <v>529.85059162409641</v>
      </c>
      <c r="G189" s="231">
        <f t="shared" si="11"/>
        <v>632.73420164819288</v>
      </c>
      <c r="H189" s="194"/>
      <c r="I189" s="194"/>
      <c r="J189" s="180">
        <v>0.75</v>
      </c>
      <c r="K189" s="231">
        <f t="shared" si="12"/>
        <v>1.1196157561445783</v>
      </c>
      <c r="L189" s="231">
        <f t="shared" si="13"/>
        <v>1.0389227286746989</v>
      </c>
      <c r="M189" s="231">
        <f t="shared" si="14"/>
        <v>1.2406552973493978</v>
      </c>
      <c r="N189" s="194"/>
      <c r="O189" s="194">
        <v>37</v>
      </c>
      <c r="P189" s="180">
        <v>0.75</v>
      </c>
      <c r="Q189" s="231">
        <f t="shared" si="15"/>
        <v>686.3944345013856</v>
      </c>
      <c r="R189" s="231">
        <f t="shared" si="16"/>
        <v>507.95567336584338</v>
      </c>
      <c r="S189" s="231">
        <f t="shared" si="17"/>
        <v>442.52812761614456</v>
      </c>
      <c r="T189" s="231" t="str">
        <f t="shared" si="18"/>
        <v/>
      </c>
      <c r="U189" s="194"/>
    </row>
    <row r="190" spans="2:21">
      <c r="B190" s="194"/>
      <c r="C190" s="194"/>
      <c r="D190" s="180">
        <v>0.77083333333333337</v>
      </c>
      <c r="E190" s="231">
        <f t="shared" si="9"/>
        <v>572.19362737463848</v>
      </c>
      <c r="F190" s="231">
        <f t="shared" si="10"/>
        <v>530.95444702331326</v>
      </c>
      <c r="G190" s="231">
        <f t="shared" si="11"/>
        <v>634.05239790162659</v>
      </c>
      <c r="H190" s="194"/>
      <c r="I190" s="194"/>
      <c r="J190" s="180">
        <v>0.77083333333333337</v>
      </c>
      <c r="K190" s="231">
        <f t="shared" si="12"/>
        <v>1.1219482889698793</v>
      </c>
      <c r="L190" s="231">
        <f t="shared" si="13"/>
        <v>1.0410871510261044</v>
      </c>
      <c r="M190" s="231">
        <f t="shared" si="14"/>
        <v>1.2432399958855422</v>
      </c>
      <c r="N190" s="194"/>
      <c r="O190" s="194">
        <v>38</v>
      </c>
      <c r="P190" s="180">
        <v>0.77083333333333337</v>
      </c>
      <c r="Q190" s="231">
        <f t="shared" si="15"/>
        <v>692.3423932059037</v>
      </c>
      <c r="R190" s="231">
        <f t="shared" si="16"/>
        <v>502.00771466132534</v>
      </c>
      <c r="S190" s="231">
        <f t="shared" si="17"/>
        <v>449.66567806156627</v>
      </c>
      <c r="T190" s="231" t="str">
        <f t="shared" si="18"/>
        <v/>
      </c>
      <c r="U190" s="194"/>
    </row>
    <row r="191" spans="2:21">
      <c r="B191" s="194"/>
      <c r="C191" s="194"/>
      <c r="D191" s="180">
        <v>0.79166666666666663</v>
      </c>
      <c r="E191" s="231">
        <f t="shared" si="9"/>
        <v>568.62485215192771</v>
      </c>
      <c r="F191" s="231">
        <f t="shared" si="10"/>
        <v>527.6428808256627</v>
      </c>
      <c r="G191" s="231">
        <f t="shared" si="11"/>
        <v>630.09780914132546</v>
      </c>
      <c r="H191" s="194"/>
      <c r="I191" s="194"/>
      <c r="J191" s="180">
        <v>0.79166666666666663</v>
      </c>
      <c r="K191" s="231">
        <f t="shared" si="12"/>
        <v>1.1149506904939759</v>
      </c>
      <c r="L191" s="231">
        <f t="shared" si="13"/>
        <v>1.0345938839718876</v>
      </c>
      <c r="M191" s="231">
        <f t="shared" si="14"/>
        <v>1.2354859002771088</v>
      </c>
      <c r="N191" s="194"/>
      <c r="O191" s="194">
        <v>39</v>
      </c>
      <c r="P191" s="180">
        <v>0.79166666666666663</v>
      </c>
      <c r="Q191" s="231">
        <f t="shared" si="15"/>
        <v>685.20484276048194</v>
      </c>
      <c r="R191" s="231">
        <f t="shared" si="16"/>
        <v>500.81812292042167</v>
      </c>
      <c r="S191" s="231">
        <f t="shared" si="17"/>
        <v>454.4240450251807</v>
      </c>
      <c r="T191" s="231" t="str">
        <f t="shared" si="18"/>
        <v/>
      </c>
      <c r="U191" s="194"/>
    </row>
    <row r="192" spans="2:21">
      <c r="B192" s="194"/>
      <c r="C192" s="194"/>
      <c r="D192" s="180">
        <v>0.8125</v>
      </c>
      <c r="E192" s="231">
        <f t="shared" si="9"/>
        <v>561.48730170650606</v>
      </c>
      <c r="F192" s="231">
        <f t="shared" si="10"/>
        <v>521.01974843036146</v>
      </c>
      <c r="G192" s="231">
        <f t="shared" si="11"/>
        <v>622.18863162072296</v>
      </c>
      <c r="H192" s="194"/>
      <c r="I192" s="194"/>
      <c r="J192" s="180">
        <v>0.8125</v>
      </c>
      <c r="K192" s="231">
        <f t="shared" si="12"/>
        <v>1.1009554935421688</v>
      </c>
      <c r="L192" s="231">
        <f t="shared" si="13"/>
        <v>1.0216073498634539</v>
      </c>
      <c r="M192" s="231">
        <f t="shared" si="14"/>
        <v>1.2199777090602411</v>
      </c>
      <c r="N192" s="194"/>
      <c r="O192" s="194">
        <v>40</v>
      </c>
      <c r="P192" s="180">
        <v>0.8125</v>
      </c>
      <c r="Q192" s="231">
        <f t="shared" si="15"/>
        <v>667.36096664692764</v>
      </c>
      <c r="R192" s="231">
        <f t="shared" si="16"/>
        <v>497.24934769771079</v>
      </c>
      <c r="S192" s="231">
        <f t="shared" si="17"/>
        <v>462.75118721150602</v>
      </c>
      <c r="T192" s="231" t="str">
        <f t="shared" si="18"/>
        <v/>
      </c>
      <c r="U192" s="194"/>
    </row>
    <row r="193" spans="2:21">
      <c r="B193" s="194"/>
      <c r="C193" s="194"/>
      <c r="D193" s="180">
        <v>0.83333333333333337</v>
      </c>
      <c r="E193" s="231">
        <f t="shared" si="9"/>
        <v>544.83301733385542</v>
      </c>
      <c r="F193" s="231">
        <f t="shared" si="10"/>
        <v>505.56577284132538</v>
      </c>
      <c r="G193" s="231">
        <f t="shared" si="11"/>
        <v>603.73388407265077</v>
      </c>
      <c r="H193" s="194"/>
      <c r="I193" s="194"/>
      <c r="J193" s="180">
        <v>0.83333333333333337</v>
      </c>
      <c r="K193" s="231">
        <f t="shared" si="12"/>
        <v>1.0683000339879518</v>
      </c>
      <c r="L193" s="231">
        <f t="shared" si="13"/>
        <v>0.99130543694377526</v>
      </c>
      <c r="M193" s="231">
        <f t="shared" si="14"/>
        <v>1.1837919295542172</v>
      </c>
      <c r="N193" s="194"/>
      <c r="O193" s="194">
        <v>41</v>
      </c>
      <c r="P193" s="180">
        <v>0.83333333333333337</v>
      </c>
      <c r="Q193" s="231">
        <f t="shared" si="15"/>
        <v>642.3795400879518</v>
      </c>
      <c r="R193" s="231">
        <f t="shared" si="16"/>
        <v>481.78465506596388</v>
      </c>
      <c r="S193" s="231">
        <f t="shared" si="17"/>
        <v>466.31996243421685</v>
      </c>
      <c r="T193" s="231" t="str">
        <f t="shared" si="18"/>
        <v/>
      </c>
      <c r="U193" s="194"/>
    </row>
    <row r="194" spans="2:21">
      <c r="B194" s="194"/>
      <c r="C194" s="194"/>
      <c r="D194" s="180">
        <v>0.85416666666666663</v>
      </c>
      <c r="E194" s="231">
        <f t="shared" si="9"/>
        <v>517.47240729307225</v>
      </c>
      <c r="F194" s="231">
        <f t="shared" si="10"/>
        <v>480.17709865933739</v>
      </c>
      <c r="G194" s="231">
        <f t="shared" si="11"/>
        <v>573.41537024367472</v>
      </c>
      <c r="H194" s="194"/>
      <c r="I194" s="194"/>
      <c r="J194" s="180">
        <v>0.85416666666666663</v>
      </c>
      <c r="K194" s="231">
        <f t="shared" si="12"/>
        <v>1.0146517790060241</v>
      </c>
      <c r="L194" s="231">
        <f t="shared" si="13"/>
        <v>0.94152372286144581</v>
      </c>
      <c r="M194" s="231">
        <f t="shared" si="14"/>
        <v>1.1243438632228917</v>
      </c>
      <c r="N194" s="194"/>
      <c r="O194" s="194">
        <v>42</v>
      </c>
      <c r="P194" s="180">
        <v>0.85416666666666663</v>
      </c>
      <c r="Q194" s="231">
        <f t="shared" si="15"/>
        <v>601.93342089722887</v>
      </c>
      <c r="R194" s="231">
        <f t="shared" si="16"/>
        <v>456.80322850698792</v>
      </c>
      <c r="S194" s="231">
        <f t="shared" si="17"/>
        <v>471.0783293978314</v>
      </c>
      <c r="T194" s="231" t="str">
        <f t="shared" si="18"/>
        <v/>
      </c>
      <c r="U194" s="194"/>
    </row>
    <row r="195" spans="2:21">
      <c r="B195" s="194"/>
      <c r="C195" s="194"/>
      <c r="D195" s="180">
        <v>0.875</v>
      </c>
      <c r="E195" s="231">
        <f t="shared" si="9"/>
        <v>481.78465506596388</v>
      </c>
      <c r="F195" s="231">
        <f t="shared" si="10"/>
        <v>447.06143668283141</v>
      </c>
      <c r="G195" s="231">
        <f t="shared" si="11"/>
        <v>533.8694826406628</v>
      </c>
      <c r="H195" s="194"/>
      <c r="I195" s="194"/>
      <c r="J195" s="180">
        <v>0.875</v>
      </c>
      <c r="K195" s="231">
        <f t="shared" si="12"/>
        <v>0.944675794246988</v>
      </c>
      <c r="L195" s="231">
        <f t="shared" si="13"/>
        <v>0.87659105231927725</v>
      </c>
      <c r="M195" s="231">
        <f t="shared" si="14"/>
        <v>1.0468029071385545</v>
      </c>
      <c r="N195" s="194"/>
      <c r="O195" s="194">
        <v>43</v>
      </c>
      <c r="P195" s="180">
        <v>0.875</v>
      </c>
      <c r="Q195" s="231">
        <f t="shared" si="15"/>
        <v>556.72893474289162</v>
      </c>
      <c r="R195" s="231">
        <f t="shared" si="16"/>
        <v>418.73629279807233</v>
      </c>
      <c r="S195" s="231">
        <f t="shared" si="17"/>
        <v>472.26792113873495</v>
      </c>
      <c r="T195" s="231" t="str">
        <f t="shared" si="18"/>
        <v/>
      </c>
      <c r="U195" s="194"/>
    </row>
    <row r="196" spans="2:21">
      <c r="B196" s="194"/>
      <c r="C196" s="194"/>
      <c r="D196" s="180">
        <v>0.89583333333333337</v>
      </c>
      <c r="E196" s="231">
        <f t="shared" si="9"/>
        <v>428.2530267253012</v>
      </c>
      <c r="F196" s="231">
        <f t="shared" si="10"/>
        <v>397.38794371807228</v>
      </c>
      <c r="G196" s="231">
        <f t="shared" si="11"/>
        <v>474.55065123614463</v>
      </c>
      <c r="H196" s="194"/>
      <c r="I196" s="194"/>
      <c r="J196" s="180">
        <v>0.89583333333333337</v>
      </c>
      <c r="K196" s="231">
        <f t="shared" si="12"/>
        <v>0.83971181710843368</v>
      </c>
      <c r="L196" s="231">
        <f t="shared" si="13"/>
        <v>0.77919204650602403</v>
      </c>
      <c r="M196" s="231">
        <f t="shared" si="14"/>
        <v>0.93049147301204826</v>
      </c>
      <c r="N196" s="194"/>
      <c r="O196" s="194">
        <v>44</v>
      </c>
      <c r="P196" s="180">
        <v>0.89583333333333337</v>
      </c>
      <c r="Q196" s="231">
        <f t="shared" si="15"/>
        <v>492.49098073409641</v>
      </c>
      <c r="R196" s="231">
        <f t="shared" si="16"/>
        <v>356.87752227108433</v>
      </c>
      <c r="S196" s="231">
        <f t="shared" si="17"/>
        <v>475.83669636144577</v>
      </c>
      <c r="T196" s="231" t="str">
        <f t="shared" si="18"/>
        <v/>
      </c>
      <c r="U196" s="194"/>
    </row>
    <row r="197" spans="2:21">
      <c r="B197" s="194"/>
      <c r="C197" s="194"/>
      <c r="D197" s="180">
        <v>0.91666666666666663</v>
      </c>
      <c r="E197" s="231">
        <f t="shared" si="9"/>
        <v>377.10058186644579</v>
      </c>
      <c r="F197" s="231">
        <f t="shared" si="10"/>
        <v>349.92216155174702</v>
      </c>
      <c r="G197" s="231">
        <f t="shared" si="11"/>
        <v>417.86821233849406</v>
      </c>
      <c r="H197" s="194"/>
      <c r="I197" s="194"/>
      <c r="J197" s="180">
        <v>0.91666666666666663</v>
      </c>
      <c r="K197" s="231">
        <f t="shared" si="12"/>
        <v>0.7394129056204819</v>
      </c>
      <c r="L197" s="231">
        <f t="shared" si="13"/>
        <v>0.68612188539558239</v>
      </c>
      <c r="M197" s="231">
        <f t="shared" si="14"/>
        <v>0.8193494359578315</v>
      </c>
      <c r="N197" s="194"/>
      <c r="O197" s="194">
        <v>45</v>
      </c>
      <c r="P197" s="180">
        <v>0.91666666666666663</v>
      </c>
      <c r="Q197" s="231">
        <f t="shared" si="15"/>
        <v>442.52812761614456</v>
      </c>
      <c r="R197" s="231">
        <f t="shared" si="16"/>
        <v>290.26038478048196</v>
      </c>
      <c r="S197" s="231">
        <f t="shared" si="17"/>
        <v>477.02628810234938</v>
      </c>
      <c r="T197" s="231" t="str">
        <f t="shared" si="18"/>
        <v/>
      </c>
      <c r="U197" s="194"/>
    </row>
    <row r="198" spans="2:21">
      <c r="B198" s="194"/>
      <c r="C198" s="194"/>
      <c r="D198" s="180">
        <v>0.9375</v>
      </c>
      <c r="E198" s="231">
        <f t="shared" si="9"/>
        <v>334.27527919391565</v>
      </c>
      <c r="F198" s="231">
        <f t="shared" si="10"/>
        <v>310.18336717993981</v>
      </c>
      <c r="G198" s="231">
        <f t="shared" si="11"/>
        <v>370.41314721487959</v>
      </c>
      <c r="H198" s="194"/>
      <c r="I198" s="194"/>
      <c r="J198" s="180">
        <v>0.9375</v>
      </c>
      <c r="K198" s="231">
        <f t="shared" si="12"/>
        <v>0.65544172390963851</v>
      </c>
      <c r="L198" s="231">
        <f t="shared" si="13"/>
        <v>0.60820268074497996</v>
      </c>
      <c r="M198" s="231">
        <f t="shared" si="14"/>
        <v>0.72630028865662666</v>
      </c>
      <c r="N198" s="194"/>
      <c r="O198" s="194">
        <v>46</v>
      </c>
      <c r="P198" s="180">
        <v>0.9375</v>
      </c>
      <c r="Q198" s="231">
        <f t="shared" si="15"/>
        <v>396.13404972090365</v>
      </c>
      <c r="R198" s="231">
        <f t="shared" si="16"/>
        <v>235.5391646989157</v>
      </c>
      <c r="S198" s="231">
        <f t="shared" si="17"/>
        <v>479.40547158415666</v>
      </c>
      <c r="T198" s="231" t="str">
        <f t="shared" si="18"/>
        <v/>
      </c>
      <c r="U198" s="194"/>
    </row>
    <row r="199" spans="2:21">
      <c r="B199" s="194"/>
      <c r="C199" s="194"/>
      <c r="D199" s="180">
        <v>0.95833333333333337</v>
      </c>
      <c r="E199" s="231">
        <f t="shared" si="9"/>
        <v>316.43140308036146</v>
      </c>
      <c r="F199" s="231">
        <f t="shared" si="10"/>
        <v>293.62553619168676</v>
      </c>
      <c r="G199" s="231">
        <f t="shared" si="11"/>
        <v>350.64020341337351</v>
      </c>
      <c r="H199" s="194"/>
      <c r="I199" s="194"/>
      <c r="J199" s="180">
        <v>0.95833333333333337</v>
      </c>
      <c r="K199" s="231">
        <f t="shared" si="12"/>
        <v>0.62045373153012051</v>
      </c>
      <c r="L199" s="231">
        <f t="shared" si="13"/>
        <v>0.57573634547389563</v>
      </c>
      <c r="M199" s="231">
        <f t="shared" si="14"/>
        <v>0.68752981061445784</v>
      </c>
      <c r="N199" s="194"/>
      <c r="O199" s="194">
        <v>47</v>
      </c>
      <c r="P199" s="180">
        <v>0.95833333333333337</v>
      </c>
      <c r="Q199" s="231">
        <f t="shared" si="15"/>
        <v>374.72139838463858</v>
      </c>
      <c r="R199" s="231">
        <f t="shared" si="16"/>
        <v>215.31610510355424</v>
      </c>
      <c r="S199" s="231">
        <f t="shared" si="17"/>
        <v>487.73261377048198</v>
      </c>
      <c r="T199" s="231" t="str">
        <f t="shared" si="18"/>
        <v/>
      </c>
      <c r="U199" s="194"/>
    </row>
    <row r="200" spans="2:21">
      <c r="B200" s="194"/>
      <c r="C200" s="194"/>
      <c r="D200" s="180">
        <v>0.97916666666666663</v>
      </c>
      <c r="E200" s="231">
        <f t="shared" si="9"/>
        <v>310.48344437584342</v>
      </c>
      <c r="F200" s="231">
        <f t="shared" si="10"/>
        <v>288.10625919560243</v>
      </c>
      <c r="G200" s="231">
        <f t="shared" si="11"/>
        <v>344.0492221462049</v>
      </c>
      <c r="H200" s="194"/>
      <c r="I200" s="194"/>
      <c r="J200" s="180">
        <v>0.97916666666666663</v>
      </c>
      <c r="K200" s="231">
        <f t="shared" si="12"/>
        <v>0.60879106740361455</v>
      </c>
      <c r="L200" s="231">
        <f t="shared" si="13"/>
        <v>0.56491423371686755</v>
      </c>
      <c r="M200" s="231">
        <f t="shared" si="14"/>
        <v>0.67460631793373504</v>
      </c>
      <c r="N200" s="194"/>
      <c r="O200" s="194">
        <v>48</v>
      </c>
      <c r="P200" s="180">
        <v>0.97916666666666663</v>
      </c>
      <c r="Q200" s="231">
        <f t="shared" si="15"/>
        <v>365.20466445740965</v>
      </c>
      <c r="R200" s="231">
        <f t="shared" si="16"/>
        <v>209.36814639903616</v>
      </c>
      <c r="S200" s="231">
        <f t="shared" si="17"/>
        <v>491.3013889931928</v>
      </c>
      <c r="T200" s="231" t="str">
        <f t="shared" si="18"/>
        <v/>
      </c>
      <c r="U200" s="194"/>
    </row>
    <row r="201" spans="2:21">
      <c r="B201" s="194"/>
      <c r="C201" s="194"/>
      <c r="D201" s="194"/>
      <c r="E201" s="194"/>
      <c r="F201" s="194"/>
      <c r="G201" s="194"/>
      <c r="H201" s="194"/>
      <c r="I201" s="194"/>
      <c r="J201" s="194"/>
      <c r="K201" s="194"/>
      <c r="L201" s="194"/>
      <c r="M201" s="194"/>
      <c r="N201" s="194"/>
      <c r="O201" s="194"/>
      <c r="P201" s="194"/>
      <c r="Q201" s="194"/>
      <c r="R201" s="194"/>
      <c r="S201" s="194"/>
      <c r="T201" s="194"/>
      <c r="U201" s="194"/>
    </row>
    <row r="202" spans="2:21">
      <c r="B202" s="194"/>
      <c r="C202" s="194"/>
      <c r="D202" s="194"/>
      <c r="E202" s="194"/>
      <c r="F202" s="194"/>
      <c r="G202" s="194"/>
      <c r="H202" s="194"/>
      <c r="I202" s="194"/>
      <c r="J202" s="194"/>
      <c r="K202" s="194"/>
      <c r="L202" s="194"/>
      <c r="M202" s="194"/>
      <c r="N202" s="194"/>
      <c r="O202" s="194"/>
      <c r="P202" s="194"/>
      <c r="Q202" s="194"/>
      <c r="R202" s="194"/>
      <c r="S202" s="194"/>
      <c r="T202" s="194"/>
      <c r="U202" s="194"/>
    </row>
    <row r="203" spans="2:21">
      <c r="B203" s="194"/>
      <c r="C203" s="194"/>
      <c r="D203" s="194"/>
      <c r="E203" s="194"/>
      <c r="F203" s="194"/>
      <c r="G203" s="194"/>
      <c r="H203" s="194"/>
      <c r="I203" s="194"/>
      <c r="J203" s="194"/>
      <c r="K203" s="194"/>
      <c r="L203" s="194"/>
      <c r="M203" s="194"/>
      <c r="N203" s="194"/>
      <c r="O203" s="194"/>
      <c r="P203" s="194"/>
      <c r="Q203" s="194"/>
      <c r="R203" s="194"/>
      <c r="S203" s="194"/>
      <c r="T203" s="194"/>
      <c r="U203" s="194"/>
    </row>
  </sheetData>
  <protectedRanges>
    <protectedRange sqref="J62:J69 J70:K80 I84:L84 E84:G84 Q152:T152 E152:G152 K152:M152" name="Range1_1"/>
  </protectedRanges>
  <mergeCells count="11">
    <mergeCell ref="C75:C78"/>
    <mergeCell ref="C35:E36"/>
    <mergeCell ref="C82:C84"/>
    <mergeCell ref="C62:C69"/>
    <mergeCell ref="C70:C71"/>
    <mergeCell ref="I82:L82"/>
    <mergeCell ref="I4:J4"/>
    <mergeCell ref="I5:J5"/>
    <mergeCell ref="I6:J6"/>
    <mergeCell ref="I7:J7"/>
    <mergeCell ref="I8:J8"/>
  </mergeCells>
  <phoneticPr fontId="43" type="noConversion"/>
  <conditionalFormatting sqref="D43">
    <cfRule type="cellIs" dxfId="6" priority="6" operator="equal">
      <formula>"Y"</formula>
    </cfRule>
    <cfRule type="cellIs" dxfId="5" priority="7" operator="equal">
      <formula>"N"</formula>
    </cfRule>
  </conditionalFormatting>
  <conditionalFormatting sqref="Y44:Z47">
    <cfRule type="expression" dxfId="4" priority="9">
      <formula>$X44</formula>
    </cfRule>
  </conditionalFormatting>
  <dataValidations count="5">
    <dataValidation type="list" allowBlank="1" showInputMessage="1" showErrorMessage="1" sqref="C23" xr:uid="{859BBB12-CF17-4B8C-8957-20B5283F10AD}">
      <formula1>year_list</formula1>
    </dataValidation>
    <dataValidation type="list" allowBlank="1" showInputMessage="1" showErrorMessage="1" sqref="K152:M152 E152:G152 I84:L84 E84:G84 Q152:T152" xr:uid="{747FD36D-987A-4451-945B-381433C294C8}">
      <formula1>rep_days</formula1>
    </dataValidation>
    <dataValidation type="list" allowBlank="1" showInputMessage="1" showErrorMessage="1" sqref="C17" xr:uid="{1B2F1182-D065-4D67-B675-24AF80422A56}">
      <formula1>Licence_areas</formula1>
    </dataValidation>
    <dataValidation type="list" allowBlank="1" showInputMessage="1" showErrorMessage="1" sqref="F138:G140" xr:uid="{63213494-731C-4483-A938-AD92EA2B73E2}">
      <formula1>HP_BBs</formula1>
    </dataValidation>
    <dataValidation type="list" allowBlank="1" showInputMessage="1" showErrorMessage="1" sqref="C20" xr:uid="{2FA5DAED-A989-4E6F-BDF5-41FE2C95ABF7}">
      <formula1>rep_days_selection</formula1>
    </dataValidation>
  </dataValidations>
  <hyperlinks>
    <hyperlink ref="A2" location="Contents!A1" display="Back to contents" xr:uid="{D07B4D97-0846-4FCC-A72A-EE224DBBFF2C}"/>
    <hyperlink ref="L21" r:id="rId1" xr:uid="{18018F22-1FAF-4ADA-BDAC-BFABF87B3D42}"/>
  </hyperlinks>
  <pageMargins left="0.7" right="0.7" top="0.75" bottom="0.75" header="0.3" footer="0.3"/>
  <pageSetup paperSize="9" orientation="portrait" r:id="rId2"/>
  <drawing r:id="rId3"/>
  <legacy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6E4E-A46D-4ABE-9B68-27855A0527D1}">
  <sheetPr>
    <tabColor theme="8"/>
  </sheetPr>
  <dimension ref="A1:V4"/>
  <sheetViews>
    <sheetView zoomScale="80" zoomScaleNormal="80" workbookViewId="0"/>
  </sheetViews>
  <sheetFormatPr defaultRowHeight="20.45" outlineLevelCol="1"/>
  <cols>
    <col min="1" max="1" width="14.8984375" customWidth="1"/>
    <col min="2" max="2" width="19.5" customWidth="1"/>
    <col min="3" max="3" width="20.5" customWidth="1"/>
    <col min="4" max="4" width="7.8984375" customWidth="1"/>
    <col min="5" max="5" width="6.19921875" customWidth="1"/>
    <col min="6" max="6" width="18.5" customWidth="1"/>
    <col min="7" max="7" width="32.19921875" customWidth="1"/>
    <col min="8" max="8" width="62.19921875" customWidth="1"/>
    <col min="9" max="9" width="51.8984375" customWidth="1"/>
    <col min="10" max="10" width="12.5" customWidth="1"/>
    <col min="11" max="11" width="13" customWidth="1" outlineLevel="1"/>
    <col min="12" max="12" width="5.8984375" customWidth="1" outlineLevel="1"/>
    <col min="13" max="13" width="13" customWidth="1" outlineLevel="1"/>
    <col min="14" max="14" width="6" customWidth="1" outlineLevel="1"/>
    <col min="15" max="15" width="13" customWidth="1" outlineLevel="1"/>
    <col min="16" max="16" width="6.5" customWidth="1" outlineLevel="1"/>
    <col min="17" max="17" width="13" customWidth="1" outlineLevel="1"/>
    <col min="18" max="18" width="5.8984375" customWidth="1" outlineLevel="1"/>
    <col min="19" max="19" width="13" customWidth="1" outlineLevel="1"/>
    <col min="20" max="20" width="6.8984375" customWidth="1" outlineLevel="1"/>
    <col min="21" max="21" width="13" customWidth="1" outlineLevel="1"/>
    <col min="22" max="22" width="6.5" customWidth="1" outlineLevel="1"/>
  </cols>
  <sheetData>
    <row r="1" spans="1:22" s="90" customFormat="1" ht="45" customHeight="1">
      <c r="A1" s="87" t="s">
        <v>40</v>
      </c>
    </row>
    <row r="2" spans="1:22" ht="25.15" customHeight="1" thickBot="1">
      <c r="A2" s="98" t="s">
        <v>57</v>
      </c>
    </row>
    <row r="3" spans="1:22" ht="60" thickBot="1">
      <c r="A3" s="4" t="s">
        <v>150</v>
      </c>
      <c r="B3" s="4" t="s">
        <v>18</v>
      </c>
      <c r="C3" s="5" t="s">
        <v>163</v>
      </c>
      <c r="D3" s="5" t="s">
        <v>7</v>
      </c>
      <c r="E3" s="6" t="s">
        <v>340</v>
      </c>
      <c r="F3" s="6" t="s">
        <v>341</v>
      </c>
      <c r="G3" s="6" t="s">
        <v>342</v>
      </c>
      <c r="H3" s="7" t="s">
        <v>343</v>
      </c>
      <c r="I3" s="7" t="s">
        <v>344</v>
      </c>
      <c r="J3" s="7" t="s">
        <v>345</v>
      </c>
      <c r="K3" s="6" t="s">
        <v>346</v>
      </c>
      <c r="L3" s="6" t="s">
        <v>347</v>
      </c>
      <c r="M3" s="6" t="s">
        <v>348</v>
      </c>
      <c r="N3" s="6" t="s">
        <v>347</v>
      </c>
      <c r="O3" s="6" t="s">
        <v>349</v>
      </c>
      <c r="P3" s="6" t="s">
        <v>347</v>
      </c>
      <c r="Q3" s="6" t="s">
        <v>350</v>
      </c>
      <c r="R3" s="6" t="s">
        <v>347</v>
      </c>
      <c r="S3" s="6" t="s">
        <v>351</v>
      </c>
      <c r="T3" s="6" t="s">
        <v>347</v>
      </c>
      <c r="U3" s="6" t="s">
        <v>352</v>
      </c>
      <c r="V3" s="6" t="s">
        <v>347</v>
      </c>
    </row>
    <row r="4" spans="1:22" ht="238.15" thickBot="1">
      <c r="A4" s="8" t="s">
        <v>41</v>
      </c>
      <c r="B4" s="8" t="s">
        <v>42</v>
      </c>
      <c r="C4" s="9" t="s">
        <v>826</v>
      </c>
      <c r="D4" s="9" t="s">
        <v>130</v>
      </c>
      <c r="E4" s="15" t="s">
        <v>403</v>
      </c>
      <c r="F4" s="15" t="s">
        <v>827</v>
      </c>
      <c r="G4" s="10" t="s">
        <v>828</v>
      </c>
      <c r="H4" s="9" t="s">
        <v>829</v>
      </c>
      <c r="I4" s="15" t="s">
        <v>830</v>
      </c>
      <c r="J4" s="11">
        <f>IFERROR(ROUND(AVERAGEIF(L4:V4,"&lt;&gt;0"),0),"NA")</f>
        <v>3</v>
      </c>
      <c r="K4" s="9" t="s">
        <v>831</v>
      </c>
      <c r="L4" s="9">
        <v>2</v>
      </c>
      <c r="M4" s="15" t="s">
        <v>832</v>
      </c>
      <c r="N4" s="9">
        <v>3</v>
      </c>
      <c r="O4" s="9" t="s">
        <v>833</v>
      </c>
      <c r="P4" s="9">
        <v>3</v>
      </c>
      <c r="Q4" s="15" t="s">
        <v>834</v>
      </c>
      <c r="R4" s="9">
        <v>2</v>
      </c>
      <c r="S4" s="9" t="s">
        <v>835</v>
      </c>
      <c r="T4" s="9">
        <v>3</v>
      </c>
      <c r="U4" s="15" t="s">
        <v>381</v>
      </c>
      <c r="V4" s="9">
        <v>2</v>
      </c>
    </row>
  </sheetData>
  <conditionalFormatting sqref="J4 L4 N4 P4 R4 T4 V4">
    <cfRule type="cellIs" dxfId="3" priority="1" operator="equal">
      <formula>"NA"</formula>
    </cfRule>
    <cfRule type="cellIs" dxfId="2" priority="2" operator="equal">
      <formula>3</formula>
    </cfRule>
    <cfRule type="cellIs" dxfId="1" priority="3" operator="equal">
      <formula>2</formula>
    </cfRule>
    <cfRule type="cellIs" dxfId="0" priority="4" operator="equal">
      <formula>1</formula>
    </cfRule>
  </conditionalFormatting>
  <dataValidations count="1">
    <dataValidation type="list" allowBlank="1" showInputMessage="1" showErrorMessage="1" sqref="L4 V4 N4 T4 R4 P4" xr:uid="{BCB15060-DD73-44B6-83EE-FCBDF7EE548D}">
      <formula1>RAG_list</formula1>
    </dataValidation>
  </dataValidations>
  <hyperlinks>
    <hyperlink ref="G4" r:id="rId1" xr:uid="{938BE801-11CA-4376-8FC2-DD210DEC5C46}"/>
    <hyperlink ref="A2" location="Contents!A1" display="Back to contents" xr:uid="{D1C93BC7-61F8-4684-B0E8-DE4473C8C9E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C274-9B48-4BCB-ACEC-DC885EF10CD8}">
  <sheetPr>
    <tabColor theme="8" tint="0.79998168889431442"/>
  </sheetPr>
  <dimension ref="A1:G30"/>
  <sheetViews>
    <sheetView showGridLines="0" workbookViewId="0">
      <pane xSplit="1" ySplit="3" topLeftCell="B4" activePane="bottomRight" state="frozen"/>
      <selection pane="bottomRight"/>
      <selection pane="bottomLeft" activeCell="C8" sqref="C8"/>
      <selection pane="topRight" activeCell="C8" sqref="C8"/>
    </sheetView>
  </sheetViews>
  <sheetFormatPr defaultRowHeight="20.45"/>
  <cols>
    <col min="1" max="1" width="24.19921875" customWidth="1"/>
    <col min="2" max="2" width="6.5" customWidth="1"/>
    <col min="3" max="3" width="17.5" customWidth="1"/>
    <col min="4" max="4" width="22.5" bestFit="1" customWidth="1"/>
    <col min="5" max="5" width="8.19921875" customWidth="1"/>
    <col min="6" max="6" width="15.8984375" customWidth="1"/>
  </cols>
  <sheetData>
    <row r="1" spans="1:7">
      <c r="A1" s="98" t="s">
        <v>57</v>
      </c>
      <c r="B1" s="98"/>
      <c r="C1" s="98"/>
      <c r="D1" s="98"/>
    </row>
    <row r="2" spans="1:7">
      <c r="A2" s="99" t="s">
        <v>836</v>
      </c>
      <c r="B2" s="99"/>
      <c r="C2" s="99"/>
      <c r="D2" s="99"/>
    </row>
    <row r="3" spans="1:7" ht="40.9">
      <c r="A3" s="170" t="s">
        <v>162</v>
      </c>
      <c r="B3" s="170" t="s">
        <v>340</v>
      </c>
      <c r="C3" s="170" t="s">
        <v>483</v>
      </c>
      <c r="D3" s="170" t="s">
        <v>485</v>
      </c>
      <c r="E3" s="170" t="s">
        <v>491</v>
      </c>
      <c r="F3" s="170" t="s">
        <v>488</v>
      </c>
    </row>
    <row r="4" spans="1:7">
      <c r="A4" s="2" t="s">
        <v>837</v>
      </c>
      <c r="B4" s="2" t="s">
        <v>403</v>
      </c>
      <c r="C4" s="2" t="s">
        <v>269</v>
      </c>
      <c r="D4" s="2" t="s">
        <v>130</v>
      </c>
      <c r="E4" s="2">
        <v>2024</v>
      </c>
      <c r="F4" s="303">
        <v>1.0339</v>
      </c>
    </row>
    <row r="5" spans="1:7">
      <c r="A5" s="36" t="s">
        <v>837</v>
      </c>
      <c r="B5" s="36" t="s">
        <v>403</v>
      </c>
      <c r="C5" s="36" t="s">
        <v>269</v>
      </c>
      <c r="D5" s="36" t="s">
        <v>130</v>
      </c>
      <c r="E5" s="36">
        <v>2025</v>
      </c>
      <c r="F5" s="54">
        <v>1</v>
      </c>
      <c r="G5" s="19"/>
    </row>
    <row r="6" spans="1:7">
      <c r="A6" s="36" t="s">
        <v>837</v>
      </c>
      <c r="B6" s="36" t="s">
        <v>403</v>
      </c>
      <c r="C6" s="36" t="s">
        <v>269</v>
      </c>
      <c r="D6" s="36" t="s">
        <v>130</v>
      </c>
      <c r="E6" s="36">
        <v>2026</v>
      </c>
      <c r="F6" s="54">
        <v>0.96</v>
      </c>
      <c r="G6" s="19"/>
    </row>
    <row r="7" spans="1:7">
      <c r="A7" s="36" t="s">
        <v>837</v>
      </c>
      <c r="B7" s="36" t="s">
        <v>403</v>
      </c>
      <c r="C7" s="36" t="s">
        <v>269</v>
      </c>
      <c r="D7" s="36" t="s">
        <v>130</v>
      </c>
      <c r="E7" s="36">
        <v>2027</v>
      </c>
      <c r="F7" s="54">
        <v>0.92810000000000004</v>
      </c>
      <c r="G7" s="19"/>
    </row>
    <row r="8" spans="1:7">
      <c r="A8" s="36" t="s">
        <v>837</v>
      </c>
      <c r="B8" s="36" t="s">
        <v>403</v>
      </c>
      <c r="C8" s="36" t="s">
        <v>269</v>
      </c>
      <c r="D8" s="36" t="s">
        <v>130</v>
      </c>
      <c r="E8" s="36">
        <v>2028</v>
      </c>
      <c r="F8" s="54">
        <v>0.89939999999999998</v>
      </c>
      <c r="G8" s="19"/>
    </row>
    <row r="9" spans="1:7">
      <c r="A9" s="36" t="s">
        <v>837</v>
      </c>
      <c r="B9" s="36" t="s">
        <v>403</v>
      </c>
      <c r="C9" s="36" t="s">
        <v>269</v>
      </c>
      <c r="D9" s="36" t="s">
        <v>130</v>
      </c>
      <c r="E9" s="36">
        <v>2029</v>
      </c>
      <c r="F9" s="54">
        <v>0.87450000000000006</v>
      </c>
      <c r="G9" s="19"/>
    </row>
    <row r="10" spans="1:7">
      <c r="A10" s="36" t="s">
        <v>837</v>
      </c>
      <c r="B10" s="36" t="s">
        <v>403</v>
      </c>
      <c r="C10" s="36" t="s">
        <v>269</v>
      </c>
      <c r="D10" s="36" t="s">
        <v>130</v>
      </c>
      <c r="E10" s="36">
        <v>2030</v>
      </c>
      <c r="F10" s="54">
        <v>0.85299999999999998</v>
      </c>
      <c r="G10" s="19"/>
    </row>
    <row r="11" spans="1:7">
      <c r="A11" s="36" t="s">
        <v>837</v>
      </c>
      <c r="B11" s="36" t="s">
        <v>403</v>
      </c>
      <c r="C11" s="36" t="s">
        <v>269</v>
      </c>
      <c r="D11" s="36" t="s">
        <v>130</v>
      </c>
      <c r="E11" s="36">
        <v>2031</v>
      </c>
      <c r="F11" s="54">
        <v>0.83379999999999999</v>
      </c>
      <c r="G11" s="19"/>
    </row>
    <row r="12" spans="1:7">
      <c r="A12" s="36" t="s">
        <v>837</v>
      </c>
      <c r="B12" s="36" t="s">
        <v>403</v>
      </c>
      <c r="C12" s="36" t="s">
        <v>269</v>
      </c>
      <c r="D12" s="36" t="s">
        <v>130</v>
      </c>
      <c r="E12" s="36">
        <v>2032</v>
      </c>
      <c r="F12" s="54">
        <v>0.81820000000000004</v>
      </c>
      <c r="G12" s="19"/>
    </row>
    <row r="13" spans="1:7">
      <c r="A13" s="36" t="s">
        <v>837</v>
      </c>
      <c r="B13" s="36" t="s">
        <v>403</v>
      </c>
      <c r="C13" s="36" t="s">
        <v>269</v>
      </c>
      <c r="D13" s="36" t="s">
        <v>130</v>
      </c>
      <c r="E13" s="36">
        <v>2033</v>
      </c>
      <c r="F13" s="54">
        <v>0.80349999999999999</v>
      </c>
      <c r="G13" s="19"/>
    </row>
    <row r="14" spans="1:7">
      <c r="A14" s="36" t="s">
        <v>837</v>
      </c>
      <c r="B14" s="36" t="s">
        <v>403</v>
      </c>
      <c r="C14" s="36" t="s">
        <v>269</v>
      </c>
      <c r="D14" s="36" t="s">
        <v>130</v>
      </c>
      <c r="E14" s="36">
        <v>2034</v>
      </c>
      <c r="F14" s="54">
        <v>0.78949999999999998</v>
      </c>
      <c r="G14" s="19"/>
    </row>
    <row r="15" spans="1:7">
      <c r="A15" s="36" t="s">
        <v>837</v>
      </c>
      <c r="B15" s="36" t="s">
        <v>403</v>
      </c>
      <c r="C15" s="36" t="s">
        <v>269</v>
      </c>
      <c r="D15" s="36" t="s">
        <v>130</v>
      </c>
      <c r="E15" s="36">
        <v>2035</v>
      </c>
      <c r="F15" s="54">
        <v>0.77559999999999996</v>
      </c>
      <c r="G15" s="19"/>
    </row>
    <row r="16" spans="1:7">
      <c r="A16" s="36" t="s">
        <v>837</v>
      </c>
      <c r="B16" s="36" t="s">
        <v>403</v>
      </c>
      <c r="C16" s="36" t="s">
        <v>269</v>
      </c>
      <c r="D16" s="36" t="s">
        <v>130</v>
      </c>
      <c r="E16" s="36">
        <v>2036</v>
      </c>
      <c r="F16" s="54">
        <v>0.7611</v>
      </c>
      <c r="G16" s="19"/>
    </row>
    <row r="17" spans="1:7">
      <c r="A17" s="36" t="s">
        <v>837</v>
      </c>
      <c r="B17" s="36" t="s">
        <v>403</v>
      </c>
      <c r="C17" s="36" t="s">
        <v>269</v>
      </c>
      <c r="D17" s="36" t="s">
        <v>130</v>
      </c>
      <c r="E17" s="36">
        <v>2037</v>
      </c>
      <c r="F17" s="54">
        <v>0.74690000000000001</v>
      </c>
      <c r="G17" s="19"/>
    </row>
    <row r="18" spans="1:7">
      <c r="A18" s="36" t="s">
        <v>837</v>
      </c>
      <c r="B18" s="36" t="s">
        <v>403</v>
      </c>
      <c r="C18" s="36" t="s">
        <v>269</v>
      </c>
      <c r="D18" s="36" t="s">
        <v>130</v>
      </c>
      <c r="E18" s="36">
        <v>2038</v>
      </c>
      <c r="F18" s="54">
        <v>0.73350000000000004</v>
      </c>
      <c r="G18" s="19"/>
    </row>
    <row r="19" spans="1:7">
      <c r="A19" s="36" t="s">
        <v>837</v>
      </c>
      <c r="B19" s="36" t="s">
        <v>403</v>
      </c>
      <c r="C19" s="36" t="s">
        <v>269</v>
      </c>
      <c r="D19" s="36" t="s">
        <v>130</v>
      </c>
      <c r="E19" s="36">
        <v>2039</v>
      </c>
      <c r="F19" s="54">
        <v>0.72119999999999995</v>
      </c>
      <c r="G19" s="19"/>
    </row>
    <row r="20" spans="1:7">
      <c r="A20" s="36" t="s">
        <v>837</v>
      </c>
      <c r="B20" s="36" t="s">
        <v>403</v>
      </c>
      <c r="C20" s="36" t="s">
        <v>269</v>
      </c>
      <c r="D20" s="36" t="s">
        <v>130</v>
      </c>
      <c r="E20" s="36">
        <v>2040</v>
      </c>
      <c r="F20" s="54">
        <v>0.70940000000000003</v>
      </c>
      <c r="G20" s="19"/>
    </row>
    <row r="21" spans="1:7">
      <c r="A21" s="36" t="s">
        <v>837</v>
      </c>
      <c r="B21" s="36" t="s">
        <v>403</v>
      </c>
      <c r="C21" s="36" t="s">
        <v>269</v>
      </c>
      <c r="D21" s="36" t="s">
        <v>130</v>
      </c>
      <c r="E21" s="36">
        <v>2041</v>
      </c>
      <c r="F21" s="54">
        <v>0.70220000000000005</v>
      </c>
      <c r="G21" s="19"/>
    </row>
    <row r="22" spans="1:7">
      <c r="A22" s="36" t="s">
        <v>837</v>
      </c>
      <c r="B22" s="36" t="s">
        <v>403</v>
      </c>
      <c r="C22" s="36" t="s">
        <v>269</v>
      </c>
      <c r="D22" s="36" t="s">
        <v>130</v>
      </c>
      <c r="E22" s="36">
        <v>2042</v>
      </c>
      <c r="F22" s="54">
        <v>0.69740000000000002</v>
      </c>
      <c r="G22" s="19"/>
    </row>
    <row r="23" spans="1:7">
      <c r="A23" s="36" t="s">
        <v>837</v>
      </c>
      <c r="B23" s="36" t="s">
        <v>403</v>
      </c>
      <c r="C23" s="36" t="s">
        <v>269</v>
      </c>
      <c r="D23" s="36" t="s">
        <v>130</v>
      </c>
      <c r="E23" s="36">
        <v>2043</v>
      </c>
      <c r="F23" s="54">
        <v>0.69279999999999997</v>
      </c>
      <c r="G23" s="19"/>
    </row>
    <row r="24" spans="1:7">
      <c r="A24" s="36" t="s">
        <v>837</v>
      </c>
      <c r="B24" s="36" t="s">
        <v>403</v>
      </c>
      <c r="C24" s="36" t="s">
        <v>269</v>
      </c>
      <c r="D24" s="36" t="s">
        <v>130</v>
      </c>
      <c r="E24" s="36">
        <v>2044</v>
      </c>
      <c r="F24" s="54">
        <v>0.68830000000000002</v>
      </c>
      <c r="G24" s="19"/>
    </row>
    <row r="25" spans="1:7">
      <c r="A25" s="36" t="s">
        <v>837</v>
      </c>
      <c r="B25" s="36" t="s">
        <v>403</v>
      </c>
      <c r="C25" s="36" t="s">
        <v>269</v>
      </c>
      <c r="D25" s="36" t="s">
        <v>130</v>
      </c>
      <c r="E25" s="36">
        <v>2045</v>
      </c>
      <c r="F25" s="54">
        <v>0.68389999999999995</v>
      </c>
      <c r="G25" s="19"/>
    </row>
    <row r="26" spans="1:7">
      <c r="A26" s="36" t="s">
        <v>837</v>
      </c>
      <c r="B26" s="36" t="s">
        <v>403</v>
      </c>
      <c r="C26" s="36" t="s">
        <v>269</v>
      </c>
      <c r="D26" s="36" t="s">
        <v>130</v>
      </c>
      <c r="E26" s="36">
        <v>2046</v>
      </c>
      <c r="F26" s="54">
        <v>0.67969999999999997</v>
      </c>
      <c r="G26" s="19"/>
    </row>
    <row r="27" spans="1:7">
      <c r="A27" s="36" t="s">
        <v>837</v>
      </c>
      <c r="B27" s="36" t="s">
        <v>403</v>
      </c>
      <c r="C27" s="36" t="s">
        <v>269</v>
      </c>
      <c r="D27" s="36" t="s">
        <v>130</v>
      </c>
      <c r="E27" s="36">
        <v>2047</v>
      </c>
      <c r="F27" s="54">
        <v>0.67569999999999997</v>
      </c>
      <c r="G27" s="19"/>
    </row>
    <row r="28" spans="1:7">
      <c r="A28" s="36" t="s">
        <v>837</v>
      </c>
      <c r="B28" s="36" t="s">
        <v>403</v>
      </c>
      <c r="C28" s="36" t="s">
        <v>269</v>
      </c>
      <c r="D28" s="36" t="s">
        <v>130</v>
      </c>
      <c r="E28" s="36">
        <v>2048</v>
      </c>
      <c r="F28" s="54">
        <v>0.67210000000000003</v>
      </c>
      <c r="G28" s="19"/>
    </row>
    <row r="29" spans="1:7">
      <c r="A29" s="36" t="s">
        <v>837</v>
      </c>
      <c r="B29" s="36" t="s">
        <v>403</v>
      </c>
      <c r="C29" s="36" t="s">
        <v>269</v>
      </c>
      <c r="D29" s="36" t="s">
        <v>130</v>
      </c>
      <c r="E29" s="36">
        <v>2049</v>
      </c>
      <c r="F29" s="54">
        <v>0.66859999999999997</v>
      </c>
      <c r="G29" s="19"/>
    </row>
    <row r="30" spans="1:7">
      <c r="A30" s="36" t="s">
        <v>837</v>
      </c>
      <c r="B30" s="36" t="s">
        <v>403</v>
      </c>
      <c r="C30" s="36" t="s">
        <v>269</v>
      </c>
      <c r="D30" s="36" t="s">
        <v>130</v>
      </c>
      <c r="E30" s="36">
        <v>2050</v>
      </c>
      <c r="F30" s="54">
        <v>0.66520000000000001</v>
      </c>
      <c r="G30" s="19"/>
    </row>
  </sheetData>
  <dataValidations count="1">
    <dataValidation type="list" allowBlank="1" showInputMessage="1" showErrorMessage="1" sqref="C4:C30" xr:uid="{531FE310-5155-49FD-85EA-354DD9809165}">
      <formula1>rep_days</formula1>
    </dataValidation>
  </dataValidations>
  <hyperlinks>
    <hyperlink ref="A1" location="Contents!A1" display="Back to contents" xr:uid="{E551A2E8-379B-4E38-BDFF-CB8F41456607}"/>
    <hyperlink ref="A2" location="'EE CPA Summary Table'!A1" display="Back to EE CPA Summary Table" xr:uid="{A2A2FCCF-3C5B-4911-8D46-6C12A674A40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33101-3B64-4E4A-93AF-DBB54BC75EF3}">
  <sheetPr>
    <tabColor rgb="FF7A3864"/>
  </sheetPr>
  <dimension ref="A1:T54"/>
  <sheetViews>
    <sheetView showGridLines="0" zoomScale="80" zoomScaleNormal="80" workbookViewId="0"/>
  </sheetViews>
  <sheetFormatPr defaultColWidth="0" defaultRowHeight="20.45" zeroHeight="1"/>
  <cols>
    <col min="1" max="1" width="5" customWidth="1"/>
    <col min="2" max="2" width="55" customWidth="1"/>
    <col min="3" max="3" width="35.5" customWidth="1"/>
    <col min="4" max="4" width="40.19921875" customWidth="1"/>
    <col min="5" max="5" width="9.09765625" customWidth="1"/>
    <col min="6" max="6" width="13.5" customWidth="1"/>
    <col min="7" max="20" width="9.09765625" customWidth="1"/>
    <col min="21" max="16384" width="6.8984375" hidden="1"/>
  </cols>
  <sheetData>
    <row r="1" spans="1:20" s="95" customFormat="1" ht="31.9">
      <c r="A1" s="87" t="s">
        <v>63</v>
      </c>
      <c r="B1" s="94"/>
      <c r="C1" s="94"/>
      <c r="D1" s="94"/>
      <c r="E1" s="94"/>
      <c r="F1" s="94"/>
      <c r="G1" s="94"/>
      <c r="H1" s="94"/>
      <c r="I1" s="94"/>
      <c r="J1" s="94"/>
      <c r="K1" s="94"/>
      <c r="L1" s="94"/>
      <c r="M1" s="94"/>
      <c r="N1" s="94"/>
      <c r="O1" s="94"/>
      <c r="P1" s="94"/>
      <c r="Q1" s="94"/>
      <c r="R1" s="94"/>
      <c r="S1" s="94"/>
      <c r="T1" s="94"/>
    </row>
    <row r="2" spans="1:20">
      <c r="A2" s="17" t="s">
        <v>57</v>
      </c>
    </row>
    <row r="3" spans="1:20" ht="100.15" customHeight="1">
      <c r="B3" s="333" t="s">
        <v>64</v>
      </c>
      <c r="C3" s="333"/>
      <c r="D3" s="333"/>
      <c r="E3" s="134"/>
      <c r="F3" s="134"/>
      <c r="G3" s="134"/>
      <c r="H3" s="134"/>
      <c r="I3" s="134"/>
      <c r="J3" s="134"/>
    </row>
    <row r="4" spans="1:20" ht="60" customHeight="1">
      <c r="B4" s="333" t="s">
        <v>65</v>
      </c>
      <c r="C4" s="333"/>
      <c r="D4" s="333"/>
      <c r="E4" s="134"/>
      <c r="F4" s="134"/>
      <c r="G4" s="134"/>
      <c r="H4" s="134"/>
      <c r="I4" s="134"/>
      <c r="J4" s="134"/>
    </row>
    <row r="5" spans="1:20" ht="60" customHeight="1">
      <c r="B5" s="333" t="s">
        <v>66</v>
      </c>
      <c r="C5" s="333"/>
      <c r="D5" s="333"/>
      <c r="E5" s="134"/>
      <c r="F5" s="134"/>
      <c r="G5" s="134"/>
      <c r="H5" s="134"/>
      <c r="I5" s="134"/>
      <c r="J5" s="134"/>
    </row>
    <row r="6" spans="1:20" ht="60" customHeight="1">
      <c r="B6" s="335" t="s">
        <v>67</v>
      </c>
      <c r="C6" s="335"/>
      <c r="D6" s="335"/>
      <c r="E6" s="134"/>
      <c r="F6" s="134"/>
      <c r="G6" s="134"/>
      <c r="H6" s="134"/>
      <c r="I6" s="134"/>
      <c r="J6" s="134"/>
    </row>
    <row r="7" spans="1:20" ht="25.9" customHeight="1">
      <c r="B7" s="136" t="s">
        <v>68</v>
      </c>
      <c r="C7" s="137" t="s">
        <v>69</v>
      </c>
      <c r="D7" s="138" t="s">
        <v>70</v>
      </c>
    </row>
    <row r="8" spans="1:20" ht="25.9" customHeight="1">
      <c r="B8" s="139" t="s">
        <v>71</v>
      </c>
      <c r="C8" s="140" t="s">
        <v>72</v>
      </c>
      <c r="D8" s="141" t="s">
        <v>73</v>
      </c>
    </row>
    <row r="9" spans="1:20" ht="25.9" customHeight="1">
      <c r="B9" s="142" t="s">
        <v>74</v>
      </c>
      <c r="C9" s="133" t="s">
        <v>75</v>
      </c>
      <c r="D9" s="143" t="s">
        <v>76</v>
      </c>
    </row>
    <row r="10" spans="1:20" ht="25.9" customHeight="1">
      <c r="B10" s="142" t="s">
        <v>77</v>
      </c>
      <c r="C10" s="133" t="s">
        <v>78</v>
      </c>
      <c r="D10" s="143"/>
    </row>
    <row r="11" spans="1:20" ht="25.9" customHeight="1">
      <c r="B11" s="142" t="s">
        <v>79</v>
      </c>
      <c r="C11" s="133" t="s">
        <v>80</v>
      </c>
      <c r="D11" s="144"/>
    </row>
    <row r="12" spans="1:20" ht="25.9" customHeight="1">
      <c r="B12" s="145"/>
      <c r="C12" s="146" t="s">
        <v>81</v>
      </c>
      <c r="D12" s="147"/>
    </row>
    <row r="13" spans="1:20" ht="33.6" customHeight="1">
      <c r="B13" s="334" t="s">
        <v>82</v>
      </c>
      <c r="C13" s="334"/>
      <c r="D13" s="334"/>
    </row>
    <row r="14" spans="1:20" ht="66" customHeight="1">
      <c r="B14" s="335" t="s">
        <v>83</v>
      </c>
      <c r="C14" s="335"/>
      <c r="D14" s="335"/>
      <c r="E14" s="134"/>
      <c r="F14" s="134"/>
      <c r="G14" s="134"/>
      <c r="H14" s="134"/>
      <c r="I14" s="134"/>
      <c r="J14" s="134"/>
    </row>
    <row r="15" spans="1:20" ht="33.6" customHeight="1">
      <c r="B15" s="136" t="s">
        <v>84</v>
      </c>
      <c r="C15" s="137" t="s">
        <v>85</v>
      </c>
      <c r="D15" s="138" t="s">
        <v>86</v>
      </c>
    </row>
    <row r="16" spans="1:20" ht="25.9" customHeight="1">
      <c r="B16" s="139" t="s">
        <v>87</v>
      </c>
      <c r="C16" s="149" t="s">
        <v>88</v>
      </c>
      <c r="D16" s="150" t="s">
        <v>89</v>
      </c>
    </row>
    <row r="17" spans="2:4" ht="25.9" customHeight="1">
      <c r="B17" s="142" t="s">
        <v>90</v>
      </c>
      <c r="C17" s="148" t="s">
        <v>91</v>
      </c>
      <c r="D17" s="151" t="s">
        <v>92</v>
      </c>
    </row>
    <row r="18" spans="2:4" ht="25.9" customHeight="1">
      <c r="B18" s="142" t="s">
        <v>93</v>
      </c>
      <c r="C18" s="148" t="s">
        <v>94</v>
      </c>
      <c r="D18" s="151" t="s">
        <v>95</v>
      </c>
    </row>
    <row r="19" spans="2:4" ht="25.9" customHeight="1">
      <c r="B19" s="142" t="s">
        <v>96</v>
      </c>
      <c r="C19" s="148" t="s">
        <v>97</v>
      </c>
      <c r="D19" s="144"/>
    </row>
    <row r="20" spans="2:4" ht="25.9" customHeight="1">
      <c r="B20" s="142" t="s">
        <v>98</v>
      </c>
      <c r="C20" s="93"/>
      <c r="D20" s="144"/>
    </row>
    <row r="21" spans="2:4" ht="25.9" customHeight="1">
      <c r="B21" s="142" t="s">
        <v>99</v>
      </c>
      <c r="C21" s="93"/>
      <c r="D21" s="144"/>
    </row>
    <row r="22" spans="2:4" ht="25.9" customHeight="1">
      <c r="B22" s="142" t="s">
        <v>100</v>
      </c>
      <c r="C22" s="93"/>
      <c r="D22" s="144"/>
    </row>
    <row r="23" spans="2:4" ht="25.9" customHeight="1">
      <c r="B23" s="152" t="s">
        <v>101</v>
      </c>
      <c r="C23" s="153"/>
      <c r="D23" s="147"/>
    </row>
    <row r="24" spans="2:4" ht="29.65" customHeight="1">
      <c r="B24" s="334" t="s">
        <v>102</v>
      </c>
      <c r="C24" s="334"/>
      <c r="D24" s="334"/>
    </row>
    <row r="25" spans="2:4" ht="68.099999999999994" customHeight="1">
      <c r="B25" s="333" t="s">
        <v>103</v>
      </c>
      <c r="C25" s="333"/>
      <c r="D25" s="333"/>
    </row>
    <row r="26" spans="2:4"/>
    <row r="27" spans="2:4"/>
    <row r="28" spans="2:4"/>
    <row r="29" spans="2:4"/>
    <row r="30" spans="2:4"/>
    <row r="31" spans="2:4"/>
    <row r="32" spans="2:4"/>
    <row r="33"/>
    <row r="34"/>
    <row r="35"/>
    <row r="36"/>
    <row r="37"/>
    <row r="38"/>
    <row r="39"/>
    <row r="40"/>
    <row r="41"/>
    <row r="42"/>
    <row r="43"/>
    <row r="44"/>
    <row r="45"/>
    <row r="46"/>
    <row r="47"/>
    <row r="48"/>
    <row r="49"/>
    <row r="50"/>
    <row r="51"/>
    <row r="52"/>
    <row r="53"/>
    <row r="54"/>
  </sheetData>
  <mergeCells count="8">
    <mergeCell ref="B3:D3"/>
    <mergeCell ref="B24:D24"/>
    <mergeCell ref="B25:D25"/>
    <mergeCell ref="B14:D14"/>
    <mergeCell ref="B4:D4"/>
    <mergeCell ref="B6:D6"/>
    <mergeCell ref="B13:D13"/>
    <mergeCell ref="B5:D5"/>
  </mergeCells>
  <hyperlinks>
    <hyperlink ref="A2" location="Contents!A1" display="Back to contents" xr:uid="{C6B82F7E-FFF6-484A-8F3C-DD1D2016EF5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C4E4-0F8F-4A11-8968-B8382BD63859}">
  <sheetPr>
    <tabColor rgb="FF7A3864"/>
  </sheetPr>
  <dimension ref="B1:C24"/>
  <sheetViews>
    <sheetView showGridLines="0" zoomScale="80" zoomScaleNormal="80" workbookViewId="0"/>
  </sheetViews>
  <sheetFormatPr defaultRowHeight="20.45"/>
  <cols>
    <col min="1" max="1" width="1.5" customWidth="1"/>
    <col min="2" max="2" width="20.5" customWidth="1"/>
    <col min="3" max="3" width="62.69921875" customWidth="1"/>
  </cols>
  <sheetData>
    <row r="1" spans="2:3">
      <c r="B1" s="98" t="s">
        <v>57</v>
      </c>
    </row>
    <row r="2" spans="2:3">
      <c r="B2" s="336" t="s">
        <v>104</v>
      </c>
      <c r="C2" s="336"/>
    </row>
    <row r="3" spans="2:3">
      <c r="B3" s="131" t="s">
        <v>105</v>
      </c>
      <c r="C3" s="172" t="s">
        <v>106</v>
      </c>
    </row>
    <row r="4" spans="2:3">
      <c r="B4" s="36" t="s">
        <v>107</v>
      </c>
      <c r="C4" s="36" t="s">
        <v>108</v>
      </c>
    </row>
    <row r="5" spans="2:3">
      <c r="B5" s="36" t="s">
        <v>109</v>
      </c>
      <c r="C5" s="36" t="s">
        <v>110</v>
      </c>
    </row>
    <row r="6" spans="2:3">
      <c r="B6" s="36" t="s">
        <v>111</v>
      </c>
      <c r="C6" s="36" t="s">
        <v>112</v>
      </c>
    </row>
    <row r="7" spans="2:3">
      <c r="B7" s="36" t="s">
        <v>18</v>
      </c>
      <c r="C7" s="36" t="s">
        <v>113</v>
      </c>
    </row>
    <row r="8" spans="2:3">
      <c r="B8" s="36" t="s">
        <v>114</v>
      </c>
      <c r="C8" s="36" t="s">
        <v>115</v>
      </c>
    </row>
    <row r="9" spans="2:3">
      <c r="B9" s="36" t="s">
        <v>116</v>
      </c>
      <c r="C9" s="36" t="s">
        <v>117</v>
      </c>
    </row>
    <row r="10" spans="2:3">
      <c r="B10" s="36" t="s">
        <v>118</v>
      </c>
      <c r="C10" s="36" t="s">
        <v>119</v>
      </c>
    </row>
    <row r="11" spans="2:3" ht="61.15">
      <c r="B11" s="36" t="s">
        <v>120</v>
      </c>
      <c r="C11" s="48" t="s">
        <v>121</v>
      </c>
    </row>
    <row r="12" spans="2:3">
      <c r="B12" s="36" t="s">
        <v>122</v>
      </c>
      <c r="C12" s="48" t="s">
        <v>123</v>
      </c>
    </row>
    <row r="13" spans="2:3">
      <c r="B13" s="36" t="s">
        <v>124</v>
      </c>
      <c r="C13" s="36" t="s">
        <v>125</v>
      </c>
    </row>
    <row r="14" spans="2:3" ht="61.15">
      <c r="B14" s="36" t="s">
        <v>126</v>
      </c>
      <c r="C14" s="48" t="s">
        <v>127</v>
      </c>
    </row>
    <row r="15" spans="2:3">
      <c r="B15" s="36" t="s">
        <v>128</v>
      </c>
      <c r="C15" s="36" t="s">
        <v>129</v>
      </c>
    </row>
    <row r="16" spans="2:3">
      <c r="B16" s="36" t="s">
        <v>130</v>
      </c>
      <c r="C16" s="36" t="s">
        <v>131</v>
      </c>
    </row>
    <row r="17" spans="2:3">
      <c r="B17" s="36" t="s">
        <v>132</v>
      </c>
      <c r="C17" s="36" t="s">
        <v>133</v>
      </c>
    </row>
    <row r="18" spans="2:3">
      <c r="B18" s="36" t="s">
        <v>134</v>
      </c>
      <c r="C18" s="36" t="s">
        <v>135</v>
      </c>
    </row>
    <row r="19" spans="2:3">
      <c r="B19" s="36" t="s">
        <v>136</v>
      </c>
      <c r="C19" s="36" t="s">
        <v>137</v>
      </c>
    </row>
    <row r="20" spans="2:3">
      <c r="B20" s="36" t="s">
        <v>138</v>
      </c>
      <c r="C20" s="36" t="s">
        <v>139</v>
      </c>
    </row>
    <row r="21" spans="2:3" ht="204">
      <c r="B21" s="36" t="s">
        <v>140</v>
      </c>
      <c r="C21" s="48" t="s">
        <v>141</v>
      </c>
    </row>
    <row r="22" spans="2:3">
      <c r="B22" s="36" t="s">
        <v>142</v>
      </c>
      <c r="C22" s="36" t="s">
        <v>143</v>
      </c>
    </row>
    <row r="23" spans="2:3">
      <c r="B23" s="36" t="s">
        <v>144</v>
      </c>
      <c r="C23" s="36" t="s">
        <v>145</v>
      </c>
    </row>
    <row r="24" spans="2:3">
      <c r="B24" s="36" t="s">
        <v>146</v>
      </c>
      <c r="C24" s="36" t="s">
        <v>147</v>
      </c>
    </row>
  </sheetData>
  <mergeCells count="1">
    <mergeCell ref="B2:C2"/>
  </mergeCells>
  <hyperlinks>
    <hyperlink ref="B1" location="Contents!A1" display="Back to contents" xr:uid="{AE055652-13C6-472F-9A5B-47070D1281A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D11F3-4FFE-4626-AB55-F2A44C3712B5}">
  <sheetPr>
    <tabColor rgb="FF7A3864"/>
  </sheetPr>
  <dimension ref="A1:T12"/>
  <sheetViews>
    <sheetView showGridLines="0" zoomScale="60" zoomScaleNormal="60" workbookViewId="0">
      <pane xSplit="1" ySplit="3" topLeftCell="B4" activePane="bottomRight" state="frozen"/>
      <selection pane="bottomRight"/>
      <selection pane="bottomLeft" activeCell="A4" sqref="A4"/>
      <selection pane="topRight" activeCell="B1" sqref="B1"/>
    </sheetView>
  </sheetViews>
  <sheetFormatPr defaultRowHeight="20.45"/>
  <cols>
    <col min="1" max="1" width="8.8984375" style="25" customWidth="1"/>
    <col min="2" max="2" width="31" style="25" customWidth="1"/>
    <col min="3" max="3" width="22" style="25" customWidth="1"/>
    <col min="4" max="5" width="35.5" style="25" customWidth="1"/>
    <col min="6" max="7" width="43.8984375" style="25" customWidth="1"/>
    <col min="8" max="8" width="9.19921875" style="25" customWidth="1"/>
    <col min="9" max="9" width="33.8984375" style="25" customWidth="1"/>
    <col min="10" max="10" width="163.5" style="25" customWidth="1"/>
    <col min="11" max="21" width="9.19921875" style="25" customWidth="1"/>
    <col min="22" max="16382" width="7.19921875" style="25"/>
    <col min="16383" max="16383" width="7.19921875" style="25" bestFit="1" customWidth="1"/>
    <col min="16384" max="16384" width="7.19921875" style="25" customWidth="1"/>
  </cols>
  <sheetData>
    <row r="1" spans="1:20" s="95" customFormat="1" ht="45" customHeight="1">
      <c r="A1" s="87" t="s">
        <v>148</v>
      </c>
      <c r="B1" s="94"/>
      <c r="C1" s="94"/>
      <c r="D1" s="94"/>
      <c r="E1" s="94"/>
      <c r="F1" s="94"/>
      <c r="G1" s="94"/>
      <c r="H1" s="94"/>
      <c r="I1" s="94"/>
      <c r="J1" s="94"/>
      <c r="K1" s="94"/>
      <c r="L1" s="94"/>
      <c r="M1" s="94"/>
      <c r="N1" s="94"/>
      <c r="O1" s="94"/>
      <c r="P1" s="94"/>
      <c r="Q1" s="94"/>
      <c r="R1" s="94"/>
      <c r="S1" s="94"/>
      <c r="T1" s="94"/>
    </row>
    <row r="2" spans="1:20">
      <c r="A2" s="98" t="s">
        <v>57</v>
      </c>
    </row>
    <row r="3" spans="1:20">
      <c r="B3" s="171" t="s">
        <v>149</v>
      </c>
      <c r="C3" s="171" t="s">
        <v>150</v>
      </c>
      <c r="D3" s="171" t="s">
        <v>151</v>
      </c>
      <c r="E3" s="171" t="s">
        <v>152</v>
      </c>
      <c r="F3" s="171" t="s">
        <v>153</v>
      </c>
      <c r="G3" s="171" t="s">
        <v>154</v>
      </c>
      <c r="I3" s="336" t="s">
        <v>155</v>
      </c>
      <c r="J3" s="336"/>
    </row>
    <row r="4" spans="1:20" ht="224.45">
      <c r="B4" s="38" t="s">
        <v>156</v>
      </c>
      <c r="C4" s="38" t="s">
        <v>157</v>
      </c>
      <c r="D4" s="38" t="s">
        <v>158</v>
      </c>
      <c r="E4" s="38" t="s">
        <v>159</v>
      </c>
      <c r="F4" s="39" t="s">
        <v>160</v>
      </c>
      <c r="G4" s="38" t="s">
        <v>161</v>
      </c>
      <c r="I4" s="47" t="s">
        <v>162</v>
      </c>
      <c r="J4" s="47" t="s">
        <v>163</v>
      </c>
    </row>
    <row r="5" spans="1:20">
      <c r="B5" s="40" t="s">
        <v>164</v>
      </c>
      <c r="C5" s="41" t="s">
        <v>165</v>
      </c>
      <c r="D5" s="41" t="s">
        <v>166</v>
      </c>
      <c r="E5" s="41" t="s">
        <v>167</v>
      </c>
      <c r="F5" s="42" t="s">
        <v>167</v>
      </c>
      <c r="G5" s="41" t="s">
        <v>130</v>
      </c>
      <c r="I5" s="37" t="s">
        <v>168</v>
      </c>
      <c r="J5" s="37" t="s">
        <v>169</v>
      </c>
    </row>
    <row r="6" spans="1:20">
      <c r="B6" s="40" t="s">
        <v>170</v>
      </c>
      <c r="C6" s="41" t="s">
        <v>171</v>
      </c>
      <c r="D6" s="41" t="s">
        <v>172</v>
      </c>
      <c r="E6" s="40" t="s">
        <v>173</v>
      </c>
      <c r="F6" s="43" t="s">
        <v>173</v>
      </c>
      <c r="G6" s="40" t="s">
        <v>174</v>
      </c>
      <c r="I6" s="37" t="s">
        <v>175</v>
      </c>
      <c r="J6" s="37" t="s">
        <v>176</v>
      </c>
    </row>
    <row r="7" spans="1:20">
      <c r="B7" s="40" t="s">
        <v>122</v>
      </c>
      <c r="C7" s="41" t="s">
        <v>177</v>
      </c>
      <c r="D7" s="41" t="s">
        <v>178</v>
      </c>
      <c r="E7" s="40" t="s">
        <v>179</v>
      </c>
      <c r="F7" s="43" t="s">
        <v>180</v>
      </c>
      <c r="G7" s="40" t="s">
        <v>181</v>
      </c>
      <c r="I7" s="37" t="s">
        <v>182</v>
      </c>
      <c r="J7" s="37" t="s">
        <v>183</v>
      </c>
    </row>
    <row r="8" spans="1:20" ht="40.9">
      <c r="B8" s="44"/>
      <c r="C8" s="41" t="s">
        <v>184</v>
      </c>
      <c r="D8" s="132" t="s">
        <v>185</v>
      </c>
      <c r="E8" s="40" t="s">
        <v>186</v>
      </c>
      <c r="F8" s="43" t="s">
        <v>187</v>
      </c>
      <c r="G8" s="40" t="s">
        <v>188</v>
      </c>
      <c r="I8" s="37" t="s">
        <v>189</v>
      </c>
      <c r="J8" s="37" t="s">
        <v>190</v>
      </c>
    </row>
    <row r="9" spans="1:20">
      <c r="B9" s="40"/>
      <c r="C9" s="41" t="s">
        <v>191</v>
      </c>
      <c r="D9" s="40" t="s">
        <v>192</v>
      </c>
      <c r="E9" s="40" t="s">
        <v>193</v>
      </c>
      <c r="F9" s="43" t="s">
        <v>194</v>
      </c>
      <c r="G9" s="44" t="s">
        <v>195</v>
      </c>
    </row>
    <row r="10" spans="1:20">
      <c r="B10" s="40"/>
      <c r="C10" s="45" t="s">
        <v>195</v>
      </c>
      <c r="D10" s="40" t="s">
        <v>196</v>
      </c>
      <c r="E10" s="40" t="s">
        <v>197</v>
      </c>
      <c r="F10" s="46" t="s">
        <v>195</v>
      </c>
      <c r="G10" s="40"/>
    </row>
    <row r="11" spans="1:20">
      <c r="B11" s="40"/>
      <c r="C11" s="41"/>
      <c r="D11" s="40" t="s">
        <v>173</v>
      </c>
      <c r="E11" s="40"/>
      <c r="F11" s="40"/>
      <c r="G11" s="40"/>
    </row>
    <row r="12" spans="1:20">
      <c r="B12" s="40"/>
      <c r="C12" s="40"/>
      <c r="D12" s="40" t="s">
        <v>167</v>
      </c>
      <c r="E12" s="40"/>
      <c r="F12" s="40"/>
      <c r="G12" s="40"/>
    </row>
  </sheetData>
  <mergeCells count="1">
    <mergeCell ref="I3:J3"/>
  </mergeCells>
  <phoneticPr fontId="3" type="noConversion"/>
  <hyperlinks>
    <hyperlink ref="A2" location="Contents!A1" display="Back to contents" xr:uid="{E22AE663-25DE-4463-B72D-B25769C1FEC1}"/>
  </hyperlinks>
  <pageMargins left="0.7" right="0.7" top="0.75" bottom="0.75" header="0.3" footer="0.3"/>
  <ignoredErrors>
    <ignoredError sqref="C5:C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E96A-1B27-482C-88BC-52EB3A1CAB68}">
  <sheetPr>
    <tabColor rgb="FF7A3864"/>
  </sheetPr>
  <dimension ref="A1:AO1048576"/>
  <sheetViews>
    <sheetView showGridLines="0" zoomScale="70" zoomScaleNormal="70" workbookViewId="0"/>
  </sheetViews>
  <sheetFormatPr defaultColWidth="0" defaultRowHeight="20.45" zeroHeight="1"/>
  <cols>
    <col min="1" max="1" width="3.5" style="25" customWidth="1"/>
    <col min="2" max="2" width="15.19921875" style="25" customWidth="1"/>
    <col min="3" max="3" width="42" style="25" customWidth="1"/>
    <col min="4" max="4" width="23.5" style="25" customWidth="1"/>
    <col min="5" max="5" width="16.19921875" style="25" customWidth="1"/>
    <col min="6" max="6" width="19.8984375" style="25" customWidth="1"/>
    <col min="7" max="7" width="24" style="25" customWidth="1"/>
    <col min="8" max="8" width="27.5" style="25" customWidth="1"/>
    <col min="9" max="9" width="17.8984375" style="25" customWidth="1"/>
    <col min="10" max="10" width="9.19921875" style="25" customWidth="1"/>
    <col min="11" max="11" width="16.5" style="25" customWidth="1"/>
    <col min="12" max="12" width="42.8984375" style="25" customWidth="1"/>
    <col min="13" max="13" width="15.19921875" style="25" customWidth="1"/>
    <col min="14" max="14" width="16.19921875" style="25" customWidth="1"/>
    <col min="15" max="15" width="24.19921875" style="25" customWidth="1"/>
    <col min="16" max="16" width="22.8984375" style="25" customWidth="1"/>
    <col min="17" max="17" width="22.19921875" style="25" customWidth="1"/>
    <col min="18" max="18" width="18.5" style="25" customWidth="1"/>
    <col min="19" max="19" width="13.8984375" style="25" customWidth="1"/>
    <col min="20" max="20" width="17.8984375" style="25" customWidth="1"/>
    <col min="21" max="21" width="32.5" style="25" customWidth="1"/>
    <col min="22" max="22" width="13.8984375" style="25" customWidth="1"/>
    <col min="23" max="23" width="30.8984375" style="25" customWidth="1"/>
    <col min="24" max="24" width="24.19921875" style="25" customWidth="1"/>
    <col min="25" max="25" width="16.8984375" style="25" customWidth="1"/>
    <col min="26" max="26" width="22.5" style="25" customWidth="1"/>
    <col min="27" max="28" width="18.8984375" style="25" customWidth="1"/>
    <col min="29" max="29" width="23.5" style="25" customWidth="1"/>
    <col min="30" max="31" width="16.19921875" style="25" customWidth="1"/>
    <col min="32" max="32" width="21.5" style="25" customWidth="1"/>
    <col min="33" max="33" width="13.19921875" style="25" customWidth="1"/>
    <col min="34" max="35" width="13.19921875" style="165" customWidth="1"/>
    <col min="36" max="36" width="9.19921875" style="25" customWidth="1"/>
    <col min="37" max="41" width="0" style="25" hidden="1" customWidth="1"/>
    <col min="42" max="16384" width="7.19921875" style="25" hidden="1"/>
  </cols>
  <sheetData>
    <row r="1" spans="1:41" s="97" customFormat="1" ht="45" customHeight="1">
      <c r="A1" s="88" t="s">
        <v>51</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row>
    <row r="2" spans="1:41">
      <c r="A2" s="98" t="s">
        <v>57</v>
      </c>
      <c r="AH2" s="25"/>
      <c r="AI2" s="25"/>
    </row>
    <row r="3" spans="1:41" s="33" customFormat="1">
      <c r="B3" s="171" t="s">
        <v>150</v>
      </c>
      <c r="C3" s="171" t="s">
        <v>198</v>
      </c>
      <c r="D3" s="171" t="s">
        <v>199</v>
      </c>
      <c r="E3" s="171" t="s">
        <v>200</v>
      </c>
      <c r="F3" s="171" t="s">
        <v>201</v>
      </c>
      <c r="G3" s="171" t="s">
        <v>202</v>
      </c>
      <c r="H3" s="171" t="s">
        <v>203</v>
      </c>
      <c r="I3" s="171" t="s">
        <v>204</v>
      </c>
      <c r="J3" s="35"/>
      <c r="K3" s="171" t="s">
        <v>150</v>
      </c>
      <c r="L3" s="171" t="s">
        <v>205</v>
      </c>
      <c r="M3" s="171" t="s">
        <v>206</v>
      </c>
      <c r="N3" s="171" t="s">
        <v>200</v>
      </c>
      <c r="O3" s="171" t="s">
        <v>207</v>
      </c>
      <c r="P3" s="171" t="s">
        <v>208</v>
      </c>
      <c r="Q3" s="171" t="s">
        <v>209</v>
      </c>
      <c r="R3" s="171" t="s">
        <v>210</v>
      </c>
      <c r="S3" s="35"/>
      <c r="T3" s="171" t="s">
        <v>211</v>
      </c>
      <c r="U3" s="171" t="s">
        <v>212</v>
      </c>
      <c r="V3" s="35"/>
      <c r="W3" s="171" t="s">
        <v>152</v>
      </c>
      <c r="X3" s="171" t="s">
        <v>213</v>
      </c>
      <c r="Y3" s="171" t="s">
        <v>154</v>
      </c>
      <c r="Z3" s="171" t="s">
        <v>214</v>
      </c>
      <c r="AA3" s="171" t="s">
        <v>215</v>
      </c>
      <c r="AB3" s="171" t="s">
        <v>216</v>
      </c>
      <c r="AC3" s="171" t="s">
        <v>217</v>
      </c>
      <c r="AD3" s="171" t="s">
        <v>218</v>
      </c>
      <c r="AE3" s="171" t="s">
        <v>219</v>
      </c>
      <c r="AF3" s="171" t="s">
        <v>220</v>
      </c>
      <c r="AG3" s="171" t="s">
        <v>221</v>
      </c>
      <c r="AH3" s="171" t="s">
        <v>222</v>
      </c>
      <c r="AI3" s="171" t="s">
        <v>223</v>
      </c>
    </row>
    <row r="4" spans="1:41">
      <c r="B4" s="2" t="s">
        <v>20</v>
      </c>
      <c r="C4" s="2" t="s">
        <v>224</v>
      </c>
      <c r="D4" s="2" t="s">
        <v>225</v>
      </c>
      <c r="E4" s="2" t="s">
        <v>166</v>
      </c>
      <c r="F4" s="2" t="s">
        <v>226</v>
      </c>
      <c r="G4" s="2" t="s">
        <v>227</v>
      </c>
      <c r="H4" s="2" t="s">
        <v>228</v>
      </c>
      <c r="I4" s="2" t="s">
        <v>229</v>
      </c>
      <c r="K4" s="2" t="s">
        <v>31</v>
      </c>
      <c r="L4" s="2" t="s">
        <v>230</v>
      </c>
      <c r="M4" s="2" t="s">
        <v>231</v>
      </c>
      <c r="N4" s="2" t="s">
        <v>232</v>
      </c>
      <c r="O4" s="2" t="s">
        <v>233</v>
      </c>
      <c r="P4" s="2" t="s">
        <v>192</v>
      </c>
      <c r="Q4" s="2" t="s">
        <v>234</v>
      </c>
      <c r="R4" s="2" t="s">
        <v>180</v>
      </c>
      <c r="T4" s="2" t="s">
        <v>41</v>
      </c>
      <c r="U4" s="2" t="s">
        <v>42</v>
      </c>
      <c r="W4" s="2" t="s">
        <v>235</v>
      </c>
      <c r="X4" s="2" t="s">
        <v>179</v>
      </c>
      <c r="Y4" s="2" t="s">
        <v>130</v>
      </c>
      <c r="Z4" s="2" t="s">
        <v>236</v>
      </c>
      <c r="AA4" s="2" t="s">
        <v>237</v>
      </c>
      <c r="AB4" s="2" t="s">
        <v>238</v>
      </c>
      <c r="AC4" s="2" t="s">
        <v>239</v>
      </c>
      <c r="AD4" s="2" t="s">
        <v>239</v>
      </c>
      <c r="AE4" s="2" t="s">
        <v>240</v>
      </c>
      <c r="AF4" s="2" t="s">
        <v>241</v>
      </c>
      <c r="AG4" s="2">
        <v>1</v>
      </c>
      <c r="AH4" s="2">
        <v>2024</v>
      </c>
      <c r="AI4" s="2" t="s">
        <v>242</v>
      </c>
    </row>
    <row r="5" spans="1:41">
      <c r="B5" s="2" t="s">
        <v>21</v>
      </c>
      <c r="C5" s="2" t="s">
        <v>243</v>
      </c>
      <c r="D5" s="2" t="s">
        <v>244</v>
      </c>
      <c r="E5" s="2" t="s">
        <v>172</v>
      </c>
      <c r="F5" s="2" t="s">
        <v>245</v>
      </c>
      <c r="G5" s="2" t="s">
        <v>246</v>
      </c>
      <c r="H5" s="2" t="s">
        <v>247</v>
      </c>
      <c r="I5" s="2" t="s">
        <v>248</v>
      </c>
      <c r="K5" s="2" t="s">
        <v>32</v>
      </c>
      <c r="L5" s="2" t="s">
        <v>249</v>
      </c>
      <c r="M5" s="2" t="s">
        <v>250</v>
      </c>
      <c r="N5" s="2" t="s">
        <v>251</v>
      </c>
      <c r="O5" s="2" t="s">
        <v>252</v>
      </c>
      <c r="P5" s="2" t="s">
        <v>196</v>
      </c>
      <c r="Q5" s="2" t="s">
        <v>253</v>
      </c>
      <c r="R5" s="2" t="s">
        <v>187</v>
      </c>
      <c r="W5" s="2" t="s">
        <v>254</v>
      </c>
      <c r="X5" s="2" t="s">
        <v>186</v>
      </c>
      <c r="Y5" s="2" t="s">
        <v>255</v>
      </c>
      <c r="Z5" s="2" t="s">
        <v>256</v>
      </c>
      <c r="AA5" s="2" t="s">
        <v>257</v>
      </c>
      <c r="AB5" s="2" t="s">
        <v>258</v>
      </c>
      <c r="AC5" s="2" t="s">
        <v>259</v>
      </c>
      <c r="AD5" s="2" t="s">
        <v>259</v>
      </c>
      <c r="AE5" s="2" t="s">
        <v>260</v>
      </c>
      <c r="AF5" s="2" t="s">
        <v>188</v>
      </c>
      <c r="AG5" s="2">
        <v>2</v>
      </c>
      <c r="AH5" s="2">
        <v>2025</v>
      </c>
      <c r="AI5" s="2" t="s">
        <v>261</v>
      </c>
    </row>
    <row r="6" spans="1:41">
      <c r="B6" s="2" t="s">
        <v>22</v>
      </c>
      <c r="C6" s="2" t="s">
        <v>262</v>
      </c>
      <c r="D6" s="2" t="s">
        <v>263</v>
      </c>
      <c r="E6" s="2" t="s">
        <v>264</v>
      </c>
      <c r="F6" s="2" t="s">
        <v>265</v>
      </c>
      <c r="G6" s="2" t="s">
        <v>266</v>
      </c>
      <c r="H6" s="2" t="s">
        <v>267</v>
      </c>
      <c r="I6" s="2" t="s">
        <v>173</v>
      </c>
      <c r="K6" s="2" t="s">
        <v>33</v>
      </c>
      <c r="L6" s="2" t="s">
        <v>268</v>
      </c>
      <c r="M6" s="2" t="s">
        <v>269</v>
      </c>
      <c r="N6" s="2" t="s">
        <v>167</v>
      </c>
      <c r="O6" s="2" t="s">
        <v>270</v>
      </c>
      <c r="P6" s="2" t="s">
        <v>271</v>
      </c>
      <c r="Q6" s="2" t="s">
        <v>272</v>
      </c>
      <c r="R6" s="2" t="s">
        <v>194</v>
      </c>
      <c r="W6" s="2" t="s">
        <v>273</v>
      </c>
      <c r="X6" s="2" t="s">
        <v>193</v>
      </c>
      <c r="Y6" s="2"/>
      <c r="Z6" s="2" t="s">
        <v>274</v>
      </c>
      <c r="AA6" s="2"/>
      <c r="AB6" s="2"/>
      <c r="AC6" s="2" t="s">
        <v>188</v>
      </c>
      <c r="AD6" s="2" t="s">
        <v>188</v>
      </c>
      <c r="AE6" s="2" t="s">
        <v>275</v>
      </c>
      <c r="AF6" s="2" t="s">
        <v>275</v>
      </c>
      <c r="AG6" s="2">
        <v>3</v>
      </c>
      <c r="AH6" s="2">
        <v>2026</v>
      </c>
      <c r="AI6" s="2"/>
    </row>
    <row r="7" spans="1:41">
      <c r="B7" s="2" t="s">
        <v>23</v>
      </c>
      <c r="C7" s="2" t="s">
        <v>276</v>
      </c>
      <c r="D7" s="2" t="s">
        <v>277</v>
      </c>
      <c r="E7" s="2" t="s">
        <v>278</v>
      </c>
      <c r="F7" s="2" t="s">
        <v>279</v>
      </c>
      <c r="G7" s="2" t="s">
        <v>280</v>
      </c>
      <c r="H7" s="2" t="s">
        <v>269</v>
      </c>
      <c r="I7" s="2" t="s">
        <v>167</v>
      </c>
      <c r="K7" s="2" t="s">
        <v>34</v>
      </c>
      <c r="L7" s="2" t="s">
        <v>281</v>
      </c>
      <c r="M7" s="2"/>
      <c r="N7" s="2"/>
      <c r="O7" s="2" t="s">
        <v>282</v>
      </c>
      <c r="P7" s="2" t="s">
        <v>283</v>
      </c>
      <c r="Q7" s="2" t="s">
        <v>267</v>
      </c>
      <c r="R7" s="2" t="s">
        <v>173</v>
      </c>
      <c r="W7" s="2" t="s">
        <v>284</v>
      </c>
      <c r="X7" s="2" t="s">
        <v>197</v>
      </c>
      <c r="Y7" s="2"/>
      <c r="Z7" s="2" t="s">
        <v>285</v>
      </c>
      <c r="AA7" s="2"/>
      <c r="AB7" s="2"/>
      <c r="AC7" s="2" t="s">
        <v>240</v>
      </c>
      <c r="AD7" s="2" t="s">
        <v>241</v>
      </c>
      <c r="AE7" s="2" t="s">
        <v>286</v>
      </c>
      <c r="AF7" s="2" t="s">
        <v>287</v>
      </c>
      <c r="AG7" s="2" t="s">
        <v>167</v>
      </c>
      <c r="AH7" s="2">
        <v>2027</v>
      </c>
      <c r="AI7" s="2"/>
    </row>
    <row r="8" spans="1:41">
      <c r="B8" s="2" t="s">
        <v>24</v>
      </c>
      <c r="C8" s="2" t="s">
        <v>288</v>
      </c>
      <c r="D8" s="2" t="s">
        <v>269</v>
      </c>
      <c r="E8" s="2" t="s">
        <v>167</v>
      </c>
      <c r="F8" s="2" t="s">
        <v>289</v>
      </c>
      <c r="G8" s="2" t="s">
        <v>290</v>
      </c>
      <c r="H8" s="2"/>
      <c r="I8" s="2"/>
      <c r="K8" s="2" t="s">
        <v>35</v>
      </c>
      <c r="L8" s="2" t="s">
        <v>291</v>
      </c>
      <c r="M8" s="2"/>
      <c r="N8" s="2"/>
      <c r="O8" s="2" t="s">
        <v>267</v>
      </c>
      <c r="P8" s="2" t="s">
        <v>173</v>
      </c>
      <c r="Q8" s="2" t="s">
        <v>292</v>
      </c>
      <c r="R8" s="2" t="s">
        <v>293</v>
      </c>
      <c r="W8" s="2" t="s">
        <v>267</v>
      </c>
      <c r="X8" s="2" t="s">
        <v>173</v>
      </c>
      <c r="Y8" s="2"/>
      <c r="Z8" s="2"/>
      <c r="AA8" s="2"/>
      <c r="AB8" s="2"/>
      <c r="AC8" s="2" t="s">
        <v>275</v>
      </c>
      <c r="AD8" s="2" t="s">
        <v>275</v>
      </c>
      <c r="AE8" s="2" t="s">
        <v>294</v>
      </c>
      <c r="AF8" s="2" t="s">
        <v>295</v>
      </c>
      <c r="AG8" s="2"/>
      <c r="AH8" s="2">
        <v>2028</v>
      </c>
      <c r="AI8" s="2"/>
    </row>
    <row r="9" spans="1:41">
      <c r="B9" s="2" t="s">
        <v>25</v>
      </c>
      <c r="C9" s="2" t="s">
        <v>296</v>
      </c>
      <c r="D9" s="2" t="s">
        <v>267</v>
      </c>
      <c r="E9" s="2" t="s">
        <v>173</v>
      </c>
      <c r="F9" s="2" t="s">
        <v>269</v>
      </c>
      <c r="G9" s="2" t="s">
        <v>269</v>
      </c>
      <c r="H9" s="2"/>
      <c r="I9" s="2"/>
      <c r="K9" s="2" t="s">
        <v>36</v>
      </c>
      <c r="L9" s="2" t="s">
        <v>297</v>
      </c>
      <c r="M9" s="2"/>
      <c r="N9" s="2"/>
      <c r="O9" s="2" t="s">
        <v>269</v>
      </c>
      <c r="P9" s="2" t="s">
        <v>167</v>
      </c>
      <c r="Q9" s="2" t="s">
        <v>269</v>
      </c>
      <c r="R9" s="2" t="s">
        <v>167</v>
      </c>
      <c r="W9" s="2" t="s">
        <v>269</v>
      </c>
      <c r="X9" s="2" t="s">
        <v>167</v>
      </c>
      <c r="Y9" s="2"/>
      <c r="Z9" s="2"/>
      <c r="AA9" s="2"/>
      <c r="AB9" s="2"/>
      <c r="AC9" s="2" t="s">
        <v>298</v>
      </c>
      <c r="AD9" s="2" t="s">
        <v>174</v>
      </c>
      <c r="AE9" s="2" t="s">
        <v>299</v>
      </c>
      <c r="AF9" s="2" t="s">
        <v>300</v>
      </c>
      <c r="AG9" s="2"/>
      <c r="AH9" s="2">
        <v>2029</v>
      </c>
      <c r="AI9" s="2"/>
    </row>
    <row r="10" spans="1:41">
      <c r="B10" s="2" t="s">
        <v>26</v>
      </c>
      <c r="C10" s="2" t="s">
        <v>301</v>
      </c>
      <c r="D10" s="2"/>
      <c r="E10" s="2"/>
      <c r="F10" s="2" t="s">
        <v>267</v>
      </c>
      <c r="G10" s="2" t="s">
        <v>173</v>
      </c>
      <c r="H10" s="2"/>
      <c r="I10" s="2"/>
      <c r="K10" s="2" t="s">
        <v>37</v>
      </c>
      <c r="L10" s="2" t="s">
        <v>302</v>
      </c>
      <c r="M10" s="2"/>
      <c r="N10" s="2"/>
      <c r="O10" s="2"/>
      <c r="P10" s="2"/>
      <c r="Q10" s="2"/>
      <c r="R10" s="2"/>
      <c r="W10" s="2"/>
      <c r="X10" s="2"/>
      <c r="Y10" s="2"/>
      <c r="Z10" s="2"/>
      <c r="AA10" s="2"/>
      <c r="AB10" s="2"/>
      <c r="AC10" s="2" t="s">
        <v>303</v>
      </c>
      <c r="AD10" s="2" t="s">
        <v>304</v>
      </c>
      <c r="AE10" s="2" t="s">
        <v>305</v>
      </c>
      <c r="AF10" s="2" t="s">
        <v>181</v>
      </c>
      <c r="AG10" s="2"/>
      <c r="AH10" s="2">
        <v>2030</v>
      </c>
      <c r="AI10" s="2"/>
    </row>
    <row r="11" spans="1:41">
      <c r="B11" s="2" t="s">
        <v>27</v>
      </c>
      <c r="C11" s="2" t="s">
        <v>306</v>
      </c>
      <c r="D11" s="2"/>
      <c r="E11" s="2"/>
      <c r="F11" s="2"/>
      <c r="G11" s="2"/>
      <c r="H11" s="2"/>
      <c r="I11" s="2"/>
      <c r="K11" s="2" t="s">
        <v>38</v>
      </c>
      <c r="L11" s="2" t="s">
        <v>301</v>
      </c>
      <c r="M11" s="2"/>
      <c r="N11" s="2"/>
      <c r="O11" s="2"/>
      <c r="P11" s="2"/>
      <c r="Q11" s="2"/>
      <c r="R11" s="2"/>
      <c r="W11" s="2"/>
      <c r="X11" s="2"/>
      <c r="Y11" s="2"/>
      <c r="Z11" s="2"/>
      <c r="AA11" s="2"/>
      <c r="AB11" s="2"/>
      <c r="AC11" s="2" t="s">
        <v>307</v>
      </c>
      <c r="AD11" s="2" t="s">
        <v>181</v>
      </c>
      <c r="AE11" s="2" t="s">
        <v>308</v>
      </c>
      <c r="AF11" s="2" t="s">
        <v>309</v>
      </c>
      <c r="AG11" s="2"/>
      <c r="AH11" s="2">
        <v>2031</v>
      </c>
      <c r="AI11" s="2"/>
    </row>
    <row r="12" spans="1:41">
      <c r="B12" s="2" t="s">
        <v>28</v>
      </c>
      <c r="C12" s="2" t="s">
        <v>310</v>
      </c>
      <c r="D12" s="2"/>
      <c r="E12" s="2"/>
      <c r="F12" s="2"/>
      <c r="G12" s="2"/>
      <c r="H12" s="2"/>
      <c r="I12" s="2"/>
      <c r="K12" s="2" t="s">
        <v>39</v>
      </c>
      <c r="L12" s="2" t="s">
        <v>306</v>
      </c>
      <c r="M12" s="2"/>
      <c r="N12" s="2"/>
      <c r="O12" s="2"/>
      <c r="P12" s="2"/>
      <c r="Q12" s="2"/>
      <c r="R12" s="2"/>
      <c r="W12" s="2"/>
      <c r="X12" s="2"/>
      <c r="Y12" s="2"/>
      <c r="Z12" s="2"/>
      <c r="AA12" s="2"/>
      <c r="AB12" s="2"/>
      <c r="AC12" s="2" t="s">
        <v>311</v>
      </c>
      <c r="AD12" s="2" t="s">
        <v>312</v>
      </c>
      <c r="AE12" s="2" t="s">
        <v>313</v>
      </c>
      <c r="AF12" s="2" t="s">
        <v>314</v>
      </c>
      <c r="AG12" s="2"/>
      <c r="AH12" s="2">
        <v>2032</v>
      </c>
      <c r="AI12" s="2"/>
    </row>
    <row r="13" spans="1:41">
      <c r="B13" s="2" t="s">
        <v>29</v>
      </c>
      <c r="C13" s="2" t="s">
        <v>315</v>
      </c>
      <c r="D13" s="2"/>
      <c r="E13" s="2"/>
      <c r="F13" s="2"/>
      <c r="G13" s="2"/>
      <c r="H13" s="2"/>
      <c r="I13" s="2"/>
      <c r="W13" s="2"/>
      <c r="X13" s="2"/>
      <c r="Y13" s="2"/>
      <c r="Z13" s="2"/>
      <c r="AA13" s="2"/>
      <c r="AB13" s="2"/>
      <c r="AC13" s="2" t="s">
        <v>316</v>
      </c>
      <c r="AD13" s="2" t="s">
        <v>317</v>
      </c>
      <c r="AE13" s="2" t="s">
        <v>318</v>
      </c>
      <c r="AF13" s="2" t="s">
        <v>319</v>
      </c>
      <c r="AG13" s="2"/>
      <c r="AH13" s="2">
        <v>2033</v>
      </c>
      <c r="AI13" s="2"/>
    </row>
    <row r="14" spans="1:41">
      <c r="W14" s="2"/>
      <c r="X14" s="2"/>
      <c r="Y14" s="2"/>
      <c r="Z14" s="2"/>
      <c r="AA14" s="2"/>
      <c r="AB14" s="2"/>
      <c r="AC14" s="2" t="s">
        <v>320</v>
      </c>
      <c r="AD14" s="2" t="s">
        <v>314</v>
      </c>
      <c r="AE14" s="2" t="s">
        <v>321</v>
      </c>
      <c r="AF14" s="2" t="s">
        <v>322</v>
      </c>
      <c r="AG14" s="2"/>
      <c r="AH14" s="2">
        <v>2034</v>
      </c>
      <c r="AI14" s="2"/>
    </row>
    <row r="15" spans="1:41">
      <c r="W15" s="2"/>
      <c r="X15" s="2"/>
      <c r="Y15" s="2"/>
      <c r="Z15" s="2"/>
      <c r="AA15" s="2"/>
      <c r="AB15" s="2"/>
      <c r="AC15" s="2"/>
      <c r="AD15" s="2"/>
      <c r="AE15" s="2" t="s">
        <v>323</v>
      </c>
      <c r="AF15" s="2" t="s">
        <v>312</v>
      </c>
      <c r="AG15" s="2"/>
      <c r="AH15" s="2">
        <v>2035</v>
      </c>
      <c r="AI15" s="2"/>
    </row>
    <row r="16" spans="1:41">
      <c r="W16" s="2"/>
      <c r="X16" s="2"/>
      <c r="Y16" s="2"/>
      <c r="Z16" s="2"/>
      <c r="AA16" s="2"/>
      <c r="AB16" s="2"/>
      <c r="AC16" s="2"/>
      <c r="AD16" s="2"/>
      <c r="AE16" s="2" t="s">
        <v>324</v>
      </c>
      <c r="AF16" s="2" t="s">
        <v>325</v>
      </c>
      <c r="AG16" s="2"/>
      <c r="AH16" s="2">
        <v>2036</v>
      </c>
      <c r="AI16" s="2"/>
    </row>
    <row r="17" spans="23:35">
      <c r="W17" s="2"/>
      <c r="X17" s="2"/>
      <c r="Y17" s="2"/>
      <c r="Z17" s="2"/>
      <c r="AA17" s="2"/>
      <c r="AB17" s="2"/>
      <c r="AC17" s="2"/>
      <c r="AD17" s="2"/>
      <c r="AE17" s="2" t="s">
        <v>326</v>
      </c>
      <c r="AF17" s="2" t="s">
        <v>326</v>
      </c>
      <c r="AG17" s="2"/>
      <c r="AH17" s="2">
        <v>2037</v>
      </c>
      <c r="AI17" s="2"/>
    </row>
    <row r="18" spans="23:35">
      <c r="W18" s="2"/>
      <c r="X18" s="2"/>
      <c r="Y18" s="2"/>
      <c r="Z18" s="2"/>
      <c r="AA18" s="2"/>
      <c r="AB18" s="2"/>
      <c r="AC18" s="2"/>
      <c r="AD18" s="2"/>
      <c r="AE18" s="2"/>
      <c r="AF18" s="2"/>
      <c r="AG18" s="2"/>
      <c r="AH18" s="2">
        <v>2038</v>
      </c>
      <c r="AI18" s="2"/>
    </row>
    <row r="19" spans="23:35">
      <c r="W19" s="2"/>
      <c r="X19" s="2"/>
      <c r="Y19" s="2"/>
      <c r="Z19" s="2"/>
      <c r="AA19" s="2"/>
      <c r="AB19" s="2"/>
      <c r="AC19" s="2"/>
      <c r="AD19" s="2"/>
      <c r="AE19" s="2"/>
      <c r="AF19" s="2"/>
      <c r="AG19" s="2"/>
      <c r="AH19" s="2">
        <v>2039</v>
      </c>
      <c r="AI19" s="2"/>
    </row>
    <row r="20" spans="23:35">
      <c r="W20" s="2"/>
      <c r="X20" s="2"/>
      <c r="Y20" s="2"/>
      <c r="Z20" s="2"/>
      <c r="AA20" s="2"/>
      <c r="AB20" s="2"/>
      <c r="AC20" s="2"/>
      <c r="AD20" s="2"/>
      <c r="AE20" s="2"/>
      <c r="AF20" s="2"/>
      <c r="AG20" s="2"/>
      <c r="AH20" s="2">
        <v>2040</v>
      </c>
      <c r="AI20" s="2"/>
    </row>
    <row r="21" spans="23:35">
      <c r="W21" s="2"/>
      <c r="X21" s="2"/>
      <c r="Y21" s="2"/>
      <c r="Z21" s="2"/>
      <c r="AA21" s="2"/>
      <c r="AB21" s="2"/>
      <c r="AC21" s="2"/>
      <c r="AD21" s="2"/>
      <c r="AE21" s="2"/>
      <c r="AF21" s="2"/>
      <c r="AG21" s="2"/>
      <c r="AH21" s="2">
        <v>2041</v>
      </c>
      <c r="AI21" s="2"/>
    </row>
    <row r="22" spans="23:35">
      <c r="W22" s="2"/>
      <c r="X22" s="2"/>
      <c r="Y22" s="2"/>
      <c r="Z22" s="2"/>
      <c r="AA22" s="2"/>
      <c r="AB22" s="2"/>
      <c r="AC22" s="2"/>
      <c r="AD22" s="2"/>
      <c r="AE22" s="2"/>
      <c r="AF22" s="2"/>
      <c r="AG22" s="2"/>
      <c r="AH22" s="2">
        <v>2042</v>
      </c>
      <c r="AI22" s="2"/>
    </row>
    <row r="23" spans="23:35">
      <c r="W23" s="2"/>
      <c r="X23" s="2"/>
      <c r="Y23" s="2"/>
      <c r="Z23" s="2"/>
      <c r="AA23" s="2"/>
      <c r="AB23" s="2"/>
      <c r="AC23" s="2"/>
      <c r="AD23" s="2"/>
      <c r="AE23" s="2"/>
      <c r="AF23" s="2"/>
      <c r="AG23" s="2"/>
      <c r="AH23" s="2">
        <v>2043</v>
      </c>
      <c r="AI23" s="2"/>
    </row>
    <row r="24" spans="23:35">
      <c r="W24" s="2"/>
      <c r="X24" s="2"/>
      <c r="Y24" s="2"/>
      <c r="Z24" s="2"/>
      <c r="AA24" s="2"/>
      <c r="AB24" s="2"/>
      <c r="AC24" s="2"/>
      <c r="AD24" s="2"/>
      <c r="AE24" s="2"/>
      <c r="AF24" s="2"/>
      <c r="AG24" s="2"/>
      <c r="AH24" s="2">
        <v>2044</v>
      </c>
      <c r="AI24" s="2"/>
    </row>
    <row r="25" spans="23:35">
      <c r="W25" s="2"/>
      <c r="X25" s="2"/>
      <c r="Y25" s="2"/>
      <c r="Z25" s="2"/>
      <c r="AA25" s="2"/>
      <c r="AB25" s="2"/>
      <c r="AC25" s="2"/>
      <c r="AD25" s="2"/>
      <c r="AE25" s="2"/>
      <c r="AF25" s="2"/>
      <c r="AG25" s="2"/>
      <c r="AH25" s="2">
        <v>2045</v>
      </c>
      <c r="AI25" s="2"/>
    </row>
    <row r="26" spans="23:35">
      <c r="W26" s="2"/>
      <c r="X26" s="2"/>
      <c r="Y26" s="2"/>
      <c r="Z26" s="2"/>
      <c r="AA26" s="2"/>
      <c r="AB26" s="2"/>
      <c r="AC26" s="2"/>
      <c r="AD26" s="2"/>
      <c r="AE26" s="2"/>
      <c r="AF26" s="2"/>
      <c r="AG26" s="2"/>
      <c r="AH26" s="2">
        <v>2046</v>
      </c>
      <c r="AI26" s="2"/>
    </row>
    <row r="27" spans="23:35">
      <c r="W27" s="2"/>
      <c r="X27" s="2"/>
      <c r="Y27" s="2"/>
      <c r="Z27" s="2"/>
      <c r="AA27" s="2"/>
      <c r="AB27" s="2"/>
      <c r="AC27" s="2"/>
      <c r="AD27" s="2"/>
      <c r="AE27" s="2"/>
      <c r="AF27" s="2"/>
      <c r="AG27" s="2"/>
      <c r="AH27" s="2">
        <v>2047</v>
      </c>
      <c r="AI27" s="2"/>
    </row>
    <row r="28" spans="23:35">
      <c r="W28" s="2"/>
      <c r="X28" s="2"/>
      <c r="Y28" s="2"/>
      <c r="Z28" s="2"/>
      <c r="AA28" s="2"/>
      <c r="AB28" s="2"/>
      <c r="AC28" s="2"/>
      <c r="AD28" s="2"/>
      <c r="AE28" s="2"/>
      <c r="AF28" s="2"/>
      <c r="AG28" s="2"/>
      <c r="AH28" s="2">
        <v>2048</v>
      </c>
      <c r="AI28" s="2"/>
    </row>
    <row r="29" spans="23:35">
      <c r="W29" s="2"/>
      <c r="X29" s="2"/>
      <c r="Y29" s="2"/>
      <c r="Z29" s="2"/>
      <c r="AA29" s="2"/>
      <c r="AB29" s="2"/>
      <c r="AC29" s="2"/>
      <c r="AD29" s="2"/>
      <c r="AE29" s="2"/>
      <c r="AF29" s="2"/>
      <c r="AG29" s="2"/>
      <c r="AH29" s="2">
        <v>2049</v>
      </c>
      <c r="AI29" s="2"/>
    </row>
    <row r="30" spans="23:35">
      <c r="W30" s="2"/>
      <c r="X30" s="2"/>
      <c r="Y30" s="2"/>
      <c r="Z30" s="2"/>
      <c r="AA30" s="2"/>
      <c r="AB30" s="2"/>
      <c r="AC30" s="2"/>
      <c r="AD30" s="2"/>
      <c r="AE30" s="2"/>
      <c r="AF30" s="2"/>
      <c r="AG30" s="2"/>
      <c r="AH30" s="2">
        <v>2050</v>
      </c>
      <c r="AI30" s="2"/>
    </row>
    <row r="31" spans="23:35"/>
    <row r="32" spans="23:35"/>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row r="3377"/>
    <row r="3378"/>
    <row r="3379"/>
    <row r="3380"/>
    <row r="3381"/>
    <row r="3382"/>
    <row r="3383"/>
    <row r="3384"/>
    <row r="3385"/>
    <row r="3386"/>
    <row r="3387"/>
    <row r="3388"/>
    <row r="3389"/>
    <row r="3390"/>
    <row r="3391"/>
    <row r="3392"/>
    <row r="3393"/>
    <row r="3394"/>
    <row r="3395"/>
    <row r="3396"/>
    <row r="3397"/>
    <row r="3398"/>
    <row r="3399"/>
    <row r="3400"/>
    <row r="3401"/>
    <row r="3402"/>
    <row r="3403"/>
    <row r="3404"/>
    <row r="3405"/>
    <row r="3406"/>
    <row r="3407"/>
    <row r="3408"/>
    <row r="3409"/>
    <row r="3410"/>
    <row r="3411"/>
    <row r="3412"/>
    <row r="3413"/>
    <row r="3414"/>
    <row r="3415"/>
    <row r="3416"/>
    <row r="3417"/>
    <row r="3418"/>
    <row r="3419"/>
    <row r="3420"/>
    <row r="3421"/>
    <row r="3422"/>
    <row r="3423"/>
    <row r="3424"/>
    <row r="3425"/>
    <row r="3426"/>
    <row r="3427"/>
    <row r="3428"/>
    <row r="3429"/>
    <row r="3430"/>
    <row r="3431"/>
    <row r="3432"/>
    <row r="3433"/>
    <row r="3434"/>
    <row r="3435"/>
    <row r="3436"/>
    <row r="3437"/>
    <row r="3438"/>
    <row r="3439"/>
    <row r="3440"/>
    <row r="3441"/>
    <row r="3442"/>
    <row r="3443"/>
    <row r="3444"/>
    <row r="3445"/>
    <row r="3446"/>
    <row r="3447"/>
    <row r="3448"/>
    <row r="3449"/>
    <row r="3450"/>
    <row r="3451"/>
    <row r="3452"/>
    <row r="3453"/>
    <row r="3454"/>
    <row r="3455"/>
    <row r="3456"/>
    <row r="3457"/>
    <row r="3458"/>
    <row r="3459"/>
    <row r="3460"/>
    <row r="3461"/>
    <row r="3462"/>
    <row r="3463"/>
    <row r="3464"/>
    <row r="3465"/>
    <row r="3466"/>
    <row r="3467"/>
    <row r="3468"/>
    <row r="3469"/>
    <row r="3470"/>
    <row r="3471"/>
    <row r="3472"/>
    <row r="3473"/>
    <row r="3474"/>
    <row r="3475"/>
    <row r="3476"/>
    <row r="3477"/>
    <row r="3478"/>
    <row r="3479"/>
    <row r="3480"/>
    <row r="3481"/>
    <row r="3482"/>
    <row r="3483"/>
    <row r="3484"/>
    <row r="3485"/>
    <row r="3486"/>
    <row r="3487"/>
    <row r="3488"/>
    <row r="3489"/>
    <row r="3490"/>
    <row r="3491"/>
    <row r="3492"/>
    <row r="3493"/>
    <row r="3494"/>
    <row r="3495"/>
    <row r="3496"/>
    <row r="3497"/>
    <row r="3498"/>
    <row r="3499"/>
    <row r="3500"/>
    <row r="3501"/>
    <row r="3502"/>
    <row r="3503"/>
    <row r="3504"/>
    <row r="3505"/>
    <row r="3506"/>
    <row r="3507"/>
    <row r="3508"/>
    <row r="3509"/>
    <row r="3510"/>
    <row r="3511"/>
    <row r="3512"/>
    <row r="3513"/>
    <row r="3514"/>
    <row r="3515"/>
    <row r="3516"/>
    <row r="3517"/>
    <row r="3518"/>
    <row r="3519"/>
    <row r="3520"/>
    <row r="3521"/>
    <row r="3522"/>
    <row r="3523"/>
    <row r="3524"/>
    <row r="3525"/>
    <row r="3526"/>
    <row r="3527"/>
    <row r="3528"/>
    <row r="3529"/>
    <row r="3530"/>
    <row r="3531"/>
    <row r="3532"/>
    <row r="3533"/>
    <row r="3534"/>
    <row r="3535"/>
    <row r="3536"/>
    <row r="3537"/>
    <row r="3538"/>
    <row r="3539"/>
    <row r="3540"/>
    <row r="3541"/>
    <row r="3542"/>
    <row r="3543"/>
    <row r="3544"/>
    <row r="3545"/>
    <row r="3546"/>
    <row r="3547"/>
    <row r="3548"/>
    <row r="3549"/>
    <row r="3550"/>
    <row r="3551"/>
    <row r="3552"/>
    <row r="3553"/>
    <row r="3554"/>
    <row r="3555"/>
    <row r="3556"/>
    <row r="3557"/>
    <row r="3558"/>
    <row r="3559"/>
    <row r="3560"/>
    <row r="3561"/>
    <row r="3562"/>
    <row r="3563"/>
    <row r="3564"/>
    <row r="3565"/>
    <row r="3566"/>
    <row r="3567"/>
    <row r="3568"/>
    <row r="3569"/>
    <row r="3570"/>
    <row r="3571"/>
    <row r="3572"/>
    <row r="3573"/>
    <row r="3574"/>
    <row r="3575"/>
    <row r="3576"/>
    <row r="3577"/>
    <row r="3578"/>
    <row r="3579"/>
    <row r="3580"/>
    <row r="3581"/>
    <row r="3582"/>
    <row r="3583"/>
    <row r="3584"/>
    <row r="3585"/>
    <row r="3586"/>
    <row r="3587"/>
    <row r="3588"/>
    <row r="3589"/>
    <row r="3590"/>
    <row r="3591"/>
    <row r="3592"/>
    <row r="3593"/>
    <row r="3594"/>
    <row r="3595"/>
    <row r="3596"/>
    <row r="3597"/>
    <row r="3598"/>
    <row r="3599"/>
    <row r="3600"/>
    <row r="3601"/>
    <row r="3602"/>
    <row r="3603"/>
    <row r="3604"/>
    <row r="3605"/>
    <row r="3606"/>
    <row r="3607"/>
    <row r="3608"/>
    <row r="3609"/>
    <row r="3610"/>
    <row r="3611"/>
    <row r="3612"/>
    <row r="3613"/>
    <row r="3614"/>
    <row r="3615"/>
    <row r="3616"/>
    <row r="3617"/>
    <row r="3618"/>
    <row r="3619"/>
    <row r="3620"/>
    <row r="3621"/>
    <row r="3622"/>
    <row r="3623"/>
    <row r="3624"/>
    <row r="3625"/>
    <row r="3626"/>
    <row r="3627"/>
    <row r="3628"/>
    <row r="3629"/>
    <row r="3630"/>
    <row r="3631"/>
    <row r="3632"/>
    <row r="3633"/>
    <row r="3634"/>
    <row r="3635"/>
    <row r="3636"/>
    <row r="3637"/>
    <row r="3638"/>
    <row r="3639"/>
    <row r="3640"/>
    <row r="3641"/>
    <row r="3642"/>
    <row r="3643"/>
    <row r="3644"/>
    <row r="3645"/>
    <row r="3646"/>
    <row r="3647"/>
    <row r="3648"/>
    <row r="3649"/>
    <row r="3650"/>
    <row r="3651"/>
    <row r="3652"/>
    <row r="3653"/>
    <row r="3654"/>
    <row r="3655"/>
    <row r="3656"/>
    <row r="3657"/>
    <row r="3658"/>
    <row r="3659"/>
    <row r="3660"/>
    <row r="3661"/>
    <row r="3662"/>
    <row r="3663"/>
    <row r="3664"/>
    <row r="3665"/>
    <row r="3666"/>
    <row r="3667"/>
    <row r="3668"/>
    <row r="3669"/>
    <row r="3670"/>
    <row r="3671"/>
    <row r="3672"/>
    <row r="3673"/>
    <row r="3674"/>
    <row r="3675"/>
    <row r="3676"/>
    <row r="3677"/>
    <row r="3678"/>
    <row r="3679"/>
    <row r="3680"/>
    <row r="3681"/>
    <row r="3682"/>
    <row r="3683"/>
    <row r="3684"/>
    <row r="3685"/>
    <row r="3686"/>
    <row r="3687"/>
    <row r="3688"/>
    <row r="3689"/>
    <row r="3690"/>
    <row r="3691"/>
    <row r="3692"/>
    <row r="3693"/>
    <row r="3694"/>
    <row r="3695"/>
    <row r="3696"/>
    <row r="3697"/>
    <row r="3698"/>
    <row r="3699"/>
    <row r="3700"/>
    <row r="3701"/>
    <row r="3702"/>
    <row r="3703"/>
    <row r="3704"/>
    <row r="3705"/>
    <row r="3706"/>
    <row r="3707"/>
    <row r="3708"/>
    <row r="3709"/>
    <row r="3710"/>
    <row r="3711"/>
    <row r="3712"/>
    <row r="3713"/>
    <row r="3714"/>
    <row r="3715"/>
    <row r="3716"/>
    <row r="3717"/>
    <row r="3718"/>
    <row r="3719"/>
    <row r="3720"/>
    <row r="3721"/>
    <row r="3722"/>
    <row r="3723"/>
    <row r="3724"/>
    <row r="3725"/>
    <row r="3726"/>
    <row r="3727"/>
    <row r="3728"/>
    <row r="3729"/>
    <row r="3730"/>
    <row r="3731"/>
    <row r="3732"/>
    <row r="3733"/>
    <row r="3734"/>
    <row r="3735"/>
    <row r="3736"/>
    <row r="3737"/>
    <row r="3738"/>
    <row r="3739"/>
    <row r="3740"/>
    <row r="3741"/>
    <row r="3742"/>
    <row r="3743"/>
    <row r="3744"/>
    <row r="3745"/>
    <row r="3746"/>
    <row r="3747"/>
    <row r="3748"/>
    <row r="3749"/>
    <row r="3750"/>
    <row r="3751"/>
    <row r="3752"/>
    <row r="3753"/>
    <row r="3754"/>
    <row r="3755"/>
    <row r="3756"/>
    <row r="3757"/>
    <row r="3758"/>
    <row r="3759"/>
    <row r="3760"/>
    <row r="3761"/>
    <row r="3762"/>
    <row r="3763"/>
    <row r="3764"/>
    <row r="3765"/>
    <row r="3766"/>
    <row r="3767"/>
    <row r="3768"/>
    <row r="3769"/>
    <row r="3770"/>
    <row r="3771"/>
    <row r="3772"/>
    <row r="3773"/>
    <row r="3774"/>
    <row r="3775"/>
    <row r="3776"/>
    <row r="3777"/>
    <row r="3778"/>
    <row r="3779"/>
    <row r="3780"/>
    <row r="3781"/>
    <row r="3782"/>
    <row r="3783"/>
    <row r="3784"/>
    <row r="3785"/>
    <row r="3786"/>
    <row r="3787"/>
    <row r="3788"/>
    <row r="3789"/>
    <row r="3790"/>
    <row r="3791"/>
    <row r="3792"/>
    <row r="3793"/>
    <row r="3794"/>
    <row r="3795"/>
    <row r="3796"/>
    <row r="3797"/>
    <row r="3798"/>
    <row r="3799"/>
    <row r="3800"/>
    <row r="3801"/>
    <row r="3802"/>
    <row r="3803"/>
    <row r="3804"/>
    <row r="3805"/>
    <row r="3806"/>
    <row r="3807"/>
    <row r="3808"/>
    <row r="3809"/>
    <row r="3810"/>
    <row r="3811"/>
    <row r="3812"/>
    <row r="3813"/>
    <row r="3814"/>
    <row r="3815"/>
    <row r="3816"/>
    <row r="3817"/>
    <row r="3818"/>
    <row r="3819"/>
    <row r="3820"/>
    <row r="3821"/>
    <row r="3822"/>
    <row r="3823"/>
    <row r="3824"/>
    <row r="3825"/>
    <row r="3826"/>
    <row r="3827"/>
    <row r="3828"/>
    <row r="3829"/>
    <row r="3830"/>
    <row r="3831"/>
    <row r="3832"/>
    <row r="3833"/>
    <row r="3834"/>
    <row r="3835"/>
    <row r="3836"/>
    <row r="3837"/>
    <row r="3838"/>
    <row r="3839"/>
    <row r="3840"/>
    <row r="3841"/>
    <row r="3842"/>
    <row r="3843"/>
    <row r="3844"/>
    <row r="3845"/>
    <row r="3846"/>
    <row r="3847"/>
    <row r="3848"/>
    <row r="3849"/>
    <row r="3850"/>
    <row r="3851"/>
    <row r="3852"/>
    <row r="3853"/>
    <row r="3854"/>
    <row r="3855"/>
    <row r="3856"/>
    <row r="3857"/>
    <row r="3858"/>
    <row r="3859"/>
    <row r="3860"/>
    <row r="3861"/>
    <row r="3862"/>
    <row r="3863"/>
    <row r="3864"/>
    <row r="3865"/>
    <row r="3866"/>
    <row r="3867"/>
    <row r="3868"/>
    <row r="3869"/>
    <row r="3870"/>
    <row r="3871"/>
    <row r="3872"/>
    <row r="3873"/>
    <row r="3874"/>
    <row r="3875"/>
    <row r="3876"/>
    <row r="3877"/>
    <row r="3878"/>
    <row r="3879"/>
    <row r="3880"/>
    <row r="3881"/>
    <row r="3882"/>
    <row r="3883"/>
    <row r="3884"/>
    <row r="3885"/>
    <row r="3886"/>
    <row r="3887"/>
    <row r="3888"/>
    <row r="3889"/>
    <row r="3890"/>
    <row r="3891"/>
    <row r="3892"/>
    <row r="3893"/>
    <row r="3894"/>
    <row r="3895"/>
    <row r="3896"/>
    <row r="3897"/>
    <row r="3898"/>
    <row r="3899"/>
    <row r="3900"/>
    <row r="3901"/>
    <row r="3902"/>
    <row r="3903"/>
    <row r="3904"/>
    <row r="3905"/>
    <row r="3906"/>
    <row r="3907"/>
    <row r="3908"/>
    <row r="3909"/>
    <row r="3910"/>
    <row r="3911"/>
    <row r="3912"/>
    <row r="3913"/>
    <row r="3914"/>
    <row r="3915"/>
    <row r="3916"/>
    <row r="3917"/>
    <row r="3918"/>
    <row r="3919"/>
    <row r="3920"/>
    <row r="3921"/>
    <row r="3922"/>
    <row r="3923"/>
    <row r="3924"/>
    <row r="3925"/>
    <row r="3926"/>
    <row r="3927"/>
    <row r="3928"/>
    <row r="3929"/>
    <row r="3930"/>
    <row r="3931"/>
    <row r="3932"/>
    <row r="3933"/>
    <row r="3934"/>
    <row r="3935"/>
    <row r="3936"/>
    <row r="3937"/>
    <row r="3938"/>
    <row r="3939"/>
    <row r="3940"/>
    <row r="3941"/>
    <row r="3942"/>
    <row r="3943"/>
    <row r="3944"/>
    <row r="3945"/>
    <row r="3946"/>
    <row r="3947"/>
    <row r="3948"/>
    <row r="3949"/>
    <row r="3950"/>
    <row r="3951"/>
    <row r="3952"/>
    <row r="3953"/>
    <row r="3954"/>
    <row r="3955"/>
    <row r="3956"/>
    <row r="3957"/>
    <row r="3958"/>
    <row r="3959"/>
    <row r="3960"/>
    <row r="3961"/>
    <row r="3962"/>
    <row r="3963"/>
    <row r="3964"/>
    <row r="3965"/>
    <row r="3966"/>
    <row r="3967"/>
    <row r="3968"/>
    <row r="3969"/>
    <row r="3970"/>
    <row r="3971"/>
    <row r="3972"/>
    <row r="3973"/>
    <row r="3974"/>
    <row r="3975"/>
    <row r="3976"/>
    <row r="3977"/>
    <row r="3978"/>
    <row r="3979"/>
    <row r="3980"/>
    <row r="3981"/>
    <row r="3982"/>
    <row r="3983"/>
    <row r="3984"/>
    <row r="3985"/>
    <row r="3986"/>
    <row r="3987"/>
    <row r="3988"/>
    <row r="3989"/>
    <row r="3990"/>
    <row r="3991"/>
    <row r="3992"/>
    <row r="3993"/>
    <row r="3994"/>
    <row r="3995"/>
    <row r="3996"/>
    <row r="3997"/>
    <row r="3998"/>
    <row r="3999"/>
    <row r="4000"/>
    <row r="4001"/>
    <row r="4002"/>
    <row r="4003"/>
    <row r="4004"/>
    <row r="4005"/>
    <row r="4006"/>
    <row r="4007"/>
    <row r="4008"/>
    <row r="4009"/>
    <row r="4010"/>
    <row r="4011"/>
    <row r="4012"/>
    <row r="4013"/>
    <row r="4014"/>
    <row r="4015"/>
    <row r="4016"/>
    <row r="4017"/>
    <row r="4018"/>
    <row r="4019"/>
    <row r="4020"/>
    <row r="4021"/>
    <row r="4022"/>
    <row r="4023"/>
    <row r="4024"/>
    <row r="4025"/>
    <row r="4026"/>
    <row r="4027"/>
    <row r="4028"/>
    <row r="4029"/>
    <row r="4030"/>
    <row r="4031"/>
    <row r="4032"/>
    <row r="4033"/>
    <row r="4034"/>
    <row r="4035"/>
    <row r="4036"/>
    <row r="4037"/>
    <row r="4038"/>
    <row r="4039"/>
    <row r="4040"/>
    <row r="4041"/>
    <row r="4042"/>
    <row r="4043"/>
    <row r="4044"/>
    <row r="4045"/>
    <row r="4046"/>
    <row r="4047"/>
    <row r="4048"/>
    <row r="4049"/>
    <row r="4050"/>
    <row r="4051"/>
    <row r="4052"/>
    <row r="4053"/>
    <row r="4054"/>
    <row r="4055"/>
    <row r="4056"/>
    <row r="4057"/>
    <row r="4058"/>
    <row r="4059"/>
    <row r="4060"/>
    <row r="4061"/>
    <row r="4062"/>
    <row r="4063"/>
    <row r="4064"/>
    <row r="4065"/>
    <row r="4066"/>
    <row r="4067"/>
    <row r="4068"/>
    <row r="4069"/>
    <row r="4070"/>
    <row r="4071"/>
    <row r="4072"/>
    <row r="4073"/>
    <row r="4074"/>
    <row r="4075"/>
    <row r="4076"/>
    <row r="4077"/>
    <row r="4078"/>
    <row r="4079"/>
    <row r="4080"/>
    <row r="4081"/>
    <row r="4082"/>
    <row r="4083"/>
    <row r="4084"/>
    <row r="4085"/>
    <row r="4086"/>
    <row r="4087"/>
    <row r="4088"/>
    <row r="4089"/>
    <row r="4090"/>
    <row r="4091"/>
    <row r="4092"/>
    <row r="4093"/>
    <row r="4094"/>
    <row r="4095"/>
    <row r="4096"/>
    <row r="4097"/>
    <row r="4098"/>
    <row r="4099"/>
    <row r="4100"/>
    <row r="4101"/>
    <row r="4102"/>
    <row r="4103"/>
    <row r="4104"/>
    <row r="4105"/>
    <row r="4106"/>
    <row r="4107"/>
    <row r="4108"/>
    <row r="4109"/>
    <row r="4110"/>
    <row r="4111"/>
    <row r="4112"/>
    <row r="4113"/>
    <row r="4114"/>
    <row r="4115"/>
    <row r="4116"/>
    <row r="4117"/>
    <row r="4118"/>
    <row r="4119"/>
    <row r="4120"/>
    <row r="4121"/>
    <row r="4122"/>
    <row r="4123"/>
    <row r="4124"/>
    <row r="4125"/>
    <row r="4126"/>
    <row r="4127"/>
    <row r="4128"/>
    <row r="4129"/>
    <row r="4130"/>
    <row r="4131"/>
    <row r="4132"/>
    <row r="4133"/>
    <row r="4134"/>
    <row r="4135"/>
    <row r="4136"/>
    <row r="4137"/>
    <row r="4138"/>
    <row r="4139"/>
    <row r="4140"/>
    <row r="4141"/>
    <row r="4142"/>
    <row r="4143"/>
    <row r="4144"/>
    <row r="4145"/>
    <row r="4146"/>
    <row r="4147"/>
    <row r="4148"/>
    <row r="4149"/>
    <row r="4150"/>
    <row r="4151"/>
    <row r="4152"/>
    <row r="4153"/>
    <row r="4154"/>
    <row r="4155"/>
    <row r="4156"/>
    <row r="4157"/>
    <row r="4158"/>
    <row r="4159"/>
    <row r="4160"/>
    <row r="4161"/>
    <row r="4162"/>
    <row r="4163"/>
    <row r="4164"/>
    <row r="4165"/>
    <row r="4166"/>
    <row r="4167"/>
    <row r="4168"/>
    <row r="4169"/>
    <row r="4170"/>
    <row r="4171"/>
    <row r="4172"/>
    <row r="4173"/>
    <row r="4174"/>
    <row r="4175"/>
    <row r="4176"/>
    <row r="4177"/>
    <row r="4178"/>
    <row r="4179"/>
    <row r="4180"/>
    <row r="4181"/>
    <row r="4182"/>
    <row r="4183"/>
    <row r="4184"/>
    <row r="4185"/>
    <row r="4186"/>
    <row r="4187"/>
    <row r="4188"/>
    <row r="4189"/>
    <row r="4190"/>
    <row r="4191"/>
    <row r="4192"/>
    <row r="4193"/>
    <row r="4194"/>
    <row r="4195"/>
    <row r="4196"/>
    <row r="4197"/>
    <row r="4198"/>
    <row r="4199"/>
    <row r="4200"/>
    <row r="4201"/>
    <row r="4202"/>
    <row r="4203"/>
    <row r="4204"/>
    <row r="4205"/>
    <row r="4206"/>
    <row r="4207"/>
    <row r="4208"/>
    <row r="4209"/>
    <row r="4210"/>
    <row r="4211"/>
    <row r="4212"/>
    <row r="4213"/>
    <row r="4214"/>
    <row r="4215"/>
    <row r="4216"/>
    <row r="4217"/>
    <row r="4218"/>
    <row r="4219"/>
    <row r="4220"/>
    <row r="4221"/>
    <row r="4222"/>
    <row r="4223"/>
    <row r="4224"/>
    <row r="4225"/>
    <row r="4226"/>
    <row r="4227"/>
    <row r="4228"/>
    <row r="4229"/>
    <row r="4230"/>
    <row r="4231"/>
    <row r="4232"/>
    <row r="4233"/>
    <row r="4234"/>
    <row r="4235"/>
    <row r="4236"/>
    <row r="4237"/>
    <row r="4238"/>
    <row r="4239"/>
    <row r="4240"/>
    <row r="4241"/>
    <row r="4242"/>
    <row r="4243"/>
    <row r="4244"/>
    <row r="4245"/>
    <row r="4246"/>
    <row r="4247"/>
    <row r="4248"/>
    <row r="4249"/>
    <row r="4250"/>
    <row r="4251"/>
    <row r="4252"/>
    <row r="4253"/>
    <row r="4254"/>
    <row r="4255"/>
    <row r="4256"/>
    <row r="4257"/>
    <row r="4258"/>
    <row r="4259"/>
    <row r="4260"/>
    <row r="4261"/>
    <row r="4262"/>
    <row r="4263"/>
    <row r="4264"/>
    <row r="4265"/>
    <row r="4266"/>
    <row r="4267"/>
    <row r="4268"/>
    <row r="4269"/>
    <row r="4270"/>
    <row r="4271"/>
    <row r="4272"/>
    <row r="4273"/>
    <row r="4274"/>
    <row r="4275"/>
    <row r="4276"/>
    <row r="4277"/>
    <row r="4278"/>
    <row r="4279"/>
    <row r="4280"/>
    <row r="4281"/>
    <row r="4282"/>
    <row r="4283"/>
    <row r="4284"/>
    <row r="4285"/>
    <row r="4286"/>
    <row r="4287"/>
    <row r="4288"/>
    <row r="4289"/>
    <row r="4290"/>
    <row r="4291"/>
    <row r="4292"/>
    <row r="4293"/>
    <row r="4294"/>
    <row r="4295"/>
    <row r="4296"/>
    <row r="4297"/>
    <row r="4298"/>
    <row r="4299"/>
    <row r="4300"/>
    <row r="4301"/>
    <row r="4302"/>
    <row r="4303"/>
    <row r="4304"/>
    <row r="4305"/>
    <row r="4306"/>
    <row r="4307"/>
    <row r="4308"/>
    <row r="4309"/>
    <row r="4310"/>
    <row r="4311"/>
    <row r="4312"/>
    <row r="4313"/>
    <row r="4314"/>
    <row r="4315"/>
    <row r="4316"/>
    <row r="4317"/>
    <row r="4318"/>
    <row r="4319"/>
    <row r="4320"/>
    <row r="4321"/>
    <row r="4322"/>
    <row r="4323"/>
    <row r="4324"/>
    <row r="4325"/>
    <row r="4326"/>
    <row r="4327"/>
    <row r="4328"/>
    <row r="4329"/>
    <row r="4330"/>
    <row r="4331"/>
    <row r="4332"/>
    <row r="4333"/>
    <row r="4334"/>
    <row r="4335"/>
    <row r="4336"/>
    <row r="4337"/>
    <row r="4338"/>
    <row r="4339"/>
    <row r="4340"/>
    <row r="4341"/>
    <row r="4342"/>
    <row r="4343"/>
    <row r="4344"/>
    <row r="4345"/>
    <row r="4346"/>
    <row r="4347"/>
    <row r="4348"/>
    <row r="4349"/>
    <row r="4350"/>
    <row r="4351"/>
    <row r="4352"/>
    <row r="4353"/>
    <row r="4354"/>
    <row r="4355"/>
    <row r="4356"/>
    <row r="4357"/>
    <row r="4358"/>
    <row r="4359"/>
    <row r="4360"/>
    <row r="4361"/>
    <row r="4362"/>
    <row r="4363"/>
    <row r="4364"/>
    <row r="4365"/>
    <row r="4366"/>
    <row r="4367"/>
    <row r="4368"/>
    <row r="4369"/>
    <row r="4370"/>
    <row r="4371"/>
    <row r="4372"/>
    <row r="4373"/>
    <row r="4374"/>
    <row r="4375"/>
    <row r="4376"/>
    <row r="4377"/>
    <row r="4378"/>
    <row r="4379"/>
    <row r="4380"/>
    <row r="4381"/>
    <row r="4382"/>
    <row r="4383"/>
    <row r="4384"/>
    <row r="4385"/>
    <row r="4386"/>
    <row r="4387"/>
    <row r="4388"/>
    <row r="4389"/>
    <row r="4390"/>
    <row r="4391"/>
    <row r="4392"/>
    <row r="4393"/>
    <row r="4394"/>
    <row r="4395"/>
    <row r="4396"/>
    <row r="4397"/>
    <row r="4398"/>
    <row r="4399"/>
    <row r="4400"/>
    <row r="4401"/>
    <row r="4402"/>
    <row r="4403"/>
    <row r="4404"/>
    <row r="4405"/>
    <row r="4406"/>
    <row r="4407"/>
    <row r="4408"/>
    <row r="4409"/>
    <row r="4410"/>
    <row r="4411"/>
    <row r="4412"/>
    <row r="4413"/>
    <row r="4414"/>
    <row r="4415"/>
    <row r="4416"/>
    <row r="4417"/>
    <row r="4418"/>
    <row r="4419"/>
    <row r="4420"/>
    <row r="4421"/>
    <row r="4422"/>
    <row r="4423"/>
    <row r="4424"/>
    <row r="4425"/>
    <row r="4426"/>
    <row r="4427"/>
    <row r="4428"/>
    <row r="4429"/>
    <row r="4430"/>
    <row r="4431"/>
    <row r="4432"/>
    <row r="4433"/>
    <row r="4434"/>
    <row r="4435"/>
    <row r="4436"/>
    <row r="4437"/>
    <row r="4438"/>
    <row r="4439"/>
    <row r="4440"/>
    <row r="4441"/>
    <row r="4442"/>
    <row r="4443"/>
    <row r="4444"/>
    <row r="4445"/>
    <row r="4446"/>
    <row r="4447"/>
    <row r="4448"/>
    <row r="4449"/>
    <row r="4450"/>
    <row r="4451"/>
    <row r="4452"/>
    <row r="4453"/>
    <row r="4454"/>
    <row r="4455"/>
    <row r="4456"/>
    <row r="4457"/>
    <row r="4458"/>
    <row r="4459"/>
    <row r="4460"/>
    <row r="4461"/>
    <row r="4462"/>
    <row r="4463"/>
    <row r="4464"/>
    <row r="4465"/>
    <row r="4466"/>
    <row r="4467"/>
    <row r="4468"/>
    <row r="4469"/>
    <row r="4470"/>
    <row r="4471"/>
    <row r="4472"/>
    <row r="4473"/>
    <row r="4474"/>
    <row r="4475"/>
    <row r="4476"/>
    <row r="4477"/>
    <row r="4478"/>
    <row r="4479"/>
    <row r="4480"/>
    <row r="4481"/>
    <row r="4482"/>
    <row r="4483"/>
    <row r="4484"/>
    <row r="4485"/>
    <row r="4486"/>
    <row r="4487"/>
    <row r="4488"/>
    <row r="4489"/>
    <row r="4490"/>
    <row r="4491"/>
    <row r="4492"/>
    <row r="4493"/>
    <row r="4494"/>
    <row r="4495"/>
    <row r="4496"/>
    <row r="4497"/>
    <row r="4498"/>
    <row r="4499"/>
    <row r="4500"/>
    <row r="4501"/>
    <row r="4502"/>
    <row r="4503"/>
    <row r="4504"/>
    <row r="4505"/>
    <row r="4506"/>
    <row r="4507"/>
    <row r="4508"/>
    <row r="4509"/>
    <row r="4510"/>
    <row r="4511"/>
    <row r="4512"/>
    <row r="4513"/>
    <row r="4514"/>
    <row r="4515"/>
    <row r="4516"/>
    <row r="4517"/>
    <row r="4518"/>
    <row r="4519"/>
    <row r="4520"/>
    <row r="4521"/>
    <row r="4522"/>
    <row r="4523"/>
    <row r="4524"/>
    <row r="4525"/>
    <row r="4526"/>
    <row r="4527"/>
    <row r="4528"/>
    <row r="4529"/>
    <row r="4530"/>
    <row r="4531"/>
    <row r="4532"/>
    <row r="4533"/>
    <row r="4534"/>
    <row r="4535"/>
    <row r="4536"/>
    <row r="4537"/>
    <row r="4538"/>
    <row r="4539"/>
    <row r="4540"/>
    <row r="4541"/>
    <row r="4542"/>
    <row r="4543"/>
    <row r="4544"/>
    <row r="4545"/>
    <row r="4546"/>
    <row r="4547"/>
    <row r="4548"/>
    <row r="4549"/>
    <row r="4550"/>
    <row r="4551"/>
    <row r="4552"/>
    <row r="4553"/>
    <row r="4554"/>
    <row r="4555"/>
    <row r="4556"/>
    <row r="4557"/>
    <row r="4558"/>
    <row r="4559"/>
    <row r="4560"/>
    <row r="4561"/>
    <row r="4562"/>
    <row r="4563"/>
    <row r="4564"/>
    <row r="4565"/>
    <row r="4566"/>
    <row r="4567"/>
    <row r="4568"/>
    <row r="4569"/>
    <row r="4570"/>
    <row r="4571"/>
    <row r="4572"/>
    <row r="4573"/>
    <row r="4574"/>
    <row r="4575"/>
    <row r="4576"/>
    <row r="4577"/>
    <row r="4578"/>
    <row r="4579"/>
    <row r="4580"/>
    <row r="4581"/>
    <row r="4582"/>
    <row r="4583"/>
    <row r="4584"/>
    <row r="4585"/>
    <row r="4586"/>
    <row r="4587"/>
    <row r="4588"/>
    <row r="4589"/>
    <row r="4590"/>
    <row r="4591"/>
    <row r="4592"/>
    <row r="4593"/>
    <row r="4594"/>
    <row r="4595"/>
    <row r="4596"/>
    <row r="4597"/>
    <row r="4598"/>
    <row r="4599"/>
    <row r="4600"/>
    <row r="4601"/>
    <row r="4602"/>
    <row r="4603"/>
    <row r="4604"/>
    <row r="4605"/>
    <row r="4606"/>
    <row r="4607"/>
    <row r="4608"/>
    <row r="4609"/>
    <row r="4610"/>
    <row r="4611"/>
    <row r="4612"/>
    <row r="4613"/>
    <row r="4614"/>
    <row r="4615"/>
    <row r="4616"/>
    <row r="4617"/>
    <row r="4618"/>
    <row r="4619"/>
    <row r="4620"/>
    <row r="4621"/>
    <row r="4622"/>
    <row r="4623"/>
    <row r="4624"/>
    <row r="4625"/>
    <row r="4626"/>
    <row r="4627"/>
    <row r="4628"/>
    <row r="4629"/>
    <row r="4630"/>
    <row r="4631"/>
    <row r="4632"/>
    <row r="4633"/>
    <row r="4634"/>
    <row r="4635"/>
    <row r="4636"/>
    <row r="4637"/>
    <row r="4638"/>
    <row r="4639"/>
    <row r="4640"/>
    <row r="4641"/>
    <row r="4642"/>
    <row r="4643"/>
    <row r="4644"/>
    <row r="4645"/>
    <row r="4646"/>
    <row r="4647"/>
    <row r="4648"/>
    <row r="4649"/>
    <row r="4650"/>
    <row r="4651"/>
    <row r="4652"/>
    <row r="4653"/>
    <row r="4654"/>
    <row r="4655"/>
    <row r="4656"/>
    <row r="4657"/>
    <row r="4658"/>
    <row r="4659"/>
    <row r="4660"/>
    <row r="4661"/>
    <row r="4662"/>
    <row r="4663"/>
    <row r="4664"/>
    <row r="4665"/>
    <row r="4666"/>
    <row r="4667"/>
    <row r="4668"/>
    <row r="4669"/>
    <row r="4670"/>
    <row r="4671"/>
    <row r="4672"/>
    <row r="4673"/>
    <row r="4674"/>
    <row r="4675"/>
    <row r="4676"/>
    <row r="4677"/>
    <row r="4678"/>
    <row r="4679"/>
    <row r="4680"/>
    <row r="4681"/>
    <row r="4682"/>
    <row r="4683"/>
    <row r="4684"/>
    <row r="4685"/>
    <row r="4686"/>
    <row r="4687"/>
    <row r="4688"/>
    <row r="4689"/>
    <row r="4690"/>
    <row r="4691"/>
    <row r="4692"/>
    <row r="4693"/>
    <row r="4694"/>
    <row r="4695"/>
    <row r="4696"/>
    <row r="4697"/>
    <row r="4698"/>
    <row r="4699"/>
    <row r="4700"/>
    <row r="4701"/>
    <row r="4702"/>
    <row r="4703"/>
    <row r="4704"/>
    <row r="4705"/>
    <row r="4706"/>
    <row r="4707"/>
    <row r="4708"/>
    <row r="4709"/>
    <row r="4710"/>
    <row r="4711"/>
    <row r="4712"/>
    <row r="4713"/>
    <row r="4714"/>
    <row r="4715"/>
    <row r="4716"/>
    <row r="4717"/>
    <row r="4718"/>
    <row r="4719"/>
    <row r="4720"/>
    <row r="4721"/>
    <row r="4722"/>
    <row r="4723"/>
    <row r="4724"/>
    <row r="4725"/>
    <row r="4726"/>
    <row r="4727"/>
    <row r="4728"/>
    <row r="4729"/>
    <row r="4730"/>
    <row r="4731"/>
    <row r="4732"/>
    <row r="4733"/>
    <row r="4734"/>
    <row r="4735"/>
    <row r="4736"/>
    <row r="4737"/>
    <row r="4738"/>
    <row r="4739"/>
    <row r="4740"/>
    <row r="4741"/>
    <row r="4742"/>
    <row r="4743"/>
    <row r="4744"/>
    <row r="4745"/>
    <row r="4746"/>
    <row r="4747"/>
    <row r="4748"/>
    <row r="4749"/>
    <row r="4750"/>
    <row r="4751"/>
    <row r="4752"/>
    <row r="4753"/>
    <row r="4754"/>
    <row r="4755"/>
    <row r="4756"/>
    <row r="4757"/>
    <row r="4758"/>
    <row r="4759"/>
    <row r="4760"/>
    <row r="4761"/>
    <row r="4762"/>
    <row r="4763"/>
    <row r="4764"/>
    <row r="4765"/>
    <row r="4766"/>
    <row r="4767"/>
    <row r="4768"/>
    <row r="4769"/>
    <row r="4770"/>
    <row r="4771"/>
    <row r="4772"/>
    <row r="4773"/>
    <row r="4774"/>
    <row r="4775"/>
    <row r="4776"/>
    <row r="4777"/>
    <row r="4778"/>
    <row r="4779"/>
    <row r="4780"/>
    <row r="4781"/>
    <row r="4782"/>
    <row r="4783"/>
    <row r="4784"/>
    <row r="4785"/>
    <row r="4786"/>
    <row r="4787"/>
    <row r="4788"/>
    <row r="4789"/>
    <row r="4790"/>
    <row r="4791"/>
    <row r="4792"/>
    <row r="4793"/>
    <row r="4794"/>
    <row r="4795"/>
    <row r="4796"/>
    <row r="4797"/>
    <row r="4798"/>
    <row r="4799"/>
    <row r="4800"/>
    <row r="4801"/>
    <row r="4802"/>
    <row r="4803"/>
    <row r="4804"/>
    <row r="4805"/>
    <row r="4806"/>
    <row r="4807"/>
    <row r="4808"/>
    <row r="4809"/>
    <row r="4810"/>
    <row r="4811"/>
    <row r="4812"/>
    <row r="4813"/>
    <row r="4814"/>
    <row r="4815"/>
    <row r="4816"/>
    <row r="4817"/>
    <row r="4818"/>
    <row r="4819"/>
    <row r="4820"/>
    <row r="4821"/>
    <row r="4822"/>
    <row r="4823"/>
    <row r="4824"/>
    <row r="4825"/>
    <row r="4826"/>
    <row r="4827"/>
    <row r="4828"/>
    <row r="4829"/>
    <row r="4830"/>
    <row r="4831"/>
    <row r="4832"/>
    <row r="4833"/>
    <row r="4834"/>
    <row r="4835"/>
    <row r="4836"/>
    <row r="4837"/>
    <row r="4838"/>
    <row r="4839"/>
    <row r="4840"/>
    <row r="4841"/>
    <row r="4842"/>
    <row r="4843"/>
    <row r="4844"/>
    <row r="4845"/>
    <row r="4846"/>
    <row r="4847"/>
    <row r="4848"/>
    <row r="4849"/>
    <row r="4850"/>
    <row r="4851"/>
    <row r="4852"/>
    <row r="4853"/>
    <row r="4854"/>
    <row r="4855"/>
    <row r="4856"/>
    <row r="4857"/>
    <row r="4858"/>
    <row r="4859"/>
    <row r="4860"/>
    <row r="4861"/>
    <row r="4862"/>
    <row r="4863"/>
    <row r="4864"/>
    <row r="4865"/>
    <row r="4866"/>
    <row r="4867"/>
    <row r="4868"/>
    <row r="4869"/>
    <row r="4870"/>
    <row r="4871"/>
    <row r="4872"/>
    <row r="4873"/>
    <row r="4874"/>
    <row r="4875"/>
    <row r="4876"/>
    <row r="4877"/>
    <row r="4878"/>
    <row r="4879"/>
    <row r="4880"/>
    <row r="4881"/>
    <row r="4882"/>
    <row r="4883"/>
    <row r="4884"/>
    <row r="4885"/>
    <row r="4886"/>
    <row r="4887"/>
    <row r="4888"/>
    <row r="4889"/>
    <row r="4890"/>
    <row r="4891"/>
    <row r="4892"/>
    <row r="4893"/>
    <row r="4894"/>
    <row r="4895"/>
    <row r="4896"/>
    <row r="4897"/>
    <row r="4898"/>
    <row r="4899"/>
    <row r="4900"/>
    <row r="4901"/>
    <row r="4902"/>
    <row r="4903"/>
    <row r="4904"/>
    <row r="4905"/>
    <row r="4906"/>
    <row r="4907"/>
    <row r="4908"/>
    <row r="4909"/>
    <row r="4910"/>
    <row r="4911"/>
    <row r="4912"/>
    <row r="4913"/>
    <row r="4914"/>
    <row r="4915"/>
    <row r="4916"/>
    <row r="4917"/>
    <row r="4918"/>
    <row r="4919"/>
    <row r="4920"/>
    <row r="4921"/>
    <row r="4922"/>
    <row r="4923"/>
    <row r="4924"/>
    <row r="4925"/>
    <row r="4926"/>
    <row r="4927"/>
    <row r="4928"/>
    <row r="4929"/>
    <row r="4930"/>
    <row r="4931"/>
    <row r="4932"/>
    <row r="4933"/>
    <row r="4934"/>
    <row r="4935"/>
    <row r="4936"/>
    <row r="4937"/>
    <row r="4938"/>
    <row r="4939"/>
    <row r="4940"/>
    <row r="4941"/>
    <row r="4942"/>
    <row r="4943"/>
    <row r="4944"/>
    <row r="4945"/>
    <row r="4946"/>
    <row r="4947"/>
    <row r="4948"/>
    <row r="4949"/>
    <row r="4950"/>
    <row r="4951"/>
    <row r="4952"/>
    <row r="4953"/>
    <row r="4954"/>
    <row r="4955"/>
    <row r="4956"/>
    <row r="4957"/>
    <row r="4958"/>
    <row r="4959"/>
    <row r="4960"/>
    <row r="4961"/>
    <row r="4962"/>
    <row r="4963"/>
    <row r="4964"/>
    <row r="4965"/>
    <row r="4966"/>
    <row r="4967"/>
    <row r="4968"/>
    <row r="4969"/>
    <row r="4970"/>
    <row r="4971"/>
    <row r="4972"/>
    <row r="4973"/>
    <row r="4974"/>
    <row r="4975"/>
    <row r="4976"/>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row r="1048546"/>
    <row r="1048547"/>
    <row r="1048548"/>
    <row r="1048549"/>
    <row r="1048550"/>
    <row r="1048551"/>
    <row r="1048552"/>
    <row r="1048553"/>
    <row r="1048554"/>
    <row r="1048555"/>
    <row r="1048556"/>
    <row r="1048557"/>
    <row r="1048558"/>
    <row r="1048559"/>
    <row r="1048560"/>
    <row r="1048561"/>
    <row r="1048562"/>
    <row r="1048563"/>
    <row r="1048564"/>
    <row r="1048565"/>
    <row r="1048566"/>
    <row r="1048567"/>
    <row r="1048568"/>
    <row r="1048569"/>
    <row r="1048570"/>
    <row r="1048571"/>
    <row r="1048572"/>
    <row r="1048573"/>
    <row r="1048574"/>
    <row r="1048575"/>
    <row r="1048576"/>
  </sheetData>
  <hyperlinks>
    <hyperlink ref="A2" location="Contents!A1" display="Back to contents" xr:uid="{742055A7-97E7-407E-85D1-1BEEEB3D00B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A9B2A-9A11-4163-9009-759DA2AA14FF}">
  <sheetPr>
    <tabColor rgb="FF7A3864"/>
  </sheetPr>
  <dimension ref="A1:N22"/>
  <sheetViews>
    <sheetView showGridLines="0" workbookViewId="0">
      <selection activeCell="B1" sqref="B1"/>
    </sheetView>
  </sheetViews>
  <sheetFormatPr defaultColWidth="0" defaultRowHeight="20.45" zeroHeight="1"/>
  <cols>
    <col min="1" max="1" width="2" customWidth="1"/>
    <col min="2" max="2" width="15.5" customWidth="1"/>
    <col min="3" max="3" width="17.5" customWidth="1"/>
    <col min="4" max="4" width="39.8984375" customWidth="1"/>
    <col min="5" max="14" width="9.09765625" customWidth="1"/>
    <col min="15" max="16384" width="6.8984375" hidden="1"/>
  </cols>
  <sheetData>
    <row r="1" spans="2:4">
      <c r="B1" s="98" t="s">
        <v>57</v>
      </c>
    </row>
    <row r="2" spans="2:4">
      <c r="B2" s="418" t="s">
        <v>327</v>
      </c>
      <c r="C2" s="418"/>
      <c r="D2" s="418"/>
    </row>
    <row r="3" spans="2:4">
      <c r="B3" s="173" t="s">
        <v>328</v>
      </c>
      <c r="C3" s="173" t="s">
        <v>329</v>
      </c>
      <c r="D3" s="173" t="s">
        <v>151</v>
      </c>
    </row>
    <row r="4" spans="2:4">
      <c r="B4" s="2" t="s">
        <v>330</v>
      </c>
      <c r="C4" s="2" t="s">
        <v>225</v>
      </c>
      <c r="D4" s="2" t="s">
        <v>331</v>
      </c>
    </row>
    <row r="5" spans="2:4">
      <c r="B5" s="2" t="s">
        <v>330</v>
      </c>
      <c r="C5" s="2" t="s">
        <v>244</v>
      </c>
      <c r="D5" s="2" t="s">
        <v>332</v>
      </c>
    </row>
    <row r="6" spans="2:4">
      <c r="B6" s="2" t="s">
        <v>330</v>
      </c>
      <c r="C6" s="2" t="s">
        <v>263</v>
      </c>
      <c r="D6" s="2" t="s">
        <v>333</v>
      </c>
    </row>
    <row r="7" spans="2:4">
      <c r="B7" s="2" t="s">
        <v>330</v>
      </c>
      <c r="C7" s="2" t="s">
        <v>277</v>
      </c>
      <c r="D7" s="2" t="s">
        <v>334</v>
      </c>
    </row>
    <row r="8" spans="2:4">
      <c r="B8" s="2" t="s">
        <v>335</v>
      </c>
      <c r="C8" s="2" t="s">
        <v>231</v>
      </c>
      <c r="D8" s="2" t="s">
        <v>336</v>
      </c>
    </row>
    <row r="9" spans="2:4">
      <c r="B9" s="2" t="s">
        <v>335</v>
      </c>
      <c r="C9" s="2" t="s">
        <v>250</v>
      </c>
      <c r="D9" s="2" t="s">
        <v>337</v>
      </c>
    </row>
    <row r="10" spans="2:4"/>
    <row r="11" spans="2:4"/>
    <row r="12" spans="2:4"/>
    <row r="13" spans="2:4"/>
    <row r="14" spans="2:4"/>
    <row r="15" spans="2:4"/>
    <row r="16" spans="2:4"/>
    <row r="17"/>
    <row r="18"/>
    <row r="19"/>
    <row r="20"/>
    <row r="21"/>
    <row r="22"/>
  </sheetData>
  <mergeCells count="1">
    <mergeCell ref="B2:D2"/>
  </mergeCells>
  <hyperlinks>
    <hyperlink ref="B1" location="Contents!A1" display="Back to contents" xr:uid="{5C8765AB-6767-465C-94EF-8A0E9D34288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33531-691E-49B3-8164-5838323A579A}">
  <sheetPr>
    <tabColor theme="8"/>
  </sheetPr>
  <dimension ref="A1:AJ3"/>
  <sheetViews>
    <sheetView zoomScale="90" zoomScaleNormal="90" workbookViewId="0">
      <selection activeCell="A2" sqref="A2"/>
    </sheetView>
  </sheetViews>
  <sheetFormatPr defaultColWidth="8.8984375" defaultRowHeight="20.45"/>
  <cols>
    <col min="1" max="16384" width="8.8984375" style="3"/>
  </cols>
  <sheetData>
    <row r="1" spans="1:36" ht="30.6" customHeight="1">
      <c r="A1" s="162" t="s">
        <v>13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row>
    <row r="2" spans="1:36">
      <c r="A2" s="98" t="s">
        <v>57</v>
      </c>
    </row>
    <row r="3" spans="1:36">
      <c r="A3" s="98" t="s">
        <v>338</v>
      </c>
    </row>
  </sheetData>
  <hyperlinks>
    <hyperlink ref="A2" location="Contents!A1" display="Back to contents" xr:uid="{1B98A231-305A-49BE-B260-2534A83C41BE}"/>
    <hyperlink ref="A3" location="'EV CPA Summary Table'!A1" display="Back to EV CPA Summary Table " xr:uid="{A4D77F22-7DD0-47F2-96D1-9A599A6C4352}"/>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6" ma:contentTypeDescription="Create a new document." ma:contentTypeScope="" ma:versionID="37d82d1dedfe06bfb3edbcd53ada9405">
  <xsd:schema xmlns:xsd="http://www.w3.org/2001/XMLSchema" xmlns:xs="http://www.w3.org/2001/XMLSchema" xmlns:p="http://schemas.microsoft.com/office/2006/metadata/properties" xmlns:ns2="96a621df-b342-41a2-9103-1aacfe10f81f" xmlns:ns3="1e343ec6-2c1b-480f-bbaf-b08a100899b9" xmlns:ns4="63cc5491-11d0-42b6-aa67-deea8f49087f" xmlns:ns5="35ebc48a-dc9e-45bc-8496-b347132bae57" targetNamespace="http://schemas.microsoft.com/office/2006/metadata/properties" ma:root="true" ma:fieldsID="503c5103ad5bba8a2adf6fa5e65ef4e9" ns2:_="" ns3:_="" ns4:_="" ns5:_="">
    <xsd:import namespace="96a621df-b342-41a2-9103-1aacfe10f81f"/>
    <xsd:import namespace="1e343ec6-2c1b-480f-bbaf-b08a100899b9"/>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StrategicLead" minOccurs="0"/>
                <xsd:element ref="ns2:MediaServiceBillingMetadata" minOccurs="0"/>
                <xsd:element ref="ns4:lcf76f155ced4ddcb4097134ff3c332f" minOccurs="0"/>
                <xsd:element ref="ns5:TaxCatchAll" minOccurs="0"/>
                <xsd:element ref="ns4:_Flow_SignoffStatus" minOccurs="0"/>
                <xsd:element ref="ns4:Workstr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621df-b342-41a2-9103-1aacfe10f8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StrategicLead" ma:index="20" nillable="true" ma:displayName="Strategic Lead" ma:format="Dropdown" ma:list="UserInfo" ma:SharePointGroup="0" ma:internalName="Strategic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343ec6-2c1b-480f-bbaf-b08a100899b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_x0024_Resources_x003a_core_x002c_Signoff_Status">
      <xsd:simpleType>
        <xsd:restriction base="dms:Text"/>
      </xsd:simpleType>
    </xsd:element>
    <xsd:element name="Workstream" ma:index="26" nillable="true" ma:displayName="Workstream" ma:format="Dropdown" ma:internalName="Workstream">
      <xsd:simpleType>
        <xsd:restriction base="dms:Choice">
          <xsd:enumeration value="Digital and Data"/>
          <xsd:enumeration value="Digital Implementation"/>
          <xsd:enumeration value="Engagement and Communications"/>
          <xsd:enumeration value="Governance"/>
          <xsd:enumeration value="Methodology"/>
          <xsd:enumeration value="Op Model"/>
          <xsd:enumeration value="Regional"/>
          <xsd:enumeration value="RESP Programme"/>
          <xsd:enumeration value="RESP PMO"/>
        </xsd:restriction>
      </xsd:simple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39c028e-ba9e-4cf0-b9c6-f87b4be2d4a1}"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StrategicLead xmlns="96a621df-b342-41a2-9103-1aacfe10f81f">
      <UserInfo>
        <DisplayName/>
        <AccountId xsi:nil="true"/>
        <AccountType/>
      </UserInfo>
    </StrategicLead>
    <_Flow_SignoffStatus xmlns="63cc5491-11d0-42b6-aa67-deea8f49087f" xsi:nil="true"/>
    <Workstream xmlns="63cc5491-11d0-42b6-aa67-deea8f49087f" xsi:nil="true"/>
  </documentManagement>
</p:properties>
</file>

<file path=customXml/itemProps1.xml><?xml version="1.0" encoding="utf-8"?>
<ds:datastoreItem xmlns:ds="http://schemas.openxmlformats.org/officeDocument/2006/customXml" ds:itemID="{5F306AD3-C42A-4083-AEA6-8497605D8E07}"/>
</file>

<file path=customXml/itemProps2.xml><?xml version="1.0" encoding="utf-8"?>
<ds:datastoreItem xmlns:ds="http://schemas.openxmlformats.org/officeDocument/2006/customXml" ds:itemID="{016896C3-FE9B-4B2A-A7B1-521E2B86AAE6}"/>
</file>

<file path=customXml/itemProps3.xml><?xml version="1.0" encoding="utf-8"?>
<ds:datastoreItem xmlns:ds="http://schemas.openxmlformats.org/officeDocument/2006/customXml" ds:itemID="{68942E0D-B5EC-4B64-A9CD-D45597B42496}"/>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Arna Sigurdardottir [NESO]</dc:creator>
  <cp:keywords/>
  <dc:description/>
  <cp:lastModifiedBy/>
  <cp:revision/>
  <dcterms:created xsi:type="dcterms:W3CDTF">2025-07-23T16:22:38Z</dcterms:created>
  <dcterms:modified xsi:type="dcterms:W3CDTF">2026-01-30T09:09:18Z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ies>
</file>