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codeName="ThisWorkbook"/>
  <mc:AlternateContent xmlns:mc="http://schemas.openxmlformats.org/markup-compatibility/2006">
    <mc:Choice Requires="x15">
      <x15ac:absPath xmlns:x15ac="http://schemas.microsoft.com/office/spreadsheetml/2010/11/ac" url="https://nationalgridplc.sharepoint.com/sites/GRP-INT-UK-Finance-Controllership-Electricity-System-Operator/Shared Documents/Regulatory Finance/NESO FM Publications/2024/November/Website Publication/"/>
    </mc:Choice>
  </mc:AlternateContent>
  <xr:revisionPtr revIDLastSave="7" documentId="8_{7F4CEF38-E767-4C06-8B50-E61B9D444404}" xr6:coauthVersionLast="47" xr6:coauthVersionMax="47" xr10:uidLastSave="{B0418BED-4BC4-4015-81C9-B8963C7BA9A6}"/>
  <workbookProtection lockStructure="1"/>
  <bookViews>
    <workbookView xWindow="-120" yWindow="-120" windowWidth="29040" windowHeight="15840" tabRatio="778" xr2:uid="{00000000-000D-0000-FFFF-FFFF00000000}"/>
  </bookViews>
  <sheets>
    <sheet name="Front Sheet" sheetId="62" r:id="rId1"/>
    <sheet name="Inputs" sheetId="145" r:id="rId2"/>
    <sheet name="Indexation" sheetId="150" r:id="rId3"/>
    <sheet name="RAV" sheetId="127" r:id="rId4"/>
    <sheet name="LEG" sheetId="41" r:id="rId5"/>
    <sheet name="Live results" sheetId="130" r:id="rId6"/>
    <sheet name="Control" sheetId="69" r:id="rId7"/>
    <sheet name="Change log" sheetId="151" r:id="rId8"/>
  </sheets>
  <definedNames>
    <definedName name="Check">Control!$F$30</definedName>
    <definedName name="Model_Status">Control!$H$12</definedName>
    <definedName name="Project_Name">Control!$H$9</definedName>
    <definedName name="Publication_Date">Control!$H$13</definedName>
    <definedName name="Tolerance">Control!$F$20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30" l="1" a="1"/>
  <c r="K22" i="130" s="1"/>
  <c r="G66" i="41"/>
  <c r="B13" i="62"/>
  <c r="B68" i="41" l="1"/>
  <c r="H10" i="69"/>
  <c r="B5" i="151" l="1"/>
  <c r="B1" i="151" a="1"/>
  <c r="B1" i="151" s="1"/>
  <c r="C72" i="41"/>
  <c r="G72" i="41"/>
  <c r="E92" i="145" l="1"/>
  <c r="E91" i="145"/>
  <c r="E90" i="145"/>
  <c r="E89" i="145"/>
  <c r="E88" i="145"/>
  <c r="E87" i="145"/>
  <c r="E86" i="145"/>
  <c r="E85" i="145"/>
  <c r="G117" i="127" l="1"/>
  <c r="G66" i="127"/>
  <c r="C19" i="127" l="1"/>
  <c r="G62" i="41"/>
  <c r="C62" i="41"/>
  <c r="G64" i="41"/>
  <c r="C64" i="41"/>
  <c r="AA62" i="41"/>
  <c r="Z62" i="41"/>
  <c r="Y62" i="41"/>
  <c r="X62" i="41"/>
  <c r="W62" i="41"/>
  <c r="V62" i="41"/>
  <c r="U62" i="41"/>
  <c r="T62" i="41"/>
  <c r="C101" i="150"/>
  <c r="G101" i="150"/>
  <c r="I101" i="150"/>
  <c r="C47" i="150"/>
  <c r="G47" i="150"/>
  <c r="I47" i="150"/>
  <c r="I45" i="150"/>
  <c r="I44" i="150"/>
  <c r="I56" i="150" s="1"/>
  <c r="I43" i="150"/>
  <c r="I55" i="150" s="1"/>
  <c r="I42" i="150"/>
  <c r="I41" i="150"/>
  <c r="I53" i="150" s="1"/>
  <c r="I40" i="150"/>
  <c r="I52" i="150" s="1"/>
  <c r="I39" i="150"/>
  <c r="I51" i="150" s="1"/>
  <c r="I38" i="150"/>
  <c r="I50" i="150" s="1"/>
  <c r="G45" i="150"/>
  <c r="G44" i="150"/>
  <c r="G43" i="150"/>
  <c r="G42" i="150"/>
  <c r="G41" i="150"/>
  <c r="G40" i="150"/>
  <c r="G39" i="150"/>
  <c r="G38" i="150"/>
  <c r="D38" i="150"/>
  <c r="D50" i="150" s="1"/>
  <c r="C37" i="150"/>
  <c r="D86" i="145"/>
  <c r="D87" i="145" s="1"/>
  <c r="AA31" i="150"/>
  <c r="Z31" i="150"/>
  <c r="Y31" i="150"/>
  <c r="X31" i="150"/>
  <c r="W31" i="150"/>
  <c r="V31" i="150"/>
  <c r="U31" i="150"/>
  <c r="AA30" i="150"/>
  <c r="Z30" i="150"/>
  <c r="Y30" i="150"/>
  <c r="X30" i="150"/>
  <c r="W30" i="150"/>
  <c r="V30" i="150"/>
  <c r="U30" i="150"/>
  <c r="AA29" i="150"/>
  <c r="Z29" i="150"/>
  <c r="Y29" i="150"/>
  <c r="X29" i="150"/>
  <c r="W29" i="150"/>
  <c r="V29" i="150"/>
  <c r="U29" i="150"/>
  <c r="AA28" i="150"/>
  <c r="Z28" i="150"/>
  <c r="Y28" i="150"/>
  <c r="X28" i="150"/>
  <c r="W28" i="150"/>
  <c r="V28" i="150"/>
  <c r="U28" i="150"/>
  <c r="AA27" i="150"/>
  <c r="Z27" i="150"/>
  <c r="Y27" i="150"/>
  <c r="X27" i="150"/>
  <c r="W27" i="150"/>
  <c r="V27" i="150"/>
  <c r="U27" i="150"/>
  <c r="AA26" i="150"/>
  <c r="Z26" i="150"/>
  <c r="Y26" i="150"/>
  <c r="X26" i="150"/>
  <c r="W26" i="150"/>
  <c r="V26" i="150"/>
  <c r="U26" i="150"/>
  <c r="AA25" i="150"/>
  <c r="Z25" i="150"/>
  <c r="Y25" i="150"/>
  <c r="X25" i="150"/>
  <c r="W25" i="150"/>
  <c r="V25" i="150"/>
  <c r="U25" i="150"/>
  <c r="AA24" i="150"/>
  <c r="Z24" i="150"/>
  <c r="Y24" i="150"/>
  <c r="X24" i="150"/>
  <c r="W24" i="150"/>
  <c r="V24" i="150"/>
  <c r="U24" i="150"/>
  <c r="AA23" i="150"/>
  <c r="Z23" i="150"/>
  <c r="Y23" i="150"/>
  <c r="X23" i="150"/>
  <c r="W23" i="150"/>
  <c r="V23" i="150"/>
  <c r="U23" i="150"/>
  <c r="AA22" i="150"/>
  <c r="Z22" i="150"/>
  <c r="Y22" i="150"/>
  <c r="X22" i="150"/>
  <c r="W22" i="150"/>
  <c r="V22" i="150"/>
  <c r="U22" i="150"/>
  <c r="AA21" i="150"/>
  <c r="Z21" i="150"/>
  <c r="Y21" i="150"/>
  <c r="X21" i="150"/>
  <c r="W21" i="150"/>
  <c r="V21" i="150"/>
  <c r="U21" i="150"/>
  <c r="AA20" i="150"/>
  <c r="Z20" i="150"/>
  <c r="Y20" i="150"/>
  <c r="X20" i="150"/>
  <c r="W20" i="150"/>
  <c r="V20" i="150"/>
  <c r="U20" i="150"/>
  <c r="C19" i="150"/>
  <c r="D20" i="150"/>
  <c r="D64" i="150" s="1"/>
  <c r="F20" i="150"/>
  <c r="G20" i="150"/>
  <c r="D21" i="150"/>
  <c r="D79" i="150" s="1"/>
  <c r="F21" i="150"/>
  <c r="G21" i="150"/>
  <c r="D22" i="150"/>
  <c r="D66" i="150" s="1"/>
  <c r="F22" i="150"/>
  <c r="G22" i="150"/>
  <c r="D23" i="150"/>
  <c r="F23" i="150"/>
  <c r="G23" i="150"/>
  <c r="D24" i="150"/>
  <c r="D82" i="150" s="1"/>
  <c r="F24" i="150"/>
  <c r="G24" i="150"/>
  <c r="D25" i="150"/>
  <c r="F25" i="150"/>
  <c r="G25" i="150"/>
  <c r="D26" i="150"/>
  <c r="D70" i="150" s="1"/>
  <c r="F26" i="150"/>
  <c r="G26" i="150"/>
  <c r="D27" i="150"/>
  <c r="D85" i="150" s="1"/>
  <c r="F27" i="150"/>
  <c r="G27" i="150"/>
  <c r="D28" i="150"/>
  <c r="D86" i="150" s="1"/>
  <c r="F28" i="150"/>
  <c r="G28" i="150"/>
  <c r="D29" i="150"/>
  <c r="D87" i="150" s="1"/>
  <c r="F29" i="150"/>
  <c r="G29" i="150"/>
  <c r="D30" i="150"/>
  <c r="D74" i="150" s="1"/>
  <c r="F30" i="150"/>
  <c r="G30" i="150"/>
  <c r="T31" i="150"/>
  <c r="S31" i="150"/>
  <c r="D31" i="150"/>
  <c r="D89" i="150" s="1"/>
  <c r="T30" i="150"/>
  <c r="T29" i="150"/>
  <c r="T28" i="150"/>
  <c r="T27" i="150"/>
  <c r="T26" i="150"/>
  <c r="T25" i="150"/>
  <c r="T24" i="150"/>
  <c r="T23" i="150"/>
  <c r="T22" i="150"/>
  <c r="T21" i="150"/>
  <c r="T20" i="150"/>
  <c r="T65" i="150" s="1" a="1"/>
  <c r="T65" i="150" s="1"/>
  <c r="G31" i="150"/>
  <c r="F31" i="150"/>
  <c r="C16" i="150"/>
  <c r="F16" i="150"/>
  <c r="F91" i="150" s="1"/>
  <c r="G16" i="150"/>
  <c r="G91" i="150" s="1"/>
  <c r="C17" i="150"/>
  <c r="F17" i="150"/>
  <c r="I17" i="150"/>
  <c r="S89" i="150" s="1"/>
  <c r="S16" i="150"/>
  <c r="S91" i="150" s="1"/>
  <c r="R16" i="150"/>
  <c r="R91" i="150" s="1"/>
  <c r="Q16" i="150"/>
  <c r="Q91" i="150" s="1"/>
  <c r="P16" i="150"/>
  <c r="P91" i="150" s="1"/>
  <c r="O16" i="150"/>
  <c r="O91" i="150" s="1"/>
  <c r="N16" i="150"/>
  <c r="N91" i="150" s="1"/>
  <c r="I99" i="150" s="1"/>
  <c r="M16" i="150"/>
  <c r="M91" i="150" s="1"/>
  <c r="G7" i="150"/>
  <c r="G6" i="150"/>
  <c r="C6" i="150"/>
  <c r="G5" i="150"/>
  <c r="C5" i="150"/>
  <c r="G4" i="150"/>
  <c r="C4" i="150"/>
  <c r="G105" i="150"/>
  <c r="G19" i="127" s="1"/>
  <c r="I68" i="150"/>
  <c r="I65" i="150"/>
  <c r="I66" i="150" s="1"/>
  <c r="B10" i="150"/>
  <c r="B1" i="150" a="1"/>
  <c r="B1" i="150" s="1"/>
  <c r="D23" i="69" l="1"/>
  <c r="D39" i="150"/>
  <c r="D51" i="150" s="1"/>
  <c r="I57" i="150"/>
  <c r="D78" i="150"/>
  <c r="D80" i="150"/>
  <c r="D71" i="150"/>
  <c r="D88" i="145"/>
  <c r="D40" i="150"/>
  <c r="D52" i="150" s="1"/>
  <c r="D68" i="150"/>
  <c r="D75" i="150"/>
  <c r="AA109" i="150"/>
  <c r="I54" i="150"/>
  <c r="D72" i="150"/>
  <c r="T66" i="150" a="1"/>
  <c r="T66" i="150" s="1"/>
  <c r="V109" i="150"/>
  <c r="W109" i="150"/>
  <c r="D84" i="150"/>
  <c r="U109" i="150"/>
  <c r="D88" i="150"/>
  <c r="T64" i="150" a="1"/>
  <c r="T64" i="150" s="1"/>
  <c r="T78" i="150" s="1"/>
  <c r="T79" i="150" s="1"/>
  <c r="D73" i="150"/>
  <c r="I69" i="150"/>
  <c r="D83" i="150"/>
  <c r="D69" i="150"/>
  <c r="X109" i="150"/>
  <c r="D81" i="150"/>
  <c r="D67" i="150"/>
  <c r="Z109" i="150"/>
  <c r="Y109" i="150"/>
  <c r="D65" i="150"/>
  <c r="T80" i="150" l="1"/>
  <c r="D89" i="145"/>
  <c r="D41" i="150"/>
  <c r="D53" i="150" s="1"/>
  <c r="I70" i="150"/>
  <c r="D90" i="145" l="1"/>
  <c r="D42" i="150"/>
  <c r="D54" i="150" s="1"/>
  <c r="I71" i="150"/>
  <c r="D91" i="145" l="1"/>
  <c r="D43" i="150"/>
  <c r="D55" i="150" s="1"/>
  <c r="I72" i="150"/>
  <c r="D92" i="145" l="1"/>
  <c r="D45" i="150" s="1"/>
  <c r="D57" i="150" s="1"/>
  <c r="D44" i="150"/>
  <c r="D56" i="150" s="1"/>
  <c r="I73" i="150"/>
  <c r="I74" i="150" l="1"/>
  <c r="I75" i="150" l="1"/>
  <c r="C30" i="41" l="1"/>
  <c r="G30" i="41"/>
  <c r="I102" i="41" l="1"/>
  <c r="I104" i="41" s="1"/>
  <c r="G102" i="41"/>
  <c r="C102" i="41"/>
  <c r="C93" i="41" l="1"/>
  <c r="I93" i="41" l="1"/>
  <c r="I95" i="41" s="1"/>
  <c r="G93" i="41"/>
  <c r="I84" i="41"/>
  <c r="G84" i="41"/>
  <c r="I83" i="41"/>
  <c r="G83" i="41"/>
  <c r="I82" i="41"/>
  <c r="G82" i="41"/>
  <c r="I81" i="41"/>
  <c r="G81" i="41"/>
  <c r="C84" i="41"/>
  <c r="C83" i="41"/>
  <c r="C82" i="41"/>
  <c r="C81" i="41"/>
  <c r="I86" i="41" l="1"/>
  <c r="I52" i="41" l="1"/>
  <c r="G52" i="41"/>
  <c r="C52" i="41"/>
  <c r="C54" i="41"/>
  <c r="G54" i="41"/>
  <c r="C32" i="41"/>
  <c r="I32" i="41"/>
  <c r="C33" i="41"/>
  <c r="G33" i="41"/>
  <c r="I33" i="41"/>
  <c r="I43" i="41"/>
  <c r="I45" i="41" s="1"/>
  <c r="G43" i="41"/>
  <c r="C43" i="41"/>
  <c r="I18" i="41"/>
  <c r="I19" i="41"/>
  <c r="G18" i="41"/>
  <c r="G19" i="41"/>
  <c r="I35" i="41" l="1"/>
  <c r="I20" i="41"/>
  <c r="I54" i="41" l="1"/>
  <c r="I56" i="41" s="1"/>
  <c r="I22" i="41" l="1"/>
  <c r="I24" i="41" s="1"/>
  <c r="G22" i="41"/>
  <c r="C22" i="41"/>
  <c r="I18" i="130" l="1"/>
  <c r="I17" i="127"/>
  <c r="T111" i="41"/>
  <c r="G111" i="41"/>
  <c r="T121" i="41"/>
  <c r="T120" i="41"/>
  <c r="T119" i="41"/>
  <c r="T116" i="41"/>
  <c r="T113" i="41"/>
  <c r="B12" i="41"/>
  <c r="B97" i="41"/>
  <c r="B88" i="41"/>
  <c r="B76" i="41"/>
  <c r="B58" i="41"/>
  <c r="B47" i="41"/>
  <c r="B39" i="41"/>
  <c r="G114" i="41" l="1"/>
  <c r="G84" i="127"/>
  <c r="G90" i="127"/>
  <c r="G126" i="127"/>
  <c r="G125" i="127"/>
  <c r="C119" i="127"/>
  <c r="C126" i="127" s="1"/>
  <c r="C98" i="127"/>
  <c r="C97" i="127"/>
  <c r="G98" i="127"/>
  <c r="G97" i="127"/>
  <c r="I57" i="127" l="1"/>
  <c r="G57" i="127"/>
  <c r="C57" i="127"/>
  <c r="G35" i="127"/>
  <c r="C48" i="127"/>
  <c r="G48" i="127"/>
  <c r="G89" i="127" l="1"/>
  <c r="C17" i="127"/>
  <c r="F18" i="130"/>
  <c r="G18" i="130"/>
  <c r="G17" i="127" s="1"/>
  <c r="G18" i="127" s="1"/>
  <c r="I18" i="127"/>
  <c r="G16" i="145"/>
  <c r="G32" i="41" s="1"/>
  <c r="G112" i="41"/>
  <c r="G56" i="145" l="1"/>
  <c r="G17" i="150" l="1"/>
  <c r="F27" i="69"/>
  <c r="H14" i="69"/>
  <c r="E80" i="145" l="1"/>
  <c r="E79" i="145"/>
  <c r="E78" i="145"/>
  <c r="E77" i="145"/>
  <c r="E76" i="145"/>
  <c r="E75" i="145"/>
  <c r="E74" i="145"/>
  <c r="E73" i="145"/>
  <c r="E72" i="145"/>
  <c r="E71" i="145"/>
  <c r="E70" i="145"/>
  <c r="E69" i="145"/>
  <c r="I101" i="127" l="1"/>
  <c r="G60" i="145"/>
  <c r="G100" i="127" s="1"/>
  <c r="C100" i="127"/>
  <c r="I100" i="127"/>
  <c r="C101" i="127"/>
  <c r="B1" i="69" a="1"/>
  <c r="B1" i="69" s="1"/>
  <c r="B1" i="130" a="1"/>
  <c r="B1" i="130" s="1"/>
  <c r="B1" i="41" a="1"/>
  <c r="B1" i="41" s="1"/>
  <c r="B1" i="127" a="1"/>
  <c r="B1" i="127" s="1"/>
  <c r="B1" i="145" a="1"/>
  <c r="B1" i="145" s="1"/>
  <c r="G24" i="127" l="1"/>
  <c r="Q24" i="127"/>
  <c r="P24" i="127"/>
  <c r="O24" i="127"/>
  <c r="N24" i="127"/>
  <c r="M24" i="127"/>
  <c r="G25" i="127" l="1"/>
  <c r="C21" i="127"/>
  <c r="M4" i="145"/>
  <c r="B10" i="145"/>
  <c r="M4" i="150" l="1"/>
  <c r="M4" i="130"/>
  <c r="M5" i="145"/>
  <c r="M4" i="41"/>
  <c r="M4" i="127"/>
  <c r="N4" i="145"/>
  <c r="N4" i="130" s="1"/>
  <c r="M5" i="150" l="1"/>
  <c r="M5" i="130"/>
  <c r="O4" i="145"/>
  <c r="N4" i="150"/>
  <c r="N4" i="41"/>
  <c r="N4" i="127"/>
  <c r="M6" i="145"/>
  <c r="M6" i="130" s="1"/>
  <c r="M5" i="41"/>
  <c r="M5" i="127"/>
  <c r="O4" i="150" l="1"/>
  <c r="O4" i="130"/>
  <c r="P4" i="145"/>
  <c r="O4" i="127"/>
  <c r="O4" i="41"/>
  <c r="N5" i="145"/>
  <c r="N5" i="41" s="1"/>
  <c r="M6" i="150"/>
  <c r="M7" i="145"/>
  <c r="M6" i="127"/>
  <c r="M6" i="41"/>
  <c r="Q4" i="145"/>
  <c r="Q4" i="150" l="1"/>
  <c r="Q4" i="130"/>
  <c r="M7" i="150"/>
  <c r="M7" i="130"/>
  <c r="N5" i="150"/>
  <c r="N5" i="130"/>
  <c r="P4" i="150"/>
  <c r="P4" i="130"/>
  <c r="P4" i="41"/>
  <c r="N6" i="145"/>
  <c r="P4" i="127"/>
  <c r="N5" i="127"/>
  <c r="M7" i="127"/>
  <c r="M7" i="41"/>
  <c r="Q4" i="41"/>
  <c r="Q4" i="127"/>
  <c r="R4" i="145"/>
  <c r="N6" i="127" l="1"/>
  <c r="N6" i="130"/>
  <c r="R4" i="150"/>
  <c r="R4" i="130"/>
  <c r="N6" i="41"/>
  <c r="N6" i="150"/>
  <c r="N7" i="145"/>
  <c r="N7" i="41" s="1"/>
  <c r="O5" i="145"/>
  <c r="R4" i="41"/>
  <c r="R4" i="127"/>
  <c r="S4" i="145"/>
  <c r="N7" i="127" l="1"/>
  <c r="O5" i="150"/>
  <c r="O5" i="130"/>
  <c r="S4" i="150"/>
  <c r="S4" i="130"/>
  <c r="O5" i="127"/>
  <c r="N7" i="150"/>
  <c r="N7" i="130"/>
  <c r="O5" i="41"/>
  <c r="O6" i="145"/>
  <c r="O6" i="130" s="1"/>
  <c r="S4" i="41"/>
  <c r="S4" i="127"/>
  <c r="T4" i="145"/>
  <c r="O6" i="150" l="1"/>
  <c r="O6" i="127"/>
  <c r="P5" i="145"/>
  <c r="P5" i="150"/>
  <c r="P5" i="130"/>
  <c r="T4" i="150"/>
  <c r="T4" i="130"/>
  <c r="O7" i="145"/>
  <c r="O7" i="127" s="1"/>
  <c r="O6" i="41"/>
  <c r="P5" i="127"/>
  <c r="P5" i="41"/>
  <c r="P6" i="145"/>
  <c r="P6" i="127" s="1"/>
  <c r="T4" i="41"/>
  <c r="T4" i="127"/>
  <c r="U4" i="145"/>
  <c r="O7" i="41" l="1"/>
  <c r="P6" i="150"/>
  <c r="P6" i="130"/>
  <c r="U4" i="150"/>
  <c r="U4" i="130"/>
  <c r="O7" i="150"/>
  <c r="O7" i="130"/>
  <c r="Q5" i="145"/>
  <c r="Q5" i="41" s="1"/>
  <c r="P6" i="41"/>
  <c r="P7" i="145"/>
  <c r="P7" i="130" s="1"/>
  <c r="Q5" i="127"/>
  <c r="Q6" i="145"/>
  <c r="Q6" i="127" s="1"/>
  <c r="U4" i="41"/>
  <c r="V4" i="145"/>
  <c r="Q7" i="145" l="1"/>
  <c r="Q7" i="130" s="1"/>
  <c r="Q6" i="41"/>
  <c r="P7" i="127"/>
  <c r="V4" i="150"/>
  <c r="V4" i="130"/>
  <c r="P7" i="41"/>
  <c r="Q5" i="150"/>
  <c r="Q5" i="130"/>
  <c r="P7" i="150"/>
  <c r="R5" i="145"/>
  <c r="R5" i="130" s="1"/>
  <c r="Q6" i="130"/>
  <c r="Q6" i="150"/>
  <c r="V4" i="41"/>
  <c r="W4" i="145"/>
  <c r="D22" i="69"/>
  <c r="Q7" i="127" l="1"/>
  <c r="Q7" i="41"/>
  <c r="Q7" i="150"/>
  <c r="R5" i="150"/>
  <c r="W4" i="150"/>
  <c r="W4" i="130"/>
  <c r="R5" i="41"/>
  <c r="R5" i="127"/>
  <c r="R6" i="145"/>
  <c r="S5" i="145" s="1"/>
  <c r="W4" i="41"/>
  <c r="X4" i="145"/>
  <c r="R6" i="150" l="1"/>
  <c r="S5" i="150"/>
  <c r="S5" i="130"/>
  <c r="S5" i="127"/>
  <c r="S5" i="41"/>
  <c r="S6" i="145"/>
  <c r="X4" i="150"/>
  <c r="X4" i="130"/>
  <c r="R7" i="145"/>
  <c r="R6" i="130"/>
  <c r="R6" i="127"/>
  <c r="R6" i="41"/>
  <c r="X4" i="41"/>
  <c r="Y4" i="145"/>
  <c r="S6" i="127" l="1"/>
  <c r="S6" i="130"/>
  <c r="S6" i="41"/>
  <c r="T5" i="145"/>
  <c r="S6" i="150"/>
  <c r="S7" i="145"/>
  <c r="R7" i="150"/>
  <c r="R7" i="130"/>
  <c r="R7" i="127"/>
  <c r="R7" i="41"/>
  <c r="Y4" i="150"/>
  <c r="Y4" i="130"/>
  <c r="Y4" i="41"/>
  <c r="Z4" i="145"/>
  <c r="Z4" i="150" l="1"/>
  <c r="Z4" i="130"/>
  <c r="S7" i="130"/>
  <c r="S7" i="127"/>
  <c r="S7" i="41"/>
  <c r="S7" i="150"/>
  <c r="T5" i="150"/>
  <c r="I102" i="150" s="1"/>
  <c r="T5" i="130"/>
  <c r="T6" i="145"/>
  <c r="T7" i="145" s="1"/>
  <c r="T5" i="41"/>
  <c r="T5" i="127"/>
  <c r="I56" i="127" s="1"/>
  <c r="I59" i="127" s="1"/>
  <c r="Z4" i="41"/>
  <c r="AA4" i="145"/>
  <c r="T7" i="130" l="1"/>
  <c r="T7" i="41"/>
  <c r="T7" i="150"/>
  <c r="T7" i="127"/>
  <c r="I60" i="127"/>
  <c r="I98" i="127" s="1"/>
  <c r="I105" i="127" s="1"/>
  <c r="I97" i="127"/>
  <c r="I104" i="127" s="1"/>
  <c r="T6" i="130"/>
  <c r="T6" i="127"/>
  <c r="T6" i="150"/>
  <c r="U5" i="145"/>
  <c r="T6" i="41"/>
  <c r="AA4" i="150"/>
  <c r="AA4" i="130"/>
  <c r="AA4" i="41"/>
  <c r="I107" i="127" l="1"/>
  <c r="I109" i="127" s="1"/>
  <c r="I125" i="127"/>
  <c r="U5" i="150"/>
  <c r="U5" i="130"/>
  <c r="U5" i="41"/>
  <c r="U6" i="145"/>
  <c r="U7" i="145" s="1"/>
  <c r="T75" i="150" a="1"/>
  <c r="T75" i="150" s="1"/>
  <c r="T71" i="150" a="1"/>
  <c r="T71" i="150" s="1"/>
  <c r="T74" i="150" a="1"/>
  <c r="T74" i="150" s="1"/>
  <c r="T72" i="150" a="1"/>
  <c r="T72" i="150" s="1"/>
  <c r="T67" i="150" a="1"/>
  <c r="T67" i="150" s="1"/>
  <c r="T81" i="150" s="1"/>
  <c r="T70" i="150" a="1"/>
  <c r="T70" i="150" s="1"/>
  <c r="T68" i="150" a="1"/>
  <c r="T68" i="150" s="1"/>
  <c r="T69" i="150" a="1"/>
  <c r="T69" i="150" s="1"/>
  <c r="T73" i="150" a="1"/>
  <c r="T73" i="150" s="1"/>
  <c r="T82" i="150" l="1"/>
  <c r="T83" i="150" s="1"/>
  <c r="T84" i="150" s="1"/>
  <c r="T85" i="150" s="1"/>
  <c r="T86" i="150" s="1"/>
  <c r="T87" i="150" s="1"/>
  <c r="T88" i="150" s="1"/>
  <c r="T89" i="150" s="1"/>
  <c r="I103" i="150"/>
  <c r="I105" i="150" s="1"/>
  <c r="U7" i="150"/>
  <c r="U7" i="130"/>
  <c r="U7" i="41"/>
  <c r="V5" i="145"/>
  <c r="U6" i="130"/>
  <c r="U6" i="41"/>
  <c r="U6" i="150"/>
  <c r="T91" i="150" l="1"/>
  <c r="I19" i="127"/>
  <c r="V5" i="150"/>
  <c r="V5" i="130"/>
  <c r="V5" i="41"/>
  <c r="V6" i="145"/>
  <c r="V7" i="145" s="1"/>
  <c r="U111" i="150" a="1"/>
  <c r="U111" i="150" s="1"/>
  <c r="U72" i="150" a="1"/>
  <c r="U72" i="150" s="1"/>
  <c r="U75" i="150" a="1"/>
  <c r="U75" i="150" s="1"/>
  <c r="U65" i="150" a="1"/>
  <c r="U65" i="150" s="1"/>
  <c r="U69" i="150" a="1"/>
  <c r="U69" i="150" s="1"/>
  <c r="U70" i="150" a="1"/>
  <c r="U70" i="150" s="1"/>
  <c r="U71" i="150" a="1"/>
  <c r="U71" i="150" s="1"/>
  <c r="U74" i="150" a="1"/>
  <c r="U74" i="150" s="1"/>
  <c r="U66" i="150" a="1"/>
  <c r="U66" i="150" s="1"/>
  <c r="U68" i="150" a="1"/>
  <c r="U68" i="150" s="1"/>
  <c r="U64" i="150" a="1"/>
  <c r="U64" i="150" s="1"/>
  <c r="U78" i="150" s="1"/>
  <c r="U73" i="150" a="1"/>
  <c r="U73" i="150" s="1"/>
  <c r="U67" i="150" a="1"/>
  <c r="U67" i="150" s="1"/>
  <c r="H11" i="69"/>
  <c r="T93" i="150" l="1"/>
  <c r="K114" i="150" s="1"/>
  <c r="U79" i="150"/>
  <c r="U80" i="150" s="1"/>
  <c r="U81" i="150" s="1"/>
  <c r="U82" i="150" s="1"/>
  <c r="U83" i="150" s="1"/>
  <c r="U84" i="150" s="1"/>
  <c r="U85" i="150" s="1"/>
  <c r="U86" i="150" s="1"/>
  <c r="U87" i="150" s="1"/>
  <c r="U88" i="150" s="1"/>
  <c r="U89" i="150" s="1"/>
  <c r="V7" i="150"/>
  <c r="V7" i="130"/>
  <c r="V7" i="41"/>
  <c r="V6" i="130"/>
  <c r="W5" i="145"/>
  <c r="V6" i="150"/>
  <c r="V6" i="41"/>
  <c r="I66" i="127" l="1"/>
  <c r="I117" i="127"/>
  <c r="T64" i="41"/>
  <c r="T66" i="41" s="1"/>
  <c r="T117" i="41" s="1"/>
  <c r="U110" i="150"/>
  <c r="U112" i="150" s="1"/>
  <c r="U91" i="150"/>
  <c r="U93" i="150" s="1"/>
  <c r="U64" i="41" s="1"/>
  <c r="U66" i="41" s="1"/>
  <c r="U117" i="41" s="1"/>
  <c r="U122" i="41" s="1"/>
  <c r="U16" i="130" s="1"/>
  <c r="W5" i="150"/>
  <c r="W5" i="130"/>
  <c r="W6" i="145"/>
  <c r="W5" i="41"/>
  <c r="W7" i="145"/>
  <c r="V67" i="150" a="1"/>
  <c r="V67" i="150" s="1"/>
  <c r="V71" i="150" a="1"/>
  <c r="V71" i="150" s="1"/>
  <c r="V66" i="150" a="1"/>
  <c r="V66" i="150" s="1"/>
  <c r="V111" i="150" a="1"/>
  <c r="V111" i="150" s="1"/>
  <c r="V69" i="150" a="1"/>
  <c r="V69" i="150" s="1"/>
  <c r="V68" i="150" a="1"/>
  <c r="V68" i="150" s="1"/>
  <c r="V70" i="150" a="1"/>
  <c r="V70" i="150" s="1"/>
  <c r="V72" i="150" a="1"/>
  <c r="V72" i="150" s="1"/>
  <c r="V64" i="150" a="1"/>
  <c r="V64" i="150" s="1"/>
  <c r="V78" i="150" s="1"/>
  <c r="V65" i="150" a="1"/>
  <c r="V65" i="150" s="1"/>
  <c r="V73" i="150" a="1"/>
  <c r="V73" i="150" s="1"/>
  <c r="V74" i="150" a="1"/>
  <c r="V74" i="150" s="1"/>
  <c r="V75" i="150" a="1"/>
  <c r="V75" i="150" s="1"/>
  <c r="V79" i="150" l="1"/>
  <c r="V80" i="150" s="1"/>
  <c r="V81" i="150" s="1"/>
  <c r="V82" i="150" s="1"/>
  <c r="V83" i="150" s="1"/>
  <c r="V84" i="150" s="1"/>
  <c r="V85" i="150" s="1"/>
  <c r="V86" i="150" s="1"/>
  <c r="V87" i="150" s="1"/>
  <c r="V88" i="150" s="1"/>
  <c r="V89" i="150" s="1"/>
  <c r="W7" i="130"/>
  <c r="W7" i="41"/>
  <c r="W7" i="150"/>
  <c r="W6" i="130"/>
  <c r="W6" i="41"/>
  <c r="X5" i="145"/>
  <c r="W6" i="150"/>
  <c r="G7" i="130"/>
  <c r="G7" i="41"/>
  <c r="G7" i="127"/>
  <c r="D26" i="69"/>
  <c r="D25" i="69"/>
  <c r="D24" i="69"/>
  <c r="V110" i="150" l="1"/>
  <c r="V112" i="150" s="1"/>
  <c r="X5" i="150"/>
  <c r="X5" i="130"/>
  <c r="X6" i="145"/>
  <c r="X5" i="41"/>
  <c r="X7" i="145"/>
  <c r="W67" i="150" a="1"/>
  <c r="W67" i="150" s="1"/>
  <c r="W70" i="150" a="1"/>
  <c r="W70" i="150" s="1"/>
  <c r="W71" i="150" a="1"/>
  <c r="W71" i="150" s="1"/>
  <c r="W73" i="150" a="1"/>
  <c r="W73" i="150" s="1"/>
  <c r="W66" i="150" a="1"/>
  <c r="W66" i="150" s="1"/>
  <c r="W72" i="150" a="1"/>
  <c r="W72" i="150" s="1"/>
  <c r="W74" i="150" a="1"/>
  <c r="W74" i="150" s="1"/>
  <c r="W64" i="150" a="1"/>
  <c r="W64" i="150" s="1"/>
  <c r="W78" i="150" s="1"/>
  <c r="W75" i="150" a="1"/>
  <c r="W75" i="150" s="1"/>
  <c r="W68" i="150" a="1"/>
  <c r="W68" i="150" s="1"/>
  <c r="W65" i="150" a="1"/>
  <c r="W65" i="150" s="1"/>
  <c r="W111" i="150" a="1"/>
  <c r="W111" i="150" s="1"/>
  <c r="W69" i="150" a="1"/>
  <c r="W69" i="150" s="1"/>
  <c r="V91" i="150"/>
  <c r="V93" i="150" s="1"/>
  <c r="V64" i="41" s="1"/>
  <c r="V66" i="41" s="1"/>
  <c r="V117" i="41" s="1"/>
  <c r="V122" i="41" s="1"/>
  <c r="V16" i="130" s="1"/>
  <c r="W79" i="150" l="1"/>
  <c r="W80" i="150" s="1"/>
  <c r="X6" i="150"/>
  <c r="X6" i="130"/>
  <c r="X6" i="41"/>
  <c r="Y5" i="145"/>
  <c r="X7" i="150"/>
  <c r="X7" i="130"/>
  <c r="X7" i="41"/>
  <c r="G101" i="127"/>
  <c r="W81" i="150" l="1"/>
  <c r="W82" i="150" s="1"/>
  <c r="W83" i="150" s="1"/>
  <c r="W84" i="150" s="1"/>
  <c r="W85" i="150" s="1"/>
  <c r="W86" i="150" s="1"/>
  <c r="W87" i="150" s="1"/>
  <c r="W88" i="150" s="1"/>
  <c r="W89" i="150" s="1"/>
  <c r="W110" i="150"/>
  <c r="W112" i="150" s="1"/>
  <c r="Y5" i="150"/>
  <c r="Y5" i="130"/>
  <c r="Y6" i="145"/>
  <c r="Y7" i="145" s="1"/>
  <c r="Y5" i="41"/>
  <c r="X73" i="150" a="1"/>
  <c r="X73" i="150" s="1"/>
  <c r="X66" i="150" a="1"/>
  <c r="X66" i="150" s="1"/>
  <c r="X64" i="150" a="1"/>
  <c r="X64" i="150" s="1"/>
  <c r="X65" i="150" a="1"/>
  <c r="X65" i="150" s="1"/>
  <c r="X70" i="150" a="1"/>
  <c r="X70" i="150" s="1"/>
  <c r="X72" i="150" a="1"/>
  <c r="X72" i="150" s="1"/>
  <c r="X74" i="150" a="1"/>
  <c r="X74" i="150" s="1"/>
  <c r="X75" i="150" a="1"/>
  <c r="X75" i="150" s="1"/>
  <c r="X68" i="150" a="1"/>
  <c r="X68" i="150" s="1"/>
  <c r="X67" i="150" a="1"/>
  <c r="X67" i="150" s="1"/>
  <c r="X69" i="150" a="1"/>
  <c r="X69" i="150" s="1"/>
  <c r="X111" i="150" a="1"/>
  <c r="X111" i="150" s="1"/>
  <c r="X71" i="150" a="1"/>
  <c r="X71" i="150" s="1"/>
  <c r="I48" i="127"/>
  <c r="C35" i="127"/>
  <c r="I35" i="127"/>
  <c r="G82" i="127"/>
  <c r="I28" i="127"/>
  <c r="G28" i="127"/>
  <c r="C28" i="127"/>
  <c r="G83" i="127"/>
  <c r="B10" i="130"/>
  <c r="C6" i="130"/>
  <c r="C5" i="130"/>
  <c r="C4" i="130"/>
  <c r="D82" i="127"/>
  <c r="B10" i="127"/>
  <c r="C6" i="127"/>
  <c r="C5" i="127"/>
  <c r="C4" i="127"/>
  <c r="W91" i="150" l="1"/>
  <c r="W93" i="150" s="1"/>
  <c r="W64" i="41" s="1"/>
  <c r="W66" i="41" s="1"/>
  <c r="W117" i="41" s="1"/>
  <c r="W122" i="41" s="1"/>
  <c r="W16" i="130" s="1"/>
  <c r="X78" i="150"/>
  <c r="X79" i="150" s="1"/>
  <c r="X80" i="150" s="1"/>
  <c r="Y7" i="150"/>
  <c r="Y7" i="130"/>
  <c r="Y7" i="41"/>
  <c r="Y6" i="130"/>
  <c r="Y6" i="41"/>
  <c r="Z5" i="145"/>
  <c r="Y6" i="150"/>
  <c r="Q50" i="127"/>
  <c r="T50" i="127"/>
  <c r="R50" i="127"/>
  <c r="S50" i="127"/>
  <c r="Q26" i="127"/>
  <c r="N26" i="127"/>
  <c r="O26" i="127"/>
  <c r="P26" i="127"/>
  <c r="M26" i="127"/>
  <c r="Y74" i="150" l="1" a="1"/>
  <c r="Y74" i="150" s="1"/>
  <c r="Y75" i="150" a="1"/>
  <c r="Y75" i="150" s="1"/>
  <c r="Y65" i="150" a="1"/>
  <c r="Y65" i="150" s="1"/>
  <c r="Y67" i="150" a="1"/>
  <c r="Y67" i="150" s="1"/>
  <c r="Y70" i="150" a="1"/>
  <c r="Y70" i="150" s="1"/>
  <c r="Y72" i="150" a="1"/>
  <c r="Y72" i="150" s="1"/>
  <c r="Y64" i="150" a="1"/>
  <c r="Y64" i="150" s="1"/>
  <c r="Y66" i="150" a="1"/>
  <c r="Y66" i="150" s="1"/>
  <c r="Y73" i="150" a="1"/>
  <c r="Y73" i="150" s="1"/>
  <c r="Y69" i="150" a="1"/>
  <c r="Y69" i="150" s="1"/>
  <c r="Y68" i="150" a="1"/>
  <c r="Y68" i="150" s="1"/>
  <c r="Y111" i="150" a="1"/>
  <c r="Y111" i="150" s="1"/>
  <c r="Y71" i="150" a="1"/>
  <c r="Y71" i="150" s="1"/>
  <c r="Z5" i="150"/>
  <c r="Z5" i="130"/>
  <c r="Z6" i="145"/>
  <c r="Z7" i="145" s="1"/>
  <c r="Z5" i="41"/>
  <c r="X110" i="150"/>
  <c r="X112" i="150" s="1"/>
  <c r="X81" i="150"/>
  <c r="I78" i="127"/>
  <c r="Z7" i="130" l="1"/>
  <c r="Z7" i="41"/>
  <c r="Z7" i="150"/>
  <c r="Z6" i="130"/>
  <c r="AA5" i="145"/>
  <c r="Z6" i="150"/>
  <c r="Z6" i="41"/>
  <c r="X82" i="150"/>
  <c r="X83" i="150" s="1"/>
  <c r="X84" i="150" s="1"/>
  <c r="X85" i="150" s="1"/>
  <c r="X86" i="150" s="1"/>
  <c r="X87" i="150" s="1"/>
  <c r="X88" i="150" s="1"/>
  <c r="X89" i="150" s="1"/>
  <c r="Y78" i="150" s="1"/>
  <c r="Z68" i="150" l="1" a="1"/>
  <c r="Z68" i="150" s="1"/>
  <c r="Z75" i="150" a="1"/>
  <c r="Z75" i="150" s="1"/>
  <c r="Z70" i="150" a="1"/>
  <c r="Z70" i="150" s="1"/>
  <c r="Z67" i="150" a="1"/>
  <c r="Z67" i="150" s="1"/>
  <c r="Z72" i="150" a="1"/>
  <c r="Z72" i="150" s="1"/>
  <c r="Z74" i="150" a="1"/>
  <c r="Z74" i="150" s="1"/>
  <c r="Z65" i="150" a="1"/>
  <c r="Z65" i="150" s="1"/>
  <c r="Z111" i="150" a="1"/>
  <c r="Z111" i="150" s="1"/>
  <c r="Z66" i="150" a="1"/>
  <c r="Z66" i="150" s="1"/>
  <c r="Z71" i="150" a="1"/>
  <c r="Z71" i="150" s="1"/>
  <c r="Z73" i="150" a="1"/>
  <c r="Z73" i="150" s="1"/>
  <c r="Z69" i="150" a="1"/>
  <c r="Z69" i="150" s="1"/>
  <c r="Z64" i="150" a="1"/>
  <c r="Z64" i="150" s="1"/>
  <c r="AA5" i="150"/>
  <c r="AA5" i="130"/>
  <c r="AA6" i="145"/>
  <c r="AA7" i="145" s="1"/>
  <c r="AA5" i="41"/>
  <c r="X91" i="150"/>
  <c r="X93" i="150" s="1"/>
  <c r="X64" i="41" s="1"/>
  <c r="X66" i="41" s="1"/>
  <c r="X117" i="41" s="1"/>
  <c r="X122" i="41" s="1"/>
  <c r="X16" i="130" s="1"/>
  <c r="Y79" i="150"/>
  <c r="Y80" i="150" s="1"/>
  <c r="C6" i="41"/>
  <c r="C5" i="41"/>
  <c r="C4" i="41"/>
  <c r="AA6" i="130" l="1"/>
  <c r="AA6" i="41"/>
  <c r="AA6" i="150"/>
  <c r="AA7" i="150"/>
  <c r="AA7" i="130"/>
  <c r="AA7" i="41"/>
  <c r="Y81" i="150"/>
  <c r="Y110" i="150"/>
  <c r="Y112" i="150" s="1"/>
  <c r="B10" i="41"/>
  <c r="B5" i="69"/>
  <c r="AA64" i="150" l="1" a="1"/>
  <c r="AA64" i="150" s="1"/>
  <c r="AA69" i="150" a="1"/>
  <c r="AA69" i="150" s="1"/>
  <c r="AA71" i="150" a="1"/>
  <c r="AA71" i="150" s="1"/>
  <c r="AA74" i="150" a="1"/>
  <c r="AA74" i="150" s="1"/>
  <c r="AA67" i="150" a="1"/>
  <c r="AA67" i="150" s="1"/>
  <c r="AA70" i="150" a="1"/>
  <c r="AA70" i="150" s="1"/>
  <c r="AA73" i="150" a="1"/>
  <c r="AA73" i="150" s="1"/>
  <c r="AA65" i="150" a="1"/>
  <c r="AA65" i="150" s="1"/>
  <c r="AA72" i="150" a="1"/>
  <c r="AA72" i="150" s="1"/>
  <c r="AA111" i="150" a="1"/>
  <c r="AA111" i="150" s="1"/>
  <c r="AA68" i="150" a="1"/>
  <c r="AA68" i="150" s="1"/>
  <c r="AA75" i="150" a="1"/>
  <c r="AA75" i="150" s="1"/>
  <c r="AA66" i="150" a="1"/>
  <c r="AA66" i="150" s="1"/>
  <c r="Y82" i="150"/>
  <c r="Y83" i="150" s="1"/>
  <c r="Y84" i="150" s="1"/>
  <c r="Y85" i="150" s="1"/>
  <c r="Y86" i="150" s="1"/>
  <c r="Y87" i="150" s="1"/>
  <c r="Y88" i="150" s="1"/>
  <c r="Y89" i="150" s="1"/>
  <c r="Z78" i="150" s="1"/>
  <c r="G4" i="41"/>
  <c r="G4" i="130"/>
  <c r="G4" i="127"/>
  <c r="G5" i="41"/>
  <c r="G5" i="130"/>
  <c r="G5" i="127"/>
  <c r="G6" i="41"/>
  <c r="G6" i="127"/>
  <c r="G6" i="130"/>
  <c r="Y91" i="150" l="1"/>
  <c r="Y93" i="150" s="1"/>
  <c r="Y64" i="41" s="1"/>
  <c r="Y66" i="41" s="1"/>
  <c r="Y117" i="41" s="1"/>
  <c r="Y122" i="41" s="1"/>
  <c r="Y16" i="130" s="1"/>
  <c r="Z79" i="150"/>
  <c r="Z80" i="150" s="1"/>
  <c r="Z81" i="150" l="1"/>
  <c r="Z110" i="150"/>
  <c r="Z112" i="150" s="1"/>
  <c r="I21" i="127"/>
  <c r="T25" i="127" s="1"/>
  <c r="T26" i="127" s="1"/>
  <c r="Z82" i="150" l="1"/>
  <c r="Z83" i="150" s="1"/>
  <c r="Z84" i="150" s="1"/>
  <c r="Z85" i="150" s="1"/>
  <c r="Z86" i="150" s="1"/>
  <c r="Z87" i="150" s="1"/>
  <c r="Z88" i="150" s="1"/>
  <c r="Z89" i="150" s="1"/>
  <c r="AA78" i="150" s="1"/>
  <c r="Z91" i="150" l="1"/>
  <c r="Z93" i="150" s="1"/>
  <c r="Z64" i="41" s="1"/>
  <c r="Z66" i="41" s="1"/>
  <c r="Z117" i="41" s="1"/>
  <c r="Z122" i="41" s="1"/>
  <c r="Z16" i="130" s="1"/>
  <c r="AA79" i="150"/>
  <c r="AA80" i="150" s="1"/>
  <c r="AA81" i="150" l="1"/>
  <c r="AA82" i="150" s="1"/>
  <c r="AA83" i="150" s="1"/>
  <c r="AA84" i="150" s="1"/>
  <c r="AA85" i="150" s="1"/>
  <c r="AA86" i="150" s="1"/>
  <c r="AA87" i="150" s="1"/>
  <c r="AA88" i="150" s="1"/>
  <c r="AA89" i="150" s="1"/>
  <c r="AA110" i="150"/>
  <c r="AA112" i="150" s="1"/>
  <c r="K112" i="150" s="1"/>
  <c r="K116" i="150" s="1"/>
  <c r="F23" i="69" l="1"/>
  <c r="AA91" i="150"/>
  <c r="AA93" i="150" s="1"/>
  <c r="AA64" i="41" s="1"/>
  <c r="AA66" i="41" s="1"/>
  <c r="AA117" i="41" s="1"/>
  <c r="AA122" i="41" s="1"/>
  <c r="AA16" i="130" s="1"/>
  <c r="K98" i="145" l="1"/>
  <c r="F22" i="69" s="1"/>
  <c r="K126" i="41" l="1"/>
  <c r="F25" i="69" s="1"/>
  <c r="F26" i="69"/>
  <c r="R24" i="127" l="1"/>
  <c r="R26" i="127" s="1"/>
  <c r="S24" i="127"/>
  <c r="S26" i="127" s="1"/>
  <c r="I38" i="127" l="1" a="1"/>
  <c r="I38" i="127" s="1"/>
  <c r="I40" i="127" l="1"/>
  <c r="I42" i="127"/>
  <c r="I41" i="127"/>
  <c r="Q41" i="127" s="1"/>
  <c r="R41" i="127" s="1"/>
  <c r="S41" i="127" s="1"/>
  <c r="I39" i="127"/>
  <c r="O39" i="127" s="1"/>
  <c r="P39" i="127" s="1"/>
  <c r="Q39" i="127" s="1"/>
  <c r="R39" i="127" s="1"/>
  <c r="S39" i="127" s="1"/>
  <c r="T39" i="127" s="1"/>
  <c r="I45" i="127"/>
  <c r="I83" i="127" s="1"/>
  <c r="I44" i="127"/>
  <c r="T44" i="127" s="1"/>
  <c r="I43" i="127"/>
  <c r="S43" i="127" s="1"/>
  <c r="T43" i="127" s="1"/>
  <c r="N38" i="127"/>
  <c r="N46" i="127" s="1"/>
  <c r="P40" i="127"/>
  <c r="Q40" i="127" s="1"/>
  <c r="R40" i="127" s="1"/>
  <c r="S40" i="127" s="1"/>
  <c r="T40" i="127" s="1"/>
  <c r="R42" i="127"/>
  <c r="S42" i="127" s="1"/>
  <c r="T41" i="127" l="1"/>
  <c r="O38" i="127"/>
  <c r="T42" i="127"/>
  <c r="P38" i="127" l="1"/>
  <c r="P46" i="127" s="1"/>
  <c r="O46" i="127"/>
  <c r="Q38" i="127" l="1"/>
  <c r="Q46" i="127" s="1"/>
  <c r="R38" i="127" l="1"/>
  <c r="R46" i="127" s="1"/>
  <c r="S38" i="127" l="1"/>
  <c r="S46" i="127" s="1"/>
  <c r="I77" i="127" s="1"/>
  <c r="I79" i="127" s="1"/>
  <c r="I82" i="127" s="1"/>
  <c r="T38" i="127" l="1"/>
  <c r="T46" i="127" s="1"/>
  <c r="I63" i="127" s="1"/>
  <c r="I84" i="127" s="1"/>
  <c r="I85" i="127" s="1"/>
  <c r="I88" i="127" s="1"/>
  <c r="I68" i="127" l="1"/>
  <c r="T114" i="41" s="1"/>
  <c r="I64" i="127"/>
  <c r="I90" i="127" s="1"/>
  <c r="I91" i="127" s="1"/>
  <c r="I115" i="127" s="1"/>
  <c r="I119" i="127" s="1"/>
  <c r="I126" i="127" s="1"/>
  <c r="I128" i="127" s="1"/>
  <c r="T115" i="41" s="1"/>
  <c r="K70" i="127" l="1"/>
  <c r="K132" i="127" s="1"/>
  <c r="F24" i="69" s="1"/>
  <c r="F29" i="69" s="1"/>
  <c r="F30" i="69" s="1"/>
  <c r="B8" i="150" s="1"/>
  <c r="I72" i="41"/>
  <c r="I74" i="41" s="1"/>
  <c r="T118" i="41" s="1"/>
  <c r="B3" i="69" l="1"/>
  <c r="B8" i="41"/>
  <c r="B8" i="145"/>
  <c r="B8" i="130"/>
  <c r="B3" i="151" a="1"/>
  <c r="B3" i="151" s="1"/>
  <c r="B8" i="127"/>
  <c r="I30" i="41"/>
  <c r="I37" i="41" s="1"/>
  <c r="T112" i="41" s="1"/>
  <c r="T122" i="41" s="1"/>
  <c r="T16" i="13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<sst xmlns="http://schemas.openxmlformats.org/spreadsheetml/2006/main" count="559" uniqueCount="257">
  <si>
    <t>Financial Model</t>
  </si>
  <si>
    <t>Source</t>
  </si>
  <si>
    <t>Term</t>
  </si>
  <si>
    <t>Units</t>
  </si>
  <si>
    <t>Constants</t>
  </si>
  <si>
    <t>Checks</t>
  </si>
  <si>
    <t>Model Year Count</t>
  </si>
  <si>
    <t>Count</t>
  </si>
  <si>
    <t>Period start</t>
  </si>
  <si>
    <t>Date</t>
  </si>
  <si>
    <t>Period end</t>
  </si>
  <si>
    <t>Regulatory year</t>
  </si>
  <si>
    <t>Fin Year</t>
  </si>
  <si>
    <t>►</t>
  </si>
  <si>
    <t>Time</t>
  </si>
  <si>
    <t>This section contains the key timing assumptions for this model.</t>
  </si>
  <si>
    <t>2024-25 first day</t>
  </si>
  <si>
    <t>'Day 1' date</t>
  </si>
  <si>
    <t>Model start date</t>
  </si>
  <si>
    <t>Months per period</t>
  </si>
  <si>
    <t>Months</t>
  </si>
  <si>
    <t>Licence</t>
  </si>
  <si>
    <t>This section contains an input value defined in the Electricity System Operator licence.</t>
  </si>
  <si>
    <t>Discount Rate from Day 1</t>
  </si>
  <si>
    <t>F1.27</t>
  </si>
  <si>
    <t>% annual, real</t>
  </si>
  <si>
    <t>RRP inputs</t>
  </si>
  <si>
    <t>This section contains an input values drawn from the RRP. It includes values for 2023-24, 2024-25 before Day 1 and one variable that has values for multiple years.</t>
  </si>
  <si>
    <t>Total Allowed Revenue (2023-24)</t>
  </si>
  <si>
    <t>RRP</t>
  </si>
  <si>
    <t>SOTAR₂₀₂₃₋₂₄</t>
  </si>
  <si>
    <t>£m nominal</t>
  </si>
  <si>
    <t>Actual Collected Revenue (2023-24)</t>
  </si>
  <si>
    <t>SOTRR₂₀₂₃₋₂₄</t>
  </si>
  <si>
    <t>Average Value of SONIA (2023-24)</t>
  </si>
  <si>
    <t>I₂₀₂₃₋₂₄</t>
  </si>
  <si>
    <t>%</t>
  </si>
  <si>
    <t>Credit Spread in Price Control (2023-24)</t>
  </si>
  <si>
    <t>Controllable opex (2024-25 before Day 1)</t>
  </si>
  <si>
    <t>Controllable capex (2024-25 before Day 1)</t>
  </si>
  <si>
    <t>Fines and Penalties (2024-25 before Day 1)</t>
  </si>
  <si>
    <t>Working Capital Facility costs beyond ESOIₜ (2024-25 before Day 1)</t>
  </si>
  <si>
    <t xml:space="preserve">RRP </t>
  </si>
  <si>
    <t>Pension scheme established deficit (PSED) recovery allowances</t>
  </si>
  <si>
    <t>£m 2018-19 prices</t>
  </si>
  <si>
    <t>PCFM inputs</t>
  </si>
  <si>
    <t xml:space="preserve">This section contains an input values drawn from the 2023 AIP PCFM. Some values are fixed as per the version of the model published before Day 1. Other values may be updated </t>
  </si>
  <si>
    <t>for outturn data in an updated copy of the 2023 AIP PCFM.</t>
  </si>
  <si>
    <t>Capitalised share of totex</t>
  </si>
  <si>
    <t xml:space="preserve">Pre Day 1 2023 AIP PCFM </t>
  </si>
  <si>
    <t>CST₂₀₂₄₋₂₅</t>
  </si>
  <si>
    <t>Additional funding (2024-25)</t>
  </si>
  <si>
    <t>ADF₂₀₂₄₋₂₅</t>
  </si>
  <si>
    <t>Wokingham RAV asset addition</t>
  </si>
  <si>
    <t>Main RAV asset life</t>
  </si>
  <si>
    <t>Years</t>
  </si>
  <si>
    <t>Wokingham asset life (to end 2024-25)</t>
  </si>
  <si>
    <t>Net RAV additions (excl. Wokingham) to end 2023/24</t>
  </si>
  <si>
    <t xml:space="preserve">Updated 2023 AIP PCFM </t>
  </si>
  <si>
    <t>Legacy Combined RPI-CPIH price index (regulatory year average)</t>
  </si>
  <si>
    <t>PIₜ</t>
  </si>
  <si>
    <t>1987 = 100</t>
  </si>
  <si>
    <t>Legacy Combined RPI-CPIH price index (March 2024)</t>
  </si>
  <si>
    <t>PCFM tax allowance (2024-25)</t>
  </si>
  <si>
    <t>TAX₂₀₂₄₋₂₅</t>
  </si>
  <si>
    <t>AIP adjustment term (2024-25)</t>
  </si>
  <si>
    <t>ADJ₂₀₂₄₋₂₅</t>
  </si>
  <si>
    <t>Legacy Allowed Revenue from latest AIP (2024-25)</t>
  </si>
  <si>
    <t>SOLAR₂₀₂₄₋₂₅</t>
  </si>
  <si>
    <t>Discount Rate for 2024-25 before Day 1</t>
  </si>
  <si>
    <t>Inflation inputs</t>
  </si>
  <si>
    <t>This section includes actual and forecast inflation assumptions.</t>
  </si>
  <si>
    <t>ONS CPIH release date</t>
  </si>
  <si>
    <t>Handbook</t>
  </si>
  <si>
    <t>Mmm YYYY</t>
  </si>
  <si>
    <t>CPIH INDEX 00: ALL ITEMS, by month</t>
  </si>
  <si>
    <t>Apr</t>
  </si>
  <si>
    <t>CPIHₘ</t>
  </si>
  <si>
    <t>2015 = 100</t>
  </si>
  <si>
    <t>May</t>
  </si>
  <si>
    <t>Jun</t>
  </si>
  <si>
    <t>Jul</t>
  </si>
  <si>
    <t>Aug</t>
  </si>
  <si>
    <t>Sep</t>
  </si>
  <si>
    <t>Oct</t>
  </si>
  <si>
    <t>Nov</t>
  </si>
  <si>
    <t>Dec</t>
  </si>
  <si>
    <t>Jan</t>
  </si>
  <si>
    <t>Feb</t>
  </si>
  <si>
    <t>Mar</t>
  </si>
  <si>
    <t>&gt;</t>
  </si>
  <si>
    <t>OBR CPI estimate source date</t>
  </si>
  <si>
    <t>OBR CPI estimates, by calendar year ending</t>
  </si>
  <si>
    <t>pp</t>
  </si>
  <si>
    <t>Long term CPIH inflation forecast</t>
  </si>
  <si>
    <t>Annual %</t>
  </si>
  <si>
    <t>Check: Sum of checks</t>
  </si>
  <si>
    <t>Check</t>
  </si>
  <si>
    <t>End</t>
  </si>
  <si>
    <t>Historic data</t>
  </si>
  <si>
    <t>This section draws in the historic input values used for the indexation calculations on this sheet.</t>
  </si>
  <si>
    <t>Forecast assumptions</t>
  </si>
  <si>
    <t>This section sets out inflation assumptions for periods where outturn inflation does not apply.</t>
  </si>
  <si>
    <t>CPIH forecast, by calendar year ending</t>
  </si>
  <si>
    <t>Full-year indexation</t>
  </si>
  <si>
    <t>This section sets out indexation calculations by regulatory year. These values are used to convert RAV and depreciation values expressed in 2018-19 prices in nominal terms.</t>
  </si>
  <si>
    <t>Monthly inflation uplift</t>
  </si>
  <si>
    <t>Month offset</t>
  </si>
  <si>
    <t>CPIHₘ/CPIHₘ₋₁</t>
  </si>
  <si>
    <t>Monthly %</t>
  </si>
  <si>
    <t>Combined RPI-CPIH price index, actual and forecast by month</t>
  </si>
  <si>
    <t>PIₘ</t>
  </si>
  <si>
    <t>Combined RPI-CPIH price index (regulatory year average)</t>
  </si>
  <si>
    <t>Real 2018-19 prices to nominal conversion factor (regulatory year)</t>
  </si>
  <si>
    <t>2018-19 = 1</t>
  </si>
  <si>
    <t>Partial-year indexation</t>
  </si>
  <si>
    <t>This section sets out indexation calculations for 2024-25 before 'Day 1'. This is used to convert nominal RAV additions into 2018-19 prices.</t>
  </si>
  <si>
    <t>Combined RPI-CPIH price index for 2018-19</t>
  </si>
  <si>
    <t>Months of 2024-25 before Day 1</t>
  </si>
  <si>
    <t>Average Combined RPI-CPIH price index for 2024-25 before Day 1</t>
  </si>
  <si>
    <t>Real 2018-19 prices to nominal conversion factor (2024-25 before Day 1)</t>
  </si>
  <si>
    <t>Jun-Jun in forecast period</t>
  </si>
  <si>
    <t>Flag</t>
  </si>
  <si>
    <t>Jun-Jun forecast inflation</t>
  </si>
  <si>
    <t>CPI forecast based on calendar years</t>
  </si>
  <si>
    <t>Check: Forecast uplift consistent with assumptions</t>
  </si>
  <si>
    <t>Check: Partial year uplift less than full year 2024-25 uplift</t>
  </si>
  <si>
    <t>RAV additions</t>
  </si>
  <si>
    <t xml:space="preserve">This section brings together values added to the NESO RAV. It only includes RAV additions that are not fully depreciated by the end of 2023/24. The calculations in this section </t>
  </si>
  <si>
    <t>assume that net RAV additions for 2024-25 before Day 1 are equal to the absolute value of the Legacy adjustment for Controllable expenditure.</t>
  </si>
  <si>
    <t>Net RAV additions 2024-25 before Day 1</t>
  </si>
  <si>
    <t>Net RAV additions (excl. Wokingham)</t>
  </si>
  <si>
    <t>To end 2023/24</t>
  </si>
  <si>
    <t>2024-25 before Day 1</t>
  </si>
  <si>
    <t>Total (excl. Wokingham)</t>
  </si>
  <si>
    <t>Full-year RAV depreciation</t>
  </si>
  <si>
    <t xml:space="preserve">This section calculations for the RAV, including a different approach applied for the Wokingham asset. Calculations are shown on a full-year basis, without making any distinction </t>
  </si>
  <si>
    <t>between values before/after Day 1.</t>
  </si>
  <si>
    <t>Depreciation of RAV additions from year ending</t>
  </si>
  <si>
    <t>Net additions</t>
  </si>
  <si>
    <t>RAV depreciation (excl. Wokingham)</t>
  </si>
  <si>
    <t>Wokingham RAV depreciation</t>
  </si>
  <si>
    <t>RAV depreciation</t>
  </si>
  <si>
    <t>This section converts the RAV depreciation for 2024-25 before Day 1 to real terms and builds up the RAV depreciation value from Day 1 onwards in nominal terms.</t>
  </si>
  <si>
    <t>Share of 2024-25 before Day 1</t>
  </si>
  <si>
    <t>Share of 2024-25 from Day 1</t>
  </si>
  <si>
    <t>Regulatory depreciation (2024-25)</t>
  </si>
  <si>
    <t>Before Day 1</t>
  </si>
  <si>
    <t>From Day 1</t>
  </si>
  <si>
    <t>Real 2018-19 prices to nominal conversion factor (2024-25)</t>
  </si>
  <si>
    <t>Regulatory depreciation 2024-25 before Day 1</t>
  </si>
  <si>
    <t>LEGDPN</t>
  </si>
  <si>
    <t>Check: 2024-25 full RAV depreciation allocated between periods before and after Day 1</t>
  </si>
  <si>
    <t>RAV balance</t>
  </si>
  <si>
    <t>This section contains calculations of the RAV on a real basis, building it up from RAV additions and subtracting depreciation.</t>
  </si>
  <si>
    <t>2024-25 Opening RAV balance</t>
  </si>
  <si>
    <t>RIIO excl. Wokingham</t>
  </si>
  <si>
    <t>Wokingham</t>
  </si>
  <si>
    <t>Total</t>
  </si>
  <si>
    <t>Day 1 Opening RAV balance</t>
  </si>
  <si>
    <t>RAV additions (2024-25 before Day 1)</t>
  </si>
  <si>
    <t>Less RAV depreciation (2024-25 before Day 1)</t>
  </si>
  <si>
    <t>Opening RAV balance</t>
  </si>
  <si>
    <t xml:space="preserve"> </t>
  </si>
  <si>
    <t>2024-25 RAV from Day 1</t>
  </si>
  <si>
    <t>Opening balance</t>
  </si>
  <si>
    <t>Depreciation</t>
  </si>
  <si>
    <t>ESO closing RAV balance</t>
  </si>
  <si>
    <t>Discount rate</t>
  </si>
  <si>
    <t>This section includes adjustments to the Discount Rate for the first half-year period and to implement NPV-neutral adjustments to the RAV balance.</t>
  </si>
  <si>
    <t>Discount rate for Return on RAV (2024-25)</t>
  </si>
  <si>
    <t>Blended discount rate for 2024-25</t>
  </si>
  <si>
    <t>Discount factor for NPV neutral RAV closing balance (2024-25)</t>
  </si>
  <si>
    <t>Scalar</t>
  </si>
  <si>
    <t>RAV return base</t>
  </si>
  <si>
    <t>This section contains calculations to set the RAV on a nominal discounted basis for the purpose of calculating the return on RAV (RTNOₜ).</t>
  </si>
  <si>
    <t>Regulatory Asset Value (for RTNOₜ) 2024-25</t>
  </si>
  <si>
    <t>-</t>
  </si>
  <si>
    <t>RAVₜ, F1.27 and Handbook</t>
  </si>
  <si>
    <t>RAV return</t>
  </si>
  <si>
    <t>This section contains calculations of the Legacy Revenue Adjustment for Return.</t>
  </si>
  <si>
    <t>Discount rate for Return on RAV (2024-25) before Day 1</t>
  </si>
  <si>
    <t>Return</t>
  </si>
  <si>
    <t>LEGRTN</t>
  </si>
  <si>
    <t xml:space="preserve">This section contains the legacy closeout calculations for controllable expenditure. This adjustment ensures totex before Day 1 is added to the RAV rather than being treated as </t>
  </si>
  <si>
    <t>100% 'fast money', as per regulatory framework from Day 1.</t>
  </si>
  <si>
    <t>Controllable expenditure (2024-25 before Day 1)</t>
  </si>
  <si>
    <t>Opex</t>
  </si>
  <si>
    <t>Capex</t>
  </si>
  <si>
    <t>Totex</t>
  </si>
  <si>
    <t>Controllable expenditure legacy revenue adjustment</t>
  </si>
  <si>
    <t>LEGETE</t>
  </si>
  <si>
    <t>Tax</t>
  </si>
  <si>
    <t>This section converts the 2023 AIP PCFM tax allowance for 2024-25 to a pre 'Day 1' value. The corresponding tax adjustment (TAXA) is omitted as it was nil in the 2023 AIP.</t>
  </si>
  <si>
    <t>Tax legacy revenue adjustment</t>
  </si>
  <si>
    <t>LEGTAX</t>
  </si>
  <si>
    <t>This section contains the legacy closeout calculation for financial penalties. This adjustment ensures that fines and penalties before Day 1 are not passed through to consumers.</t>
  </si>
  <si>
    <t>Financial penalties legacy revenue adjustment</t>
  </si>
  <si>
    <t>LEGFPN</t>
  </si>
  <si>
    <t xml:space="preserve">This section contains the legacy closeout calculations for 'Additional funding'. This funding is not available from Day 1 so this adjustment ensures it is included before its regulatory </t>
  </si>
  <si>
    <t>treatment changes.</t>
  </si>
  <si>
    <t>Additional funding legacy revenue adjustment</t>
  </si>
  <si>
    <t>LEGADF</t>
  </si>
  <si>
    <t>This section brings through the PSED recovery allowances included as a legacy close-out adjustment. This is the only legacy closeout adjustment that continues to years after 2024-25.</t>
  </si>
  <si>
    <t>PSED recovery allowances legacy revenue adjustment</t>
  </si>
  <si>
    <t>LEGEDE</t>
  </si>
  <si>
    <t xml:space="preserve">This section brings through the Annual Iteration Process (AIP) adjustment term for 2024-25 (ADJ₂₀₂₄₋₂₅) calculated in the ESO PCFM. </t>
  </si>
  <si>
    <t>Adjustment for new data legacy revenue adjustment</t>
  </si>
  <si>
    <t>LEGADJ</t>
  </si>
  <si>
    <t xml:space="preserve">This section contains the legacy closeout calculations for Interest on BSUoS ('K'). From Day 1, any interest relating to differences in allowed and collected revenue are captured </t>
  </si>
  <si>
    <t>as part of Internal Expenditure. However, an additional amount is required to account for the interest on the over-recovery of allowed revenue in 2023-24.</t>
  </si>
  <si>
    <t>Interest on BSUoS (‘K’) legacy revenue adjustment</t>
  </si>
  <si>
    <t>LEGEXT</t>
  </si>
  <si>
    <t xml:space="preserve">This section brings through the legacy closeout adjustment for 'Pre-RIIO2 adjustments'. The adjustment is based on the Legacy Allowed Revenue term for 2024-25 (SOLAR₂₀₂₄₋₂₅) </t>
  </si>
  <si>
    <t>calculated in the ESO PCFM. 2024-25 is the final year in the PCFM where any Pre-RIIO2 adjustment is calculated.</t>
  </si>
  <si>
    <t>Pre-RIIO2 adjustments legacy revenue adjustment</t>
  </si>
  <si>
    <t>LEGSOLAR</t>
  </si>
  <si>
    <t xml:space="preserve">This section brings through the legacy closeout adjustment for 'Working Capital Facility costs'. This adjustment captures any relevant working capital facility costs before Day 1 </t>
  </si>
  <si>
    <t>that would not be captured under the definition of the 'Interest costs' (ESOIₜ) line item that applies from Day 1.</t>
  </si>
  <si>
    <t>Working Capital Facility costs</t>
  </si>
  <si>
    <t>LEGWCF</t>
  </si>
  <si>
    <t>Legacy Revenue Adjustments</t>
  </si>
  <si>
    <t>This section sums the adjustments specified in Table 4.1 of the Handbook to give the overall Legacy Revenue Adjustment used in the NESO Financial Model.</t>
  </si>
  <si>
    <t>Controllable expenditure</t>
  </si>
  <si>
    <t>Financial penalties</t>
  </si>
  <si>
    <t>Additional funding</t>
  </si>
  <si>
    <t>Adjustment for new data</t>
  </si>
  <si>
    <t>Interest on BSUoS (‘K’)</t>
  </si>
  <si>
    <t>Pre-RIIO2 adjustments</t>
  </si>
  <si>
    <t>LEGₜ, F1.18</t>
  </si>
  <si>
    <t>Headline outputs</t>
  </si>
  <si>
    <t>This section contains the overall headline results from this model. The values shown here are used as inputs to the NESO Financial Model.</t>
  </si>
  <si>
    <t>LEGₜ</t>
  </si>
  <si>
    <t>Check: No error terms in output values</t>
  </si>
  <si>
    <t>Project Data</t>
  </si>
  <si>
    <t>Project Name</t>
  </si>
  <si>
    <t>Legacy Closeout Model</t>
  </si>
  <si>
    <t>File path</t>
  </si>
  <si>
    <t>Current file name</t>
  </si>
  <si>
    <t>Model status</t>
  </si>
  <si>
    <t>Publication date</t>
  </si>
  <si>
    <t>Draft version</t>
  </si>
  <si>
    <t>Check date added for published model</t>
  </si>
  <si>
    <t>Error Checks</t>
  </si>
  <si>
    <t>Model Tolerance</t>
  </si>
  <si>
    <t>Control</t>
  </si>
  <si>
    <t>Total Check</t>
  </si>
  <si>
    <t>Overall Check</t>
  </si>
  <si>
    <t>Change log</t>
  </si>
  <si>
    <t>Change No.</t>
  </si>
  <si>
    <t>Model version</t>
  </si>
  <si>
    <t>Sheet name</t>
  </si>
  <si>
    <t>Changes made</t>
  </si>
  <si>
    <t>Change made by</t>
  </si>
  <si>
    <t>EDEₜ</t>
  </si>
  <si>
    <r>
      <t>PI</t>
    </r>
    <r>
      <rPr>
        <vertAlign val="subscript"/>
        <sz val="11"/>
        <color theme="1"/>
        <rFont val="Arial"/>
        <family val="2"/>
      </rPr>
      <t>03/2024</t>
    </r>
  </si>
  <si>
    <t>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</si>
</sst>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_(* #,##0.00_);_(* \(#,##0.00\);_(* &quot;-&quot;??_);_(@_)"/>
    <numFmt numFmtId="165" formatCode="#,##0_);\(#,##0\);&quot;-  &quot;;&quot; &quot;@"/>
    <numFmt numFmtId="166" formatCode="_(* #,##0_);_(* \(#,##0\);_(* &quot;-&quot;??_);_(@_)"/>
    <numFmt numFmtId="167" formatCode="#,##0.0_);\(#,##0.0\);&quot;-  &quot;;&quot; &quot;@"/>
    <numFmt numFmtId="168" formatCode="#,##0_);\(#,##0\);&quot;-  &quot;;&quot; &quot;@&quot; &quot;"/>
    <numFmt numFmtId="169" formatCode="0.00%;\-0.00%_);&quot;-  &quot;;&quot; &quot;@&quot; &quot;"/>
    <numFmt numFmtId="170" formatCode="#,##0.0000;\(#,##0.0000\);&quot;-  &quot;;&quot; &quot;@&quot; &quot;"/>
    <numFmt numFmtId="171" formatCode="dd\ mmm\ yyyy_);\(###0\);&quot;-  &quot;;&quot; &quot;@&quot; &quot;"/>
    <numFmt numFmtId="172" formatCode="dd\ mmm\ yy_);\(###0\);&quot;-  &quot;;&quot; &quot;@&quot; &quot;"/>
    <numFmt numFmtId="173" formatCode="###0_);\(###0\);&quot;-  &quot;;&quot; &quot;@&quot; &quot;"/>
    <numFmt numFmtId="174" formatCode="dd\-mmm\-yy_);\(###0\);&quot;-  &quot;;&quot; &quot;@&quot; &quot;"/>
    <numFmt numFmtId="175" formatCode="#,##0_);[Red]\(#,##0\);\-_)"/>
    <numFmt numFmtId="176" formatCode="#,##0.0_);\(#,##0.0\);&quot;-  &quot;;&quot; &quot;@&quot; &quot;"/>
    <numFmt numFmtId="177" formatCode="_(* #,##0.0_);_(* \(#,##0.0\);_(* &quot;-&quot;??_);_(@_)"/>
    <numFmt numFmtId="178" formatCode="#,##0.0_);\(#,##0.0\);\-_)"/>
    <numFmt numFmtId="179" formatCode="_(* #,##0.000_);_(* \(#,##0.000\);_(* &quot;-&quot;??_);_(@_)"/>
    <numFmt numFmtId="180" formatCode="dd\ mmm\ yyyy"/>
    <numFmt numFmtId="181" formatCode="mmm\ yyyy"/>
    <numFmt numFmtId="182" formatCode="#,##0.00_);\(#,##0.00\);&quot;-  &quot;;&quot; &quot;@&quot; &quot;"/>
    <numFmt numFmtId="183" formatCode="_(* #,##0.00000_);_(* \(#,##0.00000\);_(* &quot;-&quot;??_);_(@_)"/>
    <numFmt numFmtId="184" formatCode="#,##0.000_);\(#,##0.000\);&quot;-  &quot;;&quot; &quot;@&quot; &quot;"/>
  </numFmts>
  <fonts count="43" x14ac:knownFonts="1">
    <font>
      <sz val="11"/>
      <color theme="1"/>
      <name val="Arial"/>
      <family val="2"/>
      <scheme val="minor"/>
    </font>
    <font>
      <sz val="11"/>
      <color theme="1"/>
      <name val="Arial"/>
      <family val="2"/>
      <scheme val="minor"/>
    </font>
    <font>
      <b/>
      <sz val="11"/>
      <color theme="1"/>
      <name val="Arial"/>
      <family val="2"/>
      <scheme val="minor"/>
    </font>
    <font>
      <sz val="10"/>
      <name val="Arial"/>
      <family val="2"/>
    </font>
    <font>
      <sz val="14"/>
      <color indexed="9"/>
      <name val="Arial"/>
      <family val="2"/>
      <scheme val="minor"/>
    </font>
    <font>
      <sz val="14"/>
      <color theme="1"/>
      <name val="Arial"/>
      <family val="2"/>
      <scheme val="minor"/>
    </font>
    <font>
      <b/>
      <sz val="14"/>
      <color theme="1"/>
      <name val="Arial"/>
      <family val="2"/>
      <scheme val="minor"/>
    </font>
    <font>
      <b/>
      <sz val="10"/>
      <name val="Arial"/>
      <family val="2"/>
    </font>
    <font>
      <sz val="8"/>
      <name val="Arial"/>
      <family val="2"/>
      <scheme val="minor"/>
    </font>
    <font>
      <u/>
      <sz val="11"/>
      <color theme="10"/>
      <name val="Arial"/>
      <family val="2"/>
      <scheme val="minor"/>
    </font>
    <font>
      <sz val="11"/>
      <color indexed="9"/>
      <name val="Calibri"/>
      <family val="2"/>
    </font>
    <font>
      <sz val="11"/>
      <color rgb="FF000000"/>
      <name val="Arial"/>
      <family val="2"/>
      <scheme val="minor"/>
    </font>
    <font>
      <b/>
      <sz val="12"/>
      <color theme="1"/>
      <name val="Arial"/>
      <family val="2"/>
      <scheme val="minor"/>
    </font>
    <font>
      <sz val="14"/>
      <color rgb="FFFF0000"/>
      <name val="Arial"/>
      <family val="2"/>
      <scheme val="minor"/>
    </font>
    <font>
      <b/>
      <sz val="18"/>
      <name val="Arial"/>
      <family val="2"/>
      <scheme val="minor"/>
    </font>
    <font>
      <sz val="10"/>
      <color indexed="62"/>
      <name val="Arial"/>
      <family val="2"/>
    </font>
    <font>
      <sz val="9"/>
      <color rgb="FF000000"/>
      <name val="Arial"/>
      <family val="2"/>
    </font>
    <font>
      <i/>
      <sz val="11"/>
      <color rgb="FF7F7F7F"/>
      <name val="Arial"/>
      <family val="2"/>
      <scheme val="minor"/>
    </font>
    <font>
      <sz val="10"/>
      <color theme="1"/>
      <name val="Verdana"/>
      <family val="2"/>
    </font>
    <font>
      <sz val="10"/>
      <color theme="0" tint="-4.9989318521683403E-2"/>
      <name val="Gill Sans MT"/>
      <family val="2"/>
    </font>
    <font>
      <sz val="14"/>
      <color theme="0"/>
      <name val="Arial"/>
      <family val="2"/>
    </font>
    <font>
      <b/>
      <sz val="22"/>
      <color theme="0"/>
      <name val="Arial"/>
      <family val="2"/>
    </font>
    <font>
      <b/>
      <sz val="18"/>
      <color theme="0"/>
      <name val="Arial"/>
      <family val="2"/>
    </font>
    <font>
      <b/>
      <sz val="14"/>
      <color theme="1"/>
      <name val="Arial"/>
      <family val="2"/>
    </font>
    <font>
      <sz val="14"/>
      <color theme="1"/>
      <name val="Arial"/>
      <family val="2"/>
    </font>
    <font>
      <b/>
      <sz val="18"/>
      <name val="Arial"/>
      <family val="2"/>
    </font>
    <font>
      <sz val="11"/>
      <color theme="1"/>
      <name val="Arial"/>
      <family val="2"/>
    </font>
    <font>
      <sz val="11"/>
      <name val="Arial"/>
      <family val="2"/>
    </font>
    <font>
      <b/>
      <sz val="11"/>
      <color theme="1"/>
      <name val="Arial"/>
      <family val="2"/>
    </font>
    <font>
      <sz val="11"/>
      <color rgb="FF000000"/>
      <name val="Arial"/>
      <family val="2"/>
    </font>
    <font>
      <u/>
      <sz val="11"/>
      <color theme="10"/>
      <name val="Arial"/>
      <family val="2"/>
    </font>
    <font>
      <i/>
      <sz val="11"/>
      <color rgb="FF7F7F7F"/>
      <name val="Arial"/>
      <family val="2"/>
    </font>
    <font>
      <b/>
      <sz val="11"/>
      <name val="Arial"/>
      <family val="2"/>
    </font>
    <font>
      <sz val="11"/>
      <color rgb="FF0070C0"/>
      <name val="Arial"/>
      <family val="2"/>
    </font>
    <font>
      <sz val="11"/>
      <color rgb="FFFF0000"/>
      <name val="Arial"/>
      <family val="2"/>
    </font>
    <font>
      <sz val="11"/>
      <color theme="0"/>
      <name val="Arial"/>
      <family val="2"/>
    </font>
    <font>
      <b/>
      <sz val="14"/>
      <color theme="0"/>
      <name val="Arial"/>
      <family val="2"/>
    </font>
    <font>
      <sz val="11"/>
      <color theme="5" tint="-0.249977111117893"/>
      <name val="Arial"/>
      <family val="2"/>
    </font>
    <font>
      <b/>
      <sz val="11"/>
      <color theme="0"/>
      <name val="Arial"/>
      <family val="2"/>
    </font>
    <font>
      <b/>
      <sz val="18"/>
      <color theme="0"/>
      <name val="Arial"/>
      <family val="2"/>
      <scheme val="minor"/>
    </font>
    <font>
      <b/>
      <sz val="11"/>
      <color rgb="FFFF0000"/>
      <name val="Arial"/>
      <family val="2"/>
    </font>
    <font>
      <i/>
      <sz val="11"/>
      <color rgb="FF505050"/>
      <name val="Arial"/>
      <family val="2"/>
    </font>
    <font>
      <vertAlign val="subscript"/>
      <sz val="11"/>
      <color theme="1"/>
      <name val="Arial"/>
      <family val="2"/>
    </font>
  </fonts>
  <fills count="11">
    <fill>
      <patternFill patternType="none"/>
    </fill>
    <fill>
      <patternFill patternType="gray125"/>
    </fill>
    <fill>
      <patternFill patternType="solid">
        <fgColor theme="3" tint="-0.249977111117893"/>
        <bgColor indexed="64"/>
      </patternFill>
    </fill>
    <fill>
      <patternFill patternType="solid">
        <fgColor rgb="FF5A6CB6"/>
        <bgColor indexed="64"/>
      </patternFill>
    </fill>
    <fill>
      <patternFill patternType="gray125">
        <fgColor theme="0" tint="-0.14996795556505021"/>
        <bgColor indexed="65"/>
      </patternFill>
    </fill>
    <fill>
      <patternFill patternType="solid">
        <fgColor rgb="FFFF6600"/>
        <bgColor indexed="64"/>
      </patternFill>
    </fill>
    <fill>
      <patternFill patternType="lightUp"/>
    </fill>
    <fill>
      <patternFill patternType="solid">
        <fgColor theme="0" tint="-0.499984740745262"/>
        <bgColor indexed="64"/>
      </patternFill>
    </fill>
    <fill>
      <patternFill patternType="solid">
        <fgColor theme="3"/>
        <bgColor indexed="64"/>
      </patternFill>
    </fill>
    <fill>
      <patternFill patternType="solid">
        <fgColor theme="8" tint="0.59999389629810485"/>
        <bgColor indexed="64"/>
      </patternFill>
    </fill>
    <fill>
      <patternFill patternType="solid">
        <fgColor theme="0" tint="-0.14999847407452621"/>
        <bgColor indexed="64"/>
      </patternFill>
    </fill>
  </fills>
  <borders count="26">
    <border>
      <left/>
      <right/>
      <top/>
      <bottom/>
      <diagonal/>
    </border>
    <border>
      <left/>
      <right/>
      <top style="thin">
        <color auto="1"/>
      </top>
      <bottom style="thin">
        <color indexed="64"/>
      </bottom>
      <diagonal/>
    </border>
    <border>
      <left/>
      <right/>
      <top style="medium">
        <color rgb="FFFF6600"/>
      </top>
      <bottom style="medium">
        <color rgb="FFFF6600"/>
      </bottom>
      <diagonal/>
    </border>
    <border>
      <left/>
      <right/>
      <top style="thin">
        <color indexed="64"/>
      </top>
      <bottom style="thin">
        <color indexed="64"/>
      </bottom>
      <diagonal/>
    </border>
    <border>
      <left/>
      <right/>
      <top style="thin">
        <color auto="1"/>
      </top>
      <bottom/>
      <diagonal/>
    </border>
    <border>
      <left style="thin">
        <color indexed="22"/>
      </left>
      <right style="thin">
        <color indexed="22"/>
      </right>
      <top/>
      <bottom style="thin">
        <color indexed="22"/>
      </bottom>
      <diagonal/>
    </border>
    <border>
      <left style="thin">
        <color indexed="22"/>
      </left>
      <right style="thin">
        <color indexed="22"/>
      </right>
      <top style="thin">
        <color auto="1"/>
      </top>
      <bottom style="thin">
        <color indexed="64"/>
      </bottom>
      <diagonal/>
    </border>
    <border>
      <left style="thin">
        <color indexed="22"/>
      </left>
      <right style="thin">
        <color auto="1"/>
      </right>
      <top style="thin">
        <color indexed="64"/>
      </top>
      <bottom style="thin">
        <color indexed="22"/>
      </bottom>
      <diagonal/>
    </border>
    <border>
      <left/>
      <right/>
      <top/>
      <bottom style="thin">
        <color indexed="64"/>
      </bottom>
      <diagonal/>
    </border>
    <border>
      <left/>
      <right style="thin">
        <color indexed="22"/>
      </right>
      <top/>
      <bottom style="thin">
        <color indexed="64"/>
      </bottom>
      <diagonal/>
    </border>
    <border>
      <left/>
      <right style="thin">
        <color indexed="22"/>
      </right>
      <top style="thin">
        <color indexed="22"/>
      </top>
      <bottom style="thin">
        <color indexed="22"/>
      </bottom>
      <diagonal/>
    </border>
    <border>
      <left/>
      <right style="thin">
        <color indexed="22"/>
      </right>
      <top style="thin">
        <color indexed="64"/>
      </top>
      <bottom style="thin">
        <color indexed="22"/>
      </bottom>
      <diagonal/>
    </border>
    <border>
      <left/>
      <right/>
      <top style="thin">
        <color indexed="64"/>
      </top>
      <bottom style="thin">
        <color indexed="64"/>
      </bottom>
      <diagonal/>
    </border>
    <border>
      <left style="thin">
        <color indexed="22"/>
      </left>
      <right style="thin">
        <color auto="1"/>
      </right>
      <top style="thin">
        <color indexed="22"/>
      </top>
      <bottom style="thin">
        <color indexed="22"/>
      </bottom>
      <diagonal/>
    </border>
    <border>
      <left style="thin">
        <color indexed="22"/>
      </left>
      <right style="thin">
        <color indexed="22"/>
      </right>
      <top style="thin">
        <color indexed="22"/>
      </top>
      <bottom style="thin">
        <color auto="1"/>
      </bottom>
      <diagonal/>
    </border>
    <border>
      <left style="thin">
        <color indexed="22"/>
      </left>
      <right/>
      <top style="thin">
        <color indexed="22"/>
      </top>
      <bottom style="thin">
        <color indexed="2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22"/>
      </left>
      <right style="thin">
        <color indexed="22"/>
      </right>
      <top style="thin">
        <color indexed="64"/>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22"/>
      </right>
      <top style="thin">
        <color indexed="22"/>
      </top>
      <bottom/>
      <diagonal/>
    </border>
    <border>
      <left/>
      <right style="thin">
        <color indexed="22"/>
      </right>
      <top/>
      <bottom style="thin">
        <color indexed="22"/>
      </bottom>
      <diagonal/>
    </border>
    <border>
      <left style="thin">
        <color indexed="22"/>
      </left>
      <right/>
      <top/>
      <bottom style="thin">
        <color indexed="22"/>
      </bottom>
      <diagonal/>
    </border>
  </borders>
  <cellStyleXfs count="47">
    <xf numFmtId="168" fontId="0" fillId="0" borderId="0" applyNumberFormat="0" applyFont="0" applyFill="0" applyBorder="0" applyProtection="0">
      <alignment vertical="top"/>
    </xf>
    <xf numFmtId="0" fontId="3" fillId="0" borderId="0" applyFont="0" applyFill="0" applyBorder="0" applyAlignment="0" applyProtection="0"/>
    <xf numFmtId="165" fontId="7" fillId="0" borderId="0" applyFont="0" applyFill="0" applyBorder="0" applyAlignment="0" applyProtection="0"/>
    <xf numFmtId="169" fontId="1" fillId="0" borderId="0" applyFont="0" applyFill="0" applyBorder="0" applyProtection="0">
      <alignment vertical="top"/>
    </xf>
    <xf numFmtId="0" fontId="3" fillId="0" borderId="0"/>
    <xf numFmtId="0" fontId="1" fillId="0" borderId="0"/>
    <xf numFmtId="0" fontId="9" fillId="0" borderId="0" applyNumberFormat="0" applyFill="0" applyBorder="0" applyAlignment="0" applyProtection="0"/>
    <xf numFmtId="0" fontId="10" fillId="3" borderId="0" applyNumberFormat="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5" borderId="1" applyNumberFormat="0" applyAlignment="0"/>
    <xf numFmtId="0" fontId="12" fillId="4" borderId="2" applyNumberFormat="0" applyAlignment="0"/>
    <xf numFmtId="0" fontId="14" fillId="5" borderId="0" applyNumberFormat="0" applyAlignment="0"/>
    <xf numFmtId="170" fontId="1" fillId="0" borderId="0" applyFont="0" applyFill="0" applyBorder="0" applyProtection="0">
      <alignment vertical="top"/>
    </xf>
    <xf numFmtId="171" fontId="1" fillId="0" borderId="0" applyFont="0" applyFill="0" applyBorder="0" applyProtection="0">
      <alignment vertical="top"/>
    </xf>
    <xf numFmtId="172" fontId="1" fillId="0" borderId="0" applyFont="0" applyFill="0" applyBorder="0" applyProtection="0">
      <alignment vertical="top"/>
    </xf>
    <xf numFmtId="173" fontId="1" fillId="0" borderId="0" applyFont="0" applyFill="0" applyBorder="0" applyProtection="0">
      <alignment vertical="top"/>
    </xf>
    <xf numFmtId="0" fontId="1" fillId="0" borderId="0"/>
    <xf numFmtId="0" fontId="1" fillId="0" borderId="0"/>
    <xf numFmtId="175" fontId="15" fillId="0" borderId="0">
      <alignment vertical="top"/>
    </xf>
    <xf numFmtId="0" fontId="3" fillId="0" borderId="0"/>
    <xf numFmtId="175" fontId="15" fillId="0" borderId="0">
      <alignment vertical="top"/>
    </xf>
    <xf numFmtId="0" fontId="9" fillId="0" borderId="0" applyNumberFormat="0" applyFill="0" applyBorder="0" applyAlignment="0" applyProtection="0"/>
    <xf numFmtId="0" fontId="16" fillId="0" borderId="0" applyNumberFormat="0" applyProtection="0"/>
    <xf numFmtId="0" fontId="17" fillId="0" borderId="0" applyNumberFormat="0" applyFill="0" applyBorder="0" applyAlignment="0" applyProtection="0"/>
    <xf numFmtId="0" fontId="18" fillId="0" borderId="0"/>
    <xf numFmtId="178" fontId="19" fillId="7"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5" borderId="12" applyNumberFormat="0" applyAlignment="0"/>
    <xf numFmtId="0" fontId="18" fillId="0" borderId="0"/>
    <xf numFmtId="0" fontId="6" fillId="5" borderId="3" applyNumberFormat="0" applyAlignment="0"/>
  </cellStyleXfs>
  <cellXfs count="251">
    <xf numFmtId="168" fontId="0" fillId="0" borderId="0" xfId="0">
      <alignment vertical="top"/>
    </xf>
    <xf numFmtId="0" fontId="4" fillId="2" borderId="0" xfId="1" applyFont="1" applyFill="1"/>
    <xf numFmtId="168" fontId="5" fillId="0" borderId="0" xfId="0" applyFont="1">
      <alignment vertical="top"/>
    </xf>
    <xf numFmtId="168" fontId="1" fillId="0" borderId="0" xfId="0" applyFont="1">
      <alignment vertical="top"/>
    </xf>
    <xf numFmtId="166" fontId="1" fillId="0" borderId="0" xfId="2" applyNumberFormat="1" applyFont="1" applyAlignment="1">
      <alignment horizontal="right"/>
    </xf>
    <xf numFmtId="168" fontId="0" fillId="0" borderId="0" xfId="0" applyAlignment="1">
      <alignment horizontal="right"/>
    </xf>
    <xf numFmtId="168" fontId="2" fillId="0" borderId="0" xfId="0" applyFont="1" applyAlignment="1">
      <alignment horizontal="left"/>
    </xf>
    <xf numFmtId="168" fontId="5" fillId="0" borderId="0" xfId="0" applyFont="1" applyProtection="1">
      <alignment vertical="top"/>
      <protection locked="0"/>
    </xf>
    <xf numFmtId="168" fontId="13" fillId="0" borderId="0" xfId="0" applyFont="1">
      <alignment vertical="top"/>
    </xf>
    <xf numFmtId="168" fontId="1" fillId="0" borderId="0" xfId="0" applyFont="1" applyAlignment="1">
      <alignment horizontal="right"/>
    </xf>
    <xf numFmtId="0" fontId="14" fillId="5" borderId="0" xfId="21"/>
    <xf numFmtId="0" fontId="14" fillId="5" borderId="0" xfId="21" applyAlignment="1">
      <alignment horizontal="right"/>
    </xf>
    <xf numFmtId="168" fontId="11" fillId="0" borderId="0" xfId="0" applyFont="1">
      <alignment vertical="top"/>
    </xf>
    <xf numFmtId="168" fontId="6" fillId="5" borderId="1" xfId="19" applyNumberFormat="1" applyAlignment="1">
      <alignment vertical="top"/>
    </xf>
    <xf numFmtId="168" fontId="6" fillId="5" borderId="3" xfId="19" applyNumberFormat="1" applyBorder="1" applyAlignment="1">
      <alignment vertical="top"/>
    </xf>
    <xf numFmtId="0" fontId="0" fillId="0" borderId="0" xfId="0" applyNumberFormat="1">
      <alignment vertical="top"/>
    </xf>
    <xf numFmtId="0" fontId="1" fillId="0" borderId="0" xfId="0" applyNumberFormat="1" applyFont="1">
      <alignment vertical="top"/>
    </xf>
    <xf numFmtId="168" fontId="0" fillId="0" borderId="0" xfId="0" applyFill="1">
      <alignment vertical="top"/>
    </xf>
    <xf numFmtId="0" fontId="20" fillId="8" borderId="0" xfId="1" applyFont="1" applyFill="1"/>
    <xf numFmtId="0" fontId="21" fillId="8" borderId="0" xfId="1" applyFont="1" applyFill="1"/>
    <xf numFmtId="0" fontId="22" fillId="8" borderId="0" xfId="1" applyFont="1" applyFill="1"/>
    <xf numFmtId="168" fontId="23" fillId="0" borderId="0" xfId="0" applyFont="1">
      <alignment vertical="top"/>
    </xf>
    <xf numFmtId="168" fontId="24" fillId="0" borderId="0" xfId="0" applyFont="1">
      <alignment vertical="top"/>
    </xf>
    <xf numFmtId="0" fontId="25" fillId="5" borderId="0" xfId="21" applyFont="1"/>
    <xf numFmtId="168" fontId="26" fillId="0" borderId="0" xfId="0" applyFont="1">
      <alignment vertical="top"/>
    </xf>
    <xf numFmtId="0" fontId="26" fillId="0" borderId="0" xfId="0" applyNumberFormat="1" applyFont="1">
      <alignment vertical="top"/>
    </xf>
    <xf numFmtId="168" fontId="26" fillId="0" borderId="0" xfId="0" applyFont="1" applyAlignment="1">
      <alignment horizontal="right" vertical="top"/>
    </xf>
    <xf numFmtId="0" fontId="27" fillId="0" borderId="0" xfId="0" applyNumberFormat="1" applyFont="1">
      <alignment vertical="top"/>
    </xf>
    <xf numFmtId="0" fontId="28" fillId="0" borderId="0" xfId="0" applyNumberFormat="1" applyFont="1">
      <alignment vertical="top"/>
    </xf>
    <xf numFmtId="168" fontId="28" fillId="0" borderId="0" xfId="0" applyFont="1">
      <alignment vertical="top"/>
    </xf>
    <xf numFmtId="168" fontId="26" fillId="0" borderId="0" xfId="0" applyFont="1" applyAlignment="1">
      <alignment horizontal="right"/>
    </xf>
    <xf numFmtId="0" fontId="26" fillId="0" borderId="0" xfId="0" applyNumberFormat="1" applyFont="1" applyBorder="1">
      <alignment vertical="top"/>
    </xf>
    <xf numFmtId="0" fontId="27" fillId="0" borderId="0" xfId="0" applyNumberFormat="1" applyFont="1" applyBorder="1">
      <alignment vertical="top"/>
    </xf>
    <xf numFmtId="0" fontId="29" fillId="0" borderId="0" xfId="2" applyNumberFormat="1" applyFont="1" applyFill="1" applyBorder="1"/>
    <xf numFmtId="0" fontId="29" fillId="0" borderId="0" xfId="0" applyNumberFormat="1" applyFont="1" applyBorder="1">
      <alignment vertical="top"/>
    </xf>
    <xf numFmtId="0" fontId="29" fillId="0" borderId="0" xfId="0" applyNumberFormat="1" applyFont="1">
      <alignment vertical="top"/>
    </xf>
    <xf numFmtId="168" fontId="26" fillId="0" borderId="0" xfId="0" applyFont="1" applyBorder="1">
      <alignment vertical="top"/>
    </xf>
    <xf numFmtId="166" fontId="29" fillId="0" borderId="0" xfId="2" applyNumberFormat="1" applyFont="1" applyFill="1" applyBorder="1"/>
    <xf numFmtId="166" fontId="29" fillId="0" borderId="0" xfId="2" applyNumberFormat="1" applyFont="1" applyBorder="1"/>
    <xf numFmtId="166" fontId="29" fillId="0" borderId="0" xfId="0" applyNumberFormat="1" applyFont="1">
      <alignment vertical="top"/>
    </xf>
    <xf numFmtId="168" fontId="29" fillId="0" borderId="0" xfId="0" applyFont="1" applyBorder="1">
      <alignment vertical="top"/>
    </xf>
    <xf numFmtId="180" fontId="29" fillId="0" borderId="0" xfId="24" applyNumberFormat="1" applyFont="1">
      <alignment vertical="top"/>
    </xf>
    <xf numFmtId="0" fontId="26" fillId="0" borderId="0" xfId="2" applyNumberFormat="1" applyFont="1" applyFill="1" applyBorder="1"/>
    <xf numFmtId="166" fontId="26" fillId="0" borderId="0" xfId="2" applyNumberFormat="1" applyFont="1" applyFill="1" applyBorder="1"/>
    <xf numFmtId="166" fontId="26" fillId="0" borderId="0" xfId="2" applyNumberFormat="1" applyFont="1" applyBorder="1"/>
    <xf numFmtId="0" fontId="26" fillId="0" borderId="0" xfId="0" applyNumberFormat="1" applyFont="1" applyAlignment="1">
      <alignment horizontal="right"/>
    </xf>
    <xf numFmtId="0" fontId="30" fillId="0" borderId="0" xfId="6" applyNumberFormat="1" applyFont="1" applyAlignment="1">
      <alignment vertical="top"/>
    </xf>
    <xf numFmtId="168" fontId="23" fillId="5" borderId="12" xfId="19" applyNumberFormat="1" applyFont="1" applyBorder="1" applyAlignment="1">
      <alignment vertical="top"/>
    </xf>
    <xf numFmtId="0" fontId="31" fillId="0" borderId="0" xfId="33" applyNumberFormat="1" applyFont="1" applyAlignment="1">
      <alignment vertical="top"/>
    </xf>
    <xf numFmtId="0" fontId="26" fillId="0" borderId="0" xfId="0" quotePrefix="1" applyNumberFormat="1" applyFont="1" applyBorder="1">
      <alignment vertical="top"/>
    </xf>
    <xf numFmtId="0" fontId="26" fillId="0" borderId="0" xfId="3" applyNumberFormat="1" applyFont="1" applyFill="1" applyBorder="1">
      <alignment vertical="top"/>
    </xf>
    <xf numFmtId="168" fontId="27" fillId="0" borderId="0" xfId="0" applyFont="1">
      <alignment vertical="top"/>
    </xf>
    <xf numFmtId="176" fontId="27" fillId="0" borderId="0" xfId="0" applyNumberFormat="1" applyFont="1">
      <alignment vertical="top"/>
    </xf>
    <xf numFmtId="176" fontId="32" fillId="0" borderId="0" xfId="0" applyNumberFormat="1" applyFont="1">
      <alignment vertical="top"/>
    </xf>
    <xf numFmtId="169" fontId="26" fillId="0" borderId="0" xfId="3" applyFont="1" applyAlignment="1">
      <alignment horizontal="left" vertical="top"/>
    </xf>
    <xf numFmtId="168" fontId="26" fillId="6" borderId="0" xfId="0" applyFont="1" applyFill="1" applyBorder="1">
      <alignment vertical="top"/>
    </xf>
    <xf numFmtId="0" fontId="29" fillId="0" borderId="0" xfId="24" applyNumberFormat="1" applyFont="1" applyAlignment="1">
      <alignment horizontal="left" vertical="top"/>
    </xf>
    <xf numFmtId="174" fontId="27" fillId="0" borderId="0" xfId="24" applyNumberFormat="1" applyFont="1" applyAlignment="1">
      <alignment horizontal="left" vertical="top"/>
    </xf>
    <xf numFmtId="176" fontId="27" fillId="0" borderId="0" xfId="24" applyNumberFormat="1" applyFont="1" applyAlignment="1">
      <alignment horizontal="left" vertical="top"/>
    </xf>
    <xf numFmtId="177" fontId="29" fillId="0" borderId="0" xfId="24" applyNumberFormat="1" applyFont="1" applyAlignment="1">
      <alignment horizontal="left" vertical="top"/>
    </xf>
    <xf numFmtId="177" fontId="27" fillId="0" borderId="0" xfId="0" applyNumberFormat="1" applyFont="1">
      <alignment vertical="top"/>
    </xf>
    <xf numFmtId="177" fontId="32" fillId="0" borderId="0" xfId="0" applyNumberFormat="1" applyFont="1">
      <alignment vertical="top"/>
    </xf>
    <xf numFmtId="176" fontId="27" fillId="6" borderId="0" xfId="0" applyNumberFormat="1" applyFont="1" applyFill="1" applyBorder="1">
      <alignment vertical="top"/>
    </xf>
    <xf numFmtId="168" fontId="27" fillId="0" borderId="0" xfId="0" applyFont="1" applyBorder="1">
      <alignment vertical="top"/>
    </xf>
    <xf numFmtId="177" fontId="27" fillId="6" borderId="0" xfId="0" applyNumberFormat="1" applyFont="1" applyFill="1" applyBorder="1">
      <alignment vertical="top"/>
    </xf>
    <xf numFmtId="174" fontId="29" fillId="0" borderId="0" xfId="24" applyNumberFormat="1" applyFont="1" applyAlignment="1">
      <alignment horizontal="left" vertical="top"/>
    </xf>
    <xf numFmtId="0" fontId="26" fillId="0" borderId="19" xfId="0" applyNumberFormat="1" applyFont="1" applyBorder="1">
      <alignment vertical="top"/>
    </xf>
    <xf numFmtId="168" fontId="27" fillId="0" borderId="19" xfId="0" applyFont="1" applyBorder="1">
      <alignment vertical="top"/>
    </xf>
    <xf numFmtId="177" fontId="27" fillId="6" borderId="19" xfId="0" applyNumberFormat="1" applyFont="1" applyFill="1" applyBorder="1">
      <alignment vertical="top"/>
    </xf>
    <xf numFmtId="0" fontId="26" fillId="0" borderId="8" xfId="0" applyNumberFormat="1" applyFont="1" applyBorder="1">
      <alignment vertical="top"/>
    </xf>
    <xf numFmtId="168" fontId="27" fillId="0" borderId="8" xfId="0" applyFont="1" applyBorder="1">
      <alignment vertical="top"/>
    </xf>
    <xf numFmtId="177" fontId="27" fillId="6" borderId="8" xfId="0" applyNumberFormat="1" applyFont="1" applyFill="1" applyBorder="1">
      <alignment vertical="top"/>
    </xf>
    <xf numFmtId="168" fontId="33" fillId="0" borderId="0" xfId="0" applyFont="1" applyFill="1">
      <alignment vertical="top"/>
    </xf>
    <xf numFmtId="15" fontId="27" fillId="0" borderId="19" xfId="24" applyNumberFormat="1" applyFont="1" applyFill="1" applyBorder="1" applyAlignment="1">
      <alignment horizontal="left" vertical="top"/>
    </xf>
    <xf numFmtId="0" fontId="27" fillId="0" borderId="19" xfId="0" applyNumberFormat="1" applyFont="1" applyBorder="1">
      <alignment vertical="top"/>
    </xf>
    <xf numFmtId="15" fontId="27" fillId="0" borderId="0" xfId="24" applyNumberFormat="1" applyFont="1" applyBorder="1" applyAlignment="1">
      <alignment horizontal="left" vertical="top"/>
    </xf>
    <xf numFmtId="15" fontId="27" fillId="0" borderId="8" xfId="24" applyNumberFormat="1" applyFont="1" applyBorder="1" applyAlignment="1">
      <alignment horizontal="left" vertical="top"/>
    </xf>
    <xf numFmtId="0" fontId="27" fillId="0" borderId="8" xfId="0" applyNumberFormat="1" applyFont="1" applyBorder="1">
      <alignment vertical="top"/>
    </xf>
    <xf numFmtId="166" fontId="34" fillId="0" borderId="18" xfId="2" applyNumberFormat="1" applyFont="1" applyFill="1" applyBorder="1" applyAlignment="1">
      <alignment vertical="center" wrapText="1"/>
    </xf>
    <xf numFmtId="177" fontId="26" fillId="0" borderId="0" xfId="0" applyNumberFormat="1" applyFont="1">
      <alignment vertical="top"/>
    </xf>
    <xf numFmtId="0" fontId="22" fillId="8" borderId="0" xfId="21" applyNumberFormat="1" applyFont="1" applyFill="1"/>
    <xf numFmtId="0" fontId="22" fillId="8" borderId="0" xfId="21" applyNumberFormat="1" applyFont="1" applyFill="1" applyAlignment="1">
      <alignment horizontal="right"/>
    </xf>
    <xf numFmtId="0" fontId="22" fillId="8" borderId="0" xfId="21" applyFont="1" applyFill="1" applyAlignment="1">
      <alignment horizontal="right"/>
    </xf>
    <xf numFmtId="0" fontId="22" fillId="8" borderId="0" xfId="21" applyFont="1" applyFill="1"/>
    <xf numFmtId="168" fontId="35" fillId="8" borderId="0" xfId="0" applyFont="1" applyFill="1">
      <alignment vertical="top"/>
    </xf>
    <xf numFmtId="0" fontId="36" fillId="8" borderId="1" xfId="19" applyNumberFormat="1" applyFont="1" applyFill="1"/>
    <xf numFmtId="0" fontId="36" fillId="8" borderId="1" xfId="19" applyNumberFormat="1" applyFont="1" applyFill="1" applyAlignment="1">
      <alignment vertical="top"/>
    </xf>
    <xf numFmtId="168" fontId="36" fillId="8" borderId="1" xfId="19" applyNumberFormat="1" applyFont="1" applyFill="1" applyAlignment="1">
      <alignment vertical="top"/>
    </xf>
    <xf numFmtId="176" fontId="36" fillId="8" borderId="1" xfId="19" applyNumberFormat="1" applyFont="1" applyFill="1" applyAlignment="1">
      <alignment vertical="top"/>
    </xf>
    <xf numFmtId="168" fontId="36" fillId="8" borderId="12" xfId="19" applyNumberFormat="1" applyFont="1" applyFill="1" applyBorder="1" applyAlignment="1">
      <alignment vertical="top"/>
    </xf>
    <xf numFmtId="177" fontId="27" fillId="9" borderId="18" xfId="2" applyNumberFormat="1" applyFont="1" applyFill="1" applyBorder="1" applyAlignment="1" applyProtection="1">
      <alignment vertical="center" wrapText="1"/>
      <protection locked="0"/>
    </xf>
    <xf numFmtId="0" fontId="36" fillId="8" borderId="12" xfId="19" applyNumberFormat="1" applyFont="1" applyFill="1" applyBorder="1" applyAlignment="1">
      <alignment vertical="top"/>
    </xf>
    <xf numFmtId="164" fontId="26" fillId="9" borderId="20" xfId="2" applyNumberFormat="1" applyFont="1" applyFill="1" applyBorder="1" applyAlignment="1" applyProtection="1">
      <alignment vertical="center" wrapText="1"/>
      <protection locked="0"/>
    </xf>
    <xf numFmtId="164" fontId="26" fillId="9" borderId="18" xfId="2" applyNumberFormat="1" applyFont="1" applyFill="1" applyBorder="1" applyAlignment="1" applyProtection="1">
      <alignment vertical="center" wrapText="1"/>
      <protection locked="0"/>
    </xf>
    <xf numFmtId="164" fontId="26" fillId="9" borderId="21" xfId="2" applyNumberFormat="1" applyFont="1" applyFill="1" applyBorder="1" applyAlignment="1" applyProtection="1">
      <alignment vertical="center" wrapText="1"/>
      <protection locked="0"/>
    </xf>
    <xf numFmtId="169" fontId="26" fillId="9" borderId="18" xfId="3" applyFont="1" applyFill="1" applyBorder="1" applyProtection="1">
      <alignment vertical="top"/>
      <protection locked="0"/>
    </xf>
    <xf numFmtId="181" fontId="26" fillId="9" borderId="18" xfId="2" applyNumberFormat="1" applyFont="1" applyFill="1" applyBorder="1" applyAlignment="1" applyProtection="1">
      <alignment vertical="center" wrapText="1"/>
      <protection locked="0"/>
    </xf>
    <xf numFmtId="177" fontId="26" fillId="9" borderId="21" xfId="2" applyNumberFormat="1" applyFont="1" applyFill="1" applyBorder="1" applyAlignment="1" applyProtection="1">
      <alignment vertical="center" wrapText="1"/>
      <protection locked="0"/>
    </xf>
    <xf numFmtId="177" fontId="26" fillId="9" borderId="20" xfId="2" applyNumberFormat="1" applyFont="1" applyFill="1" applyBorder="1" applyAlignment="1" applyProtection="1">
      <alignment vertical="center" wrapText="1"/>
      <protection locked="0"/>
    </xf>
    <xf numFmtId="177" fontId="26" fillId="9" borderId="18" xfId="2" applyNumberFormat="1" applyFont="1" applyFill="1" applyBorder="1" applyAlignment="1" applyProtection="1">
      <alignment vertical="center" wrapText="1"/>
      <protection locked="0"/>
    </xf>
    <xf numFmtId="169" fontId="27" fillId="9" borderId="18" xfId="3" applyFont="1" applyFill="1" applyBorder="1" applyProtection="1">
      <alignment vertical="top"/>
      <protection locked="0"/>
    </xf>
    <xf numFmtId="168" fontId="29" fillId="0" borderId="0" xfId="0" applyFont="1">
      <alignment vertical="top"/>
    </xf>
    <xf numFmtId="168" fontId="23" fillId="5" borderId="3" xfId="46" applyNumberFormat="1" applyFont="1" applyAlignment="1">
      <alignment vertical="top"/>
    </xf>
    <xf numFmtId="164" fontId="33" fillId="0" borderId="18" xfId="2" applyNumberFormat="1" applyFont="1" applyFill="1" applyBorder="1" applyAlignment="1">
      <alignment vertical="center" wrapText="1"/>
    </xf>
    <xf numFmtId="177" fontId="26" fillId="6" borderId="0" xfId="0" applyNumberFormat="1" applyFont="1" applyFill="1" applyBorder="1">
      <alignment vertical="top"/>
    </xf>
    <xf numFmtId="168" fontId="26" fillId="0" borderId="19" xfId="0" applyFont="1" applyBorder="1">
      <alignment vertical="top"/>
    </xf>
    <xf numFmtId="177" fontId="26" fillId="6" borderId="19" xfId="0" applyNumberFormat="1" applyFont="1" applyFill="1" applyBorder="1">
      <alignment vertical="top"/>
    </xf>
    <xf numFmtId="177" fontId="33" fillId="0" borderId="20" xfId="2" applyNumberFormat="1" applyFont="1" applyFill="1" applyBorder="1"/>
    <xf numFmtId="177" fontId="33" fillId="0" borderId="18" xfId="2" applyNumberFormat="1" applyFont="1" applyFill="1" applyBorder="1"/>
    <xf numFmtId="168" fontId="26" fillId="0" borderId="8" xfId="0" applyFont="1" applyBorder="1">
      <alignment vertical="top"/>
    </xf>
    <xf numFmtId="177" fontId="26" fillId="6" borderId="8" xfId="0" applyNumberFormat="1" applyFont="1" applyFill="1" applyBorder="1">
      <alignment vertical="top"/>
    </xf>
    <xf numFmtId="177" fontId="33" fillId="0" borderId="21" xfId="2" applyNumberFormat="1" applyFont="1" applyFill="1" applyBorder="1"/>
    <xf numFmtId="15" fontId="29" fillId="0" borderId="19" xfId="24" applyNumberFormat="1" applyFont="1" applyFill="1" applyBorder="1" applyAlignment="1">
      <alignment horizontal="left" vertical="top"/>
    </xf>
    <xf numFmtId="15" fontId="29" fillId="0" borderId="0" xfId="24" applyNumberFormat="1" applyFont="1" applyBorder="1" applyAlignment="1">
      <alignment horizontal="left" vertical="top"/>
    </xf>
    <xf numFmtId="15" fontId="29" fillId="0" borderId="8" xfId="24" applyNumberFormat="1" applyFont="1" applyBorder="1" applyAlignment="1">
      <alignment horizontal="left" vertical="top"/>
    </xf>
    <xf numFmtId="169" fontId="27" fillId="0" borderId="20" xfId="3" applyFont="1" applyFill="1" applyBorder="1">
      <alignment vertical="top"/>
    </xf>
    <xf numFmtId="15" fontId="29" fillId="0" borderId="0" xfId="24" applyNumberFormat="1" applyFont="1" applyFill="1" applyBorder="1" applyAlignment="1">
      <alignment horizontal="left" vertical="top"/>
    </xf>
    <xf numFmtId="169" fontId="27" fillId="0" borderId="18" xfId="3" applyFont="1" applyFill="1" applyBorder="1">
      <alignment vertical="top"/>
    </xf>
    <xf numFmtId="15" fontId="29" fillId="0" borderId="8" xfId="24" applyNumberFormat="1" applyFont="1" applyFill="1" applyBorder="1" applyAlignment="1">
      <alignment horizontal="left" vertical="top"/>
    </xf>
    <xf numFmtId="169" fontId="27" fillId="0" borderId="21" xfId="3" applyFont="1" applyFill="1" applyBorder="1">
      <alignment vertical="top"/>
    </xf>
    <xf numFmtId="183" fontId="27" fillId="0" borderId="17" xfId="2" applyNumberFormat="1" applyFont="1" applyFill="1" applyBorder="1"/>
    <xf numFmtId="166" fontId="26" fillId="0" borderId="18" xfId="2" applyNumberFormat="1" applyFont="1" applyFill="1" applyBorder="1" applyAlignment="1">
      <alignment vertical="center" wrapText="1"/>
    </xf>
    <xf numFmtId="183" fontId="27" fillId="0" borderId="5" xfId="2" applyNumberFormat="1" applyFont="1" applyFill="1" applyBorder="1"/>
    <xf numFmtId="183" fontId="27" fillId="0" borderId="18" xfId="2" applyNumberFormat="1" applyFont="1" applyFill="1" applyBorder="1"/>
    <xf numFmtId="166" fontId="26" fillId="0" borderId="21" xfId="2" applyNumberFormat="1" applyFont="1" applyFill="1" applyBorder="1" applyAlignment="1">
      <alignment vertical="center" wrapText="1"/>
    </xf>
    <xf numFmtId="183" fontId="27" fillId="0" borderId="21" xfId="2" applyNumberFormat="1" applyFont="1" applyFill="1" applyBorder="1"/>
    <xf numFmtId="177" fontId="27" fillId="0" borderId="17" xfId="2" applyNumberFormat="1" applyFont="1" applyFill="1" applyBorder="1"/>
    <xf numFmtId="177" fontId="27" fillId="0" borderId="5" xfId="2" applyNumberFormat="1" applyFont="1" applyFill="1" applyBorder="1"/>
    <xf numFmtId="177" fontId="27" fillId="0" borderId="18" xfId="2" applyNumberFormat="1" applyFont="1" applyFill="1" applyBorder="1"/>
    <xf numFmtId="177" fontId="27" fillId="0" borderId="22" xfId="2" applyNumberFormat="1" applyFont="1" applyFill="1" applyBorder="1"/>
    <xf numFmtId="177" fontId="27" fillId="0" borderId="21" xfId="2" applyNumberFormat="1" applyFont="1" applyFill="1" applyBorder="1"/>
    <xf numFmtId="164" fontId="27" fillId="0" borderId="18" xfId="2" applyNumberFormat="1" applyFont="1" applyFill="1" applyBorder="1" applyAlignment="1">
      <alignment vertical="center" wrapText="1"/>
    </xf>
    <xf numFmtId="182" fontId="26" fillId="0" borderId="0" xfId="0" applyNumberFormat="1" applyFont="1">
      <alignment vertical="top"/>
    </xf>
    <xf numFmtId="164" fontId="34" fillId="0" borderId="18" xfId="2" applyNumberFormat="1" applyFont="1" applyFill="1" applyBorder="1" applyAlignment="1">
      <alignment vertical="center" wrapText="1"/>
    </xf>
    <xf numFmtId="169" fontId="26" fillId="0" borderId="0" xfId="3" applyFont="1">
      <alignment vertical="top"/>
    </xf>
    <xf numFmtId="166" fontId="27" fillId="0" borderId="18" xfId="2" applyNumberFormat="1" applyFont="1" applyFill="1" applyBorder="1" applyAlignment="1">
      <alignment vertical="center" wrapText="1"/>
    </xf>
    <xf numFmtId="169" fontId="27" fillId="0" borderId="23" xfId="3" applyFont="1" applyFill="1" applyBorder="1">
      <alignment vertical="top"/>
    </xf>
    <xf numFmtId="166" fontId="27" fillId="0" borderId="17" xfId="2" applyNumberFormat="1" applyFont="1" applyFill="1" applyBorder="1" applyAlignment="1">
      <alignment vertical="center" wrapText="1"/>
    </xf>
    <xf numFmtId="184" fontId="26" fillId="0" borderId="0" xfId="0" applyNumberFormat="1" applyFont="1">
      <alignment vertical="top"/>
    </xf>
    <xf numFmtId="0" fontId="36" fillId="8" borderId="3" xfId="46" applyNumberFormat="1" applyFont="1" applyFill="1"/>
    <xf numFmtId="0" fontId="36" fillId="8" borderId="3" xfId="46" applyNumberFormat="1" applyFont="1" applyFill="1" applyAlignment="1">
      <alignment vertical="top"/>
    </xf>
    <xf numFmtId="168" fontId="36" fillId="8" borderId="3" xfId="46" applyNumberFormat="1" applyFont="1" applyFill="1" applyAlignment="1">
      <alignment vertical="top"/>
    </xf>
    <xf numFmtId="166" fontId="26" fillId="9" borderId="20" xfId="2" applyNumberFormat="1" applyFont="1" applyFill="1" applyBorder="1" applyAlignment="1" applyProtection="1">
      <alignment vertical="center" wrapText="1"/>
    </xf>
    <xf numFmtId="166" fontId="26" fillId="9" borderId="18" xfId="2" applyNumberFormat="1" applyFont="1" applyFill="1" applyBorder="1" applyAlignment="1" applyProtection="1">
      <alignment vertical="center" wrapText="1"/>
    </xf>
    <xf numFmtId="177" fontId="37" fillId="0" borderId="20" xfId="2" applyNumberFormat="1" applyFont="1" applyFill="1" applyBorder="1"/>
    <xf numFmtId="177" fontId="37" fillId="0" borderId="18" xfId="2" applyNumberFormat="1" applyFont="1" applyFill="1" applyBorder="1"/>
    <xf numFmtId="177" fontId="37" fillId="0" borderId="21" xfId="2" applyNumberFormat="1" applyFont="1" applyFill="1" applyBorder="1"/>
    <xf numFmtId="169" fontId="37" fillId="0" borderId="18" xfId="3" applyFont="1" applyFill="1" applyBorder="1">
      <alignment vertical="top"/>
    </xf>
    <xf numFmtId="180" fontId="37" fillId="0" borderId="18" xfId="2" applyNumberFormat="1" applyFont="1" applyFill="1" applyBorder="1" applyAlignment="1">
      <alignment vertical="center" wrapText="1"/>
    </xf>
    <xf numFmtId="168" fontId="29" fillId="0" borderId="0" xfId="24" applyNumberFormat="1" applyFont="1">
      <alignment vertical="top"/>
    </xf>
    <xf numFmtId="172" fontId="29" fillId="0" borderId="0" xfId="24" applyFont="1">
      <alignment vertical="top"/>
    </xf>
    <xf numFmtId="177" fontId="27" fillId="0" borderId="18" xfId="2" applyNumberFormat="1" applyFont="1" applyFill="1" applyBorder="1" applyAlignment="1">
      <alignment vertical="center" wrapText="1"/>
    </xf>
    <xf numFmtId="177" fontId="26" fillId="6" borderId="9" xfId="0" applyNumberFormat="1" applyFont="1" applyFill="1" applyBorder="1">
      <alignment vertical="top"/>
    </xf>
    <xf numFmtId="177" fontId="27" fillId="0" borderId="21" xfId="2" applyNumberFormat="1" applyFont="1" applyFill="1" applyBorder="1" applyAlignment="1">
      <alignment vertical="center" wrapText="1"/>
    </xf>
    <xf numFmtId="0" fontId="26" fillId="0" borderId="12" xfId="0" applyNumberFormat="1" applyFont="1" applyBorder="1">
      <alignment vertical="top"/>
    </xf>
    <xf numFmtId="168" fontId="26" fillId="0" borderId="12" xfId="0" applyFont="1" applyBorder="1">
      <alignment vertical="top"/>
    </xf>
    <xf numFmtId="177" fontId="26" fillId="0" borderId="17" xfId="2" applyNumberFormat="1" applyFont="1" applyFill="1" applyBorder="1" applyAlignment="1">
      <alignment vertical="center" wrapText="1"/>
    </xf>
    <xf numFmtId="177" fontId="26" fillId="0" borderId="0" xfId="2" applyNumberFormat="1" applyFont="1" applyFill="1" applyBorder="1" applyAlignment="1">
      <alignment vertical="center" wrapText="1"/>
    </xf>
    <xf numFmtId="166" fontId="26" fillId="0" borderId="0" xfId="2" applyNumberFormat="1" applyFont="1" applyFill="1" applyBorder="1" applyAlignment="1">
      <alignment vertical="center" wrapText="1"/>
    </xf>
    <xf numFmtId="177" fontId="33" fillId="0" borderId="18" xfId="2" applyNumberFormat="1" applyFont="1" applyFill="1" applyBorder="1" applyAlignment="1">
      <alignment vertical="center" wrapText="1"/>
    </xf>
    <xf numFmtId="15" fontId="29" fillId="0" borderId="4" xfId="24" applyNumberFormat="1" applyFont="1" applyBorder="1" applyAlignment="1">
      <alignment horizontal="left" vertical="top"/>
    </xf>
    <xf numFmtId="0" fontId="26" fillId="0" borderId="4" xfId="0" applyNumberFormat="1" applyFont="1" applyBorder="1">
      <alignment vertical="top"/>
    </xf>
    <xf numFmtId="177" fontId="26" fillId="0" borderId="20" xfId="2" applyNumberFormat="1" applyFont="1" applyFill="1" applyBorder="1"/>
    <xf numFmtId="168" fontId="26" fillId="0" borderId="4" xfId="0" applyFont="1" applyBorder="1">
      <alignment vertical="top"/>
    </xf>
    <xf numFmtId="177" fontId="26" fillId="6" borderId="4" xfId="0" applyNumberFormat="1" applyFont="1" applyFill="1" applyBorder="1">
      <alignment vertical="top"/>
    </xf>
    <xf numFmtId="177" fontId="26" fillId="0" borderId="7" xfId="2" applyNumberFormat="1" applyFont="1" applyFill="1" applyBorder="1" applyAlignment="1">
      <alignment vertical="center" wrapText="1"/>
    </xf>
    <xf numFmtId="177" fontId="26" fillId="0" borderId="11" xfId="2" applyNumberFormat="1" applyFont="1" applyFill="1" applyBorder="1" applyAlignment="1">
      <alignment vertical="center" wrapText="1"/>
    </xf>
    <xf numFmtId="177" fontId="26" fillId="0" borderId="20" xfId="2" applyNumberFormat="1" applyFont="1" applyFill="1" applyBorder="1" applyAlignment="1">
      <alignment vertical="center" wrapText="1"/>
    </xf>
    <xf numFmtId="177" fontId="26" fillId="0" borderId="18" xfId="2" applyNumberFormat="1" applyFont="1" applyFill="1" applyBorder="1"/>
    <xf numFmtId="177" fontId="26" fillId="0" borderId="13" xfId="2" applyNumberFormat="1" applyFont="1" applyFill="1" applyBorder="1" applyAlignment="1">
      <alignment vertical="center" wrapText="1"/>
    </xf>
    <xf numFmtId="177" fontId="26" fillId="0" borderId="10" xfId="2" applyNumberFormat="1" applyFont="1" applyFill="1" applyBorder="1" applyAlignment="1">
      <alignment vertical="center" wrapText="1"/>
    </xf>
    <xf numFmtId="177" fontId="26" fillId="0" borderId="18" xfId="2" applyNumberFormat="1" applyFont="1" applyFill="1" applyBorder="1" applyAlignment="1">
      <alignment vertical="center" wrapText="1"/>
    </xf>
    <xf numFmtId="177" fontId="26" fillId="0" borderId="14" xfId="2" applyNumberFormat="1" applyFont="1" applyFill="1" applyBorder="1"/>
    <xf numFmtId="0" fontId="29" fillId="0" borderId="12" xfId="24" applyNumberFormat="1" applyFont="1" applyBorder="1" applyAlignment="1">
      <alignment horizontal="left" vertical="top"/>
    </xf>
    <xf numFmtId="166" fontId="26" fillId="0" borderId="12" xfId="2" applyNumberFormat="1" applyFont="1" applyFill="1" applyBorder="1"/>
    <xf numFmtId="177" fontId="26" fillId="6" borderId="12" xfId="0" applyNumberFormat="1" applyFont="1" applyFill="1" applyBorder="1">
      <alignment vertical="top"/>
    </xf>
    <xf numFmtId="174" fontId="29" fillId="0" borderId="0" xfId="24" applyNumberFormat="1" applyFont="1" applyBorder="1" applyAlignment="1">
      <alignment horizontal="left" vertical="top"/>
    </xf>
    <xf numFmtId="180" fontId="27" fillId="0" borderId="18" xfId="3" applyNumberFormat="1" applyFont="1" applyFill="1" applyBorder="1">
      <alignment vertical="top"/>
    </xf>
    <xf numFmtId="169" fontId="26" fillId="0" borderId="18" xfId="3" applyFont="1" applyFill="1" applyBorder="1">
      <alignment vertical="top"/>
    </xf>
    <xf numFmtId="177" fontId="26" fillId="0" borderId="21" xfId="2" applyNumberFormat="1" applyFont="1" applyFill="1" applyBorder="1" applyAlignment="1">
      <alignment vertical="center" wrapText="1"/>
    </xf>
    <xf numFmtId="177" fontId="34" fillId="0" borderId="18" xfId="2" applyNumberFormat="1" applyFont="1" applyFill="1" applyBorder="1" applyAlignment="1">
      <alignment vertical="center" wrapText="1"/>
    </xf>
    <xf numFmtId="0" fontId="29" fillId="0" borderId="0" xfId="24" applyNumberFormat="1" applyFont="1" applyFill="1" applyBorder="1" applyAlignment="1">
      <alignment horizontal="left" vertical="top"/>
    </xf>
    <xf numFmtId="0" fontId="29" fillId="0" borderId="19" xfId="24" applyNumberFormat="1" applyFont="1" applyBorder="1" applyAlignment="1">
      <alignment horizontal="left" vertical="top"/>
    </xf>
    <xf numFmtId="0" fontId="29" fillId="0" borderId="0" xfId="24" applyNumberFormat="1" applyFont="1" applyBorder="1" applyAlignment="1">
      <alignment horizontal="left" vertical="top"/>
    </xf>
    <xf numFmtId="177" fontId="26" fillId="0" borderId="23" xfId="2" applyNumberFormat="1" applyFont="1" applyFill="1" applyBorder="1" applyAlignment="1">
      <alignment vertical="center" wrapText="1"/>
    </xf>
    <xf numFmtId="177" fontId="27" fillId="0" borderId="17" xfId="2" applyNumberFormat="1" applyFont="1" applyFill="1" applyBorder="1" applyAlignment="1">
      <alignment vertical="center" wrapText="1"/>
    </xf>
    <xf numFmtId="177" fontId="26" fillId="6" borderId="15" xfId="0" applyNumberFormat="1" applyFont="1" applyFill="1" applyBorder="1">
      <alignment vertical="top"/>
    </xf>
    <xf numFmtId="169" fontId="33" fillId="0" borderId="18" xfId="3" applyFont="1" applyFill="1" applyBorder="1">
      <alignment vertical="top"/>
    </xf>
    <xf numFmtId="0" fontId="28" fillId="0" borderId="0" xfId="3" applyNumberFormat="1" applyFont="1" applyFill="1" applyBorder="1">
      <alignment vertical="top"/>
    </xf>
    <xf numFmtId="169" fontId="33" fillId="0" borderId="0" xfId="3" applyFont="1" applyFill="1" applyBorder="1">
      <alignment vertical="top"/>
    </xf>
    <xf numFmtId="0" fontId="26" fillId="0" borderId="19" xfId="3" applyNumberFormat="1" applyFont="1" applyFill="1" applyBorder="1">
      <alignment vertical="top"/>
    </xf>
    <xf numFmtId="169" fontId="26" fillId="0" borderId="20" xfId="3" applyFont="1" applyFill="1" applyBorder="1">
      <alignment vertical="top"/>
    </xf>
    <xf numFmtId="0" fontId="26" fillId="0" borderId="8" xfId="3" applyNumberFormat="1" applyFont="1" applyFill="1" applyBorder="1">
      <alignment vertical="top"/>
    </xf>
    <xf numFmtId="169" fontId="26" fillId="0" borderId="21" xfId="3" applyFont="1" applyFill="1" applyBorder="1">
      <alignment vertical="top"/>
    </xf>
    <xf numFmtId="179" fontId="26" fillId="0" borderId="18" xfId="2" applyNumberFormat="1" applyFont="1" applyFill="1" applyBorder="1" applyAlignment="1">
      <alignment vertical="center" wrapText="1"/>
    </xf>
    <xf numFmtId="176" fontId="26" fillId="0" borderId="0" xfId="0" applyNumberFormat="1" applyFont="1">
      <alignment vertical="top"/>
    </xf>
    <xf numFmtId="164" fontId="37" fillId="0" borderId="18" xfId="2" applyNumberFormat="1" applyFont="1" applyFill="1" applyBorder="1"/>
    <xf numFmtId="177" fontId="37" fillId="0" borderId="20" xfId="2" applyNumberFormat="1" applyFont="1" applyFill="1" applyBorder="1" applyAlignment="1">
      <alignment vertical="center" wrapText="1"/>
    </xf>
    <xf numFmtId="177" fontId="37" fillId="0" borderId="18" xfId="2" applyNumberFormat="1" applyFont="1" applyFill="1" applyBorder="1" applyAlignment="1">
      <alignment vertical="center" wrapText="1"/>
    </xf>
    <xf numFmtId="168" fontId="36" fillId="8" borderId="3" xfId="19" applyNumberFormat="1" applyFont="1" applyFill="1" applyBorder="1" applyAlignment="1">
      <alignment vertical="top"/>
    </xf>
    <xf numFmtId="179" fontId="37" fillId="0" borderId="18" xfId="2" applyNumberFormat="1" applyFont="1" applyFill="1" applyBorder="1" applyAlignment="1">
      <alignment vertical="center" wrapText="1"/>
    </xf>
    <xf numFmtId="180" fontId="37" fillId="0" borderId="18" xfId="3" applyNumberFormat="1" applyFont="1" applyFill="1" applyBorder="1">
      <alignment vertical="top"/>
    </xf>
    <xf numFmtId="0" fontId="26" fillId="0" borderId="0" xfId="0" applyNumberFormat="1" applyFont="1" applyAlignment="1">
      <alignment vertical="top" wrapText="1"/>
    </xf>
    <xf numFmtId="168" fontId="26" fillId="6" borderId="4" xfId="0" applyFont="1" applyFill="1" applyBorder="1">
      <alignment vertical="top"/>
    </xf>
    <xf numFmtId="177" fontId="27" fillId="0" borderId="20" xfId="2" applyNumberFormat="1" applyFont="1" applyFill="1" applyBorder="1" applyAlignment="1">
      <alignment vertical="center" wrapText="1"/>
    </xf>
    <xf numFmtId="168" fontId="26" fillId="6" borderId="8" xfId="0" applyFont="1" applyFill="1" applyBorder="1">
      <alignment vertical="top"/>
    </xf>
    <xf numFmtId="177" fontId="34" fillId="0" borderId="17" xfId="2" applyNumberFormat="1" applyFont="1" applyFill="1" applyBorder="1" applyAlignment="1">
      <alignment vertical="center" wrapText="1"/>
    </xf>
    <xf numFmtId="166" fontId="34" fillId="0" borderId="18" xfId="2" applyNumberFormat="1" applyFont="1" applyFill="1" applyBorder="1" applyAlignment="1">
      <alignment vertical="center"/>
    </xf>
    <xf numFmtId="0" fontId="38" fillId="8" borderId="0" xfId="21" applyNumberFormat="1" applyFont="1" applyFill="1"/>
    <xf numFmtId="0" fontId="39" fillId="8" borderId="0" xfId="21" applyFont="1" applyFill="1"/>
    <xf numFmtId="0" fontId="38" fillId="8" borderId="12" xfId="19" applyNumberFormat="1" applyFont="1" applyFill="1" applyBorder="1" applyAlignment="1">
      <alignment vertical="top"/>
    </xf>
    <xf numFmtId="177" fontId="36" fillId="8" borderId="12" xfId="19" applyNumberFormat="1" applyFont="1" applyFill="1" applyBorder="1" applyAlignment="1">
      <alignment vertical="top"/>
    </xf>
    <xf numFmtId="164" fontId="37" fillId="0" borderId="18" xfId="2" applyNumberFormat="1" applyFont="1" applyFill="1" applyBorder="1" applyAlignment="1">
      <alignment vertical="center" wrapText="1"/>
    </xf>
    <xf numFmtId="0" fontId="36" fillId="8" borderId="1" xfId="19" applyNumberFormat="1" applyFont="1" applyFill="1" applyAlignment="1"/>
    <xf numFmtId="177" fontId="37" fillId="0" borderId="23" xfId="2" applyNumberFormat="1" applyFont="1" applyFill="1" applyBorder="1" applyAlignment="1">
      <alignment vertical="center" wrapText="1"/>
    </xf>
    <xf numFmtId="168" fontId="26" fillId="6" borderId="0" xfId="0" applyFont="1" applyFill="1">
      <alignment vertical="top"/>
    </xf>
    <xf numFmtId="0" fontId="22" fillId="8" borderId="0" xfId="21" applyNumberFormat="1" applyFont="1" applyFill="1" applyAlignment="1"/>
    <xf numFmtId="165" fontId="27" fillId="0" borderId="18" xfId="2" applyFont="1" applyBorder="1"/>
    <xf numFmtId="165" fontId="27" fillId="0" borderId="0" xfId="2" applyFont="1"/>
    <xf numFmtId="165" fontId="27" fillId="0" borderId="15" xfId="2" quotePrefix="1" applyFont="1" applyFill="1" applyBorder="1"/>
    <xf numFmtId="165" fontId="27" fillId="0" borderId="0" xfId="2" applyFont="1" applyBorder="1"/>
    <xf numFmtId="165" fontId="27" fillId="0" borderId="0" xfId="2" quotePrefix="1" applyFont="1" applyFill="1" applyBorder="1"/>
    <xf numFmtId="166" fontId="7" fillId="0" borderId="0" xfId="2" applyNumberFormat="1" applyFont="1" applyAlignment="1"/>
    <xf numFmtId="166" fontId="26" fillId="0" borderId="0" xfId="2" applyNumberFormat="1" applyFont="1" applyAlignment="1"/>
    <xf numFmtId="0" fontId="3" fillId="0" borderId="0" xfId="1" applyFont="1" applyAlignment="1">
      <alignment horizontal="right"/>
    </xf>
    <xf numFmtId="166" fontId="26" fillId="0" borderId="0" xfId="2" applyNumberFormat="1" applyFont="1" applyAlignment="1">
      <alignment horizontal="right"/>
    </xf>
    <xf numFmtId="165" fontId="27" fillId="0" borderId="18" xfId="2" applyFont="1" applyFill="1" applyBorder="1"/>
    <xf numFmtId="166" fontId="33" fillId="0" borderId="18" xfId="2" applyNumberFormat="1" applyFont="1" applyFill="1" applyBorder="1" applyAlignment="1">
      <alignment vertical="center" wrapText="1"/>
    </xf>
    <xf numFmtId="165" fontId="3" fillId="0" borderId="0" xfId="2" applyFont="1"/>
    <xf numFmtId="165" fontId="32" fillId="0" borderId="6" xfId="2" applyFont="1" applyBorder="1"/>
    <xf numFmtId="1" fontId="40" fillId="0" borderId="6" xfId="2" applyNumberFormat="1" applyFont="1" applyBorder="1" applyAlignment="1">
      <alignment horizontal="right"/>
    </xf>
    <xf numFmtId="0" fontId="36" fillId="8" borderId="1" xfId="19" applyFont="1" applyFill="1"/>
    <xf numFmtId="166" fontId="36" fillId="8" borderId="1" xfId="19" applyNumberFormat="1" applyFont="1" applyFill="1"/>
    <xf numFmtId="165" fontId="27" fillId="9" borderId="15" xfId="2" quotePrefix="1" applyFont="1" applyFill="1" applyBorder="1" applyProtection="1">
      <protection locked="0"/>
    </xf>
    <xf numFmtId="165" fontId="27" fillId="9" borderId="18" xfId="2" quotePrefix="1" applyFont="1" applyFill="1" applyBorder="1" applyProtection="1">
      <protection locked="0"/>
    </xf>
    <xf numFmtId="180" fontId="26" fillId="9" borderId="16" xfId="0" applyNumberFormat="1" applyFont="1" applyFill="1" applyBorder="1" applyAlignment="1" applyProtection="1">
      <alignment horizontal="left" vertical="top"/>
      <protection locked="0"/>
    </xf>
    <xf numFmtId="167" fontId="26" fillId="9" borderId="18" xfId="2" applyNumberFormat="1" applyFont="1" applyFill="1" applyBorder="1" applyAlignment="1" applyProtection="1">
      <alignment horizontal="right"/>
      <protection locked="0"/>
    </xf>
    <xf numFmtId="168" fontId="26" fillId="0" borderId="0" xfId="0" applyFont="1" applyFill="1">
      <alignment vertical="top"/>
    </xf>
    <xf numFmtId="168" fontId="27" fillId="0" borderId="0" xfId="0" applyFont="1" applyFill="1">
      <alignment vertical="top"/>
    </xf>
    <xf numFmtId="168" fontId="26" fillId="0" borderId="0" xfId="0" applyFont="1" applyFill="1" applyAlignment="1">
      <alignment horizontal="right"/>
    </xf>
    <xf numFmtId="0" fontId="32" fillId="10" borderId="24" xfId="2" applyNumberFormat="1" applyFont="1" applyFill="1" applyBorder="1"/>
    <xf numFmtId="0" fontId="32" fillId="10" borderId="5" xfId="2" applyNumberFormat="1" applyFont="1" applyFill="1" applyBorder="1"/>
    <xf numFmtId="0" fontId="32" fillId="10" borderId="25" xfId="2" applyNumberFormat="1" applyFont="1" applyFill="1" applyBorder="1"/>
    <xf numFmtId="0" fontId="27" fillId="9" borderId="10" xfId="2" applyNumberFormat="1" applyFont="1" applyFill="1" applyBorder="1" applyAlignment="1" applyProtection="1">
      <alignment horizontal="left" vertical="top" wrapText="1"/>
      <protection locked="0"/>
    </xf>
    <xf numFmtId="0" fontId="27" fillId="9" borderId="18" xfId="2" applyNumberFormat="1" applyFont="1" applyFill="1" applyBorder="1" applyAlignment="1" applyProtection="1">
      <alignment horizontal="left" vertical="top" wrapText="1"/>
      <protection locked="0"/>
    </xf>
    <xf numFmtId="0" fontId="27" fillId="9" borderId="18" xfId="2" applyNumberFormat="1" applyFont="1" applyFill="1" applyBorder="1" applyAlignment="1" applyProtection="1">
      <alignment vertical="top" wrapText="1"/>
      <protection locked="0"/>
    </xf>
    <xf numFmtId="0" fontId="27" fillId="9" borderId="15" xfId="2" applyNumberFormat="1" applyFont="1" applyFill="1" applyBorder="1" applyAlignment="1" applyProtection="1">
      <alignment vertical="top" wrapText="1"/>
      <protection locked="0"/>
    </xf>
    <xf numFmtId="180" fontId="26" fillId="9" borderId="18" xfId="2" applyNumberFormat="1" applyFont="1" applyFill="1" applyBorder="1" applyAlignment="1" applyProtection="1">
      <alignment vertical="center" wrapText="1"/>
      <protection locked="0"/>
    </xf>
    <xf numFmtId="166" fontId="26" fillId="9" borderId="18" xfId="2" applyNumberFormat="1" applyFont="1" applyFill="1" applyBorder="1" applyAlignment="1" applyProtection="1">
      <alignment vertical="center" wrapText="1"/>
      <protection locked="0"/>
    </xf>
    <xf numFmtId="0" fontId="41" fillId="0" borderId="0" xfId="33" applyNumberFormat="1" applyFont="1" applyAlignment="1">
      <alignment vertical="top"/>
    </xf>
    <xf numFmtId="0" fontId="41" fillId="0" borderId="0" xfId="33" applyNumberFormat="1" applyFont="1" applyFill="1" applyAlignment="1">
      <alignment vertical="top"/>
    </xf>
  </cellXfs>
  <cellStyles count="47">
    <cellStyle name="Comma 2" xfId="2" xr:uid="{00000000-0005-0000-0000-000001000000}"/>
    <cellStyle name="Comma 3" xfId="10" xr:uid="{00000000-0005-0000-0000-000002000000}"/>
    <cellStyle name="Comma 3 2" xfId="12" xr:uid="{EC534825-1261-48B0-B68C-A8568DF10B6C}"/>
    <cellStyle name="Comma 3 2 2" xfId="13" xr:uid="{F56E8473-3C3A-46AC-85DA-F9DB207E007F}"/>
    <cellStyle name="Comma 3 2 2 2" xfId="17" xr:uid="{46D7E2A9-EB9B-404B-9236-E3481A369A28}"/>
    <cellStyle name="Comma 3 2 2 2 2" xfId="42" xr:uid="{54DCE788-6827-4D58-96EC-3CCCD5E7A674}"/>
    <cellStyle name="Comma 3 2 2 3" xfId="38" xr:uid="{C42C8C12-9ABC-43F0-961E-B380B4C0E8FB}"/>
    <cellStyle name="Comma 3 2 3" xfId="16" xr:uid="{697E5D76-A896-40B1-92D9-DDD5D7CE3154}"/>
    <cellStyle name="Comma 3 2 3 2" xfId="41" xr:uid="{F10AA41F-C1B2-41EC-B136-7E7AE9E18944}"/>
    <cellStyle name="Comma 3 2 4" xfId="37" xr:uid="{96953ABF-CCE9-4141-A881-18BAED528A06}"/>
    <cellStyle name="Comma 4" xfId="11" xr:uid="{FA00E36C-2C36-46CF-AAE1-E61F919750FD}"/>
    <cellStyle name="Comma 4 2" xfId="15" xr:uid="{493C016D-F165-4924-8CF4-A238D5ABDACF}"/>
    <cellStyle name="Comma 4 2 2" xfId="40" xr:uid="{1B941AD1-BDCD-4294-AA22-F9796BB6ABDC}"/>
    <cellStyle name="Comma 4 3" xfId="36" xr:uid="{E0FD28E5-070C-46AF-A4ED-24F40F0E7CAC}"/>
    <cellStyle name="Comma 5" xfId="14" xr:uid="{96C77152-239C-406D-AC38-35427D1BE807}"/>
    <cellStyle name="Comma 5 2" xfId="39" xr:uid="{23343DD3-4D2D-44FD-A112-A991CB3EF724}"/>
    <cellStyle name="Currency 2" xfId="18" xr:uid="{AC19DBFF-C0D3-449B-ABCA-3FF888C2F63A}"/>
    <cellStyle name="Currency 2 2" xfId="43" xr:uid="{EA430E6F-41AA-48E5-B104-07800C781123}"/>
    <cellStyle name="DateLong" xfId="23" xr:uid="{E1E0E932-59E5-4D59-AC02-68671434438C}"/>
    <cellStyle name="DateShort" xfId="24" xr:uid="{DD2778FA-47C6-42B4-9109-4E4C2537E6D5}"/>
    <cellStyle name="Explanatory Text" xfId="33" builtinId="53"/>
    <cellStyle name="Factor" xfId="22" xr:uid="{717E8BC6-880C-4525-A03F-729EC97D463A}"/>
    <cellStyle name="Hyperlink" xfId="6" builtinId="8"/>
    <cellStyle name="Hyperlink 3" xfId="31" xr:uid="{0E8AF4F9-5E13-4AE2-ACDE-D6D582FFC830}"/>
    <cellStyle name="Level 1" xfId="35" xr:uid="{E7859E58-1DC1-4946-AFF6-6D6872076D73}"/>
    <cellStyle name="Normal" xfId="0" builtinId="0" customBuiltin="1"/>
    <cellStyle name="Normal 13 2" xfId="34" xr:uid="{EAF33639-6605-49B7-B84D-214740E87E56}"/>
    <cellStyle name="Normal 137" xfId="27" xr:uid="{77ACD484-5DAF-455A-A7A2-2A5F10CCF4E0}"/>
    <cellStyle name="Normal 14" xfId="5" xr:uid="{00000000-0005-0000-0000-000005000000}"/>
    <cellStyle name="Normal 2" xfId="1" xr:uid="{00000000-0005-0000-0000-000006000000}"/>
    <cellStyle name="Normal 2 2" xfId="4" xr:uid="{00000000-0005-0000-0000-000007000000}"/>
    <cellStyle name="Normal 2 28" xfId="45" xr:uid="{AD60D29C-D52C-4D3B-A0EE-921D90185388}"/>
    <cellStyle name="Normal 3" xfId="26" xr:uid="{B39C6583-FDAF-4F59-908E-021D13260075}"/>
    <cellStyle name="Normal 4" xfId="32" xr:uid="{E62456F1-52CD-41C7-B7A6-E907BE71CF9B}"/>
    <cellStyle name="Normal 4 2 5" xfId="29" xr:uid="{2E3A6226-4B74-4FCD-86F7-7480B5753640}"/>
    <cellStyle name="Normal 4 35" xfId="28" xr:uid="{8F0F3B98-6107-44FB-B970-1DC0374CF0FD}"/>
    <cellStyle name="Normal 5" xfId="8" xr:uid="{00000000-0005-0000-0000-000008000000}"/>
    <cellStyle name="Normal 8 5" xfId="30" xr:uid="{21355435-DA59-42F7-88CC-8598CC5E61ED}"/>
    <cellStyle name="Percent" xfId="3" builtinId="5" customBuiltin="1"/>
    <cellStyle name="Percent 2" xfId="9" xr:uid="{00000000-0005-0000-0000-00000A000000}"/>
    <cellStyle name="Section Title" xfId="7" xr:uid="{00000000-0005-0000-0000-00000B000000}"/>
    <cellStyle name="SectionHead" xfId="19" xr:uid="{A67F7724-A184-4720-BDF4-9FCE5F98E54E}"/>
    <cellStyle name="SectionHead 2" xfId="44" xr:uid="{28C6D2FB-29F5-4D8B-BC88-BEC49F85E9C1}"/>
    <cellStyle name="SectionHead 3" xfId="46" xr:uid="{21CFC51C-83D7-41BA-B734-AAF3A737B966}"/>
    <cellStyle name="SheetHead" xfId="21" xr:uid="{45149B49-4E80-40F1-AC52-0DAF8DB89DF7}"/>
    <cellStyle name="SubHead" xfId="20" xr:uid="{3399767E-2373-4633-8D30-9BB538D79503}"/>
    <cellStyle name="Year" xfId="25" xr:uid="{22249951-3F6D-4770-AF88-394FED0D42E9}"/>
  </cellStyles>
  <dxfs count="24">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general" vertical="top" textRotation="0" wrapText="1" indent="0" justifyLastLine="0" shrinkToFit="0" readingOrder="0"/>
      <border diagonalUp="0" diagonalDown="0" outline="0">
        <left style="thin">
          <color indexed="22"/>
        </left>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general"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8" tint="0.59999389629810485"/>
        </patternFill>
      </fill>
      <alignment horizontal="left" vertical="top" textRotation="0" wrapText="1" indent="0" justifyLastLine="0" shrinkToFit="0" readingOrder="0"/>
      <border diagonalUp="0" diagonalDown="0" outline="0">
        <left/>
        <right style="thin">
          <color indexed="22"/>
        </right>
        <top style="thin">
          <color indexed="22"/>
        </top>
        <bottom style="thin">
          <color indexed="22"/>
        </bottom>
      </border>
      <protection locked="0" hidden="0"/>
    </dxf>
    <dxf>
      <border outline="0">
        <top style="thin">
          <color indexed="22"/>
        </top>
      </border>
    </dxf>
    <dxf>
      <border outline="0">
        <left style="thin">
          <color indexed="22"/>
        </left>
        <right style="thin">
          <color indexed="22"/>
        </right>
        <top style="thin">
          <color indexed="22"/>
        </top>
        <bottom style="thin">
          <color indexed="22"/>
        </bottom>
      </border>
    </dxf>
    <dxf>
      <font>
        <strike val="0"/>
        <outline val="0"/>
        <shadow val="0"/>
        <u val="none"/>
        <vertAlign val="baseline"/>
        <name val="Arial"/>
        <family val="2"/>
        <scheme val="none"/>
      </font>
      <numFmt numFmtId="0" formatCode="General"/>
      <fill>
        <patternFill patternType="solid">
          <fgColor indexed="64"/>
          <bgColor theme="8" tint="0.59999389629810485"/>
        </patternFill>
      </fill>
      <protection locked="0" hidden="0"/>
    </dxf>
    <dxf>
      <border outline="0">
        <bottom style="thin">
          <color indexed="22"/>
        </bottom>
      </border>
    </dxf>
    <dxf>
      <font>
        <b/>
        <i val="0"/>
        <strike val="0"/>
        <condense val="0"/>
        <extend val="0"/>
        <outline val="0"/>
        <shadow val="0"/>
        <u val="none"/>
        <vertAlign val="baseline"/>
        <sz val="11"/>
        <color auto="1"/>
        <name val="Arial"/>
        <family val="2"/>
        <scheme val="none"/>
      </font>
      <numFmt numFmtId="0" formatCode="General"/>
      <fill>
        <patternFill patternType="solid">
          <fgColor indexed="64"/>
          <bgColor theme="0" tint="-0.14999847407452621"/>
        </patternFill>
      </fill>
      <border diagonalUp="0" diagonalDown="0" outline="0">
        <left style="thin">
          <color indexed="22"/>
        </left>
        <right style="thin">
          <color indexed="22"/>
        </right>
        <top/>
        <bottom/>
      </border>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
      <fill>
        <patternFill>
          <bgColor theme="9"/>
        </patternFill>
      </fill>
    </dxf>
    <dxf>
      <fill>
        <patternFill>
          <bgColor rgb="FFFFFF00"/>
        </patternFill>
      </fill>
    </dxf>
  </dxfs>
  <tableStyles count="0" defaultTableStyle="TableStyleMedium2" defaultPivotStyle="PivotStyleLight16"/>
  <colors>
    <mruColors>
      <color rgb="FFFFFF99"/>
      <color rgb="FFC0C0C0"/>
      <color rgb="FFFF8FFF"/>
      <color rgb="FFFFA78B"/>
      <color rgb="FFFFCC99"/>
      <color rgb="FFFF6600"/>
      <color rgb="FFE1F4FF"/>
      <color rgb="FFCCECFF"/>
      <color rgb="FFED7D31"/>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315993</xdr:colOff>
      <xdr:row>9</xdr:row>
      <xdr:rowOff>188325</xdr:rowOff>
    </xdr:to>
    <xdr:pic>
      <xdr:nvPicPr>
        <xdr:cNvPr id="5" name="Picture 4">
          <a:extLst>
            <a:ext uri="{FF2B5EF4-FFF2-40B4-BE49-F238E27FC236}">
              <a16:creationId xmlns:a16="http://schemas.microsoft.com/office/drawing/2014/main" id="{A1EDFD98-A575-4373-8809-78EDF7A090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8418" cy="216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CF8AD8-2631-4B78-BF3B-5E08FB90D007}" name="ChangeLog" displayName="ChangeLog" ref="D9:H29" totalsRowShown="0" headerRowDxfId="9" dataDxfId="7" headerRowBorderDxfId="8" tableBorderDxfId="6" totalsRowBorderDxfId="5" headerRowCellStyle="Comma 2">
  <autoFilter ref="D9:H29" xr:uid="{EACF8AD8-2631-4B78-BF3B-5E08FB90D007}"/>
  <tableColumns count="5">
    <tableColumn id="1" xr3:uid="{31DDCEFA-F134-45D0-97C2-FB94C2AF5BEA}" name="Change No." dataDxfId="4" dataCellStyle="Comma 2"/>
    <tableColumn id="2" xr3:uid="{C13DE41A-581C-4999-B0E1-65D750125725}" name="Model version" dataDxfId="3" dataCellStyle="Comma 2"/>
    <tableColumn id="3" xr3:uid="{364B001F-139B-45D3-98C2-288D0776CAB3}" name="Sheet name" dataDxfId="2" dataCellStyle="Comma 2"/>
    <tableColumn id="4" xr3:uid="{27ABEF8F-5569-4184-8C81-AE82EC87F95C}" name="Changes made" dataDxfId="1" dataCellStyle="Comma 2"/>
    <tableColumn id="5" xr3:uid="{9784A972-5143-41B0-88D0-37D8F9C8A3AC}" name="Change made by" dataDxfId="0" dataCellStyle="Comma 2"/>
  </tableColumns>
  <tableStyleInfo showFirstColumn="0" showLastColumn="0" showRowStripes="1" showColumnStripes="0"/>
</table>
</file>

<file path=xl/theme/theme1.xml><?xml version="1.0" encoding="utf-8"?>
<a:theme xmlns:a="http://schemas.openxmlformats.org/drawingml/2006/main" name="Office Theme">
  <a:themeElements>
    <a:clrScheme name="NESO">
      <a:dk1>
        <a:srgbClr val="000000"/>
      </a:dk1>
      <a:lt1>
        <a:srgbClr val="FFFFFF"/>
      </a:lt1>
      <a:dk2>
        <a:srgbClr val="3F0730"/>
      </a:dk2>
      <a:lt2>
        <a:srgbClr val="070E40"/>
      </a:lt2>
      <a:accent1>
        <a:srgbClr val="FF00FF"/>
      </a:accent1>
      <a:accent2>
        <a:srgbClr val="2CB9FF"/>
      </a:accent2>
      <a:accent3>
        <a:srgbClr val="385B16"/>
      </a:accent3>
      <a:accent4>
        <a:srgbClr val="B0322B"/>
      </a:accent4>
      <a:accent5>
        <a:srgbClr val="F9DF5E"/>
      </a:accent5>
      <a:accent6>
        <a:srgbClr val="70E85E"/>
      </a:accent6>
      <a:hlink>
        <a:srgbClr val="2BB9FF"/>
      </a:hlink>
      <a:folHlink>
        <a:srgbClr val="96607D"/>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06D0C17-A670-4DAC-82C0-8B6A90F08135}">
  <we:reference id="7c3929fd-ffc8-4fa9-a64b-25dff355e46d" version="1.0.0.3" store="EXCatalog" storeType="EXCatalog"/>
  <we:alternateReferences>
    <we:reference id="WA200006575" version="1.0.0.3" store="en-GB"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Q22"/>
  <sheetViews>
    <sheetView showGridLines="0" showRowColHeaders="0" tabSelected="1" zoomScaleNormal="100" workbookViewId="0">
      <selection activeCell="B14" sqref="B14"/>
    </sheetView>
  </sheetViews>
  <sheetFormatPr defaultColWidth="0" defaultRowHeight="18" zeroHeight="1" x14ac:dyDescent="0.2"/>
  <cols>
    <col min="1" max="17" width="9.5" style="2" customWidth="1"/>
    <col min="18" max="16384" width="0" style="2" hidden="1"/>
  </cols>
  <sheetData>
    <row r="1" spans="1:17" x14ac:dyDescent="0.2">
      <c r="A1"/>
      <c r="B1"/>
    </row>
    <row r="2" spans="1:17" x14ac:dyDescent="0.2">
      <c r="J2" s="8"/>
    </row>
    <row r="3" spans="1:17" x14ac:dyDescent="0.2">
      <c r="J3" s="8"/>
    </row>
    <row r="4" spans="1:17" x14ac:dyDescent="0.2"/>
    <row r="5" spans="1:17" x14ac:dyDescent="0.2">
      <c r="M5" s="7"/>
    </row>
    <row r="6" spans="1:17" x14ac:dyDescent="0.2"/>
    <row r="7" spans="1:17" x14ac:dyDescent="0.2"/>
    <row r="8" spans="1:17" x14ac:dyDescent="0.2"/>
    <row r="9" spans="1:17" x14ac:dyDescent="0.2"/>
    <row r="10" spans="1:17" x14ac:dyDescent="0.2"/>
    <row r="11" spans="1:17" s="1" customFormat="1" ht="27.75" x14ac:dyDescent="0.4">
      <c r="A11" s="18"/>
      <c r="B11" s="19" t="s">
        <v>0</v>
      </c>
      <c r="C11" s="18"/>
      <c r="D11" s="18"/>
      <c r="E11" s="18"/>
      <c r="F11" s="18"/>
      <c r="G11" s="18"/>
      <c r="H11" s="18"/>
      <c r="I11" s="18"/>
      <c r="J11" s="18"/>
      <c r="K11" s="18"/>
      <c r="L11" s="18"/>
      <c r="M11" s="18"/>
      <c r="N11" s="18"/>
      <c r="O11" s="18"/>
      <c r="P11" s="18"/>
      <c r="Q11" s="18"/>
    </row>
    <row r="12" spans="1:17" s="1" customFormat="1" x14ac:dyDescent="0.25">
      <c r="A12" s="18"/>
      <c r="B12" s="18"/>
      <c r="C12" s="18"/>
      <c r="D12" s="18"/>
      <c r="E12" s="18"/>
      <c r="F12" s="18"/>
      <c r="G12" s="18"/>
      <c r="H12" s="18"/>
      <c r="I12" s="18"/>
      <c r="J12" s="18"/>
      <c r="K12" s="18"/>
      <c r="L12" s="18"/>
      <c r="M12" s="18"/>
      <c r="N12" s="18"/>
      <c r="O12" s="18"/>
      <c r="P12" s="18"/>
      <c r="Q12" s="18"/>
    </row>
    <row r="13" spans="1:17" s="1" customFormat="1" ht="23.25" x14ac:dyDescent="0.35">
      <c r="A13" s="18"/>
      <c r="B13" s="20" t="str">
        <f>IF(Model_Status = "DRAFT", Project_Name &amp; " - Model " &amp; Control!H14,IF(Model_Status = "POPULATED FOR REVIEW", Project_Name &amp; " - " &amp; Control!H12 &amp; " " &amp; TEXT(Publication_Date, "dd mmm yyyy"), Project_Name &amp; " - Published " &amp; TEXT(Publication_Date, "dd mmm yyyy")))</f>
        <v>Legacy Closeout Model - Published 27 Nov 2024</v>
      </c>
      <c r="C13" s="18"/>
      <c r="D13" s="18"/>
      <c r="E13" s="18"/>
      <c r="F13" s="18"/>
      <c r="G13" s="18"/>
      <c r="H13" s="18"/>
      <c r="I13" s="18"/>
      <c r="J13" s="18"/>
      <c r="K13" s="18"/>
      <c r="L13" s="18"/>
      <c r="M13" s="18"/>
      <c r="N13" s="18"/>
      <c r="O13" s="18"/>
      <c r="P13" s="18"/>
      <c r="Q13" s="18"/>
    </row>
    <row r="14" spans="1:17" x14ac:dyDescent="0.2"/>
    <row r="15" spans="1:17" x14ac:dyDescent="0.2"/>
    <row r="16" spans="1:17" x14ac:dyDescent="0.2"/>
    <row r="17" spans="2:6" x14ac:dyDescent="0.2"/>
    <row r="18" spans="2:6" x14ac:dyDescent="0.25">
      <c r="B18" s="6"/>
    </row>
    <row r="19" spans="2:6" x14ac:dyDescent="0.2"/>
    <row r="20" spans="2:6" x14ac:dyDescent="0.2"/>
    <row r="21" spans="2:6" x14ac:dyDescent="0.2">
      <c r="B21" s="21"/>
      <c r="C21" s="22"/>
      <c r="D21" s="22"/>
      <c r="E21" s="22"/>
      <c r="F21" s="22"/>
    </row>
    <row r="22" spans="2:6" x14ac:dyDescent="0.2"/>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02978-F725-4BCF-8D63-DDFE2A625C53}">
  <sheetPr>
    <tabColor rgb="FFFFCC99"/>
  </sheetPr>
  <dimension ref="A1:AH100"/>
  <sheetViews>
    <sheetView showGridLines="0" zoomScale="110" zoomScaleNormal="110" workbookViewId="0">
      <pane xSplit="12" ySplit="10" topLeftCell="R50" activePane="bottomRight" state="frozen"/>
      <selection pane="topRight" activeCell="N47" sqref="N47"/>
      <selection pane="bottomLeft" activeCell="N47" sqref="N47"/>
      <selection pane="bottomRight" activeCell="I58" sqref="I58"/>
    </sheetView>
  </sheetViews>
  <sheetFormatPr defaultColWidth="0" defaultRowHeight="14.25" x14ac:dyDescent="0.2"/>
  <cols>
    <col min="1" max="3" width="2.5" style="15" customWidth="1"/>
    <col min="4" max="4" width="55.5" style="15" customWidth="1"/>
    <col min="5" max="5" width="25.5" style="15" customWidth="1"/>
    <col min="6" max="7" width="20.5" style="15" customWidth="1"/>
    <col min="8" max="8" width="2.5" style="15" customWidth="1"/>
    <col min="9" max="9" width="12.5" customWidth="1"/>
    <col min="10" max="10" width="2.5" customWidth="1"/>
    <col min="11" max="11" width="12.5" customWidth="1"/>
    <col min="12" max="12" width="2.5" customWidth="1"/>
    <col min="13" max="27" width="12.5" customWidth="1"/>
    <col min="28" max="28" width="2.5" customWidth="1"/>
    <col min="29" max="34" width="0" hidden="1" customWidth="1"/>
    <col min="35" max="16384" width="8.625" hidden="1"/>
  </cols>
  <sheetData>
    <row r="1" spans="1:34" s="24" customFormat="1" ht="23.25" x14ac:dyDescent="0.35">
      <c r="A1" s="80"/>
      <c r="B1" s="80" t="str" cm="1">
        <f t="array" aca="1" ref="B1" ca="1">MID(CELL("filename", A1), FIND("]", CELL("filename", A1)) + 1, 255)</f>
        <v>Inputs</v>
      </c>
      <c r="C1" s="80"/>
      <c r="D1" s="80"/>
      <c r="E1" s="80"/>
      <c r="F1" s="80"/>
      <c r="G1" s="81"/>
      <c r="H1" s="80"/>
      <c r="I1" s="82"/>
      <c r="J1" s="82"/>
      <c r="K1" s="82"/>
      <c r="L1" s="82"/>
      <c r="M1" s="82"/>
      <c r="N1" s="82"/>
      <c r="O1" s="82"/>
      <c r="P1" s="82"/>
      <c r="Q1" s="83"/>
      <c r="R1" s="83"/>
      <c r="S1" s="83"/>
      <c r="T1" s="83"/>
      <c r="U1" s="83"/>
      <c r="V1" s="83"/>
      <c r="W1" s="83"/>
      <c r="X1" s="83"/>
      <c r="Y1" s="83"/>
      <c r="Z1" s="83"/>
      <c r="AA1" s="83"/>
      <c r="AB1" s="83"/>
      <c r="AC1" s="23"/>
      <c r="AD1" s="23"/>
      <c r="AE1" s="23"/>
      <c r="AF1" s="23"/>
      <c r="AG1" s="23"/>
      <c r="AH1" s="23"/>
    </row>
    <row r="2" spans="1:34" s="24" customFormat="1" ht="4.5" customHeight="1" x14ac:dyDescent="0.2">
      <c r="A2" s="25"/>
      <c r="B2" s="25"/>
      <c r="C2" s="25"/>
      <c r="D2" s="25"/>
      <c r="E2" s="25"/>
      <c r="F2" s="25"/>
      <c r="G2" s="25"/>
      <c r="H2" s="25"/>
      <c r="I2" s="26"/>
    </row>
    <row r="3" spans="1:34" s="24" customFormat="1" ht="15" customHeight="1" x14ac:dyDescent="0.2">
      <c r="A3" s="25"/>
      <c r="B3" s="27"/>
      <c r="C3" s="27"/>
      <c r="D3" s="25"/>
      <c r="E3" s="28" t="s">
        <v>1</v>
      </c>
      <c r="F3" s="28" t="s">
        <v>2</v>
      </c>
      <c r="G3" s="28" t="s">
        <v>3</v>
      </c>
      <c r="H3" s="25"/>
      <c r="I3" s="29" t="s">
        <v>4</v>
      </c>
      <c r="K3" s="29" t="s">
        <v>5</v>
      </c>
      <c r="L3" s="30"/>
      <c r="M3" s="30"/>
      <c r="N3" s="30"/>
      <c r="O3" s="30"/>
      <c r="P3" s="30"/>
    </row>
    <row r="4" spans="1:34" s="24" customFormat="1" ht="14.45" customHeight="1" x14ac:dyDescent="0.2">
      <c r="A4" s="31"/>
      <c r="B4" s="32"/>
      <c r="C4" s="33" t="s">
        <v>6</v>
      </c>
      <c r="D4" s="31"/>
      <c r="E4" s="33"/>
      <c r="F4" s="34"/>
      <c r="G4" s="35" t="s">
        <v>7</v>
      </c>
      <c r="H4" s="33"/>
      <c r="I4" s="36"/>
      <c r="J4" s="37"/>
      <c r="K4" s="37"/>
      <c r="L4" s="38"/>
      <c r="M4" s="39">
        <f t="shared" ref="M4:AA4" si="0" xml:space="preserve"> L4 + 1</f>
        <v>1</v>
      </c>
      <c r="N4" s="39">
        <f t="shared" si="0"/>
        <v>2</v>
      </c>
      <c r="O4" s="39">
        <f t="shared" si="0"/>
        <v>3</v>
      </c>
      <c r="P4" s="39">
        <f t="shared" si="0"/>
        <v>4</v>
      </c>
      <c r="Q4" s="39">
        <f t="shared" si="0"/>
        <v>5</v>
      </c>
      <c r="R4" s="39">
        <f t="shared" si="0"/>
        <v>6</v>
      </c>
      <c r="S4" s="39">
        <f t="shared" si="0"/>
        <v>7</v>
      </c>
      <c r="T4" s="39">
        <f t="shared" si="0"/>
        <v>8</v>
      </c>
      <c r="U4" s="39">
        <f t="shared" si="0"/>
        <v>9</v>
      </c>
      <c r="V4" s="39">
        <f t="shared" si="0"/>
        <v>10</v>
      </c>
      <c r="W4" s="39">
        <f t="shared" si="0"/>
        <v>11</v>
      </c>
      <c r="X4" s="39">
        <f t="shared" si="0"/>
        <v>12</v>
      </c>
      <c r="Y4" s="39">
        <f t="shared" si="0"/>
        <v>13</v>
      </c>
      <c r="Z4" s="39">
        <f t="shared" si="0"/>
        <v>14</v>
      </c>
      <c r="AA4" s="39">
        <f t="shared" si="0"/>
        <v>15</v>
      </c>
      <c r="AB4" s="40"/>
      <c r="AC4" s="36"/>
      <c r="AD4" s="36"/>
      <c r="AE4" s="36"/>
      <c r="AF4" s="36"/>
      <c r="AG4" s="36"/>
      <c r="AH4" s="36"/>
    </row>
    <row r="5" spans="1:34" s="24" customFormat="1" ht="14.45" customHeight="1" x14ac:dyDescent="0.2">
      <c r="A5" s="34"/>
      <c r="B5" s="34"/>
      <c r="C5" s="33" t="s">
        <v>8</v>
      </c>
      <c r="D5" s="34"/>
      <c r="E5" s="33"/>
      <c r="F5" s="34"/>
      <c r="G5" s="35" t="s">
        <v>9</v>
      </c>
      <c r="H5" s="33"/>
      <c r="K5" s="37"/>
      <c r="L5" s="38"/>
      <c r="M5" s="41">
        <f t="shared" ref="M5:AA5" si="1" xml:space="preserve"> IF(M4 = 1, $I18, L6 + 1)</f>
        <v>42826</v>
      </c>
      <c r="N5" s="41">
        <f t="shared" si="1"/>
        <v>43191</v>
      </c>
      <c r="O5" s="41">
        <f t="shared" si="1"/>
        <v>43556</v>
      </c>
      <c r="P5" s="41">
        <f t="shared" si="1"/>
        <v>43922</v>
      </c>
      <c r="Q5" s="41">
        <f t="shared" si="1"/>
        <v>44287</v>
      </c>
      <c r="R5" s="41">
        <f t="shared" si="1"/>
        <v>44652</v>
      </c>
      <c r="S5" s="41">
        <f t="shared" si="1"/>
        <v>45017</v>
      </c>
      <c r="T5" s="41">
        <f t="shared" si="1"/>
        <v>45383</v>
      </c>
      <c r="U5" s="41">
        <f t="shared" si="1"/>
        <v>45748</v>
      </c>
      <c r="V5" s="41">
        <f t="shared" si="1"/>
        <v>46113</v>
      </c>
      <c r="W5" s="41">
        <f t="shared" si="1"/>
        <v>46478</v>
      </c>
      <c r="X5" s="41">
        <f t="shared" si="1"/>
        <v>46844</v>
      </c>
      <c r="Y5" s="41">
        <f t="shared" si="1"/>
        <v>47209</v>
      </c>
      <c r="Z5" s="41">
        <f t="shared" si="1"/>
        <v>47574</v>
      </c>
      <c r="AA5" s="41">
        <f t="shared" si="1"/>
        <v>47939</v>
      </c>
      <c r="AB5" s="40"/>
      <c r="AC5" s="40"/>
      <c r="AD5" s="40"/>
      <c r="AE5" s="40"/>
      <c r="AF5" s="40"/>
      <c r="AG5" s="40"/>
      <c r="AH5" s="40"/>
    </row>
    <row r="6" spans="1:34" s="24" customFormat="1" ht="14.45" customHeight="1" x14ac:dyDescent="0.2">
      <c r="A6" s="34"/>
      <c r="B6" s="34"/>
      <c r="C6" s="42" t="s">
        <v>10</v>
      </c>
      <c r="D6" s="34"/>
      <c r="E6" s="42"/>
      <c r="F6" s="34"/>
      <c r="G6" s="35" t="s">
        <v>9</v>
      </c>
      <c r="H6" s="42"/>
      <c r="K6" s="43"/>
      <c r="L6" s="44"/>
      <c r="M6" s="41">
        <f t="shared" ref="M6:AA6" si="2" xml:space="preserve"> EOMONTH(M5, $I19 - 1)</f>
        <v>43190</v>
      </c>
      <c r="N6" s="41">
        <f t="shared" si="2"/>
        <v>43555</v>
      </c>
      <c r="O6" s="41">
        <f t="shared" si="2"/>
        <v>43921</v>
      </c>
      <c r="P6" s="41">
        <f t="shared" si="2"/>
        <v>44286</v>
      </c>
      <c r="Q6" s="41">
        <f t="shared" si="2"/>
        <v>44651</v>
      </c>
      <c r="R6" s="41">
        <f t="shared" si="2"/>
        <v>45016</v>
      </c>
      <c r="S6" s="41">
        <f t="shared" si="2"/>
        <v>45382</v>
      </c>
      <c r="T6" s="41">
        <f t="shared" si="2"/>
        <v>45747</v>
      </c>
      <c r="U6" s="41">
        <f t="shared" si="2"/>
        <v>46112</v>
      </c>
      <c r="V6" s="41">
        <f t="shared" si="2"/>
        <v>46477</v>
      </c>
      <c r="W6" s="41">
        <f t="shared" si="2"/>
        <v>46843</v>
      </c>
      <c r="X6" s="41">
        <f t="shared" si="2"/>
        <v>47208</v>
      </c>
      <c r="Y6" s="41">
        <f t="shared" si="2"/>
        <v>47573</v>
      </c>
      <c r="Z6" s="41">
        <f t="shared" si="2"/>
        <v>47938</v>
      </c>
      <c r="AA6" s="41">
        <f t="shared" si="2"/>
        <v>48304</v>
      </c>
      <c r="AB6" s="36"/>
      <c r="AC6" s="40"/>
      <c r="AD6" s="40"/>
      <c r="AE6" s="40"/>
      <c r="AF6" s="40"/>
      <c r="AG6" s="40"/>
      <c r="AH6" s="40"/>
    </row>
    <row r="7" spans="1:34" s="24" customFormat="1" ht="15" customHeight="1" x14ac:dyDescent="0.2">
      <c r="A7" s="25"/>
      <c r="B7" s="27"/>
      <c r="C7" s="25" t="s">
        <v>11</v>
      </c>
      <c r="D7" s="25"/>
      <c r="E7" s="25"/>
      <c r="F7" s="25"/>
      <c r="G7" s="35" t="s">
        <v>12</v>
      </c>
      <c r="H7" s="25"/>
      <c r="J7" s="30"/>
      <c r="K7" s="30"/>
      <c r="L7" s="30"/>
      <c r="M7" s="30" t="str">
        <f xml:space="preserve"> RIGHT(YEAR(M5), 4) &amp; "-" &amp; RIGHT(YEAR(M6), 2)</f>
        <v>2017-18</v>
      </c>
      <c r="N7" s="30" t="str">
        <f t="shared" ref="N7:AA7" si="3" xml:space="preserve"> RIGHT(YEAR(N5), 4) &amp; "-" &amp; RIGHT(YEAR(N6), 2)</f>
        <v>2018-19</v>
      </c>
      <c r="O7" s="30" t="str">
        <f t="shared" si="3"/>
        <v>2019-20</v>
      </c>
      <c r="P7" s="30" t="str">
        <f t="shared" si="3"/>
        <v>2020-21</v>
      </c>
      <c r="Q7" s="30" t="str">
        <f t="shared" si="3"/>
        <v>2021-22</v>
      </c>
      <c r="R7" s="30" t="str">
        <f t="shared" si="3"/>
        <v>2022-23</v>
      </c>
      <c r="S7" s="30" t="str">
        <f t="shared" si="3"/>
        <v>2023-24</v>
      </c>
      <c r="T7" s="30" t="str">
        <f t="shared" si="3"/>
        <v>2024-25</v>
      </c>
      <c r="U7" s="30" t="str">
        <f t="shared" si="3"/>
        <v>2025-26</v>
      </c>
      <c r="V7" s="30" t="str">
        <f t="shared" si="3"/>
        <v>2026-27</v>
      </c>
      <c r="W7" s="30" t="str">
        <f t="shared" si="3"/>
        <v>2027-28</v>
      </c>
      <c r="X7" s="30" t="str">
        <f t="shared" si="3"/>
        <v>2028-29</v>
      </c>
      <c r="Y7" s="30" t="str">
        <f t="shared" si="3"/>
        <v>2029-30</v>
      </c>
      <c r="Z7" s="30" t="str">
        <f t="shared" si="3"/>
        <v>2030-31</v>
      </c>
      <c r="AA7" s="30" t="str">
        <f t="shared" si="3"/>
        <v>2031-32</v>
      </c>
    </row>
    <row r="8" spans="1:34" s="24" customFormat="1" x14ac:dyDescent="0.2">
      <c r="A8" s="25"/>
      <c r="B8" s="27" t="str">
        <f>"Model Checks - " &amp; Check</f>
        <v>Model Checks - PASS</v>
      </c>
      <c r="C8" s="27"/>
      <c r="D8" s="25"/>
      <c r="E8" s="25"/>
      <c r="F8" s="25"/>
      <c r="G8" s="45"/>
      <c r="H8" s="25"/>
      <c r="I8" s="30"/>
      <c r="J8" s="30"/>
      <c r="K8" s="30"/>
      <c r="L8" s="30"/>
      <c r="M8" s="30"/>
      <c r="N8" s="30"/>
      <c r="O8" s="30"/>
      <c r="P8" s="30"/>
    </row>
    <row r="9" spans="1:34" s="24" customFormat="1" ht="4.5" customHeight="1" x14ac:dyDescent="0.2">
      <c r="A9" s="25"/>
      <c r="B9" s="27"/>
      <c r="C9" s="27"/>
      <c r="D9" s="25"/>
      <c r="E9" s="25"/>
      <c r="F9" s="25"/>
      <c r="G9" s="45"/>
      <c r="H9" s="25"/>
      <c r="I9" s="30"/>
      <c r="J9" s="30"/>
      <c r="K9" s="30"/>
      <c r="L9" s="30"/>
      <c r="M9" s="30"/>
      <c r="N9" s="30"/>
      <c r="O9" s="30"/>
      <c r="P9" s="30"/>
    </row>
    <row r="10" spans="1:34" s="84" customFormat="1" ht="23.25" x14ac:dyDescent="0.35">
      <c r="A10" s="80"/>
      <c r="B10" s="80" t="str">
        <f>Project_Name</f>
        <v>Legacy Closeout Model</v>
      </c>
      <c r="C10" s="80"/>
      <c r="D10" s="80"/>
      <c r="E10" s="80"/>
      <c r="F10" s="80"/>
      <c r="G10" s="81"/>
      <c r="H10" s="80"/>
      <c r="I10" s="82"/>
      <c r="J10" s="82"/>
      <c r="K10" s="82"/>
      <c r="L10" s="82"/>
      <c r="M10" s="82"/>
      <c r="N10" s="82"/>
      <c r="O10" s="82"/>
      <c r="P10" s="82"/>
      <c r="Q10" s="83"/>
      <c r="R10" s="83"/>
      <c r="S10" s="83"/>
      <c r="T10" s="83"/>
      <c r="U10" s="83"/>
      <c r="V10" s="83"/>
      <c r="W10" s="83"/>
      <c r="X10" s="83"/>
      <c r="Y10" s="83"/>
      <c r="Z10" s="83"/>
      <c r="AA10" s="83"/>
      <c r="AB10" s="83"/>
      <c r="AC10" s="83"/>
      <c r="AD10" s="83"/>
      <c r="AE10" s="83"/>
      <c r="AF10" s="83"/>
      <c r="AG10" s="83"/>
      <c r="AH10" s="83"/>
    </row>
    <row r="11" spans="1:34" s="24" customFormat="1" x14ac:dyDescent="0.2">
      <c r="A11" s="25"/>
      <c r="B11" s="25"/>
      <c r="C11" s="25"/>
      <c r="D11" s="46"/>
      <c r="E11" s="25"/>
      <c r="F11" s="25"/>
      <c r="G11" s="25"/>
      <c r="H11" s="25"/>
    </row>
    <row r="12" spans="1:34" s="24" customFormat="1" ht="18" x14ac:dyDescent="0.25">
      <c r="A12" s="85" t="s">
        <v>13</v>
      </c>
      <c r="B12" s="85" t="s">
        <v>14</v>
      </c>
      <c r="C12" s="86"/>
      <c r="D12" s="86"/>
      <c r="E12" s="86"/>
      <c r="F12" s="86"/>
      <c r="G12" s="86"/>
      <c r="H12" s="86"/>
      <c r="I12" s="87"/>
      <c r="J12" s="87"/>
      <c r="K12" s="87"/>
      <c r="L12" s="87"/>
      <c r="M12" s="87"/>
      <c r="N12" s="87"/>
      <c r="O12" s="87"/>
      <c r="P12" s="87"/>
      <c r="Q12" s="87"/>
      <c r="R12" s="87"/>
      <c r="S12" s="87"/>
      <c r="T12" s="87"/>
      <c r="U12" s="87"/>
      <c r="V12" s="87"/>
      <c r="W12" s="87"/>
      <c r="X12" s="87"/>
      <c r="Y12" s="87"/>
      <c r="Z12" s="87"/>
      <c r="AA12" s="87"/>
      <c r="AB12" s="87"/>
      <c r="AC12" s="47"/>
      <c r="AD12" s="47"/>
      <c r="AE12" s="47"/>
      <c r="AF12" s="47"/>
      <c r="AG12" s="47"/>
      <c r="AH12" s="47"/>
    </row>
    <row r="13" spans="1:34" s="24" customFormat="1" x14ac:dyDescent="0.2">
      <c r="A13" s="25"/>
      <c r="B13" s="25"/>
      <c r="C13" s="25"/>
      <c r="D13" s="46"/>
      <c r="E13" s="25"/>
      <c r="F13" s="25"/>
      <c r="G13" s="25"/>
      <c r="H13" s="25"/>
    </row>
    <row r="14" spans="1:34" s="24" customFormat="1" x14ac:dyDescent="0.2">
      <c r="A14" s="25"/>
      <c r="B14" s="249" t="s">
        <v>15</v>
      </c>
      <c r="C14" s="25"/>
      <c r="D14" s="46"/>
      <c r="E14" s="25"/>
      <c r="F14" s="25"/>
      <c r="G14" s="25"/>
      <c r="H14" s="25"/>
    </row>
    <row r="15" spans="1:34" s="24" customFormat="1" x14ac:dyDescent="0.2">
      <c r="A15" s="25"/>
      <c r="B15" s="25"/>
      <c r="C15" s="25"/>
      <c r="D15" s="25"/>
      <c r="E15" s="25"/>
      <c r="F15" s="25"/>
      <c r="G15" s="25"/>
      <c r="H15" s="25"/>
    </row>
    <row r="16" spans="1:34" s="24" customFormat="1" x14ac:dyDescent="0.2">
      <c r="A16" s="25"/>
      <c r="B16" s="25"/>
      <c r="C16" s="25" t="s">
        <v>16</v>
      </c>
      <c r="D16" s="25"/>
      <c r="E16" s="25"/>
      <c r="F16" s="25"/>
      <c r="G16" s="25" t="str">
        <f>Inputs!G$17</f>
        <v>Date</v>
      </c>
      <c r="H16" s="25"/>
      <c r="I16" s="247">
        <v>45383</v>
      </c>
    </row>
    <row r="17" spans="1:34" s="24" customFormat="1" x14ac:dyDescent="0.2">
      <c r="A17" s="25"/>
      <c r="B17" s="25"/>
      <c r="C17" s="49" t="s">
        <v>17</v>
      </c>
      <c r="D17" s="25"/>
      <c r="E17" s="50"/>
      <c r="F17" s="25"/>
      <c r="G17" s="25" t="s">
        <v>9</v>
      </c>
      <c r="H17" s="25"/>
      <c r="I17" s="247">
        <v>45566</v>
      </c>
      <c r="J17" s="51"/>
      <c r="K17" s="51"/>
      <c r="L17" s="51"/>
      <c r="M17" s="52"/>
      <c r="N17" s="52"/>
      <c r="O17" s="52"/>
      <c r="Q17" s="52"/>
      <c r="R17" s="52"/>
      <c r="S17" s="52"/>
      <c r="T17" s="52"/>
      <c r="U17" s="52"/>
      <c r="V17" s="52"/>
      <c r="W17" s="52"/>
      <c r="X17" s="52"/>
      <c r="Y17" s="52"/>
      <c r="Z17" s="52"/>
      <c r="AA17" s="52"/>
    </row>
    <row r="18" spans="1:34" s="24" customFormat="1" x14ac:dyDescent="0.2">
      <c r="A18" s="25"/>
      <c r="B18" s="25"/>
      <c r="C18" s="25" t="s">
        <v>18</v>
      </c>
      <c r="D18" s="46"/>
      <c r="E18" s="25"/>
      <c r="F18" s="25"/>
      <c r="G18" s="25" t="s">
        <v>9</v>
      </c>
      <c r="H18" s="25"/>
      <c r="I18" s="247">
        <v>42826</v>
      </c>
      <c r="J18" s="51"/>
      <c r="K18" s="51"/>
      <c r="L18" s="51"/>
      <c r="M18" s="51"/>
      <c r="N18" s="51"/>
      <c r="O18" s="51"/>
      <c r="P18" s="51"/>
      <c r="Q18" s="51"/>
      <c r="R18" s="51"/>
      <c r="S18" s="51"/>
      <c r="T18" s="51"/>
      <c r="U18" s="51"/>
      <c r="V18" s="51"/>
      <c r="W18" s="51"/>
      <c r="X18" s="51"/>
      <c r="Y18" s="51"/>
      <c r="Z18" s="51"/>
      <c r="AA18" s="51"/>
    </row>
    <row r="19" spans="1:34" s="24" customFormat="1" x14ac:dyDescent="0.2">
      <c r="A19" s="25"/>
      <c r="B19" s="25"/>
      <c r="C19" s="25" t="s">
        <v>19</v>
      </c>
      <c r="D19" s="25"/>
      <c r="E19" s="25"/>
      <c r="F19" s="25"/>
      <c r="G19" s="25" t="s">
        <v>20</v>
      </c>
      <c r="H19" s="25"/>
      <c r="I19" s="248">
        <v>12</v>
      </c>
      <c r="J19" s="51"/>
      <c r="K19" s="51"/>
      <c r="L19" s="51"/>
      <c r="M19" s="51"/>
      <c r="N19" s="51"/>
      <c r="O19" s="51"/>
      <c r="P19" s="51"/>
      <c r="Q19" s="51"/>
      <c r="R19" s="51"/>
      <c r="S19" s="51"/>
      <c r="T19" s="51"/>
      <c r="U19" s="51"/>
      <c r="V19" s="51"/>
      <c r="W19" s="51"/>
      <c r="X19" s="51"/>
      <c r="Y19" s="51"/>
      <c r="Z19" s="51"/>
      <c r="AA19" s="51"/>
    </row>
    <row r="20" spans="1:34" s="24" customFormat="1" x14ac:dyDescent="0.2">
      <c r="A20" s="25"/>
      <c r="B20" s="25"/>
      <c r="C20" s="25"/>
      <c r="D20" s="46"/>
      <c r="E20" s="25"/>
      <c r="F20" s="25"/>
      <c r="G20" s="25"/>
      <c r="H20" s="25"/>
      <c r="I20" s="51"/>
      <c r="J20" s="51"/>
      <c r="K20" s="51"/>
      <c r="L20" s="51"/>
      <c r="M20" s="51"/>
      <c r="N20" s="51"/>
      <c r="O20" s="51"/>
      <c r="P20" s="51"/>
      <c r="Q20" s="51"/>
      <c r="R20" s="51"/>
      <c r="S20" s="51"/>
      <c r="T20" s="51"/>
      <c r="U20" s="51"/>
      <c r="V20" s="51"/>
      <c r="W20" s="51"/>
      <c r="X20" s="51"/>
      <c r="Y20" s="51"/>
      <c r="Z20" s="51"/>
      <c r="AA20" s="51"/>
    </row>
    <row r="21" spans="1:34" s="24" customFormat="1" ht="18" x14ac:dyDescent="0.25">
      <c r="A21" s="85" t="s">
        <v>13</v>
      </c>
      <c r="B21" s="85" t="s">
        <v>21</v>
      </c>
      <c r="C21" s="86"/>
      <c r="D21" s="86"/>
      <c r="E21" s="86"/>
      <c r="F21" s="86"/>
      <c r="G21" s="86"/>
      <c r="H21" s="86"/>
      <c r="I21" s="87"/>
      <c r="J21" s="87"/>
      <c r="K21" s="87"/>
      <c r="L21" s="87"/>
      <c r="M21" s="88"/>
      <c r="N21" s="88"/>
      <c r="O21" s="88"/>
      <c r="P21" s="88"/>
      <c r="Q21" s="88"/>
      <c r="R21" s="88"/>
      <c r="S21" s="88"/>
      <c r="T21" s="88"/>
      <c r="U21" s="88"/>
      <c r="V21" s="88"/>
      <c r="W21" s="88"/>
      <c r="X21" s="88"/>
      <c r="Y21" s="88"/>
      <c r="Z21" s="88"/>
      <c r="AA21" s="88"/>
      <c r="AB21" s="89"/>
      <c r="AC21" s="47"/>
      <c r="AD21" s="47"/>
      <c r="AE21" s="47"/>
      <c r="AF21" s="47"/>
      <c r="AG21" s="47"/>
      <c r="AH21" s="47"/>
    </row>
    <row r="22" spans="1:34" s="24" customFormat="1" x14ac:dyDescent="0.2">
      <c r="A22" s="25"/>
      <c r="B22" s="25"/>
      <c r="C22" s="25"/>
      <c r="D22" s="25"/>
      <c r="E22" s="25"/>
      <c r="F22" s="25"/>
      <c r="G22" s="25"/>
      <c r="H22" s="25"/>
      <c r="I22" s="51"/>
      <c r="J22" s="51"/>
      <c r="K22" s="51"/>
      <c r="L22" s="51"/>
      <c r="M22" s="52"/>
      <c r="N22" s="52"/>
      <c r="O22" s="52"/>
      <c r="P22" s="52"/>
      <c r="Q22" s="52"/>
      <c r="R22" s="52"/>
      <c r="S22" s="52"/>
      <c r="T22" s="52"/>
      <c r="U22" s="52"/>
      <c r="V22" s="52"/>
      <c r="W22" s="52"/>
      <c r="X22" s="52"/>
      <c r="Y22" s="52"/>
      <c r="Z22" s="52"/>
      <c r="AA22" s="52"/>
    </row>
    <row r="23" spans="1:34" s="24" customFormat="1" x14ac:dyDescent="0.2">
      <c r="A23" s="25"/>
      <c r="B23" s="249" t="s">
        <v>22</v>
      </c>
      <c r="C23" s="25"/>
      <c r="D23" s="25"/>
      <c r="E23" s="25"/>
      <c r="F23" s="25"/>
      <c r="G23" s="25"/>
      <c r="H23" s="25"/>
      <c r="I23" s="51"/>
      <c r="J23" s="51"/>
      <c r="K23" s="51"/>
      <c r="L23" s="51"/>
      <c r="M23" s="52"/>
      <c r="N23" s="52"/>
      <c r="O23" s="52"/>
      <c r="Q23" s="52"/>
      <c r="R23" s="52"/>
      <c r="S23" s="52"/>
      <c r="T23" s="52"/>
      <c r="U23" s="52"/>
      <c r="V23" s="52"/>
      <c r="W23" s="52"/>
      <c r="X23" s="52"/>
      <c r="Y23" s="52"/>
      <c r="Z23" s="52"/>
      <c r="AA23" s="52"/>
    </row>
    <row r="24" spans="1:34" s="24" customFormat="1" x14ac:dyDescent="0.2">
      <c r="A24" s="25"/>
      <c r="B24" s="25"/>
      <c r="C24" s="25"/>
      <c r="D24" s="25"/>
      <c r="E24" s="25"/>
      <c r="F24" s="25"/>
      <c r="G24" s="25"/>
      <c r="H24" s="25"/>
      <c r="I24" s="51"/>
      <c r="J24" s="51"/>
      <c r="K24" s="51"/>
      <c r="L24" s="51"/>
      <c r="M24" s="52"/>
      <c r="N24" s="52"/>
      <c r="O24" s="52"/>
      <c r="Q24" s="52"/>
      <c r="R24" s="52"/>
      <c r="S24" s="52"/>
      <c r="T24" s="52"/>
      <c r="U24" s="52"/>
      <c r="V24" s="52"/>
      <c r="W24" s="52"/>
      <c r="X24" s="52"/>
      <c r="Y24" s="52"/>
      <c r="Z24" s="52"/>
      <c r="AA24" s="52"/>
    </row>
    <row r="25" spans="1:34" s="24" customFormat="1" x14ac:dyDescent="0.2">
      <c r="A25" s="25"/>
      <c r="B25" s="25"/>
      <c r="C25" s="31" t="s">
        <v>23</v>
      </c>
      <c r="D25" s="25"/>
      <c r="E25" s="25" t="s">
        <v>21</v>
      </c>
      <c r="F25" s="25" t="s">
        <v>24</v>
      </c>
      <c r="G25" s="25" t="s">
        <v>25</v>
      </c>
      <c r="H25" s="25"/>
      <c r="I25" s="95">
        <v>3.5000000000000003E-2</v>
      </c>
      <c r="J25" s="51"/>
      <c r="K25" s="51"/>
      <c r="L25" s="51"/>
      <c r="M25" s="52"/>
      <c r="N25" s="52"/>
      <c r="O25" s="52"/>
      <c r="Q25" s="52"/>
      <c r="R25" s="52"/>
      <c r="S25" s="52"/>
      <c r="T25" s="52"/>
      <c r="U25" s="52"/>
      <c r="V25" s="52"/>
      <c r="W25" s="52"/>
      <c r="X25" s="52"/>
      <c r="Y25" s="52"/>
      <c r="Z25" s="52"/>
      <c r="AA25" s="52"/>
    </row>
    <row r="26" spans="1:34" s="24" customFormat="1" ht="15" x14ac:dyDescent="0.2">
      <c r="A26" s="25"/>
      <c r="B26" s="25"/>
      <c r="C26" s="25"/>
      <c r="D26" s="25"/>
      <c r="E26" s="25"/>
      <c r="F26" s="25"/>
      <c r="G26" s="25"/>
      <c r="H26" s="25"/>
      <c r="I26" s="51"/>
      <c r="J26" s="51"/>
      <c r="K26" s="51"/>
      <c r="L26" s="51"/>
      <c r="M26" s="52"/>
      <c r="N26" s="52"/>
      <c r="O26" s="53"/>
      <c r="Q26" s="52"/>
      <c r="R26" s="52"/>
      <c r="S26" s="52"/>
      <c r="T26" s="52"/>
      <c r="U26" s="52"/>
      <c r="V26" s="52"/>
      <c r="W26" s="52"/>
      <c r="X26" s="52"/>
      <c r="Y26" s="52"/>
      <c r="Z26" s="52"/>
      <c r="AA26" s="52"/>
    </row>
    <row r="27" spans="1:34" s="24" customFormat="1" ht="18" x14ac:dyDescent="0.25">
      <c r="A27" s="85" t="s">
        <v>13</v>
      </c>
      <c r="B27" s="85" t="s">
        <v>26</v>
      </c>
      <c r="C27" s="86"/>
      <c r="D27" s="86"/>
      <c r="E27" s="86"/>
      <c r="F27" s="86"/>
      <c r="G27" s="86"/>
      <c r="H27" s="86"/>
      <c r="I27" s="87"/>
      <c r="J27" s="87"/>
      <c r="K27" s="87"/>
      <c r="L27" s="87"/>
      <c r="M27" s="88"/>
      <c r="N27" s="88"/>
      <c r="O27" s="88"/>
      <c r="P27" s="88"/>
      <c r="Q27" s="88"/>
      <c r="R27" s="88"/>
      <c r="S27" s="88"/>
      <c r="T27" s="88"/>
      <c r="U27" s="88"/>
      <c r="V27" s="88"/>
      <c r="W27" s="88"/>
      <c r="X27" s="88"/>
      <c r="Y27" s="88"/>
      <c r="Z27" s="88"/>
      <c r="AA27" s="88"/>
      <c r="AB27" s="89"/>
    </row>
    <row r="28" spans="1:34" s="24" customFormat="1" x14ac:dyDescent="0.2">
      <c r="A28" s="25"/>
      <c r="B28" s="25"/>
      <c r="C28" s="25"/>
      <c r="D28" s="46"/>
      <c r="E28" s="25"/>
      <c r="F28" s="25"/>
      <c r="G28" s="25"/>
      <c r="H28" s="25"/>
      <c r="I28" s="51"/>
      <c r="J28" s="51"/>
      <c r="K28" s="51"/>
      <c r="L28" s="51"/>
      <c r="M28" s="51"/>
      <c r="N28" s="51"/>
      <c r="O28" s="51"/>
      <c r="P28" s="51"/>
      <c r="Q28" s="51"/>
      <c r="R28" s="51"/>
      <c r="S28" s="51"/>
      <c r="T28" s="51"/>
      <c r="U28" s="51"/>
      <c r="V28" s="51"/>
      <c r="W28" s="51"/>
      <c r="X28" s="51"/>
      <c r="Y28" s="51"/>
      <c r="Z28" s="51"/>
      <c r="AA28" s="51"/>
    </row>
    <row r="29" spans="1:34" s="24" customFormat="1" x14ac:dyDescent="0.2">
      <c r="A29" s="25"/>
      <c r="B29" s="249" t="s">
        <v>27</v>
      </c>
      <c r="C29" s="25"/>
      <c r="D29" s="46"/>
      <c r="E29" s="25"/>
      <c r="F29" s="25"/>
      <c r="G29" s="25"/>
      <c r="H29" s="25"/>
      <c r="I29" s="51"/>
      <c r="J29" s="51"/>
      <c r="K29" s="51"/>
      <c r="L29" s="51"/>
      <c r="M29" s="51"/>
      <c r="N29" s="51"/>
      <c r="O29" s="51"/>
      <c r="P29" s="51"/>
      <c r="Q29" s="51"/>
      <c r="R29" s="51"/>
      <c r="S29" s="51"/>
      <c r="T29" s="51"/>
      <c r="U29" s="51"/>
      <c r="V29" s="51"/>
      <c r="W29" s="51"/>
      <c r="X29" s="51"/>
      <c r="Y29" s="51"/>
      <c r="Z29" s="51"/>
      <c r="AA29" s="51"/>
    </row>
    <row r="30" spans="1:34" s="24" customFormat="1" x14ac:dyDescent="0.2">
      <c r="A30" s="25"/>
      <c r="B30" s="25"/>
      <c r="C30" s="25"/>
      <c r="D30" s="46"/>
      <c r="E30" s="25"/>
      <c r="F30" s="25"/>
      <c r="G30" s="25"/>
      <c r="H30" s="25"/>
      <c r="I30" s="51"/>
      <c r="J30" s="51"/>
      <c r="K30" s="51"/>
      <c r="L30" s="51"/>
      <c r="M30" s="51"/>
      <c r="N30" s="51"/>
      <c r="O30" s="51"/>
      <c r="P30" s="51"/>
      <c r="Q30" s="51"/>
      <c r="R30" s="51"/>
      <c r="S30" s="51"/>
      <c r="T30" s="51"/>
      <c r="U30" s="51"/>
      <c r="V30" s="51"/>
      <c r="W30" s="51"/>
      <c r="X30" s="51"/>
      <c r="Y30" s="51"/>
      <c r="Z30" s="51"/>
      <c r="AA30" s="51"/>
    </row>
    <row r="31" spans="1:34" s="24" customFormat="1" x14ac:dyDescent="0.2">
      <c r="A31" s="25"/>
      <c r="B31" s="25"/>
      <c r="C31" s="24" t="s">
        <v>28</v>
      </c>
      <c r="E31" s="24" t="s">
        <v>29</v>
      </c>
      <c r="F31" s="25" t="s">
        <v>30</v>
      </c>
      <c r="G31" s="24" t="s">
        <v>31</v>
      </c>
      <c r="H31" s="25"/>
      <c r="I31" s="90">
        <v>2892.6223878236751</v>
      </c>
    </row>
    <row r="32" spans="1:34" s="24" customFormat="1" x14ac:dyDescent="0.2">
      <c r="A32" s="25"/>
      <c r="B32" s="25"/>
      <c r="C32" s="24" t="s">
        <v>32</v>
      </c>
      <c r="E32" s="24" t="s">
        <v>29</v>
      </c>
      <c r="F32" s="25" t="s">
        <v>33</v>
      </c>
      <c r="G32" s="24" t="s">
        <v>31</v>
      </c>
      <c r="H32" s="25"/>
      <c r="I32" s="90">
        <v>3741.9912156121645</v>
      </c>
    </row>
    <row r="33" spans="1:28" s="24" customFormat="1" x14ac:dyDescent="0.2">
      <c r="A33" s="25"/>
      <c r="B33" s="25"/>
      <c r="C33" s="24" t="s">
        <v>34</v>
      </c>
      <c r="E33" s="24" t="s">
        <v>29</v>
      </c>
      <c r="F33" s="25" t="s">
        <v>35</v>
      </c>
      <c r="G33" s="24" t="s">
        <v>36</v>
      </c>
      <c r="H33" s="25"/>
      <c r="I33" s="100">
        <v>4.9711560000000037E-2</v>
      </c>
    </row>
    <row r="34" spans="1:28" s="24" customFormat="1" x14ac:dyDescent="0.2">
      <c r="A34" s="25"/>
      <c r="B34" s="25"/>
      <c r="C34" s="24" t="s">
        <v>37</v>
      </c>
      <c r="E34" s="24" t="s">
        <v>29</v>
      </c>
      <c r="F34" s="54"/>
      <c r="G34" s="24" t="s">
        <v>36</v>
      </c>
      <c r="H34" s="25"/>
      <c r="I34" s="100">
        <v>1.15E-2</v>
      </c>
    </row>
    <row r="35" spans="1:28" s="24" customFormat="1" x14ac:dyDescent="0.2">
      <c r="A35" s="25"/>
      <c r="B35" s="25"/>
      <c r="C35" s="25"/>
      <c r="D35" s="46"/>
      <c r="E35" s="25"/>
      <c r="F35" s="25"/>
      <c r="G35" s="25"/>
      <c r="H35" s="25"/>
      <c r="I35" s="51"/>
      <c r="J35" s="51"/>
      <c r="K35" s="51"/>
      <c r="L35" s="51"/>
      <c r="M35" s="51"/>
      <c r="N35" s="51"/>
      <c r="O35" s="51"/>
      <c r="P35" s="51"/>
      <c r="Q35" s="51"/>
      <c r="R35" s="51"/>
      <c r="S35" s="51"/>
      <c r="T35" s="51"/>
      <c r="U35" s="51"/>
      <c r="V35" s="51"/>
      <c r="W35" s="51"/>
      <c r="X35" s="51"/>
      <c r="Y35" s="51"/>
      <c r="Z35" s="51"/>
      <c r="AA35" s="51"/>
    </row>
    <row r="36" spans="1:28" s="24" customFormat="1" x14ac:dyDescent="0.2">
      <c r="A36" s="25"/>
      <c r="B36" s="25"/>
      <c r="C36" s="25" t="s">
        <v>38</v>
      </c>
      <c r="D36" s="25"/>
      <c r="E36" s="25" t="s">
        <v>29</v>
      </c>
      <c r="F36" s="25"/>
      <c r="G36" s="25" t="s">
        <v>31</v>
      </c>
      <c r="H36" s="25"/>
      <c r="I36" s="90">
        <v>146.23136635309655</v>
      </c>
    </row>
    <row r="37" spans="1:28" s="24" customFormat="1" x14ac:dyDescent="0.2">
      <c r="A37" s="25"/>
      <c r="B37" s="25"/>
      <c r="C37" s="25" t="s">
        <v>39</v>
      </c>
      <c r="D37" s="25"/>
      <c r="E37" s="25" t="s">
        <v>29</v>
      </c>
      <c r="F37" s="25"/>
      <c r="G37" s="25" t="s">
        <v>31</v>
      </c>
      <c r="H37" s="25"/>
      <c r="I37" s="90">
        <v>91.015978923215627</v>
      </c>
    </row>
    <row r="38" spans="1:28" s="24" customFormat="1" x14ac:dyDescent="0.2">
      <c r="A38" s="25"/>
      <c r="B38" s="25"/>
      <c r="C38" s="25" t="s">
        <v>40</v>
      </c>
      <c r="D38" s="25"/>
      <c r="E38" s="25" t="s">
        <v>29</v>
      </c>
      <c r="F38" s="25"/>
      <c r="G38" s="31" t="s">
        <v>31</v>
      </c>
      <c r="H38" s="25"/>
      <c r="I38" s="90">
        <v>0</v>
      </c>
    </row>
    <row r="39" spans="1:28" s="24" customFormat="1" x14ac:dyDescent="0.2">
      <c r="A39" s="25"/>
      <c r="B39" s="25"/>
      <c r="C39" s="25" t="s">
        <v>41</v>
      </c>
      <c r="D39" s="25"/>
      <c r="E39" s="25" t="s">
        <v>42</v>
      </c>
      <c r="F39" s="25"/>
      <c r="G39" s="25" t="s">
        <v>31</v>
      </c>
      <c r="H39" s="25"/>
      <c r="I39" s="90">
        <v>0</v>
      </c>
    </row>
    <row r="40" spans="1:28" s="24" customFormat="1" x14ac:dyDescent="0.2">
      <c r="A40" s="25"/>
      <c r="B40" s="25"/>
      <c r="C40" s="25"/>
      <c r="D40" s="25"/>
      <c r="E40" s="25"/>
      <c r="F40" s="25"/>
      <c r="G40" s="25"/>
      <c r="H40" s="25"/>
    </row>
    <row r="41" spans="1:28" s="24" customFormat="1" x14ac:dyDescent="0.2">
      <c r="A41" s="25"/>
      <c r="B41" s="25"/>
      <c r="C41" s="31" t="s">
        <v>43</v>
      </c>
      <c r="D41" s="25"/>
      <c r="E41" s="31" t="s">
        <v>29</v>
      </c>
      <c r="F41" s="25" t="s">
        <v>254</v>
      </c>
      <c r="G41" s="25" t="s">
        <v>44</v>
      </c>
      <c r="H41" s="25"/>
      <c r="M41" s="55"/>
      <c r="N41" s="55"/>
      <c r="O41" s="55"/>
      <c r="P41" s="55"/>
      <c r="Q41" s="55"/>
      <c r="R41" s="55"/>
      <c r="S41" s="55"/>
      <c r="T41" s="90">
        <v>-4.7058675801441723</v>
      </c>
      <c r="U41" s="90"/>
      <c r="V41" s="90"/>
      <c r="W41" s="90"/>
      <c r="X41" s="90"/>
      <c r="Y41" s="90"/>
      <c r="Z41" s="90"/>
      <c r="AA41" s="90"/>
    </row>
    <row r="42" spans="1:28" s="24" customFormat="1" x14ac:dyDescent="0.2">
      <c r="A42" s="25"/>
      <c r="B42" s="25"/>
      <c r="C42" s="25"/>
      <c r="D42" s="46"/>
      <c r="E42" s="25"/>
      <c r="F42" s="25"/>
      <c r="G42" s="25"/>
      <c r="H42" s="25"/>
      <c r="I42" s="51"/>
      <c r="J42" s="51"/>
      <c r="K42" s="51"/>
      <c r="L42" s="51"/>
      <c r="M42" s="51"/>
      <c r="N42" s="51"/>
      <c r="O42" s="51"/>
      <c r="P42" s="51"/>
      <c r="Q42" s="51"/>
      <c r="R42" s="51"/>
      <c r="S42" s="51"/>
      <c r="T42" s="51"/>
      <c r="U42" s="51"/>
      <c r="V42" s="51"/>
      <c r="W42" s="51"/>
      <c r="X42" s="51"/>
      <c r="Y42" s="51"/>
      <c r="Z42" s="51"/>
      <c r="AA42" s="51"/>
    </row>
    <row r="43" spans="1:28" s="24" customFormat="1" ht="18" x14ac:dyDescent="0.25">
      <c r="A43" s="85" t="s">
        <v>13</v>
      </c>
      <c r="B43" s="85" t="s">
        <v>45</v>
      </c>
      <c r="C43" s="86"/>
      <c r="D43" s="86"/>
      <c r="E43" s="86"/>
      <c r="F43" s="86"/>
      <c r="G43" s="86"/>
      <c r="H43" s="86"/>
      <c r="I43" s="87"/>
      <c r="J43" s="87"/>
      <c r="K43" s="87"/>
      <c r="L43" s="87"/>
      <c r="M43" s="88"/>
      <c r="N43" s="88"/>
      <c r="O43" s="88"/>
      <c r="P43" s="88"/>
      <c r="Q43" s="88"/>
      <c r="R43" s="88"/>
      <c r="S43" s="88"/>
      <c r="T43" s="88"/>
      <c r="U43" s="88"/>
      <c r="V43" s="88"/>
      <c r="W43" s="88"/>
      <c r="X43" s="88"/>
      <c r="Y43" s="88"/>
      <c r="Z43" s="88"/>
      <c r="AA43" s="88"/>
      <c r="AB43" s="89"/>
    </row>
    <row r="44" spans="1:28" s="24" customFormat="1" x14ac:dyDescent="0.2">
      <c r="A44" s="25"/>
      <c r="B44" s="25"/>
      <c r="C44" s="25"/>
      <c r="D44" s="46"/>
      <c r="E44" s="25"/>
      <c r="F44" s="25"/>
      <c r="G44" s="25"/>
      <c r="H44" s="25"/>
      <c r="I44" s="51"/>
      <c r="J44" s="51"/>
      <c r="K44" s="51"/>
      <c r="L44" s="51"/>
      <c r="M44" s="51"/>
      <c r="N44" s="51"/>
      <c r="O44" s="51"/>
      <c r="P44" s="51"/>
      <c r="Q44" s="51"/>
      <c r="R44" s="51"/>
      <c r="S44" s="51"/>
      <c r="T44" s="51"/>
      <c r="U44" s="51"/>
      <c r="V44" s="51"/>
      <c r="W44" s="51"/>
      <c r="X44" s="51"/>
      <c r="Y44" s="51"/>
      <c r="Z44" s="51"/>
      <c r="AA44" s="51"/>
    </row>
    <row r="45" spans="1:28" s="24" customFormat="1" x14ac:dyDescent="0.2">
      <c r="A45" s="25"/>
      <c r="B45" s="250" t="s">
        <v>46</v>
      </c>
      <c r="C45" s="25"/>
      <c r="D45" s="46"/>
      <c r="E45" s="25"/>
      <c r="F45" s="25"/>
      <c r="G45" s="25"/>
      <c r="H45" s="25"/>
      <c r="I45" s="51"/>
      <c r="J45" s="51"/>
      <c r="K45" s="51"/>
      <c r="L45" s="51"/>
      <c r="M45" s="51"/>
      <c r="N45" s="51"/>
      <c r="O45" s="51"/>
      <c r="P45" s="51"/>
      <c r="Q45" s="51"/>
      <c r="R45" s="51"/>
      <c r="S45" s="51"/>
      <c r="T45" s="51"/>
      <c r="U45" s="51"/>
      <c r="V45" s="51"/>
      <c r="W45" s="51"/>
      <c r="X45" s="51"/>
      <c r="Y45" s="51"/>
      <c r="Z45" s="51"/>
      <c r="AA45" s="51"/>
    </row>
    <row r="46" spans="1:28" s="24" customFormat="1" x14ac:dyDescent="0.2">
      <c r="A46" s="25"/>
      <c r="B46" s="250" t="s">
        <v>47</v>
      </c>
      <c r="C46" s="25"/>
      <c r="D46" s="46"/>
      <c r="E46" s="25"/>
      <c r="F46" s="25"/>
      <c r="G46" s="25"/>
      <c r="H46" s="25"/>
      <c r="I46" s="51"/>
      <c r="J46" s="51"/>
      <c r="K46" s="51"/>
      <c r="L46" s="51"/>
      <c r="M46" s="51"/>
      <c r="N46" s="51"/>
      <c r="O46" s="51"/>
      <c r="P46" s="51"/>
      <c r="Q46" s="51"/>
      <c r="R46" s="51"/>
      <c r="S46" s="51"/>
      <c r="T46" s="51"/>
      <c r="U46" s="51"/>
      <c r="V46" s="51"/>
      <c r="W46" s="51"/>
      <c r="X46" s="51"/>
      <c r="Y46" s="51"/>
      <c r="Z46" s="51"/>
      <c r="AA46" s="51"/>
    </row>
    <row r="47" spans="1:28" s="24" customFormat="1" x14ac:dyDescent="0.2"/>
    <row r="48" spans="1:28" s="24" customFormat="1" x14ac:dyDescent="0.2">
      <c r="A48" s="25"/>
      <c r="B48" s="25"/>
      <c r="C48" s="25" t="s">
        <v>48</v>
      </c>
      <c r="D48" s="46"/>
      <c r="E48" s="25" t="s">
        <v>49</v>
      </c>
      <c r="F48" s="25" t="s">
        <v>50</v>
      </c>
      <c r="G48" s="25" t="s">
        <v>36</v>
      </c>
      <c r="H48" s="25"/>
      <c r="I48" s="100">
        <v>0.376</v>
      </c>
    </row>
    <row r="49" spans="1:34" s="24" customFormat="1" x14ac:dyDescent="0.2">
      <c r="A49" s="25"/>
      <c r="B49" s="25"/>
      <c r="C49" s="25" t="s">
        <v>51</v>
      </c>
      <c r="D49" s="25"/>
      <c r="E49" s="25" t="s">
        <v>49</v>
      </c>
      <c r="F49" s="25" t="s">
        <v>52</v>
      </c>
      <c r="G49" s="31" t="s">
        <v>31</v>
      </c>
      <c r="H49" s="25"/>
      <c r="I49" s="90">
        <v>4.8</v>
      </c>
    </row>
    <row r="50" spans="1:34" s="24" customFormat="1" x14ac:dyDescent="0.2">
      <c r="A50" s="25"/>
      <c r="B50" s="25"/>
      <c r="C50" s="25" t="s">
        <v>53</v>
      </c>
      <c r="D50" s="56"/>
      <c r="E50" s="25" t="s">
        <v>49</v>
      </c>
      <c r="F50" s="31"/>
      <c r="G50" s="25" t="s">
        <v>44</v>
      </c>
      <c r="H50" s="56"/>
      <c r="I50" s="99">
        <v>18.972999999999999</v>
      </c>
      <c r="J50" s="57"/>
      <c r="K50" s="57"/>
      <c r="L50" s="57"/>
      <c r="M50" s="58"/>
      <c r="N50" s="58"/>
      <c r="O50" s="58"/>
      <c r="P50" s="58"/>
      <c r="Q50" s="58"/>
      <c r="R50" s="58"/>
      <c r="S50" s="58"/>
      <c r="T50" s="58"/>
      <c r="U50" s="58"/>
      <c r="V50" s="58"/>
      <c r="W50" s="58"/>
      <c r="X50" s="58"/>
      <c r="Y50" s="58"/>
      <c r="Z50" s="58"/>
      <c r="AA50" s="58"/>
      <c r="AB50" s="59"/>
    </row>
    <row r="51" spans="1:34" s="24" customFormat="1" ht="15" x14ac:dyDescent="0.2">
      <c r="A51" s="25"/>
      <c r="B51" s="25"/>
      <c r="C51" s="25" t="s">
        <v>54</v>
      </c>
      <c r="D51" s="25"/>
      <c r="E51" s="25" t="s">
        <v>49</v>
      </c>
      <c r="F51" s="25"/>
      <c r="G51" s="25" t="s">
        <v>55</v>
      </c>
      <c r="H51" s="25"/>
      <c r="I51" s="99">
        <v>7</v>
      </c>
      <c r="J51" s="51"/>
      <c r="K51" s="51"/>
      <c r="L51" s="51"/>
      <c r="M51" s="60"/>
      <c r="N51" s="60"/>
      <c r="O51" s="61"/>
      <c r="Q51" s="60"/>
      <c r="R51" s="60"/>
      <c r="S51" s="60"/>
      <c r="T51" s="60"/>
      <c r="U51" s="60"/>
      <c r="V51" s="60"/>
      <c r="W51" s="60"/>
      <c r="X51" s="60"/>
      <c r="Y51" s="60"/>
      <c r="Z51" s="60"/>
      <c r="AA51" s="60"/>
    </row>
    <row r="52" spans="1:34" s="24" customFormat="1" x14ac:dyDescent="0.2">
      <c r="A52" s="25"/>
      <c r="B52" s="25"/>
      <c r="C52" s="25" t="s">
        <v>56</v>
      </c>
      <c r="D52" s="25"/>
      <c r="E52" s="25" t="s">
        <v>49</v>
      </c>
      <c r="F52" s="25"/>
      <c r="G52" s="25" t="s">
        <v>55</v>
      </c>
      <c r="H52" s="25"/>
      <c r="I52" s="99">
        <v>20</v>
      </c>
      <c r="J52" s="51"/>
      <c r="K52" s="51"/>
      <c r="L52" s="51"/>
      <c r="M52" s="60"/>
      <c r="N52" s="60"/>
      <c r="O52" s="60"/>
      <c r="P52" s="60"/>
      <c r="Q52" s="60"/>
      <c r="R52" s="60"/>
      <c r="S52" s="60"/>
      <c r="T52" s="60"/>
      <c r="U52" s="60"/>
      <c r="V52" s="60"/>
      <c r="W52" s="60"/>
      <c r="X52" s="60"/>
      <c r="Y52" s="60"/>
      <c r="Z52" s="60"/>
      <c r="AA52" s="60"/>
    </row>
    <row r="53" spans="1:34" s="24" customFormat="1" x14ac:dyDescent="0.2">
      <c r="A53" s="25"/>
      <c r="B53" s="25"/>
      <c r="C53" s="25"/>
      <c r="D53" s="46"/>
      <c r="E53" s="25"/>
      <c r="F53" s="25"/>
      <c r="G53" s="25"/>
      <c r="H53" s="25"/>
      <c r="I53" s="51"/>
      <c r="J53" s="51"/>
      <c r="K53" s="51"/>
      <c r="L53" s="51"/>
      <c r="M53" s="51"/>
      <c r="N53" s="51"/>
      <c r="O53" s="51"/>
      <c r="P53" s="51"/>
      <c r="Q53" s="51"/>
      <c r="R53" s="51"/>
      <c r="S53" s="51"/>
      <c r="T53" s="51"/>
      <c r="U53" s="51"/>
      <c r="V53" s="51"/>
      <c r="W53" s="51"/>
      <c r="X53" s="51"/>
      <c r="Y53" s="51"/>
      <c r="Z53" s="51"/>
      <c r="AA53" s="51"/>
    </row>
    <row r="54" spans="1:34" s="24" customFormat="1" x14ac:dyDescent="0.2">
      <c r="A54" s="25"/>
      <c r="B54" s="25"/>
      <c r="C54" s="25" t="s">
        <v>57</v>
      </c>
      <c r="D54" s="25"/>
      <c r="E54" s="25" t="s">
        <v>58</v>
      </c>
      <c r="F54" s="31"/>
      <c r="G54" s="25" t="s">
        <v>44</v>
      </c>
      <c r="H54" s="25"/>
      <c r="I54" s="51"/>
      <c r="J54" s="51"/>
      <c r="K54" s="51"/>
      <c r="L54" s="51"/>
      <c r="M54" s="99">
        <v>51.202754284834377</v>
      </c>
      <c r="N54" s="99">
        <v>60.288958800578214</v>
      </c>
      <c r="O54" s="99">
        <v>54.918379557716989</v>
      </c>
      <c r="P54" s="99">
        <v>53.789966850148303</v>
      </c>
      <c r="Q54" s="99">
        <v>89.636487606780619</v>
      </c>
      <c r="R54" s="99">
        <v>85.980683991483914</v>
      </c>
      <c r="S54" s="99">
        <v>110.35731323183926</v>
      </c>
      <c r="T54" s="62"/>
      <c r="U54" s="62"/>
      <c r="V54" s="62"/>
      <c r="W54" s="62"/>
      <c r="X54" s="62"/>
      <c r="Y54" s="62"/>
      <c r="Z54" s="62"/>
      <c r="AA54" s="62"/>
    </row>
    <row r="55" spans="1:34" s="24" customFormat="1" x14ac:dyDescent="0.2">
      <c r="A55" s="25"/>
      <c r="B55" s="25"/>
      <c r="C55" s="25" t="s">
        <v>59</v>
      </c>
      <c r="D55" s="25"/>
      <c r="E55" s="25" t="s">
        <v>58</v>
      </c>
      <c r="F55" s="25" t="s">
        <v>60</v>
      </c>
      <c r="G55" s="25" t="s">
        <v>61</v>
      </c>
      <c r="H55" s="25"/>
      <c r="I55" s="51"/>
      <c r="J55" s="51"/>
      <c r="K55" s="51"/>
      <c r="L55" s="63"/>
      <c r="M55" s="99">
        <v>274.90833333333336</v>
      </c>
      <c r="N55" s="99">
        <v>283.30833333333334</v>
      </c>
      <c r="O55" s="99">
        <v>290.64166666666665</v>
      </c>
      <c r="P55" s="99">
        <v>294.16666666666669</v>
      </c>
      <c r="Q55" s="99">
        <v>307.32821397646848</v>
      </c>
      <c r="R55" s="99">
        <v>334.29358180068937</v>
      </c>
      <c r="S55" s="99">
        <v>352.83651735739545</v>
      </c>
      <c r="T55" s="64"/>
      <c r="U55" s="64"/>
      <c r="V55" s="64"/>
      <c r="W55" s="64"/>
      <c r="X55" s="64"/>
      <c r="Y55" s="64"/>
      <c r="Z55" s="64"/>
      <c r="AA55" s="64"/>
    </row>
    <row r="56" spans="1:34" s="24" customFormat="1" ht="18.75" x14ac:dyDescent="0.2">
      <c r="A56" s="25"/>
      <c r="B56" s="25"/>
      <c r="C56" s="25" t="s">
        <v>62</v>
      </c>
      <c r="D56" s="25"/>
      <c r="E56" s="25" t="s">
        <v>58</v>
      </c>
      <c r="F56" s="25" t="s">
        <v>255</v>
      </c>
      <c r="G56" s="25" t="str">
        <f>Inputs!G$55</f>
        <v>1987 = 100</v>
      </c>
      <c r="H56" s="25"/>
      <c r="I56" s="93">
        <v>357.54583432417797</v>
      </c>
    </row>
    <row r="57" spans="1:34" s="24" customFormat="1" x14ac:dyDescent="0.2">
      <c r="B57" s="25"/>
      <c r="C57" s="25" t="s">
        <v>63</v>
      </c>
      <c r="D57" s="25"/>
      <c r="E57" s="25" t="s">
        <v>58</v>
      </c>
      <c r="F57" s="25" t="s">
        <v>64</v>
      </c>
      <c r="G57" s="25" t="s">
        <v>31</v>
      </c>
      <c r="H57" s="25"/>
      <c r="I57" s="99">
        <v>7.5320627080056592</v>
      </c>
    </row>
    <row r="58" spans="1:34" s="24" customFormat="1" x14ac:dyDescent="0.2">
      <c r="A58" s="25"/>
      <c r="B58" s="25"/>
      <c r="C58" s="25" t="s">
        <v>65</v>
      </c>
      <c r="D58" s="25"/>
      <c r="E58" s="25" t="s">
        <v>58</v>
      </c>
      <c r="F58" s="25" t="s">
        <v>66</v>
      </c>
      <c r="G58" s="25" t="s">
        <v>31</v>
      </c>
      <c r="H58" s="25"/>
      <c r="I58" s="99">
        <v>-35.959595353933558</v>
      </c>
    </row>
    <row r="59" spans="1:34" s="24" customFormat="1" x14ac:dyDescent="0.2">
      <c r="A59" s="25"/>
      <c r="B59" s="25"/>
      <c r="C59" s="25" t="s">
        <v>67</v>
      </c>
      <c r="D59" s="25"/>
      <c r="E59" s="25" t="s">
        <v>58</v>
      </c>
      <c r="F59" s="25" t="s">
        <v>68</v>
      </c>
      <c r="G59" s="25" t="s">
        <v>31</v>
      </c>
      <c r="H59" s="25"/>
      <c r="I59" s="99">
        <v>1.4826468121243528</v>
      </c>
    </row>
    <row r="60" spans="1:34" s="24" customFormat="1" x14ac:dyDescent="0.2">
      <c r="A60" s="25"/>
      <c r="B60" s="48"/>
      <c r="C60" s="31" t="s">
        <v>69</v>
      </c>
      <c r="D60" s="25"/>
      <c r="E60" s="25" t="s">
        <v>58</v>
      </c>
      <c r="F60" s="50"/>
      <c r="G60" s="50" t="str">
        <f>Inputs!G$25</f>
        <v>% annual, real</v>
      </c>
      <c r="H60" s="31"/>
      <c r="I60" s="95">
        <v>5.6715825600000006E-2</v>
      </c>
      <c r="J60" s="65"/>
      <c r="K60" s="65"/>
      <c r="L60" s="65"/>
      <c r="M60" s="59"/>
      <c r="N60" s="59"/>
      <c r="O60" s="59"/>
      <c r="P60" s="59"/>
      <c r="Q60" s="59"/>
      <c r="R60" s="59"/>
      <c r="S60" s="59"/>
      <c r="T60" s="59"/>
      <c r="U60" s="59"/>
      <c r="V60" s="59"/>
      <c r="W60" s="59"/>
      <c r="X60" s="59"/>
      <c r="Y60" s="59"/>
      <c r="Z60" s="59"/>
      <c r="AA60" s="59"/>
      <c r="AB60" s="65"/>
    </row>
    <row r="61" spans="1:34" s="24" customFormat="1" x14ac:dyDescent="0.2">
      <c r="A61" s="25"/>
      <c r="B61" s="25"/>
      <c r="C61" s="25"/>
      <c r="D61" s="25"/>
      <c r="E61" s="25"/>
      <c r="F61" s="25"/>
      <c r="G61" s="25"/>
      <c r="H61" s="25"/>
    </row>
    <row r="62" spans="1:34" s="24" customFormat="1" ht="18" x14ac:dyDescent="0.25">
      <c r="A62" s="85" t="s">
        <v>13</v>
      </c>
      <c r="B62" s="85" t="s">
        <v>70</v>
      </c>
      <c r="C62" s="86"/>
      <c r="D62" s="86"/>
      <c r="E62" s="86"/>
      <c r="F62" s="86"/>
      <c r="G62" s="86"/>
      <c r="H62" s="86"/>
      <c r="I62" s="87"/>
      <c r="J62" s="87"/>
      <c r="K62" s="87"/>
      <c r="L62" s="87"/>
      <c r="M62" s="87"/>
      <c r="N62" s="87"/>
      <c r="O62" s="87"/>
      <c r="P62" s="87"/>
      <c r="Q62" s="87"/>
      <c r="R62" s="87"/>
      <c r="S62" s="87"/>
      <c r="T62" s="87"/>
      <c r="U62" s="87"/>
      <c r="V62" s="87"/>
      <c r="W62" s="87"/>
      <c r="X62" s="87"/>
      <c r="Y62" s="87"/>
      <c r="Z62" s="87"/>
      <c r="AA62" s="87"/>
      <c r="AB62" s="87"/>
      <c r="AC62" s="47"/>
      <c r="AD62" s="47"/>
      <c r="AE62" s="47"/>
      <c r="AF62" s="47"/>
      <c r="AG62" s="47"/>
      <c r="AH62" s="47"/>
    </row>
    <row r="63" spans="1:34" s="24" customFormat="1" x14ac:dyDescent="0.2">
      <c r="A63" s="25"/>
      <c r="B63" s="25"/>
      <c r="C63" s="25"/>
      <c r="D63" s="25"/>
      <c r="E63" s="25"/>
      <c r="F63" s="25"/>
      <c r="G63" s="25"/>
      <c r="H63" s="25"/>
      <c r="I63" s="51"/>
      <c r="J63" s="51"/>
      <c r="K63" s="51"/>
      <c r="L63" s="51"/>
      <c r="M63" s="52"/>
      <c r="N63" s="52"/>
      <c r="O63" s="52"/>
      <c r="P63" s="52"/>
      <c r="Q63" s="52"/>
      <c r="R63" s="52"/>
      <c r="S63" s="52"/>
      <c r="T63" s="52"/>
      <c r="U63" s="52"/>
      <c r="V63" s="52"/>
      <c r="W63" s="52"/>
      <c r="X63" s="52"/>
      <c r="Y63" s="52"/>
      <c r="Z63" s="52"/>
      <c r="AA63" s="52"/>
    </row>
    <row r="64" spans="1:34" s="24" customFormat="1" x14ac:dyDescent="0.2">
      <c r="A64" s="25"/>
      <c r="B64" s="249" t="s">
        <v>71</v>
      </c>
      <c r="C64" s="25"/>
      <c r="D64" s="25"/>
      <c r="E64" s="25"/>
      <c r="F64" s="25"/>
      <c r="G64" s="25"/>
      <c r="H64" s="25"/>
      <c r="I64" s="51"/>
      <c r="J64" s="51"/>
      <c r="K64" s="51"/>
      <c r="L64" s="51"/>
      <c r="M64" s="52"/>
      <c r="N64" s="52"/>
      <c r="O64" s="52"/>
      <c r="P64" s="52"/>
      <c r="Q64" s="52"/>
      <c r="R64" s="52"/>
      <c r="S64" s="52"/>
      <c r="T64" s="52"/>
      <c r="U64" s="52"/>
      <c r="V64" s="52"/>
      <c r="W64" s="52"/>
      <c r="X64" s="52"/>
      <c r="Y64" s="52"/>
      <c r="Z64" s="52"/>
      <c r="AA64" s="52"/>
    </row>
    <row r="65" spans="1:27" s="24" customFormat="1" x14ac:dyDescent="0.2">
      <c r="A65" s="25"/>
      <c r="B65" s="25"/>
      <c r="C65" s="25"/>
      <c r="D65" s="25"/>
      <c r="E65" s="25"/>
      <c r="F65" s="25"/>
      <c r="G65" s="25"/>
      <c r="H65" s="25"/>
      <c r="I65" s="51"/>
      <c r="J65" s="51"/>
      <c r="K65" s="51"/>
      <c r="L65" s="51"/>
      <c r="M65" s="51"/>
      <c r="N65" s="51"/>
      <c r="O65" s="51"/>
      <c r="P65" s="51"/>
      <c r="Q65" s="51"/>
      <c r="R65" s="51"/>
      <c r="S65" s="51"/>
      <c r="T65" s="51"/>
      <c r="U65" s="51"/>
      <c r="V65" s="51"/>
      <c r="W65" s="51"/>
      <c r="X65" s="51"/>
      <c r="Y65" s="51"/>
      <c r="Z65" s="51"/>
      <c r="AA65" s="51"/>
    </row>
    <row r="66" spans="1:27" s="24" customFormat="1" x14ac:dyDescent="0.2">
      <c r="A66" s="25"/>
      <c r="B66" s="25"/>
      <c r="C66" s="25" t="s">
        <v>72</v>
      </c>
      <c r="D66" s="25"/>
      <c r="E66" s="25" t="s">
        <v>73</v>
      </c>
      <c r="F66" s="25"/>
      <c r="G66" s="25" t="s">
        <v>74</v>
      </c>
      <c r="H66" s="25"/>
      <c r="I66" s="96">
        <v>45474</v>
      </c>
      <c r="J66" s="51"/>
      <c r="K66" s="51"/>
      <c r="L66" s="51"/>
      <c r="M66" s="51"/>
      <c r="N66" s="51"/>
      <c r="O66" s="51"/>
      <c r="P66" s="51"/>
      <c r="Q66" s="51"/>
      <c r="R66" s="51"/>
      <c r="S66" s="51"/>
      <c r="T66" s="51"/>
      <c r="U66" s="51"/>
      <c r="V66" s="51"/>
      <c r="W66" s="51"/>
      <c r="X66" s="51"/>
      <c r="Y66" s="51"/>
      <c r="Z66" s="51"/>
      <c r="AA66" s="51"/>
    </row>
    <row r="67" spans="1:27" s="24" customFormat="1" x14ac:dyDescent="0.2">
      <c r="A67" s="25"/>
      <c r="B67" s="25"/>
      <c r="C67" s="25"/>
      <c r="D67" s="25"/>
      <c r="E67" s="25"/>
      <c r="F67" s="25"/>
      <c r="G67" s="25"/>
      <c r="H67" s="25"/>
      <c r="I67" s="51"/>
      <c r="J67" s="51"/>
      <c r="K67" s="51"/>
      <c r="L67" s="51"/>
      <c r="M67" s="51"/>
      <c r="N67" s="51"/>
      <c r="O67" s="51"/>
      <c r="P67" s="51"/>
      <c r="Q67" s="51"/>
      <c r="R67" s="51"/>
      <c r="S67" s="51"/>
      <c r="T67" s="51"/>
      <c r="U67" s="51"/>
      <c r="V67" s="51"/>
      <c r="W67" s="51"/>
      <c r="X67" s="51"/>
      <c r="Y67" s="51"/>
      <c r="Z67" s="51"/>
      <c r="AA67" s="51"/>
    </row>
    <row r="68" spans="1:27" s="24" customFormat="1" ht="15" x14ac:dyDescent="0.2">
      <c r="A68" s="25"/>
      <c r="B68" s="25"/>
      <c r="C68" s="28" t="s">
        <v>75</v>
      </c>
      <c r="D68" s="25"/>
      <c r="E68" s="25"/>
      <c r="F68" s="25"/>
      <c r="G68" s="25"/>
      <c r="H68" s="25"/>
      <c r="I68" s="51"/>
      <c r="J68" s="51"/>
      <c r="K68" s="51"/>
      <c r="L68" s="51"/>
      <c r="M68" s="51"/>
      <c r="N68" s="51"/>
      <c r="O68" s="51"/>
      <c r="P68" s="51"/>
      <c r="Q68" s="51"/>
      <c r="R68" s="51"/>
      <c r="S68" s="51"/>
      <c r="T68" s="51"/>
      <c r="U68" s="51"/>
      <c r="V68" s="51"/>
      <c r="W68" s="51"/>
      <c r="X68" s="51"/>
      <c r="Y68" s="51"/>
      <c r="Z68" s="51"/>
      <c r="AA68" s="51"/>
    </row>
    <row r="69" spans="1:27" s="24" customFormat="1" x14ac:dyDescent="0.2">
      <c r="A69" s="25"/>
      <c r="B69" s="25"/>
      <c r="C69" s="25"/>
      <c r="D69" s="66" t="s">
        <v>76</v>
      </c>
      <c r="E69" s="66" t="str">
        <f>"ONS (" &amp; TEXT(I$66, "mmm yyyy") &amp; ")"</f>
        <v>ONS (Jul 2024)</v>
      </c>
      <c r="F69" s="66" t="s">
        <v>77</v>
      </c>
      <c r="G69" s="66" t="s">
        <v>78</v>
      </c>
      <c r="H69" s="66"/>
      <c r="I69" s="67"/>
      <c r="J69" s="67"/>
      <c r="K69" s="67"/>
      <c r="L69" s="67"/>
      <c r="M69" s="68"/>
      <c r="N69" s="68"/>
      <c r="O69" s="68"/>
      <c r="P69" s="68"/>
      <c r="Q69" s="68"/>
      <c r="R69" s="68"/>
      <c r="S69" s="68"/>
      <c r="T69" s="98">
        <v>132.19999999999999</v>
      </c>
      <c r="U69" s="98"/>
      <c r="V69" s="98"/>
      <c r="W69" s="98"/>
      <c r="X69" s="98"/>
      <c r="Y69" s="98"/>
      <c r="Z69" s="98"/>
      <c r="AA69" s="98"/>
    </row>
    <row r="70" spans="1:27" s="24" customFormat="1" x14ac:dyDescent="0.2">
      <c r="A70" s="25"/>
      <c r="B70" s="25"/>
      <c r="C70" s="25"/>
      <c r="D70" s="31" t="s">
        <v>79</v>
      </c>
      <c r="E70" s="31" t="str">
        <f>"ONS (" &amp; TEXT(I$66, "mmm yyyy") &amp; ")"</f>
        <v>ONS (Jul 2024)</v>
      </c>
      <c r="F70" s="31" t="s">
        <v>77</v>
      </c>
      <c r="G70" s="31" t="s">
        <v>78</v>
      </c>
      <c r="H70" s="31"/>
      <c r="I70" s="63"/>
      <c r="J70" s="63"/>
      <c r="K70" s="63"/>
      <c r="L70" s="63"/>
      <c r="M70" s="64"/>
      <c r="N70" s="64"/>
      <c r="O70" s="64"/>
      <c r="P70" s="64"/>
      <c r="Q70" s="64"/>
      <c r="R70" s="64"/>
      <c r="S70" s="64"/>
      <c r="T70" s="99">
        <v>132.69999999999999</v>
      </c>
      <c r="U70" s="99"/>
      <c r="V70" s="99"/>
      <c r="W70" s="99"/>
      <c r="X70" s="99"/>
      <c r="Y70" s="99"/>
      <c r="Z70" s="99"/>
      <c r="AA70" s="99"/>
    </row>
    <row r="71" spans="1:27" s="24" customFormat="1" x14ac:dyDescent="0.2">
      <c r="A71" s="25"/>
      <c r="B71" s="25"/>
      <c r="C71" s="25"/>
      <c r="D71" s="31" t="s">
        <v>80</v>
      </c>
      <c r="E71" s="31" t="str">
        <f t="shared" ref="E71:E80" si="4">"ONS (" &amp; TEXT(I$66, "mmm yyyy") &amp; ")"</f>
        <v>ONS (Jul 2024)</v>
      </c>
      <c r="F71" s="31" t="s">
        <v>77</v>
      </c>
      <c r="G71" s="31" t="s">
        <v>78</v>
      </c>
      <c r="H71" s="31"/>
      <c r="I71" s="63"/>
      <c r="J71" s="63"/>
      <c r="K71" s="63"/>
      <c r="L71" s="63"/>
      <c r="M71" s="64"/>
      <c r="N71" s="64"/>
      <c r="O71" s="64"/>
      <c r="P71" s="64"/>
      <c r="Q71" s="64"/>
      <c r="R71" s="64"/>
      <c r="S71" s="64"/>
      <c r="T71" s="99">
        <v>133</v>
      </c>
      <c r="U71" s="99"/>
      <c r="V71" s="99"/>
      <c r="W71" s="99"/>
      <c r="X71" s="99"/>
      <c r="Y71" s="99"/>
      <c r="Z71" s="99"/>
      <c r="AA71" s="99"/>
    </row>
    <row r="72" spans="1:27" s="24" customFormat="1" x14ac:dyDescent="0.2">
      <c r="A72" s="25"/>
      <c r="B72" s="25"/>
      <c r="C72" s="25"/>
      <c r="D72" s="31" t="s">
        <v>81</v>
      </c>
      <c r="E72" s="31" t="str">
        <f t="shared" si="4"/>
        <v>ONS (Jul 2024)</v>
      </c>
      <c r="F72" s="31" t="s">
        <v>77</v>
      </c>
      <c r="G72" s="31" t="s">
        <v>78</v>
      </c>
      <c r="H72" s="31"/>
      <c r="I72" s="63"/>
      <c r="J72" s="63"/>
      <c r="K72" s="63"/>
      <c r="L72" s="63"/>
      <c r="M72" s="64"/>
      <c r="N72" s="64"/>
      <c r="O72" s="64"/>
      <c r="P72" s="64"/>
      <c r="Q72" s="64"/>
      <c r="R72" s="64"/>
      <c r="S72" s="64"/>
      <c r="T72" s="99"/>
      <c r="U72" s="99"/>
      <c r="V72" s="99"/>
      <c r="W72" s="99"/>
      <c r="X72" s="99"/>
      <c r="Y72" s="99"/>
      <c r="Z72" s="99"/>
      <c r="AA72" s="99"/>
    </row>
    <row r="73" spans="1:27" s="24" customFormat="1" x14ac:dyDescent="0.2">
      <c r="A73" s="25"/>
      <c r="B73" s="25"/>
      <c r="C73" s="25"/>
      <c r="D73" s="31" t="s">
        <v>82</v>
      </c>
      <c r="E73" s="31" t="str">
        <f t="shared" si="4"/>
        <v>ONS (Jul 2024)</v>
      </c>
      <c r="F73" s="31" t="s">
        <v>77</v>
      </c>
      <c r="G73" s="31" t="s">
        <v>78</v>
      </c>
      <c r="H73" s="31"/>
      <c r="I73" s="63"/>
      <c r="J73" s="63"/>
      <c r="K73" s="63"/>
      <c r="L73" s="63"/>
      <c r="M73" s="64"/>
      <c r="N73" s="64"/>
      <c r="O73" s="64"/>
      <c r="P73" s="64"/>
      <c r="Q73" s="64"/>
      <c r="R73" s="64"/>
      <c r="S73" s="64"/>
      <c r="T73" s="99"/>
      <c r="U73" s="99"/>
      <c r="V73" s="99"/>
      <c r="W73" s="99"/>
      <c r="X73" s="99"/>
      <c r="Y73" s="99"/>
      <c r="Z73" s="99"/>
      <c r="AA73" s="99"/>
    </row>
    <row r="74" spans="1:27" s="24" customFormat="1" x14ac:dyDescent="0.2">
      <c r="A74" s="25"/>
      <c r="B74" s="25"/>
      <c r="C74" s="25"/>
      <c r="D74" s="31" t="s">
        <v>83</v>
      </c>
      <c r="E74" s="31" t="str">
        <f t="shared" si="4"/>
        <v>ONS (Jul 2024)</v>
      </c>
      <c r="F74" s="31" t="s">
        <v>77</v>
      </c>
      <c r="G74" s="31" t="s">
        <v>78</v>
      </c>
      <c r="H74" s="31"/>
      <c r="I74" s="63"/>
      <c r="J74" s="63"/>
      <c r="K74" s="63"/>
      <c r="L74" s="63"/>
      <c r="M74" s="64"/>
      <c r="N74" s="64"/>
      <c r="O74" s="64"/>
      <c r="P74" s="64"/>
      <c r="Q74" s="64"/>
      <c r="R74" s="64"/>
      <c r="S74" s="64"/>
      <c r="T74" s="99"/>
      <c r="U74" s="99"/>
      <c r="V74" s="99"/>
      <c r="W74" s="99"/>
      <c r="X74" s="99"/>
      <c r="Y74" s="99"/>
      <c r="Z74" s="99"/>
      <c r="AA74" s="99"/>
    </row>
    <row r="75" spans="1:27" s="24" customFormat="1" x14ac:dyDescent="0.2">
      <c r="A75" s="25"/>
      <c r="B75" s="25"/>
      <c r="C75" s="25"/>
      <c r="D75" s="31" t="s">
        <v>84</v>
      </c>
      <c r="E75" s="31" t="str">
        <f t="shared" si="4"/>
        <v>ONS (Jul 2024)</v>
      </c>
      <c r="F75" s="31" t="s">
        <v>77</v>
      </c>
      <c r="G75" s="31" t="s">
        <v>78</v>
      </c>
      <c r="H75" s="31"/>
      <c r="I75" s="63"/>
      <c r="J75" s="63"/>
      <c r="K75" s="63"/>
      <c r="L75" s="63"/>
      <c r="M75" s="64"/>
      <c r="N75" s="64"/>
      <c r="O75" s="64"/>
      <c r="P75" s="64"/>
      <c r="Q75" s="64"/>
      <c r="R75" s="64"/>
      <c r="S75" s="64"/>
      <c r="T75" s="99"/>
      <c r="U75" s="99"/>
      <c r="V75" s="99"/>
      <c r="W75" s="99"/>
      <c r="X75" s="99"/>
      <c r="Y75" s="99"/>
      <c r="Z75" s="99"/>
      <c r="AA75" s="99"/>
    </row>
    <row r="76" spans="1:27" s="24" customFormat="1" x14ac:dyDescent="0.2">
      <c r="A76" s="25"/>
      <c r="B76" s="25"/>
      <c r="C76" s="25"/>
      <c r="D76" s="31" t="s">
        <v>85</v>
      </c>
      <c r="E76" s="31" t="str">
        <f t="shared" si="4"/>
        <v>ONS (Jul 2024)</v>
      </c>
      <c r="F76" s="31" t="s">
        <v>77</v>
      </c>
      <c r="G76" s="31" t="s">
        <v>78</v>
      </c>
      <c r="H76" s="31"/>
      <c r="I76" s="63"/>
      <c r="J76" s="63"/>
      <c r="K76" s="63"/>
      <c r="L76" s="63"/>
      <c r="M76" s="64"/>
      <c r="N76" s="64"/>
      <c r="O76" s="64"/>
      <c r="P76" s="64"/>
      <c r="Q76" s="64"/>
      <c r="R76" s="64"/>
      <c r="S76" s="64"/>
      <c r="T76" s="99"/>
      <c r="U76" s="99"/>
      <c r="V76" s="99"/>
      <c r="W76" s="99"/>
      <c r="X76" s="99"/>
      <c r="Y76" s="99"/>
      <c r="Z76" s="99"/>
      <c r="AA76" s="99"/>
    </row>
    <row r="77" spans="1:27" s="24" customFormat="1" x14ac:dyDescent="0.2">
      <c r="A77" s="25"/>
      <c r="B77" s="25"/>
      <c r="C77" s="25"/>
      <c r="D77" s="31" t="s">
        <v>86</v>
      </c>
      <c r="E77" s="31" t="str">
        <f t="shared" si="4"/>
        <v>ONS (Jul 2024)</v>
      </c>
      <c r="F77" s="31" t="s">
        <v>77</v>
      </c>
      <c r="G77" s="31" t="s">
        <v>78</v>
      </c>
      <c r="H77" s="31"/>
      <c r="I77" s="63"/>
      <c r="J77" s="63"/>
      <c r="K77" s="63"/>
      <c r="L77" s="63"/>
      <c r="M77" s="64"/>
      <c r="N77" s="64"/>
      <c r="O77" s="64"/>
      <c r="P77" s="64"/>
      <c r="Q77" s="64"/>
      <c r="R77" s="64"/>
      <c r="S77" s="64"/>
      <c r="T77" s="99"/>
      <c r="U77" s="99"/>
      <c r="V77" s="99"/>
      <c r="W77" s="99"/>
      <c r="X77" s="99"/>
      <c r="Y77" s="99"/>
      <c r="Z77" s="99"/>
      <c r="AA77" s="99"/>
    </row>
    <row r="78" spans="1:27" s="24" customFormat="1" x14ac:dyDescent="0.2">
      <c r="A78" s="25"/>
      <c r="B78" s="25"/>
      <c r="C78" s="25"/>
      <c r="D78" s="31" t="s">
        <v>87</v>
      </c>
      <c r="E78" s="31" t="str">
        <f t="shared" si="4"/>
        <v>ONS (Jul 2024)</v>
      </c>
      <c r="F78" s="31" t="s">
        <v>77</v>
      </c>
      <c r="G78" s="31" t="s">
        <v>78</v>
      </c>
      <c r="H78" s="31"/>
      <c r="I78" s="63"/>
      <c r="J78" s="63"/>
      <c r="K78" s="63"/>
      <c r="L78" s="63"/>
      <c r="M78" s="64"/>
      <c r="N78" s="64"/>
      <c r="O78" s="64"/>
      <c r="P78" s="64"/>
      <c r="Q78" s="64"/>
      <c r="R78" s="64"/>
      <c r="S78" s="64"/>
      <c r="T78" s="99"/>
      <c r="U78" s="99"/>
      <c r="V78" s="99"/>
      <c r="W78" s="99"/>
      <c r="X78" s="99"/>
      <c r="Y78" s="99"/>
      <c r="Z78" s="99"/>
      <c r="AA78" s="99"/>
    </row>
    <row r="79" spans="1:27" s="24" customFormat="1" x14ac:dyDescent="0.2">
      <c r="A79" s="25"/>
      <c r="B79" s="25"/>
      <c r="C79" s="25"/>
      <c r="D79" s="31" t="s">
        <v>88</v>
      </c>
      <c r="E79" s="31" t="str">
        <f t="shared" si="4"/>
        <v>ONS (Jul 2024)</v>
      </c>
      <c r="F79" s="31" t="s">
        <v>77</v>
      </c>
      <c r="G79" s="31" t="s">
        <v>78</v>
      </c>
      <c r="H79" s="31"/>
      <c r="I79" s="63"/>
      <c r="J79" s="63"/>
      <c r="K79" s="63"/>
      <c r="L79" s="63"/>
      <c r="M79" s="64"/>
      <c r="N79" s="64"/>
      <c r="O79" s="64"/>
      <c r="P79" s="64"/>
      <c r="Q79" s="64"/>
      <c r="R79" s="64"/>
      <c r="S79" s="64"/>
      <c r="T79" s="99"/>
      <c r="U79" s="99"/>
      <c r="V79" s="99"/>
      <c r="W79" s="99"/>
      <c r="X79" s="99"/>
      <c r="Y79" s="99"/>
      <c r="Z79" s="99"/>
      <c r="AA79" s="99"/>
    </row>
    <row r="80" spans="1:27" s="24" customFormat="1" x14ac:dyDescent="0.2">
      <c r="A80" s="25"/>
      <c r="B80" s="25"/>
      <c r="C80" s="25"/>
      <c r="D80" s="69" t="s">
        <v>89</v>
      </c>
      <c r="E80" s="69" t="str">
        <f t="shared" si="4"/>
        <v>ONS (Jul 2024)</v>
      </c>
      <c r="F80" s="69" t="s">
        <v>77</v>
      </c>
      <c r="G80" s="69" t="s">
        <v>78</v>
      </c>
      <c r="H80" s="69"/>
      <c r="I80" s="70"/>
      <c r="J80" s="70"/>
      <c r="K80" s="70"/>
      <c r="L80" s="70" t="s">
        <v>90</v>
      </c>
      <c r="M80" s="71"/>
      <c r="N80" s="71"/>
      <c r="O80" s="71"/>
      <c r="P80" s="71"/>
      <c r="Q80" s="71"/>
      <c r="R80" s="71"/>
      <c r="S80" s="97">
        <v>131.6</v>
      </c>
      <c r="T80" s="97"/>
      <c r="U80" s="97"/>
      <c r="V80" s="97"/>
      <c r="W80" s="97"/>
      <c r="X80" s="97"/>
      <c r="Y80" s="97"/>
      <c r="Z80" s="97"/>
      <c r="AA80" s="97"/>
    </row>
    <row r="81" spans="1:34" s="24" customFormat="1" x14ac:dyDescent="0.2">
      <c r="A81" s="25"/>
      <c r="B81" s="25"/>
      <c r="C81" s="25"/>
      <c r="D81" s="25"/>
      <c r="E81" s="25"/>
      <c r="F81" s="25"/>
      <c r="G81" s="25"/>
      <c r="H81" s="25"/>
      <c r="I81" s="51"/>
      <c r="J81" s="51"/>
      <c r="K81" s="51"/>
      <c r="L81" s="51"/>
      <c r="M81" s="51"/>
      <c r="N81" s="51"/>
      <c r="O81" s="51"/>
      <c r="P81" s="51"/>
      <c r="Q81" s="51"/>
      <c r="R81" s="51"/>
      <c r="S81" s="51"/>
      <c r="T81" s="51"/>
      <c r="U81" s="51"/>
      <c r="V81" s="51"/>
      <c r="W81" s="51"/>
      <c r="X81" s="51"/>
      <c r="Y81" s="51"/>
      <c r="Z81" s="51"/>
      <c r="AA81" s="51"/>
    </row>
    <row r="82" spans="1:34" s="24" customFormat="1" x14ac:dyDescent="0.2">
      <c r="A82" s="25"/>
      <c r="B82" s="25"/>
      <c r="C82" s="25" t="s">
        <v>91</v>
      </c>
      <c r="D82" s="25"/>
      <c r="E82" s="25"/>
      <c r="F82" s="25"/>
      <c r="G82" s="25" t="s">
        <v>74</v>
      </c>
      <c r="H82" s="25"/>
      <c r="I82" s="96">
        <v>45566</v>
      </c>
      <c r="J82" s="51"/>
      <c r="K82" s="51"/>
      <c r="L82" s="51"/>
      <c r="M82" s="51"/>
      <c r="N82" s="51"/>
      <c r="O82" s="51"/>
      <c r="P82" s="51"/>
      <c r="Q82" s="51"/>
      <c r="R82" s="51"/>
      <c r="S82" s="51"/>
      <c r="T82" s="51"/>
      <c r="U82" s="51"/>
      <c r="V82" s="51"/>
      <c r="W82" s="51"/>
      <c r="X82" s="51"/>
      <c r="Y82" s="51"/>
      <c r="Z82" s="51"/>
      <c r="AA82" s="51"/>
    </row>
    <row r="83" spans="1:34" s="24" customFormat="1" x14ac:dyDescent="0.2">
      <c r="A83" s="25"/>
      <c r="B83" s="25"/>
      <c r="C83" s="25"/>
      <c r="D83" s="25"/>
      <c r="E83" s="25"/>
      <c r="F83" s="25"/>
      <c r="G83" s="25"/>
      <c r="H83" s="25"/>
      <c r="I83" s="51"/>
      <c r="J83" s="51"/>
      <c r="K83" s="51"/>
      <c r="L83" s="51"/>
      <c r="M83" s="51"/>
      <c r="N83" s="51"/>
      <c r="O83" s="51"/>
      <c r="P83" s="51"/>
      <c r="Q83" s="51"/>
      <c r="R83" s="51"/>
      <c r="S83" s="51"/>
      <c r="T83" s="51"/>
      <c r="U83" s="51"/>
      <c r="V83" s="51"/>
      <c r="W83" s="51"/>
      <c r="X83" s="51"/>
      <c r="Y83" s="51"/>
      <c r="Z83" s="51"/>
      <c r="AA83" s="51"/>
    </row>
    <row r="84" spans="1:34" s="24" customFormat="1" ht="15" x14ac:dyDescent="0.2">
      <c r="A84" s="25"/>
      <c r="B84" s="25"/>
      <c r="C84" s="28" t="s">
        <v>92</v>
      </c>
      <c r="D84" s="25"/>
      <c r="E84" s="25"/>
      <c r="F84" s="25"/>
      <c r="G84" s="25"/>
      <c r="H84" s="25"/>
      <c r="M84" s="72"/>
      <c r="N84" s="72"/>
      <c r="O84" s="72"/>
      <c r="P84" s="72"/>
      <c r="Q84" s="72"/>
      <c r="R84" s="72"/>
      <c r="S84" s="72"/>
      <c r="T84" s="72"/>
      <c r="U84" s="72"/>
      <c r="V84" s="72"/>
      <c r="W84" s="72"/>
      <c r="X84" s="72"/>
      <c r="Y84" s="72"/>
      <c r="Z84" s="72"/>
      <c r="AA84" s="72"/>
    </row>
    <row r="85" spans="1:34" s="24" customFormat="1" x14ac:dyDescent="0.2">
      <c r="A85" s="25"/>
      <c r="B85" s="25"/>
      <c r="C85" s="25"/>
      <c r="D85" s="73">
        <v>46022</v>
      </c>
      <c r="E85" s="74" t="str">
        <f>"OBR (" &amp;TEXT(I$82, "mmm yyyy") &amp;")"</f>
        <v>OBR (Oct 2024)</v>
      </c>
      <c r="F85" s="74"/>
      <c r="G85" s="74" t="s">
        <v>93</v>
      </c>
      <c r="H85" s="66"/>
      <c r="I85" s="92">
        <v>2.5756936498082306</v>
      </c>
      <c r="M85" s="72"/>
      <c r="N85" s="72"/>
      <c r="O85" s="72"/>
      <c r="P85" s="72"/>
      <c r="Q85" s="72"/>
      <c r="R85" s="72"/>
      <c r="S85" s="72"/>
      <c r="T85" s="72"/>
      <c r="U85" s="72"/>
      <c r="V85" s="72"/>
      <c r="W85" s="72"/>
      <c r="X85" s="72"/>
      <c r="Y85" s="72"/>
      <c r="Z85" s="72"/>
      <c r="AA85" s="72"/>
    </row>
    <row r="86" spans="1:34" s="24" customFormat="1" x14ac:dyDescent="0.2">
      <c r="A86" s="25"/>
      <c r="B86" s="25"/>
      <c r="C86" s="25"/>
      <c r="D86" s="75">
        <f t="shared" ref="D86:D92" si="5">EOMONTH(D85, 12)</f>
        <v>46387</v>
      </c>
      <c r="E86" s="32" t="str">
        <f t="shared" ref="E86:E92" si="6">"OBR (" &amp;TEXT(I$82, "mmm yyyy") &amp;")"</f>
        <v>OBR (Oct 2024)</v>
      </c>
      <c r="F86" s="32"/>
      <c r="G86" s="32" t="s">
        <v>93</v>
      </c>
      <c r="H86" s="31"/>
      <c r="I86" s="93">
        <v>2.2608746324726203</v>
      </c>
      <c r="M86" s="72"/>
      <c r="N86" s="72"/>
      <c r="O86" s="72"/>
      <c r="P86" s="72"/>
      <c r="Q86" s="72"/>
      <c r="R86" s="72"/>
      <c r="S86" s="72"/>
      <c r="T86" s="72"/>
      <c r="U86" s="72"/>
      <c r="V86" s="72"/>
      <c r="W86" s="72"/>
      <c r="X86" s="72"/>
      <c r="Y86" s="72"/>
      <c r="Z86" s="72"/>
      <c r="AA86" s="72"/>
    </row>
    <row r="87" spans="1:34" s="24" customFormat="1" x14ac:dyDescent="0.2">
      <c r="A87" s="25"/>
      <c r="B87" s="25"/>
      <c r="C87" s="25"/>
      <c r="D87" s="75">
        <f t="shared" si="5"/>
        <v>46752</v>
      </c>
      <c r="E87" s="32" t="str">
        <f t="shared" si="6"/>
        <v>OBR (Oct 2024)</v>
      </c>
      <c r="F87" s="32"/>
      <c r="G87" s="32" t="s">
        <v>93</v>
      </c>
      <c r="H87" s="31"/>
      <c r="I87" s="93">
        <v>2.1160529756593105</v>
      </c>
      <c r="M87" s="72"/>
      <c r="N87" s="72"/>
      <c r="O87" s="72"/>
      <c r="P87" s="72"/>
      <c r="Q87" s="72"/>
      <c r="R87" s="72"/>
      <c r="S87" s="72"/>
      <c r="T87" s="72"/>
      <c r="U87" s="72"/>
      <c r="V87" s="72"/>
      <c r="W87" s="72"/>
      <c r="X87" s="72"/>
      <c r="Y87" s="72"/>
      <c r="Z87" s="72"/>
      <c r="AA87" s="72"/>
    </row>
    <row r="88" spans="1:34" s="24" customFormat="1" x14ac:dyDescent="0.2">
      <c r="A88" s="25"/>
      <c r="B88" s="25"/>
      <c r="C88" s="25"/>
      <c r="D88" s="75">
        <f t="shared" si="5"/>
        <v>47118</v>
      </c>
      <c r="E88" s="32" t="str">
        <f t="shared" si="6"/>
        <v>OBR (Oct 2024)</v>
      </c>
      <c r="F88" s="32"/>
      <c r="G88" s="32" t="s">
        <v>93</v>
      </c>
      <c r="H88" s="31"/>
      <c r="I88" s="93">
        <v>2.0747861451908323</v>
      </c>
      <c r="M88" s="72"/>
      <c r="N88" s="72"/>
      <c r="O88" s="72"/>
      <c r="P88" s="72"/>
      <c r="Q88" s="72"/>
      <c r="R88" s="72"/>
      <c r="S88" s="72"/>
      <c r="T88" s="72"/>
      <c r="U88" s="72"/>
      <c r="V88" s="72"/>
      <c r="W88" s="72"/>
      <c r="X88" s="72"/>
      <c r="Y88" s="72"/>
      <c r="Z88" s="72"/>
      <c r="AA88" s="72"/>
    </row>
    <row r="89" spans="1:34" s="24" customFormat="1" x14ac:dyDescent="0.2">
      <c r="A89" s="25"/>
      <c r="B89" s="25"/>
      <c r="C89" s="25"/>
      <c r="D89" s="75">
        <f t="shared" si="5"/>
        <v>47483</v>
      </c>
      <c r="E89" s="32" t="str">
        <f t="shared" si="6"/>
        <v>OBR (Oct 2024)</v>
      </c>
      <c r="F89" s="32"/>
      <c r="G89" s="32" t="s">
        <v>93</v>
      </c>
      <c r="H89" s="31"/>
      <c r="I89" s="93">
        <v>2.0280927375028179</v>
      </c>
      <c r="M89" s="72"/>
      <c r="N89" s="72"/>
      <c r="O89" s="72"/>
      <c r="P89" s="72"/>
      <c r="Q89" s="72"/>
      <c r="R89" s="72"/>
      <c r="S89" s="72"/>
      <c r="T89" s="72"/>
      <c r="U89" s="72"/>
      <c r="V89" s="72"/>
      <c r="W89" s="72"/>
      <c r="X89" s="72"/>
      <c r="Y89" s="72"/>
      <c r="Z89" s="72"/>
      <c r="AA89" s="72"/>
    </row>
    <row r="90" spans="1:34" s="24" customFormat="1" x14ac:dyDescent="0.2">
      <c r="A90" s="25"/>
      <c r="B90" s="25"/>
      <c r="C90" s="25"/>
      <c r="D90" s="75">
        <f t="shared" si="5"/>
        <v>47848</v>
      </c>
      <c r="E90" s="32" t="str">
        <f t="shared" si="6"/>
        <v>OBR (Oct 2024)</v>
      </c>
      <c r="F90" s="32"/>
      <c r="G90" s="32" t="s">
        <v>93</v>
      </c>
      <c r="H90" s="31"/>
      <c r="I90" s="93"/>
      <c r="M90" s="72"/>
      <c r="N90" s="72"/>
      <c r="O90" s="72"/>
      <c r="P90" s="72"/>
      <c r="Q90" s="72"/>
      <c r="R90" s="72"/>
      <c r="S90" s="72"/>
      <c r="T90" s="72"/>
      <c r="U90" s="72"/>
      <c r="V90" s="72"/>
      <c r="W90" s="72"/>
      <c r="X90" s="72"/>
      <c r="Y90" s="72"/>
      <c r="Z90" s="72"/>
      <c r="AA90" s="72"/>
    </row>
    <row r="91" spans="1:34" s="24" customFormat="1" x14ac:dyDescent="0.2">
      <c r="A91" s="25"/>
      <c r="B91" s="25"/>
      <c r="C91" s="25"/>
      <c r="D91" s="75">
        <f t="shared" si="5"/>
        <v>48213</v>
      </c>
      <c r="E91" s="32" t="str">
        <f t="shared" si="6"/>
        <v>OBR (Oct 2024)</v>
      </c>
      <c r="F91" s="32"/>
      <c r="G91" s="32" t="s">
        <v>93</v>
      </c>
      <c r="H91" s="31"/>
      <c r="I91" s="93"/>
      <c r="M91" s="72"/>
      <c r="N91" s="72"/>
      <c r="O91" s="72"/>
      <c r="P91" s="72"/>
      <c r="Q91" s="72"/>
      <c r="R91" s="72"/>
      <c r="S91" s="72"/>
      <c r="T91" s="72"/>
      <c r="U91" s="72"/>
      <c r="V91" s="72"/>
      <c r="W91" s="72"/>
      <c r="X91" s="72"/>
      <c r="Y91" s="72"/>
      <c r="Z91" s="72"/>
      <c r="AA91" s="72"/>
    </row>
    <row r="92" spans="1:34" s="24" customFormat="1" x14ac:dyDescent="0.2">
      <c r="A92" s="25"/>
      <c r="B92" s="25"/>
      <c r="C92" s="25"/>
      <c r="D92" s="76">
        <f t="shared" si="5"/>
        <v>48579</v>
      </c>
      <c r="E92" s="77" t="str">
        <f t="shared" si="6"/>
        <v>OBR (Oct 2024)</v>
      </c>
      <c r="F92" s="77"/>
      <c r="G92" s="77" t="s">
        <v>93</v>
      </c>
      <c r="H92" s="69"/>
      <c r="I92" s="94"/>
      <c r="M92" s="72"/>
      <c r="N92" s="72"/>
      <c r="O92" s="72"/>
      <c r="P92" s="72"/>
      <c r="Q92" s="72"/>
      <c r="R92" s="72"/>
      <c r="S92" s="72"/>
      <c r="T92" s="72"/>
      <c r="U92" s="72"/>
      <c r="V92" s="72"/>
      <c r="W92" s="72"/>
      <c r="X92" s="72"/>
      <c r="Y92" s="72"/>
      <c r="Z92" s="72"/>
      <c r="AA92" s="72"/>
    </row>
    <row r="93" spans="1:34" s="24" customFormat="1" x14ac:dyDescent="0.2">
      <c r="A93" s="25"/>
      <c r="B93" s="25"/>
      <c r="C93" s="25"/>
      <c r="D93" s="25"/>
      <c r="E93" s="25"/>
      <c r="F93" s="25"/>
      <c r="G93" s="25"/>
      <c r="H93" s="25"/>
      <c r="M93" s="72"/>
      <c r="N93" s="72"/>
      <c r="O93" s="72"/>
      <c r="P93" s="72"/>
      <c r="Q93" s="72"/>
      <c r="R93" s="72"/>
      <c r="S93" s="72"/>
      <c r="T93" s="72"/>
      <c r="U93" s="72"/>
      <c r="V93" s="72"/>
      <c r="W93" s="72"/>
      <c r="X93" s="72"/>
      <c r="Y93" s="72"/>
      <c r="Z93" s="72"/>
      <c r="AA93" s="72"/>
    </row>
    <row r="94" spans="1:34" s="24" customFormat="1" x14ac:dyDescent="0.2">
      <c r="A94" s="25"/>
      <c r="B94" s="25"/>
      <c r="C94" s="25" t="s">
        <v>94</v>
      </c>
      <c r="D94" s="25"/>
      <c r="E94" s="25" t="s">
        <v>73</v>
      </c>
      <c r="F94" s="25"/>
      <c r="G94" s="25" t="s">
        <v>95</v>
      </c>
      <c r="H94" s="25"/>
      <c r="I94" s="95">
        <v>0.02</v>
      </c>
      <c r="J94" s="51"/>
      <c r="K94" s="51"/>
      <c r="L94" s="51"/>
      <c r="M94" s="51"/>
      <c r="N94" s="51"/>
      <c r="O94" s="51"/>
      <c r="P94" s="51"/>
      <c r="Q94" s="51"/>
      <c r="R94" s="51"/>
      <c r="S94" s="51"/>
      <c r="T94" s="51"/>
      <c r="U94" s="51"/>
      <c r="V94" s="51"/>
      <c r="W94" s="51"/>
      <c r="X94" s="51"/>
      <c r="Y94" s="51"/>
      <c r="Z94" s="51"/>
      <c r="AA94" s="51"/>
    </row>
    <row r="95" spans="1:34" s="24" customFormat="1" x14ac:dyDescent="0.2">
      <c r="A95" s="25"/>
      <c r="B95" s="25"/>
      <c r="C95" s="25"/>
      <c r="D95" s="25"/>
      <c r="E95" s="25"/>
      <c r="F95" s="25"/>
      <c r="G95" s="25"/>
      <c r="H95" s="25"/>
      <c r="I95" s="51"/>
      <c r="J95" s="51"/>
      <c r="K95" s="51"/>
      <c r="L95" s="51"/>
      <c r="M95" s="51"/>
      <c r="N95" s="51"/>
      <c r="O95" s="51"/>
      <c r="P95" s="51"/>
      <c r="Q95" s="51"/>
      <c r="R95" s="51"/>
      <c r="S95" s="51"/>
      <c r="T95" s="51"/>
      <c r="U95" s="51"/>
      <c r="V95" s="51"/>
      <c r="W95" s="51"/>
      <c r="X95" s="51"/>
      <c r="Y95" s="51"/>
      <c r="Z95" s="51"/>
      <c r="AA95" s="51"/>
    </row>
    <row r="96" spans="1:34" s="24" customFormat="1" ht="18" x14ac:dyDescent="0.25">
      <c r="A96" s="85" t="s">
        <v>13</v>
      </c>
      <c r="B96" s="85" t="s">
        <v>5</v>
      </c>
      <c r="C96" s="91"/>
      <c r="D96" s="91"/>
      <c r="E96" s="91"/>
      <c r="F96" s="91"/>
      <c r="G96" s="91"/>
      <c r="H96" s="91"/>
      <c r="I96" s="89"/>
      <c r="J96" s="89"/>
      <c r="K96" s="89"/>
      <c r="L96" s="89"/>
      <c r="M96" s="89"/>
      <c r="N96" s="89"/>
      <c r="O96" s="89"/>
      <c r="P96" s="89"/>
      <c r="Q96" s="89"/>
      <c r="R96" s="89"/>
      <c r="S96" s="89"/>
      <c r="T96" s="89"/>
      <c r="U96" s="89"/>
      <c r="V96" s="89"/>
      <c r="W96" s="89"/>
      <c r="X96" s="89"/>
      <c r="Y96" s="89"/>
      <c r="Z96" s="89"/>
      <c r="AA96" s="89"/>
      <c r="AB96" s="89"/>
      <c r="AC96" s="47"/>
      <c r="AD96" s="47"/>
      <c r="AE96" s="47"/>
      <c r="AF96" s="47"/>
      <c r="AG96" s="47"/>
      <c r="AH96" s="47"/>
    </row>
    <row r="97" spans="1:34" s="24" customFormat="1" x14ac:dyDescent="0.2">
      <c r="A97" s="25"/>
      <c r="B97" s="25"/>
      <c r="C97" s="25"/>
      <c r="D97" s="25"/>
      <c r="E97" s="25"/>
      <c r="F97" s="25"/>
      <c r="G97" s="25"/>
      <c r="H97" s="25"/>
    </row>
    <row r="98" spans="1:34" s="24" customFormat="1" x14ac:dyDescent="0.2">
      <c r="A98" s="25"/>
      <c r="B98" s="25"/>
      <c r="C98" s="25" t="s">
        <v>96</v>
      </c>
      <c r="D98" s="25"/>
      <c r="E98" s="25"/>
      <c r="F98" s="25"/>
      <c r="G98" s="25" t="s">
        <v>97</v>
      </c>
      <c r="H98" s="25"/>
      <c r="K98" s="78">
        <f>SUM(K4:K97)</f>
        <v>0</v>
      </c>
      <c r="T98" s="79"/>
      <c r="U98" s="79"/>
      <c r="V98" s="79"/>
      <c r="W98" s="79"/>
      <c r="X98" s="79"/>
      <c r="Y98" s="79"/>
      <c r="Z98" s="79"/>
      <c r="AA98" s="79"/>
    </row>
    <row r="99" spans="1:34" s="24" customFormat="1" x14ac:dyDescent="0.2">
      <c r="A99" s="25"/>
      <c r="B99" s="25"/>
      <c r="C99" s="25"/>
      <c r="D99" s="25"/>
      <c r="E99" s="25"/>
      <c r="F99" s="25"/>
      <c r="G99" s="25"/>
      <c r="H99" s="25"/>
      <c r="T99" s="79"/>
      <c r="U99" s="79"/>
      <c r="V99" s="79"/>
      <c r="W99" s="79"/>
      <c r="X99" s="79"/>
      <c r="Y99" s="79"/>
      <c r="Z99" s="79"/>
      <c r="AA99" s="79"/>
    </row>
    <row r="100" spans="1:34" s="24" customFormat="1" ht="18" x14ac:dyDescent="0.25">
      <c r="A100" s="85" t="s">
        <v>13</v>
      </c>
      <c r="B100" s="85" t="s">
        <v>98</v>
      </c>
      <c r="C100" s="86"/>
      <c r="D100" s="86"/>
      <c r="E100" s="86"/>
      <c r="F100" s="86"/>
      <c r="G100" s="86"/>
      <c r="H100" s="86"/>
      <c r="I100" s="87"/>
      <c r="J100" s="87"/>
      <c r="K100" s="87"/>
      <c r="L100" s="87"/>
      <c r="M100" s="87"/>
      <c r="N100" s="87"/>
      <c r="O100" s="87"/>
      <c r="P100" s="87"/>
      <c r="Q100" s="87"/>
      <c r="R100" s="87"/>
      <c r="S100" s="87"/>
      <c r="T100" s="87"/>
      <c r="U100" s="87"/>
      <c r="V100" s="87"/>
      <c r="W100" s="87"/>
      <c r="X100" s="87"/>
      <c r="Y100" s="87"/>
      <c r="Z100" s="87"/>
      <c r="AA100" s="87"/>
      <c r="AB100" s="87"/>
      <c r="AC100" s="47"/>
      <c r="AD100" s="47"/>
      <c r="AE100" s="47"/>
      <c r="AF100" s="47"/>
      <c r="AG100" s="47"/>
      <c r="AH100" s="47"/>
    </row>
  </sheetData>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D1831533-DFA0-404C-895A-FC2F4FBCDD08}">
            <xm:f>Control!$F$29 &lt;&gt; 0</xm:f>
            <x14:dxf>
              <fill>
                <patternFill>
                  <bgColor rgb="FFFFFF00"/>
                </patternFill>
              </fill>
            </x14:dxf>
          </x14:cfRule>
          <x14:cfRule type="expression" priority="2" id="{BA0D1EDD-E61D-4A7D-AC3A-CF9CAD246ED9}">
            <xm:f>Control!$F$29 = 0</xm:f>
            <x14:dxf>
              <fill>
                <patternFill>
                  <bgColor theme="9"/>
                </patternFill>
              </fill>
            </x14:dxf>
          </x14:cfRule>
          <xm:sqref>A8:AH8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C529-12F2-4F48-8482-D58FC356EFEC}">
  <sheetPr>
    <tabColor rgb="FFFFA78B"/>
  </sheetPr>
  <dimension ref="A1:AH118"/>
  <sheetViews>
    <sheetView showGridLines="0" zoomScale="90" zoomScaleNormal="90" workbookViewId="0">
      <pane xSplit="12" ySplit="10" topLeftCell="R73" activePane="bottomRight" state="frozen"/>
      <selection pane="topRight" activeCell="N47" sqref="N47"/>
      <selection pane="bottomLeft" activeCell="N47" sqref="N47"/>
      <selection pane="bottomRight" activeCell="R84" sqref="R84"/>
    </sheetView>
  </sheetViews>
  <sheetFormatPr defaultColWidth="0" defaultRowHeight="14.25" x14ac:dyDescent="0.2"/>
  <cols>
    <col min="1" max="3" width="2.5" style="16" customWidth="1"/>
    <col min="4" max="4" width="55.5" style="16" customWidth="1"/>
    <col min="5" max="5" width="25.5" style="16" customWidth="1"/>
    <col min="6" max="7" width="20.5" style="16" customWidth="1"/>
    <col min="8" max="8" width="2.5" style="16" customWidth="1"/>
    <col min="9" max="9" width="12.5" style="3" customWidth="1"/>
    <col min="10" max="10" width="2.5" style="3" customWidth="1"/>
    <col min="11" max="11" width="12.5" style="3" customWidth="1"/>
    <col min="12" max="12" width="2.5" style="3" customWidth="1"/>
    <col min="13" max="27" width="12.5" style="3" customWidth="1"/>
    <col min="28" max="28" width="2.5" style="3" customWidth="1"/>
    <col min="29" max="34" width="0" style="3" hidden="1" customWidth="1"/>
    <col min="35" max="16384" width="9.5" style="3" hidden="1"/>
  </cols>
  <sheetData>
    <row r="1" spans="1:28" s="23" customFormat="1" ht="23.25" x14ac:dyDescent="0.35">
      <c r="A1" s="80"/>
      <c r="B1" s="80" t="str" cm="1">
        <f t="array" aca="1" ref="B1" ca="1">MID(CELL("filename", A1), FIND("]", CELL("filename", A1)) + 1, 255)</f>
        <v>Indexation</v>
      </c>
      <c r="C1" s="80"/>
      <c r="D1" s="80"/>
      <c r="E1" s="80"/>
      <c r="F1" s="80"/>
      <c r="G1" s="81"/>
      <c r="H1" s="81"/>
      <c r="I1" s="82"/>
      <c r="J1" s="82"/>
      <c r="K1" s="82"/>
      <c r="L1" s="82"/>
      <c r="M1" s="82"/>
      <c r="N1" s="82"/>
      <c r="O1" s="82"/>
      <c r="P1" s="82"/>
      <c r="Q1" s="83"/>
      <c r="R1" s="83"/>
      <c r="S1" s="83"/>
      <c r="T1" s="83"/>
      <c r="U1" s="83"/>
      <c r="V1" s="83"/>
      <c r="W1" s="83"/>
      <c r="X1" s="83"/>
      <c r="Y1" s="83"/>
      <c r="Z1" s="83"/>
      <c r="AA1" s="83"/>
      <c r="AB1" s="83"/>
    </row>
    <row r="2" spans="1:28" s="24" customFormat="1" ht="4.5" customHeight="1" x14ac:dyDescent="0.2">
      <c r="A2" s="25"/>
      <c r="B2" s="27"/>
      <c r="C2" s="27"/>
      <c r="D2" s="25"/>
      <c r="E2" s="25"/>
      <c r="F2" s="25"/>
      <c r="G2" s="45"/>
      <c r="H2" s="45"/>
      <c r="I2" s="30"/>
      <c r="J2" s="30"/>
      <c r="K2" s="30"/>
      <c r="L2" s="30"/>
      <c r="M2" s="30"/>
      <c r="N2" s="30"/>
      <c r="O2" s="30"/>
      <c r="P2" s="30"/>
    </row>
    <row r="3" spans="1:28" s="24" customFormat="1" ht="15" customHeight="1" x14ac:dyDescent="0.2">
      <c r="A3" s="25"/>
      <c r="B3" s="27"/>
      <c r="C3" s="27"/>
      <c r="D3" s="25"/>
      <c r="E3" s="28" t="s">
        <v>1</v>
      </c>
      <c r="F3" s="28" t="s">
        <v>2</v>
      </c>
      <c r="G3" s="28" t="s">
        <v>3</v>
      </c>
      <c r="H3" s="25"/>
      <c r="I3" s="29" t="s">
        <v>4</v>
      </c>
      <c r="K3" s="29" t="s">
        <v>5</v>
      </c>
      <c r="L3" s="30"/>
      <c r="M3" s="30"/>
      <c r="N3" s="30"/>
      <c r="O3" s="30"/>
      <c r="P3" s="30"/>
    </row>
    <row r="4" spans="1:28" s="101" customFormat="1" ht="14.45" customHeight="1" x14ac:dyDescent="0.2">
      <c r="A4" s="35"/>
      <c r="B4" s="35"/>
      <c r="C4" s="35" t="str">
        <f xml:space="preserve"> Inputs!C4</f>
        <v>Model Year Count</v>
      </c>
      <c r="D4" s="35"/>
      <c r="E4" s="35"/>
      <c r="F4" s="35"/>
      <c r="G4" s="35" t="str">
        <f xml:space="preserve"> Inputs!G4</f>
        <v>Count</v>
      </c>
      <c r="H4" s="35"/>
      <c r="J4" s="39"/>
      <c r="K4" s="39"/>
      <c r="L4" s="39"/>
      <c r="M4" s="39">
        <f>Inputs!M4</f>
        <v>1</v>
      </c>
      <c r="N4" s="39">
        <f>Inputs!N4</f>
        <v>2</v>
      </c>
      <c r="O4" s="39">
        <f>Inputs!O4</f>
        <v>3</v>
      </c>
      <c r="P4" s="39">
        <f>Inputs!P4</f>
        <v>4</v>
      </c>
      <c r="Q4" s="39">
        <f>Inputs!Q4</f>
        <v>5</v>
      </c>
      <c r="R4" s="39">
        <f>Inputs!R4</f>
        <v>6</v>
      </c>
      <c r="S4" s="39">
        <f>Inputs!S4</f>
        <v>7</v>
      </c>
      <c r="T4" s="39">
        <f>Inputs!T4</f>
        <v>8</v>
      </c>
      <c r="U4" s="39">
        <f>Inputs!U4</f>
        <v>9</v>
      </c>
      <c r="V4" s="39">
        <f>Inputs!V4</f>
        <v>10</v>
      </c>
      <c r="W4" s="39">
        <f>Inputs!W4</f>
        <v>11</v>
      </c>
      <c r="X4" s="39">
        <f>Inputs!X4</f>
        <v>12</v>
      </c>
      <c r="Y4" s="39">
        <f>Inputs!Y4</f>
        <v>13</v>
      </c>
      <c r="Z4" s="39">
        <f>Inputs!Z4</f>
        <v>14</v>
      </c>
      <c r="AA4" s="39">
        <f>Inputs!AA4</f>
        <v>15</v>
      </c>
      <c r="AB4" s="39"/>
    </row>
    <row r="5" spans="1:28" s="101" customFormat="1" ht="14.45" customHeight="1" x14ac:dyDescent="0.2">
      <c r="A5" s="35"/>
      <c r="B5" s="35"/>
      <c r="C5" s="35" t="str">
        <f xml:space="preserve"> Inputs!C5</f>
        <v>Period start</v>
      </c>
      <c r="D5" s="35"/>
      <c r="E5" s="35"/>
      <c r="F5" s="35"/>
      <c r="G5" s="35" t="str">
        <f xml:space="preserve"> Inputs!G5</f>
        <v>Date</v>
      </c>
      <c r="H5" s="35"/>
      <c r="J5" s="39"/>
      <c r="K5" s="39"/>
      <c r="L5" s="39"/>
      <c r="M5" s="41">
        <f>Inputs!M5</f>
        <v>42826</v>
      </c>
      <c r="N5" s="41">
        <f>Inputs!N5</f>
        <v>43191</v>
      </c>
      <c r="O5" s="41">
        <f>Inputs!O5</f>
        <v>43556</v>
      </c>
      <c r="P5" s="41">
        <f>Inputs!P5</f>
        <v>43922</v>
      </c>
      <c r="Q5" s="41">
        <f>Inputs!Q5</f>
        <v>44287</v>
      </c>
      <c r="R5" s="41">
        <f>Inputs!R5</f>
        <v>44652</v>
      </c>
      <c r="S5" s="41">
        <f>Inputs!S5</f>
        <v>45017</v>
      </c>
      <c r="T5" s="41">
        <f>Inputs!T5</f>
        <v>45383</v>
      </c>
      <c r="U5" s="41">
        <f>Inputs!U5</f>
        <v>45748</v>
      </c>
      <c r="V5" s="41">
        <f>Inputs!V5</f>
        <v>46113</v>
      </c>
      <c r="W5" s="41">
        <f>Inputs!W5</f>
        <v>46478</v>
      </c>
      <c r="X5" s="41">
        <f>Inputs!X5</f>
        <v>46844</v>
      </c>
      <c r="Y5" s="41">
        <f>Inputs!Y5</f>
        <v>47209</v>
      </c>
      <c r="Z5" s="41">
        <f>Inputs!Z5</f>
        <v>47574</v>
      </c>
      <c r="AA5" s="41">
        <f>Inputs!AA5</f>
        <v>47939</v>
      </c>
      <c r="AB5" s="41"/>
    </row>
    <row r="6" spans="1:28" s="101" customFormat="1" ht="14.45" customHeight="1" x14ac:dyDescent="0.2">
      <c r="A6" s="35"/>
      <c r="B6" s="35"/>
      <c r="C6" s="35" t="str">
        <f xml:space="preserve"> Inputs!C6</f>
        <v>Period end</v>
      </c>
      <c r="D6" s="35"/>
      <c r="E6" s="35"/>
      <c r="F6" s="35"/>
      <c r="G6" s="35" t="str">
        <f xml:space="preserve"> Inputs!G6</f>
        <v>Date</v>
      </c>
      <c r="H6" s="35"/>
      <c r="J6" s="39"/>
      <c r="K6" s="39"/>
      <c r="L6" s="39"/>
      <c r="M6" s="41">
        <f>Inputs!M6</f>
        <v>43190</v>
      </c>
      <c r="N6" s="41">
        <f>Inputs!N6</f>
        <v>43555</v>
      </c>
      <c r="O6" s="41">
        <f>Inputs!O6</f>
        <v>43921</v>
      </c>
      <c r="P6" s="41">
        <f>Inputs!P6</f>
        <v>44286</v>
      </c>
      <c r="Q6" s="41">
        <f>Inputs!Q6</f>
        <v>44651</v>
      </c>
      <c r="R6" s="41">
        <f>Inputs!R6</f>
        <v>45016</v>
      </c>
      <c r="S6" s="41">
        <f>Inputs!S6</f>
        <v>45382</v>
      </c>
      <c r="T6" s="41">
        <f>Inputs!T6</f>
        <v>45747</v>
      </c>
      <c r="U6" s="41">
        <f>Inputs!U6</f>
        <v>46112</v>
      </c>
      <c r="V6" s="41">
        <f>Inputs!V6</f>
        <v>46477</v>
      </c>
      <c r="W6" s="41">
        <f>Inputs!W6</f>
        <v>46843</v>
      </c>
      <c r="X6" s="41">
        <f>Inputs!X6</f>
        <v>47208</v>
      </c>
      <c r="Y6" s="41">
        <f>Inputs!Y6</f>
        <v>47573</v>
      </c>
      <c r="Z6" s="41">
        <f>Inputs!Z6</f>
        <v>47938</v>
      </c>
      <c r="AA6" s="41">
        <f>Inputs!AA6</f>
        <v>48304</v>
      </c>
      <c r="AB6" s="41"/>
    </row>
    <row r="7" spans="1:28" s="24" customFormat="1" ht="15" customHeight="1" x14ac:dyDescent="0.2">
      <c r="A7" s="25"/>
      <c r="B7" s="27"/>
      <c r="C7" s="25" t="s">
        <v>11</v>
      </c>
      <c r="D7" s="25"/>
      <c r="E7" s="25"/>
      <c r="F7" s="25"/>
      <c r="G7" s="35" t="str">
        <f xml:space="preserve"> Inputs!G7</f>
        <v>Fin Year</v>
      </c>
      <c r="H7" s="45"/>
      <c r="J7" s="30"/>
      <c r="K7" s="30"/>
      <c r="L7" s="30"/>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30" t="str">
        <f>Inputs!U7</f>
        <v>2025-26</v>
      </c>
      <c r="V7" s="30" t="str">
        <f>Inputs!V7</f>
        <v>2026-27</v>
      </c>
      <c r="W7" s="30" t="str">
        <f>Inputs!W7</f>
        <v>2027-28</v>
      </c>
      <c r="X7" s="30" t="str">
        <f>Inputs!X7</f>
        <v>2028-29</v>
      </c>
      <c r="Y7" s="30" t="str">
        <f>Inputs!Y7</f>
        <v>2029-30</v>
      </c>
      <c r="Z7" s="30" t="str">
        <f>Inputs!Z7</f>
        <v>2030-31</v>
      </c>
      <c r="AA7" s="30" t="str">
        <f>Inputs!AA7</f>
        <v>2031-32</v>
      </c>
      <c r="AB7" s="30"/>
    </row>
    <row r="8" spans="1:28" s="24" customFormat="1" x14ac:dyDescent="0.2">
      <c r="A8" s="25"/>
      <c r="B8" s="27" t="str">
        <f>"Model Checks - " &amp; Check</f>
        <v>Model Checks - PASS</v>
      </c>
      <c r="C8" s="27"/>
      <c r="D8" s="25"/>
      <c r="E8" s="25"/>
      <c r="F8" s="25"/>
      <c r="G8" s="45"/>
      <c r="H8" s="45"/>
      <c r="I8" s="30"/>
      <c r="J8" s="30"/>
      <c r="K8" s="30"/>
      <c r="L8" s="30"/>
      <c r="M8" s="30"/>
      <c r="N8" s="30"/>
      <c r="O8" s="30"/>
      <c r="P8" s="30"/>
    </row>
    <row r="9" spans="1:28" s="24" customFormat="1" ht="4.5" customHeight="1" x14ac:dyDescent="0.2">
      <c r="A9" s="25"/>
      <c r="B9" s="27"/>
      <c r="C9" s="27"/>
      <c r="D9" s="25"/>
      <c r="E9" s="25"/>
      <c r="F9" s="25"/>
      <c r="G9" s="45"/>
      <c r="H9" s="45"/>
      <c r="I9" s="30"/>
      <c r="J9" s="30"/>
      <c r="K9" s="30"/>
      <c r="L9" s="30"/>
      <c r="M9" s="30"/>
      <c r="N9" s="30"/>
      <c r="O9" s="30"/>
      <c r="P9" s="30"/>
    </row>
    <row r="10" spans="1:28" s="23" customFormat="1" ht="23.25" x14ac:dyDescent="0.35">
      <c r="A10" s="80"/>
      <c r="B10" s="80" t="str">
        <f>Project_Name</f>
        <v>Legacy Closeout Model</v>
      </c>
      <c r="C10" s="80"/>
      <c r="D10" s="80"/>
      <c r="E10" s="80"/>
      <c r="F10" s="80"/>
      <c r="G10" s="81"/>
      <c r="H10" s="81"/>
      <c r="I10" s="82"/>
      <c r="J10" s="82"/>
      <c r="K10" s="82"/>
      <c r="L10" s="82"/>
      <c r="M10" s="82"/>
      <c r="N10" s="82"/>
      <c r="O10" s="82"/>
      <c r="P10" s="82"/>
      <c r="Q10" s="83"/>
      <c r="R10" s="83"/>
      <c r="S10" s="83"/>
      <c r="T10" s="83"/>
      <c r="U10" s="83"/>
      <c r="V10" s="83"/>
      <c r="W10" s="83"/>
      <c r="X10" s="83"/>
      <c r="Y10" s="83"/>
      <c r="Z10" s="83"/>
      <c r="AA10" s="83"/>
      <c r="AB10" s="83"/>
    </row>
    <row r="11" spans="1:28" s="24" customFormat="1" x14ac:dyDescent="0.2">
      <c r="A11" s="25"/>
      <c r="B11" s="25"/>
      <c r="C11" s="25"/>
      <c r="D11" s="25"/>
      <c r="E11" s="25"/>
      <c r="F11" s="25"/>
      <c r="G11" s="25"/>
      <c r="H11" s="25"/>
    </row>
    <row r="12" spans="1:28" s="102" customFormat="1" ht="18" x14ac:dyDescent="0.25">
      <c r="A12" s="139" t="s">
        <v>13</v>
      </c>
      <c r="B12" s="139" t="s">
        <v>99</v>
      </c>
      <c r="C12" s="140"/>
      <c r="D12" s="140"/>
      <c r="E12" s="140"/>
      <c r="F12" s="140"/>
      <c r="G12" s="140"/>
      <c r="H12" s="140"/>
      <c r="I12" s="141"/>
      <c r="J12" s="141"/>
      <c r="K12" s="141"/>
      <c r="L12" s="141"/>
      <c r="M12" s="141"/>
      <c r="N12" s="141"/>
      <c r="O12" s="141"/>
      <c r="P12" s="141"/>
      <c r="Q12" s="141"/>
      <c r="R12" s="141"/>
      <c r="S12" s="141"/>
      <c r="T12" s="141"/>
      <c r="U12" s="141"/>
      <c r="V12" s="141"/>
      <c r="W12" s="141"/>
      <c r="X12" s="141"/>
      <c r="Y12" s="141"/>
      <c r="Z12" s="141"/>
      <c r="AA12" s="141"/>
      <c r="AB12" s="141"/>
    </row>
    <row r="13" spans="1:28" s="24" customFormat="1" x14ac:dyDescent="0.2">
      <c r="A13" s="25"/>
      <c r="B13" s="25"/>
      <c r="C13" s="25"/>
      <c r="D13" s="25"/>
      <c r="E13" s="25"/>
      <c r="F13" s="25"/>
      <c r="G13" s="25"/>
      <c r="H13" s="25"/>
    </row>
    <row r="14" spans="1:28" s="24" customFormat="1" x14ac:dyDescent="0.2">
      <c r="A14" s="25"/>
      <c r="B14" s="249" t="s">
        <v>100</v>
      </c>
      <c r="C14" s="25"/>
      <c r="D14" s="25"/>
      <c r="E14" s="25"/>
      <c r="F14" s="25"/>
      <c r="G14" s="25"/>
      <c r="H14" s="25"/>
    </row>
    <row r="15" spans="1:28" s="24" customFormat="1" x14ac:dyDescent="0.2">
      <c r="A15" s="25"/>
      <c r="B15" s="25"/>
      <c r="C15" s="25"/>
      <c r="D15" s="25"/>
      <c r="E15" s="25"/>
      <c r="F15" s="25"/>
      <c r="G15" s="25"/>
      <c r="H15" s="25"/>
    </row>
    <row r="16" spans="1:28" s="24" customFormat="1" x14ac:dyDescent="0.2">
      <c r="A16" s="25"/>
      <c r="B16" s="25"/>
      <c r="C16" s="25" t="str">
        <f>Inputs!C$55</f>
        <v>Legacy Combined RPI-CPIH price index (regulatory year average)</v>
      </c>
      <c r="D16" s="25"/>
      <c r="E16" s="25"/>
      <c r="F16" s="25" t="str">
        <f>Inputs!F$55</f>
        <v>PIₜ</v>
      </c>
      <c r="G16" s="25" t="str">
        <f>Inputs!G$55</f>
        <v>1987 = 100</v>
      </c>
      <c r="H16" s="25"/>
      <c r="L16" s="24" t="s">
        <v>90</v>
      </c>
      <c r="M16" s="103">
        <f>Inputs!M$55</f>
        <v>274.90833333333336</v>
      </c>
      <c r="N16" s="103">
        <f>Inputs!N$55</f>
        <v>283.30833333333334</v>
      </c>
      <c r="O16" s="103">
        <f>Inputs!O$55</f>
        <v>290.64166666666665</v>
      </c>
      <c r="P16" s="103">
        <f>Inputs!P$55</f>
        <v>294.16666666666669</v>
      </c>
      <c r="Q16" s="103">
        <f>Inputs!Q$55</f>
        <v>307.32821397646848</v>
      </c>
      <c r="R16" s="103">
        <f>Inputs!R$55</f>
        <v>334.29358180068937</v>
      </c>
      <c r="S16" s="103">
        <f>Inputs!S$55</f>
        <v>352.83651735739545</v>
      </c>
      <c r="T16" s="104"/>
      <c r="U16" s="104"/>
      <c r="V16" s="104"/>
      <c r="W16" s="104"/>
      <c r="X16" s="104"/>
      <c r="Y16" s="104"/>
      <c r="Z16" s="104"/>
      <c r="AA16" s="104"/>
    </row>
    <row r="17" spans="1:27" s="24" customFormat="1" x14ac:dyDescent="0.2">
      <c r="A17" s="25"/>
      <c r="B17" s="25"/>
      <c r="C17" s="25" t="str">
        <f>Inputs!C56</f>
        <v>Legacy Combined RPI-CPIH price index (March 2024)</v>
      </c>
      <c r="D17" s="25"/>
      <c r="E17" s="25"/>
      <c r="F17" s="25" t="str">
        <f>Inputs!F56</f>
        <v>PI03/2024</v>
      </c>
      <c r="G17" s="25" t="str">
        <f>Inputs!G56</f>
        <v>1987 = 100</v>
      </c>
      <c r="H17" s="25"/>
      <c r="I17" s="103">
        <f>Inputs!I56</f>
        <v>357.54583432417797</v>
      </c>
    </row>
    <row r="18" spans="1:27" s="24" customFormat="1" x14ac:dyDescent="0.2">
      <c r="A18" s="25"/>
      <c r="B18" s="25"/>
      <c r="C18" s="25"/>
      <c r="D18" s="25"/>
      <c r="E18" s="25"/>
      <c r="F18" s="25"/>
      <c r="G18" s="25"/>
      <c r="H18" s="25"/>
    </row>
    <row r="19" spans="1:27" s="24" customFormat="1" ht="15" x14ac:dyDescent="0.2">
      <c r="A19" s="25"/>
      <c r="B19" s="25"/>
      <c r="C19" s="28" t="str">
        <f>Inputs!C68</f>
        <v>CPIH INDEX 00: ALL ITEMS, by month</v>
      </c>
      <c r="D19" s="25"/>
      <c r="E19" s="25"/>
      <c r="F19" s="25"/>
      <c r="G19" s="25"/>
      <c r="H19" s="25"/>
    </row>
    <row r="20" spans="1:27" s="24" customFormat="1" x14ac:dyDescent="0.2">
      <c r="A20" s="25"/>
      <c r="B20" s="25"/>
      <c r="C20" s="25"/>
      <c r="D20" s="66" t="str">
        <f>Inputs!D69</f>
        <v>Apr</v>
      </c>
      <c r="E20" s="66"/>
      <c r="F20" s="66" t="str">
        <f>Inputs!F69</f>
        <v>CPIHₘ</v>
      </c>
      <c r="G20" s="66" t="str">
        <f>Inputs!G69</f>
        <v>2015 = 100</v>
      </c>
      <c r="H20" s="66"/>
      <c r="I20" s="105"/>
      <c r="J20" s="105"/>
      <c r="K20" s="105"/>
      <c r="L20" s="105"/>
      <c r="M20" s="106"/>
      <c r="N20" s="106"/>
      <c r="O20" s="106"/>
      <c r="P20" s="106"/>
      <c r="Q20" s="106"/>
      <c r="R20" s="106"/>
      <c r="S20" s="106"/>
      <c r="T20" s="107">
        <f>Inputs!T69</f>
        <v>132.19999999999999</v>
      </c>
      <c r="U20" s="107">
        <f>Inputs!U69</f>
        <v>0</v>
      </c>
      <c r="V20" s="107">
        <f>Inputs!V69</f>
        <v>0</v>
      </c>
      <c r="W20" s="107">
        <f>Inputs!W69</f>
        <v>0</v>
      </c>
      <c r="X20" s="107">
        <f>Inputs!X69</f>
        <v>0</v>
      </c>
      <c r="Y20" s="107">
        <f>Inputs!Y69</f>
        <v>0</v>
      </c>
      <c r="Z20" s="107">
        <f>Inputs!Z69</f>
        <v>0</v>
      </c>
      <c r="AA20" s="107">
        <f>Inputs!AA69</f>
        <v>0</v>
      </c>
    </row>
    <row r="21" spans="1:27" s="24" customFormat="1" x14ac:dyDescent="0.2">
      <c r="A21" s="25"/>
      <c r="B21" s="25"/>
      <c r="C21" s="25"/>
      <c r="D21" s="31" t="str">
        <f>Inputs!D70</f>
        <v>May</v>
      </c>
      <c r="E21" s="31"/>
      <c r="F21" s="31" t="str">
        <f>Inputs!F70</f>
        <v>CPIHₘ</v>
      </c>
      <c r="G21" s="31" t="str">
        <f>Inputs!G70</f>
        <v>2015 = 100</v>
      </c>
      <c r="H21" s="31"/>
      <c r="I21" s="36"/>
      <c r="J21" s="36"/>
      <c r="K21" s="36"/>
      <c r="L21" s="36"/>
      <c r="M21" s="104"/>
      <c r="N21" s="104"/>
      <c r="O21" s="104"/>
      <c r="P21" s="104"/>
      <c r="Q21" s="104"/>
      <c r="R21" s="104"/>
      <c r="S21" s="104"/>
      <c r="T21" s="108">
        <f>Inputs!T70</f>
        <v>132.69999999999999</v>
      </c>
      <c r="U21" s="108">
        <f>Inputs!U70</f>
        <v>0</v>
      </c>
      <c r="V21" s="108">
        <f>Inputs!V70</f>
        <v>0</v>
      </c>
      <c r="W21" s="108">
        <f>Inputs!W70</f>
        <v>0</v>
      </c>
      <c r="X21" s="108">
        <f>Inputs!X70</f>
        <v>0</v>
      </c>
      <c r="Y21" s="108">
        <f>Inputs!Y70</f>
        <v>0</v>
      </c>
      <c r="Z21" s="108">
        <f>Inputs!Z70</f>
        <v>0</v>
      </c>
      <c r="AA21" s="108">
        <f>Inputs!AA70</f>
        <v>0</v>
      </c>
    </row>
    <row r="22" spans="1:27" s="24" customFormat="1" x14ac:dyDescent="0.2">
      <c r="A22" s="25"/>
      <c r="B22" s="25"/>
      <c r="C22" s="25"/>
      <c r="D22" s="31" t="str">
        <f>Inputs!D71</f>
        <v>Jun</v>
      </c>
      <c r="E22" s="31"/>
      <c r="F22" s="31" t="str">
        <f>Inputs!F71</f>
        <v>CPIHₘ</v>
      </c>
      <c r="G22" s="31" t="str">
        <f>Inputs!G71</f>
        <v>2015 = 100</v>
      </c>
      <c r="H22" s="31"/>
      <c r="I22" s="36"/>
      <c r="J22" s="36"/>
      <c r="K22" s="36"/>
      <c r="L22" s="36"/>
      <c r="M22" s="104"/>
      <c r="N22" s="104"/>
      <c r="O22" s="104"/>
      <c r="P22" s="104"/>
      <c r="Q22" s="104"/>
      <c r="R22" s="104"/>
      <c r="S22" s="104"/>
      <c r="T22" s="108">
        <f>Inputs!T71</f>
        <v>133</v>
      </c>
      <c r="U22" s="108">
        <f>Inputs!U71</f>
        <v>0</v>
      </c>
      <c r="V22" s="108">
        <f>Inputs!V71</f>
        <v>0</v>
      </c>
      <c r="W22" s="108">
        <f>Inputs!W71</f>
        <v>0</v>
      </c>
      <c r="X22" s="108">
        <f>Inputs!X71</f>
        <v>0</v>
      </c>
      <c r="Y22" s="108">
        <f>Inputs!Y71</f>
        <v>0</v>
      </c>
      <c r="Z22" s="108">
        <f>Inputs!Z71</f>
        <v>0</v>
      </c>
      <c r="AA22" s="108">
        <f>Inputs!AA71</f>
        <v>0</v>
      </c>
    </row>
    <row r="23" spans="1:27" s="24" customFormat="1" x14ac:dyDescent="0.2">
      <c r="A23" s="25"/>
      <c r="B23" s="25"/>
      <c r="C23" s="25"/>
      <c r="D23" s="31" t="str">
        <f>Inputs!D72</f>
        <v>Jul</v>
      </c>
      <c r="E23" s="31"/>
      <c r="F23" s="31" t="str">
        <f>Inputs!F72</f>
        <v>CPIHₘ</v>
      </c>
      <c r="G23" s="31" t="str">
        <f>Inputs!G72</f>
        <v>2015 = 100</v>
      </c>
      <c r="H23" s="31"/>
      <c r="I23" s="36"/>
      <c r="J23" s="36"/>
      <c r="K23" s="36"/>
      <c r="L23" s="36"/>
      <c r="M23" s="104"/>
      <c r="N23" s="104"/>
      <c r="O23" s="104"/>
      <c r="P23" s="104"/>
      <c r="Q23" s="104"/>
      <c r="R23" s="104"/>
      <c r="S23" s="104"/>
      <c r="T23" s="108">
        <f>Inputs!T72</f>
        <v>0</v>
      </c>
      <c r="U23" s="108">
        <f>Inputs!U72</f>
        <v>0</v>
      </c>
      <c r="V23" s="108">
        <f>Inputs!V72</f>
        <v>0</v>
      </c>
      <c r="W23" s="108">
        <f>Inputs!W72</f>
        <v>0</v>
      </c>
      <c r="X23" s="108">
        <f>Inputs!X72</f>
        <v>0</v>
      </c>
      <c r="Y23" s="108">
        <f>Inputs!Y72</f>
        <v>0</v>
      </c>
      <c r="Z23" s="108">
        <f>Inputs!Z72</f>
        <v>0</v>
      </c>
      <c r="AA23" s="108">
        <f>Inputs!AA72</f>
        <v>0</v>
      </c>
    </row>
    <row r="24" spans="1:27" s="24" customFormat="1" x14ac:dyDescent="0.2">
      <c r="A24" s="25"/>
      <c r="B24" s="25"/>
      <c r="C24" s="25"/>
      <c r="D24" s="31" t="str">
        <f>Inputs!D73</f>
        <v>Aug</v>
      </c>
      <c r="E24" s="31"/>
      <c r="F24" s="31" t="str">
        <f>Inputs!F73</f>
        <v>CPIHₘ</v>
      </c>
      <c r="G24" s="31" t="str">
        <f>Inputs!G73</f>
        <v>2015 = 100</v>
      </c>
      <c r="H24" s="31"/>
      <c r="I24" s="36"/>
      <c r="J24" s="36"/>
      <c r="K24" s="36"/>
      <c r="L24" s="36"/>
      <c r="M24" s="104"/>
      <c r="N24" s="104"/>
      <c r="O24" s="104"/>
      <c r="P24" s="104"/>
      <c r="Q24" s="104"/>
      <c r="R24" s="104"/>
      <c r="S24" s="104"/>
      <c r="T24" s="108">
        <f>Inputs!T73</f>
        <v>0</v>
      </c>
      <c r="U24" s="108">
        <f>Inputs!U73</f>
        <v>0</v>
      </c>
      <c r="V24" s="108">
        <f>Inputs!V73</f>
        <v>0</v>
      </c>
      <c r="W24" s="108">
        <f>Inputs!W73</f>
        <v>0</v>
      </c>
      <c r="X24" s="108">
        <f>Inputs!X73</f>
        <v>0</v>
      </c>
      <c r="Y24" s="108">
        <f>Inputs!Y73</f>
        <v>0</v>
      </c>
      <c r="Z24" s="108">
        <f>Inputs!Z73</f>
        <v>0</v>
      </c>
      <c r="AA24" s="108">
        <f>Inputs!AA73</f>
        <v>0</v>
      </c>
    </row>
    <row r="25" spans="1:27" s="24" customFormat="1" x14ac:dyDescent="0.2">
      <c r="A25" s="25"/>
      <c r="B25" s="25"/>
      <c r="C25" s="25"/>
      <c r="D25" s="31" t="str">
        <f>Inputs!D74</f>
        <v>Sep</v>
      </c>
      <c r="E25" s="31"/>
      <c r="F25" s="31" t="str">
        <f>Inputs!F74</f>
        <v>CPIHₘ</v>
      </c>
      <c r="G25" s="31" t="str">
        <f>Inputs!G74</f>
        <v>2015 = 100</v>
      </c>
      <c r="H25" s="31"/>
      <c r="I25" s="36"/>
      <c r="J25" s="36"/>
      <c r="K25" s="36"/>
      <c r="L25" s="36"/>
      <c r="M25" s="104"/>
      <c r="N25" s="104"/>
      <c r="O25" s="104"/>
      <c r="P25" s="104"/>
      <c r="Q25" s="104"/>
      <c r="R25" s="104"/>
      <c r="S25" s="104"/>
      <c r="T25" s="108">
        <f>Inputs!T74</f>
        <v>0</v>
      </c>
      <c r="U25" s="108">
        <f>Inputs!U74</f>
        <v>0</v>
      </c>
      <c r="V25" s="108">
        <f>Inputs!V74</f>
        <v>0</v>
      </c>
      <c r="W25" s="108">
        <f>Inputs!W74</f>
        <v>0</v>
      </c>
      <c r="X25" s="108">
        <f>Inputs!X74</f>
        <v>0</v>
      </c>
      <c r="Y25" s="108">
        <f>Inputs!Y74</f>
        <v>0</v>
      </c>
      <c r="Z25" s="108">
        <f>Inputs!Z74</f>
        <v>0</v>
      </c>
      <c r="AA25" s="108">
        <f>Inputs!AA74</f>
        <v>0</v>
      </c>
    </row>
    <row r="26" spans="1:27" s="24" customFormat="1" x14ac:dyDescent="0.2">
      <c r="A26" s="25"/>
      <c r="B26" s="25"/>
      <c r="C26" s="25"/>
      <c r="D26" s="31" t="str">
        <f>Inputs!D75</f>
        <v>Oct</v>
      </c>
      <c r="E26" s="31"/>
      <c r="F26" s="31" t="str">
        <f>Inputs!F75</f>
        <v>CPIHₘ</v>
      </c>
      <c r="G26" s="31" t="str">
        <f>Inputs!G75</f>
        <v>2015 = 100</v>
      </c>
      <c r="H26" s="31"/>
      <c r="I26" s="36"/>
      <c r="J26" s="36"/>
      <c r="K26" s="36"/>
      <c r="L26" s="36"/>
      <c r="M26" s="104"/>
      <c r="N26" s="104"/>
      <c r="O26" s="104"/>
      <c r="P26" s="104"/>
      <c r="Q26" s="104"/>
      <c r="R26" s="104"/>
      <c r="S26" s="104"/>
      <c r="T26" s="108">
        <f>Inputs!T75</f>
        <v>0</v>
      </c>
      <c r="U26" s="108">
        <f>Inputs!U75</f>
        <v>0</v>
      </c>
      <c r="V26" s="108">
        <f>Inputs!V75</f>
        <v>0</v>
      </c>
      <c r="W26" s="108">
        <f>Inputs!W75</f>
        <v>0</v>
      </c>
      <c r="X26" s="108">
        <f>Inputs!X75</f>
        <v>0</v>
      </c>
      <c r="Y26" s="108">
        <f>Inputs!Y75</f>
        <v>0</v>
      </c>
      <c r="Z26" s="108">
        <f>Inputs!Z75</f>
        <v>0</v>
      </c>
      <c r="AA26" s="108">
        <f>Inputs!AA75</f>
        <v>0</v>
      </c>
    </row>
    <row r="27" spans="1:27" s="24" customFormat="1" x14ac:dyDescent="0.2">
      <c r="A27" s="25"/>
      <c r="B27" s="25"/>
      <c r="C27" s="25"/>
      <c r="D27" s="31" t="str">
        <f>Inputs!D76</f>
        <v>Nov</v>
      </c>
      <c r="E27" s="31"/>
      <c r="F27" s="31" t="str">
        <f>Inputs!F76</f>
        <v>CPIHₘ</v>
      </c>
      <c r="G27" s="31" t="str">
        <f>Inputs!G76</f>
        <v>2015 = 100</v>
      </c>
      <c r="H27" s="31"/>
      <c r="I27" s="36"/>
      <c r="J27" s="36"/>
      <c r="K27" s="36"/>
      <c r="L27" s="36"/>
      <c r="M27" s="104"/>
      <c r="N27" s="104"/>
      <c r="O27" s="104"/>
      <c r="P27" s="104"/>
      <c r="Q27" s="104"/>
      <c r="R27" s="104"/>
      <c r="S27" s="104"/>
      <c r="T27" s="108">
        <f>Inputs!T76</f>
        <v>0</v>
      </c>
      <c r="U27" s="108">
        <f>Inputs!U76</f>
        <v>0</v>
      </c>
      <c r="V27" s="108">
        <f>Inputs!V76</f>
        <v>0</v>
      </c>
      <c r="W27" s="108">
        <f>Inputs!W76</f>
        <v>0</v>
      </c>
      <c r="X27" s="108">
        <f>Inputs!X76</f>
        <v>0</v>
      </c>
      <c r="Y27" s="108">
        <f>Inputs!Y76</f>
        <v>0</v>
      </c>
      <c r="Z27" s="108">
        <f>Inputs!Z76</f>
        <v>0</v>
      </c>
      <c r="AA27" s="108">
        <f>Inputs!AA76</f>
        <v>0</v>
      </c>
    </row>
    <row r="28" spans="1:27" s="24" customFormat="1" x14ac:dyDescent="0.2">
      <c r="A28" s="25"/>
      <c r="B28" s="25"/>
      <c r="C28" s="25"/>
      <c r="D28" s="31" t="str">
        <f>Inputs!D77</f>
        <v>Dec</v>
      </c>
      <c r="E28" s="31"/>
      <c r="F28" s="31" t="str">
        <f>Inputs!F77</f>
        <v>CPIHₘ</v>
      </c>
      <c r="G28" s="31" t="str">
        <f>Inputs!G77</f>
        <v>2015 = 100</v>
      </c>
      <c r="H28" s="31"/>
      <c r="I28" s="36"/>
      <c r="J28" s="36"/>
      <c r="K28" s="36"/>
      <c r="L28" s="36"/>
      <c r="M28" s="104"/>
      <c r="N28" s="104"/>
      <c r="O28" s="104"/>
      <c r="P28" s="104"/>
      <c r="Q28" s="104"/>
      <c r="R28" s="104"/>
      <c r="S28" s="104"/>
      <c r="T28" s="108">
        <f>Inputs!T77</f>
        <v>0</v>
      </c>
      <c r="U28" s="108">
        <f>Inputs!U77</f>
        <v>0</v>
      </c>
      <c r="V28" s="108">
        <f>Inputs!V77</f>
        <v>0</v>
      </c>
      <c r="W28" s="108">
        <f>Inputs!W77</f>
        <v>0</v>
      </c>
      <c r="X28" s="108">
        <f>Inputs!X77</f>
        <v>0</v>
      </c>
      <c r="Y28" s="108">
        <f>Inputs!Y77</f>
        <v>0</v>
      </c>
      <c r="Z28" s="108">
        <f>Inputs!Z77</f>
        <v>0</v>
      </c>
      <c r="AA28" s="108">
        <f>Inputs!AA77</f>
        <v>0</v>
      </c>
    </row>
    <row r="29" spans="1:27" s="24" customFormat="1" x14ac:dyDescent="0.2">
      <c r="A29" s="25"/>
      <c r="B29" s="25"/>
      <c r="C29" s="25"/>
      <c r="D29" s="31" t="str">
        <f>Inputs!D78</f>
        <v>Jan</v>
      </c>
      <c r="E29" s="31"/>
      <c r="F29" s="31" t="str">
        <f>Inputs!F78</f>
        <v>CPIHₘ</v>
      </c>
      <c r="G29" s="31" t="str">
        <f>Inputs!G78</f>
        <v>2015 = 100</v>
      </c>
      <c r="H29" s="31"/>
      <c r="I29" s="36"/>
      <c r="J29" s="36"/>
      <c r="K29" s="36"/>
      <c r="L29" s="36"/>
      <c r="M29" s="104"/>
      <c r="N29" s="104"/>
      <c r="O29" s="104"/>
      <c r="P29" s="104"/>
      <c r="Q29" s="104"/>
      <c r="R29" s="104"/>
      <c r="S29" s="104"/>
      <c r="T29" s="108">
        <f>Inputs!T78</f>
        <v>0</v>
      </c>
      <c r="U29" s="108">
        <f>Inputs!U78</f>
        <v>0</v>
      </c>
      <c r="V29" s="108">
        <f>Inputs!V78</f>
        <v>0</v>
      </c>
      <c r="W29" s="108">
        <f>Inputs!W78</f>
        <v>0</v>
      </c>
      <c r="X29" s="108">
        <f>Inputs!X78</f>
        <v>0</v>
      </c>
      <c r="Y29" s="108">
        <f>Inputs!Y78</f>
        <v>0</v>
      </c>
      <c r="Z29" s="108">
        <f>Inputs!Z78</f>
        <v>0</v>
      </c>
      <c r="AA29" s="108">
        <f>Inputs!AA78</f>
        <v>0</v>
      </c>
    </row>
    <row r="30" spans="1:27" s="24" customFormat="1" x14ac:dyDescent="0.2">
      <c r="A30" s="25"/>
      <c r="B30" s="25"/>
      <c r="C30" s="25"/>
      <c r="D30" s="31" t="str">
        <f>Inputs!D79</f>
        <v>Feb</v>
      </c>
      <c r="E30" s="31"/>
      <c r="F30" s="31" t="str">
        <f>Inputs!F79</f>
        <v>CPIHₘ</v>
      </c>
      <c r="G30" s="31" t="str">
        <f>Inputs!G79</f>
        <v>2015 = 100</v>
      </c>
      <c r="H30" s="31"/>
      <c r="I30" s="36"/>
      <c r="J30" s="36"/>
      <c r="K30" s="36"/>
      <c r="L30" s="36"/>
      <c r="M30" s="104"/>
      <c r="N30" s="104"/>
      <c r="O30" s="104"/>
      <c r="P30" s="104"/>
      <c r="Q30" s="104"/>
      <c r="R30" s="104"/>
      <c r="S30" s="104"/>
      <c r="T30" s="108">
        <f>Inputs!T79</f>
        <v>0</v>
      </c>
      <c r="U30" s="108">
        <f>Inputs!U79</f>
        <v>0</v>
      </c>
      <c r="V30" s="108">
        <f>Inputs!V79</f>
        <v>0</v>
      </c>
      <c r="W30" s="108">
        <f>Inputs!W79</f>
        <v>0</v>
      </c>
      <c r="X30" s="108">
        <f>Inputs!X79</f>
        <v>0</v>
      </c>
      <c r="Y30" s="108">
        <f>Inputs!Y79</f>
        <v>0</v>
      </c>
      <c r="Z30" s="108">
        <f>Inputs!Z79</f>
        <v>0</v>
      </c>
      <c r="AA30" s="108">
        <f>Inputs!AA79</f>
        <v>0</v>
      </c>
    </row>
    <row r="31" spans="1:27" s="24" customFormat="1" x14ac:dyDescent="0.2">
      <c r="A31" s="25"/>
      <c r="B31" s="25"/>
      <c r="C31" s="25"/>
      <c r="D31" s="69" t="str">
        <f>Inputs!D80</f>
        <v>Mar</v>
      </c>
      <c r="E31" s="69"/>
      <c r="F31" s="69" t="str">
        <f>Inputs!F80</f>
        <v>CPIHₘ</v>
      </c>
      <c r="G31" s="69" t="str">
        <f>Inputs!G80</f>
        <v>2015 = 100</v>
      </c>
      <c r="H31" s="69"/>
      <c r="I31" s="109"/>
      <c r="J31" s="109"/>
      <c r="K31" s="109"/>
      <c r="L31" s="109" t="s">
        <v>90</v>
      </c>
      <c r="M31" s="110"/>
      <c r="N31" s="110"/>
      <c r="O31" s="110"/>
      <c r="P31" s="110"/>
      <c r="Q31" s="110"/>
      <c r="R31" s="110"/>
      <c r="S31" s="111">
        <f>Inputs!S80</f>
        <v>131.6</v>
      </c>
      <c r="T31" s="111">
        <f>Inputs!T80</f>
        <v>0</v>
      </c>
      <c r="U31" s="111">
        <f>Inputs!U80</f>
        <v>0</v>
      </c>
      <c r="V31" s="111">
        <f>Inputs!V80</f>
        <v>0</v>
      </c>
      <c r="W31" s="111">
        <f>Inputs!W80</f>
        <v>0</v>
      </c>
      <c r="X31" s="111">
        <f>Inputs!X80</f>
        <v>0</v>
      </c>
      <c r="Y31" s="111">
        <f>Inputs!Y80</f>
        <v>0</v>
      </c>
      <c r="Z31" s="111">
        <f>Inputs!Z80</f>
        <v>0</v>
      </c>
      <c r="AA31" s="111">
        <f>Inputs!AA80</f>
        <v>0</v>
      </c>
    </row>
    <row r="32" spans="1:27" s="24" customFormat="1" x14ac:dyDescent="0.2">
      <c r="A32" s="25"/>
      <c r="B32" s="25"/>
      <c r="C32" s="25"/>
      <c r="D32" s="25"/>
      <c r="E32" s="25"/>
      <c r="F32" s="25"/>
      <c r="G32" s="25"/>
      <c r="H32" s="25"/>
      <c r="M32" s="72"/>
      <c r="N32" s="72"/>
      <c r="O32" s="72"/>
      <c r="P32" s="72"/>
      <c r="Q32" s="72"/>
      <c r="R32" s="72"/>
      <c r="S32" s="72"/>
      <c r="T32" s="72"/>
      <c r="U32" s="72"/>
      <c r="V32" s="72"/>
      <c r="W32" s="72"/>
      <c r="X32" s="72"/>
      <c r="Y32" s="72"/>
      <c r="Z32" s="72"/>
      <c r="AA32" s="72"/>
    </row>
    <row r="33" spans="1:28" s="24" customFormat="1" ht="18" x14ac:dyDescent="0.25">
      <c r="A33" s="139" t="s">
        <v>13</v>
      </c>
      <c r="B33" s="139" t="s">
        <v>101</v>
      </c>
      <c r="C33" s="140"/>
      <c r="D33" s="140"/>
      <c r="E33" s="140"/>
      <c r="F33" s="140"/>
      <c r="G33" s="140"/>
      <c r="H33" s="140"/>
      <c r="I33" s="141"/>
      <c r="J33" s="141"/>
      <c r="K33" s="141"/>
      <c r="L33" s="141"/>
      <c r="M33" s="141"/>
      <c r="N33" s="141"/>
      <c r="O33" s="141"/>
      <c r="P33" s="141"/>
      <c r="Q33" s="141"/>
      <c r="R33" s="141"/>
      <c r="S33" s="141"/>
      <c r="T33" s="141"/>
      <c r="U33" s="141"/>
      <c r="V33" s="141"/>
      <c r="W33" s="141"/>
      <c r="X33" s="141"/>
      <c r="Y33" s="141"/>
      <c r="Z33" s="141"/>
      <c r="AA33" s="141"/>
      <c r="AB33" s="141"/>
    </row>
    <row r="34" spans="1:28" s="24" customFormat="1" x14ac:dyDescent="0.2">
      <c r="A34" s="25"/>
      <c r="B34" s="25"/>
      <c r="C34" s="25"/>
      <c r="D34" s="25"/>
      <c r="E34" s="25"/>
      <c r="F34" s="25"/>
      <c r="G34" s="25"/>
      <c r="H34" s="25"/>
      <c r="M34" s="72"/>
      <c r="N34" s="72"/>
      <c r="O34" s="72"/>
      <c r="P34" s="72"/>
      <c r="Q34" s="72"/>
      <c r="R34" s="72"/>
      <c r="S34" s="72"/>
      <c r="T34" s="72"/>
      <c r="U34" s="72"/>
      <c r="V34" s="72"/>
      <c r="W34" s="72"/>
      <c r="X34" s="72"/>
      <c r="Y34" s="72"/>
      <c r="Z34" s="72"/>
      <c r="AA34" s="72"/>
    </row>
    <row r="35" spans="1:28" s="24" customFormat="1" x14ac:dyDescent="0.2">
      <c r="A35" s="25"/>
      <c r="B35" s="249" t="s">
        <v>102</v>
      </c>
      <c r="C35" s="25"/>
      <c r="D35" s="25"/>
      <c r="E35" s="25"/>
      <c r="F35" s="25"/>
      <c r="G35" s="25"/>
      <c r="H35" s="25"/>
      <c r="M35" s="72"/>
      <c r="N35" s="72"/>
      <c r="O35" s="72"/>
      <c r="P35" s="72"/>
      <c r="Q35" s="72"/>
      <c r="R35" s="72"/>
      <c r="S35" s="72"/>
      <c r="T35" s="72"/>
      <c r="U35" s="72"/>
      <c r="V35" s="72"/>
      <c r="W35" s="72"/>
      <c r="X35" s="72"/>
      <c r="Y35" s="72"/>
      <c r="Z35" s="72"/>
      <c r="AA35" s="72"/>
    </row>
    <row r="36" spans="1:28" s="24" customFormat="1" x14ac:dyDescent="0.2">
      <c r="A36" s="25"/>
      <c r="B36" s="25"/>
      <c r="C36" s="25"/>
      <c r="D36" s="25"/>
      <c r="E36" s="25"/>
      <c r="F36" s="25"/>
      <c r="G36" s="25"/>
      <c r="H36" s="25"/>
      <c r="M36" s="72"/>
      <c r="N36" s="72"/>
      <c r="O36" s="72"/>
      <c r="P36" s="72"/>
      <c r="Q36" s="72"/>
      <c r="R36" s="72"/>
      <c r="S36" s="72"/>
      <c r="T36" s="72"/>
      <c r="U36" s="72"/>
      <c r="V36" s="72"/>
      <c r="W36" s="72"/>
      <c r="X36" s="72"/>
      <c r="Y36" s="72"/>
      <c r="Z36" s="72"/>
      <c r="AA36" s="72"/>
    </row>
    <row r="37" spans="1:28" s="24" customFormat="1" ht="15" x14ac:dyDescent="0.2">
      <c r="A37" s="25"/>
      <c r="B37" s="25"/>
      <c r="C37" s="28" t="str">
        <f>Inputs!C84</f>
        <v>OBR CPI estimates, by calendar year ending</v>
      </c>
      <c r="D37" s="25"/>
      <c r="E37" s="25"/>
      <c r="F37" s="25"/>
      <c r="G37" s="25"/>
      <c r="H37" s="25"/>
      <c r="M37" s="72"/>
      <c r="N37" s="72"/>
      <c r="O37" s="72"/>
      <c r="P37" s="72"/>
      <c r="Q37" s="72"/>
      <c r="R37" s="72"/>
      <c r="S37" s="72"/>
      <c r="T37" s="72"/>
      <c r="U37" s="72"/>
      <c r="V37" s="72"/>
      <c r="W37" s="72"/>
      <c r="X37" s="72"/>
      <c r="Y37" s="72"/>
      <c r="Z37" s="72"/>
      <c r="AA37" s="72"/>
    </row>
    <row r="38" spans="1:28" s="24" customFormat="1" x14ac:dyDescent="0.2">
      <c r="A38" s="25"/>
      <c r="B38" s="25"/>
      <c r="C38" s="25"/>
      <c r="D38" s="112">
        <f>Inputs!D85</f>
        <v>46022</v>
      </c>
      <c r="E38" s="66"/>
      <c r="F38" s="66"/>
      <c r="G38" s="66" t="str">
        <f>Inputs!G85</f>
        <v>pp</v>
      </c>
      <c r="H38" s="66"/>
      <c r="I38" s="144">
        <f>Inputs!I85</f>
        <v>2.5756936498082306</v>
      </c>
      <c r="M38" s="72"/>
      <c r="N38" s="72"/>
      <c r="O38" s="72"/>
      <c r="P38" s="72"/>
      <c r="Q38" s="72"/>
      <c r="R38" s="72"/>
      <c r="S38" s="72"/>
      <c r="T38" s="72"/>
      <c r="U38" s="72"/>
      <c r="V38" s="72"/>
      <c r="W38" s="72"/>
      <c r="X38" s="72"/>
      <c r="Y38" s="72"/>
      <c r="Z38" s="72"/>
      <c r="AA38" s="72"/>
    </row>
    <row r="39" spans="1:28" s="24" customFormat="1" x14ac:dyDescent="0.2">
      <c r="A39" s="25"/>
      <c r="B39" s="25"/>
      <c r="C39" s="25"/>
      <c r="D39" s="113">
        <f>Inputs!D86</f>
        <v>46387</v>
      </c>
      <c r="E39" s="31"/>
      <c r="F39" s="31"/>
      <c r="G39" s="31" t="str">
        <f>Inputs!G86</f>
        <v>pp</v>
      </c>
      <c r="H39" s="31"/>
      <c r="I39" s="145">
        <f>Inputs!I86</f>
        <v>2.2608746324726203</v>
      </c>
      <c r="M39" s="72"/>
      <c r="N39" s="72"/>
      <c r="O39" s="72"/>
      <c r="P39" s="72"/>
      <c r="Q39" s="72"/>
      <c r="R39" s="72"/>
      <c r="S39" s="72"/>
      <c r="T39" s="72"/>
      <c r="U39" s="72"/>
      <c r="V39" s="72"/>
      <c r="W39" s="72"/>
      <c r="X39" s="72"/>
      <c r="Y39" s="72"/>
      <c r="Z39" s="72"/>
      <c r="AA39" s="72"/>
    </row>
    <row r="40" spans="1:28" s="24" customFormat="1" x14ac:dyDescent="0.2">
      <c r="A40" s="25"/>
      <c r="B40" s="25"/>
      <c r="C40" s="25"/>
      <c r="D40" s="113">
        <f>Inputs!D87</f>
        <v>46752</v>
      </c>
      <c r="E40" s="31"/>
      <c r="F40" s="31"/>
      <c r="G40" s="31" t="str">
        <f>Inputs!G87</f>
        <v>pp</v>
      </c>
      <c r="H40" s="31"/>
      <c r="I40" s="145">
        <f>Inputs!I87</f>
        <v>2.1160529756593105</v>
      </c>
      <c r="M40" s="72"/>
      <c r="N40" s="72"/>
      <c r="O40" s="72"/>
      <c r="P40" s="72"/>
      <c r="Q40" s="72"/>
      <c r="R40" s="72"/>
      <c r="S40" s="72"/>
      <c r="T40" s="72"/>
      <c r="U40" s="72"/>
      <c r="V40" s="72"/>
      <c r="W40" s="72"/>
      <c r="X40" s="72"/>
      <c r="Y40" s="72"/>
      <c r="Z40" s="72"/>
      <c r="AA40" s="72"/>
    </row>
    <row r="41" spans="1:28" s="24" customFormat="1" x14ac:dyDescent="0.2">
      <c r="A41" s="25"/>
      <c r="B41" s="25"/>
      <c r="C41" s="25"/>
      <c r="D41" s="113">
        <f>Inputs!D88</f>
        <v>47118</v>
      </c>
      <c r="E41" s="31"/>
      <c r="F41" s="31"/>
      <c r="G41" s="31" t="str">
        <f>Inputs!G88</f>
        <v>pp</v>
      </c>
      <c r="H41" s="31"/>
      <c r="I41" s="145">
        <f>Inputs!I88</f>
        <v>2.0747861451908323</v>
      </c>
      <c r="M41" s="72"/>
      <c r="N41" s="72"/>
      <c r="O41" s="72"/>
      <c r="P41" s="72"/>
      <c r="Q41" s="72"/>
      <c r="R41" s="72"/>
      <c r="S41" s="72"/>
      <c r="T41" s="72"/>
      <c r="U41" s="72"/>
      <c r="V41" s="72"/>
      <c r="W41" s="72"/>
      <c r="X41" s="72"/>
      <c r="Y41" s="72"/>
      <c r="Z41" s="72"/>
      <c r="AA41" s="72"/>
    </row>
    <row r="42" spans="1:28" s="24" customFormat="1" x14ac:dyDescent="0.2">
      <c r="A42" s="25"/>
      <c r="B42" s="25"/>
      <c r="C42" s="25"/>
      <c r="D42" s="113">
        <f>Inputs!D89</f>
        <v>47483</v>
      </c>
      <c r="E42" s="31"/>
      <c r="F42" s="31"/>
      <c r="G42" s="31" t="str">
        <f>Inputs!G89</f>
        <v>pp</v>
      </c>
      <c r="H42" s="31"/>
      <c r="I42" s="145">
        <f>Inputs!I89</f>
        <v>2.0280927375028179</v>
      </c>
      <c r="M42" s="72"/>
      <c r="N42" s="72"/>
      <c r="O42" s="72"/>
      <c r="P42" s="72"/>
      <c r="Q42" s="72"/>
      <c r="R42" s="72"/>
      <c r="S42" s="72"/>
      <c r="T42" s="72"/>
      <c r="U42" s="72"/>
      <c r="V42" s="72"/>
      <c r="W42" s="72"/>
      <c r="X42" s="72"/>
      <c r="Y42" s="72"/>
      <c r="Z42" s="72"/>
      <c r="AA42" s="72"/>
    </row>
    <row r="43" spans="1:28" s="24" customFormat="1" x14ac:dyDescent="0.2">
      <c r="A43" s="25"/>
      <c r="B43" s="25"/>
      <c r="C43" s="25"/>
      <c r="D43" s="113">
        <f>Inputs!D90</f>
        <v>47848</v>
      </c>
      <c r="E43" s="31"/>
      <c r="F43" s="31"/>
      <c r="G43" s="31" t="str">
        <f>Inputs!G90</f>
        <v>pp</v>
      </c>
      <c r="H43" s="31"/>
      <c r="I43" s="145">
        <f>Inputs!I90</f>
        <v>0</v>
      </c>
      <c r="M43" s="72"/>
      <c r="N43" s="72"/>
      <c r="O43" s="72"/>
      <c r="P43" s="72"/>
      <c r="Q43" s="72"/>
      <c r="R43" s="72"/>
      <c r="S43" s="72"/>
      <c r="T43" s="72"/>
      <c r="U43" s="72"/>
      <c r="V43" s="72"/>
      <c r="W43" s="72"/>
      <c r="X43" s="72"/>
      <c r="Y43" s="72"/>
      <c r="Z43" s="72"/>
      <c r="AA43" s="72"/>
    </row>
    <row r="44" spans="1:28" s="24" customFormat="1" x14ac:dyDescent="0.2">
      <c r="A44" s="25"/>
      <c r="B44" s="25"/>
      <c r="C44" s="25"/>
      <c r="D44" s="113">
        <f>Inputs!D91</f>
        <v>48213</v>
      </c>
      <c r="E44" s="31"/>
      <c r="F44" s="31"/>
      <c r="G44" s="31" t="str">
        <f>Inputs!G91</f>
        <v>pp</v>
      </c>
      <c r="H44" s="31"/>
      <c r="I44" s="145">
        <f>Inputs!I91</f>
        <v>0</v>
      </c>
      <c r="M44" s="72"/>
      <c r="N44" s="72"/>
      <c r="O44" s="72"/>
      <c r="P44" s="72"/>
      <c r="Q44" s="72"/>
      <c r="R44" s="72"/>
      <c r="S44" s="72"/>
      <c r="T44" s="72"/>
      <c r="U44" s="72"/>
      <c r="V44" s="72"/>
      <c r="W44" s="72"/>
      <c r="X44" s="72"/>
      <c r="Y44" s="72"/>
      <c r="Z44" s="72"/>
      <c r="AA44" s="72"/>
    </row>
    <row r="45" spans="1:28" s="24" customFormat="1" x14ac:dyDescent="0.2">
      <c r="A45" s="25"/>
      <c r="B45" s="25"/>
      <c r="C45" s="25"/>
      <c r="D45" s="114">
        <f>Inputs!D92</f>
        <v>48579</v>
      </c>
      <c r="E45" s="69"/>
      <c r="F45" s="69"/>
      <c r="G45" s="69" t="str">
        <f>Inputs!G92</f>
        <v>pp</v>
      </c>
      <c r="H45" s="69"/>
      <c r="I45" s="146">
        <f>Inputs!I92</f>
        <v>0</v>
      </c>
      <c r="M45" s="72"/>
      <c r="N45" s="72"/>
      <c r="O45" s="72"/>
      <c r="P45" s="72"/>
      <c r="Q45" s="72"/>
      <c r="R45" s="72"/>
      <c r="S45" s="72"/>
      <c r="T45" s="72"/>
      <c r="U45" s="72"/>
      <c r="V45" s="72"/>
      <c r="W45" s="72"/>
      <c r="X45" s="72"/>
      <c r="Y45" s="72"/>
      <c r="Z45" s="72"/>
      <c r="AA45" s="72"/>
    </row>
    <row r="46" spans="1:28" s="24" customFormat="1" x14ac:dyDescent="0.2">
      <c r="A46" s="25"/>
      <c r="B46" s="25"/>
      <c r="C46" s="25"/>
      <c r="D46" s="25"/>
      <c r="E46" s="25"/>
      <c r="F46" s="25"/>
      <c r="G46" s="25"/>
      <c r="H46" s="25"/>
      <c r="M46" s="72"/>
      <c r="N46" s="72"/>
      <c r="O46" s="72"/>
      <c r="P46" s="72"/>
      <c r="Q46" s="72"/>
      <c r="R46" s="72"/>
      <c r="S46" s="72"/>
      <c r="T46" s="72"/>
      <c r="U46" s="72"/>
      <c r="V46" s="72"/>
      <c r="W46" s="72"/>
      <c r="X46" s="72"/>
      <c r="Y46" s="72"/>
      <c r="Z46" s="72"/>
      <c r="AA46" s="72"/>
    </row>
    <row r="47" spans="1:28" s="24" customFormat="1" x14ac:dyDescent="0.2">
      <c r="A47" s="25"/>
      <c r="B47" s="25"/>
      <c r="C47" s="25" t="str">
        <f>Inputs!C94</f>
        <v>Long term CPIH inflation forecast</v>
      </c>
      <c r="D47" s="25"/>
      <c r="E47" s="25"/>
      <c r="F47" s="25"/>
      <c r="G47" s="25" t="str">
        <f>Inputs!G94</f>
        <v>Annual %</v>
      </c>
      <c r="H47" s="25"/>
      <c r="I47" s="147">
        <f>Inputs!I94</f>
        <v>0.02</v>
      </c>
    </row>
    <row r="48" spans="1:28" s="24" customFormat="1" x14ac:dyDescent="0.2">
      <c r="A48" s="25"/>
      <c r="B48" s="25"/>
      <c r="C48" s="25"/>
      <c r="D48" s="25"/>
      <c r="E48" s="25"/>
      <c r="F48" s="25"/>
      <c r="G48" s="25"/>
      <c r="H48" s="25"/>
      <c r="M48" s="72"/>
      <c r="N48" s="72"/>
      <c r="O48" s="72"/>
      <c r="P48" s="72"/>
      <c r="Q48" s="72"/>
      <c r="R48" s="72"/>
      <c r="S48" s="72"/>
      <c r="T48" s="72"/>
      <c r="U48" s="72"/>
      <c r="V48" s="72"/>
      <c r="W48" s="72"/>
      <c r="X48" s="72"/>
      <c r="Y48" s="72"/>
      <c r="Z48" s="72"/>
      <c r="AA48" s="72"/>
    </row>
    <row r="49" spans="1:28" s="24" customFormat="1" ht="15" x14ac:dyDescent="0.2">
      <c r="A49" s="25"/>
      <c r="B49" s="25"/>
      <c r="C49" s="28" t="s">
        <v>103</v>
      </c>
      <c r="D49" s="25"/>
      <c r="E49" s="25"/>
      <c r="F49" s="25"/>
      <c r="G49" s="25"/>
      <c r="H49" s="25"/>
      <c r="M49" s="72"/>
      <c r="N49" s="72"/>
      <c r="O49" s="72"/>
      <c r="P49" s="72"/>
      <c r="Q49" s="72"/>
      <c r="R49" s="72"/>
      <c r="S49" s="72"/>
      <c r="T49" s="72"/>
      <c r="U49" s="72"/>
      <c r="V49" s="72"/>
      <c r="W49" s="72"/>
      <c r="X49" s="72"/>
      <c r="Y49" s="72"/>
      <c r="Z49" s="72"/>
      <c r="AA49" s="72"/>
    </row>
    <row r="50" spans="1:28" s="24" customFormat="1" x14ac:dyDescent="0.2">
      <c r="A50" s="25"/>
      <c r="B50" s="25"/>
      <c r="C50" s="25"/>
      <c r="D50" s="112">
        <f>D38</f>
        <v>46022</v>
      </c>
      <c r="E50" s="66"/>
      <c r="F50" s="66"/>
      <c r="G50" s="66" t="s">
        <v>95</v>
      </c>
      <c r="H50" s="66"/>
      <c r="I50" s="115">
        <f t="shared" ref="I50:I57" si="0">IF(I38 &lt;&gt; 0, I38 / 100, I$47)</f>
        <v>2.5756936498082306E-2</v>
      </c>
    </row>
    <row r="51" spans="1:28" s="24" customFormat="1" x14ac:dyDescent="0.2">
      <c r="A51" s="25"/>
      <c r="B51" s="25"/>
      <c r="C51" s="25"/>
      <c r="D51" s="116">
        <f t="shared" ref="D51:D57" si="1">D39</f>
        <v>46387</v>
      </c>
      <c r="E51" s="31"/>
      <c r="F51" s="31"/>
      <c r="G51" s="31" t="s">
        <v>95</v>
      </c>
      <c r="H51" s="31"/>
      <c r="I51" s="117">
        <f t="shared" si="0"/>
        <v>2.2608746324726203E-2</v>
      </c>
    </row>
    <row r="52" spans="1:28" s="24" customFormat="1" x14ac:dyDescent="0.2">
      <c r="A52" s="25"/>
      <c r="B52" s="25"/>
      <c r="C52" s="25"/>
      <c r="D52" s="116">
        <f t="shared" si="1"/>
        <v>46752</v>
      </c>
      <c r="E52" s="31"/>
      <c r="F52" s="31"/>
      <c r="G52" s="31" t="s">
        <v>95</v>
      </c>
      <c r="H52" s="31"/>
      <c r="I52" s="117">
        <f t="shared" si="0"/>
        <v>2.1160529756593105E-2</v>
      </c>
    </row>
    <row r="53" spans="1:28" s="24" customFormat="1" x14ac:dyDescent="0.2">
      <c r="A53" s="25"/>
      <c r="B53" s="25"/>
      <c r="C53" s="25"/>
      <c r="D53" s="116">
        <f t="shared" si="1"/>
        <v>47118</v>
      </c>
      <c r="E53" s="31"/>
      <c r="F53" s="31"/>
      <c r="G53" s="31" t="s">
        <v>95</v>
      </c>
      <c r="H53" s="31"/>
      <c r="I53" s="117">
        <f t="shared" si="0"/>
        <v>2.0747861451908323E-2</v>
      </c>
    </row>
    <row r="54" spans="1:28" s="24" customFormat="1" x14ac:dyDescent="0.2">
      <c r="A54" s="25"/>
      <c r="B54" s="25"/>
      <c r="C54" s="25"/>
      <c r="D54" s="116">
        <f t="shared" si="1"/>
        <v>47483</v>
      </c>
      <c r="E54" s="31"/>
      <c r="F54" s="31"/>
      <c r="G54" s="31" t="s">
        <v>95</v>
      </c>
      <c r="H54" s="31"/>
      <c r="I54" s="117">
        <f t="shared" si="0"/>
        <v>2.0280927375028179E-2</v>
      </c>
    </row>
    <row r="55" spans="1:28" s="24" customFormat="1" x14ac:dyDescent="0.2">
      <c r="A55" s="25"/>
      <c r="B55" s="25"/>
      <c r="C55" s="25"/>
      <c r="D55" s="116">
        <f t="shared" si="1"/>
        <v>47848</v>
      </c>
      <c r="E55" s="31"/>
      <c r="F55" s="31"/>
      <c r="G55" s="31" t="s">
        <v>95</v>
      </c>
      <c r="H55" s="31"/>
      <c r="I55" s="117">
        <f t="shared" si="0"/>
        <v>0.02</v>
      </c>
    </row>
    <row r="56" spans="1:28" s="24" customFormat="1" x14ac:dyDescent="0.2">
      <c r="A56" s="25"/>
      <c r="B56" s="25"/>
      <c r="C56" s="25"/>
      <c r="D56" s="116">
        <f t="shared" si="1"/>
        <v>48213</v>
      </c>
      <c r="E56" s="31"/>
      <c r="F56" s="31"/>
      <c r="G56" s="31" t="s">
        <v>95</v>
      </c>
      <c r="H56" s="31"/>
      <c r="I56" s="117">
        <f t="shared" si="0"/>
        <v>0.02</v>
      </c>
    </row>
    <row r="57" spans="1:28" s="24" customFormat="1" x14ac:dyDescent="0.2">
      <c r="A57" s="25"/>
      <c r="B57" s="25"/>
      <c r="C57" s="25"/>
      <c r="D57" s="118">
        <f t="shared" si="1"/>
        <v>48579</v>
      </c>
      <c r="E57" s="69"/>
      <c r="F57" s="69"/>
      <c r="G57" s="69" t="s">
        <v>95</v>
      </c>
      <c r="H57" s="69"/>
      <c r="I57" s="119">
        <f t="shared" si="0"/>
        <v>0.02</v>
      </c>
    </row>
    <row r="58" spans="1:28" s="24" customFormat="1" x14ac:dyDescent="0.2">
      <c r="A58" s="25"/>
      <c r="B58" s="25"/>
      <c r="C58" s="25"/>
      <c r="D58" s="25"/>
      <c r="E58" s="25"/>
      <c r="F58" s="25"/>
      <c r="G58" s="25"/>
      <c r="H58" s="25"/>
      <c r="M58" s="72"/>
      <c r="N58" s="72"/>
      <c r="O58" s="72"/>
      <c r="P58" s="72"/>
      <c r="Q58" s="72"/>
      <c r="R58" s="72"/>
      <c r="S58" s="72"/>
      <c r="T58" s="72"/>
      <c r="U58" s="72"/>
      <c r="V58" s="72"/>
      <c r="W58" s="72"/>
      <c r="X58" s="72"/>
      <c r="Y58" s="72"/>
      <c r="Z58" s="72"/>
      <c r="AA58" s="72"/>
    </row>
    <row r="59" spans="1:28" s="24" customFormat="1" ht="18" x14ac:dyDescent="0.25">
      <c r="A59" s="139" t="s">
        <v>13</v>
      </c>
      <c r="B59" s="139" t="s">
        <v>104</v>
      </c>
      <c r="C59" s="140"/>
      <c r="D59" s="140"/>
      <c r="E59" s="140"/>
      <c r="F59" s="140"/>
      <c r="G59" s="140"/>
      <c r="H59" s="140"/>
      <c r="I59" s="141"/>
      <c r="J59" s="141"/>
      <c r="K59" s="141"/>
      <c r="L59" s="141"/>
      <c r="M59" s="141"/>
      <c r="N59" s="141"/>
      <c r="O59" s="141"/>
      <c r="P59" s="141"/>
      <c r="Q59" s="141"/>
      <c r="R59" s="141"/>
      <c r="S59" s="141"/>
      <c r="T59" s="141"/>
      <c r="U59" s="141"/>
      <c r="V59" s="141"/>
      <c r="W59" s="141"/>
      <c r="X59" s="141"/>
      <c r="Y59" s="141"/>
      <c r="Z59" s="141"/>
      <c r="AA59" s="141"/>
      <c r="AB59" s="141"/>
    </row>
    <row r="60" spans="1:28" s="24" customFormat="1" x14ac:dyDescent="0.2">
      <c r="A60" s="25"/>
      <c r="B60" s="25"/>
      <c r="C60" s="25"/>
      <c r="D60" s="25"/>
      <c r="E60" s="25"/>
      <c r="F60" s="25"/>
      <c r="G60" s="25"/>
      <c r="H60" s="25"/>
      <c r="M60" s="72"/>
      <c r="N60" s="72"/>
      <c r="O60" s="72"/>
      <c r="P60" s="72"/>
      <c r="Q60" s="72"/>
      <c r="R60" s="72"/>
      <c r="S60" s="72"/>
      <c r="T60" s="72"/>
      <c r="U60" s="72"/>
      <c r="V60" s="72"/>
      <c r="W60" s="72"/>
      <c r="X60" s="72"/>
      <c r="Y60" s="72"/>
      <c r="Z60" s="72"/>
      <c r="AA60" s="72"/>
    </row>
    <row r="61" spans="1:28" s="24" customFormat="1" x14ac:dyDescent="0.2">
      <c r="A61" s="25"/>
      <c r="B61" s="249" t="s">
        <v>105</v>
      </c>
      <c r="C61" s="25"/>
      <c r="D61" s="25"/>
      <c r="E61" s="25"/>
      <c r="F61" s="25"/>
      <c r="G61" s="25"/>
      <c r="H61" s="25"/>
      <c r="M61" s="72"/>
      <c r="N61" s="72"/>
      <c r="O61" s="72"/>
      <c r="P61" s="72"/>
      <c r="Q61" s="72"/>
      <c r="R61" s="72"/>
      <c r="S61" s="72"/>
      <c r="T61" s="72"/>
      <c r="U61" s="72"/>
      <c r="V61" s="72"/>
      <c r="W61" s="72"/>
      <c r="X61" s="72"/>
      <c r="Y61" s="72"/>
      <c r="Z61" s="72"/>
      <c r="AA61" s="72"/>
    </row>
    <row r="62" spans="1:28" s="24" customFormat="1" x14ac:dyDescent="0.2">
      <c r="A62" s="25"/>
      <c r="B62" s="25"/>
      <c r="C62" s="25"/>
      <c r="D62" s="25"/>
      <c r="E62" s="25"/>
      <c r="F62" s="25"/>
      <c r="G62" s="25"/>
      <c r="H62" s="25"/>
      <c r="M62" s="72"/>
      <c r="N62" s="72"/>
      <c r="O62" s="72"/>
      <c r="P62" s="72"/>
      <c r="Q62" s="72"/>
      <c r="R62" s="72"/>
      <c r="S62" s="72"/>
      <c r="T62" s="72"/>
      <c r="U62" s="72"/>
      <c r="V62" s="72"/>
      <c r="W62" s="72"/>
      <c r="X62" s="72"/>
      <c r="Y62" s="72"/>
      <c r="Z62" s="72"/>
      <c r="AA62" s="72"/>
    </row>
    <row r="63" spans="1:28" s="24" customFormat="1" ht="15" x14ac:dyDescent="0.2">
      <c r="A63" s="25"/>
      <c r="B63" s="25"/>
      <c r="C63" s="28" t="s">
        <v>106</v>
      </c>
      <c r="D63" s="25"/>
      <c r="E63" s="25"/>
      <c r="F63" s="25"/>
      <c r="G63" s="25"/>
      <c r="H63" s="25"/>
      <c r="I63" s="29" t="s">
        <v>107</v>
      </c>
      <c r="M63" s="72"/>
      <c r="N63" s="72"/>
      <c r="O63" s="72"/>
      <c r="P63" s="72"/>
      <c r="Q63" s="72"/>
      <c r="R63" s="72"/>
      <c r="S63" s="72"/>
      <c r="T63" s="72"/>
      <c r="U63" s="72"/>
      <c r="V63" s="72"/>
      <c r="W63" s="72"/>
      <c r="X63" s="72"/>
      <c r="Y63" s="72"/>
      <c r="Z63" s="72"/>
      <c r="AA63" s="72"/>
    </row>
    <row r="64" spans="1:28" s="24" customFormat="1" x14ac:dyDescent="0.2">
      <c r="A64" s="25"/>
      <c r="B64" s="25"/>
      <c r="C64" s="25"/>
      <c r="D64" s="66" t="str">
        <f t="shared" ref="D64:D75" si="2">D20</f>
        <v>Apr</v>
      </c>
      <c r="E64" s="66"/>
      <c r="F64" s="66" t="s">
        <v>108</v>
      </c>
      <c r="G64" s="66" t="s">
        <v>109</v>
      </c>
      <c r="H64" s="66"/>
      <c r="I64" s="142">
        <v>-3</v>
      </c>
      <c r="J64" s="105"/>
      <c r="K64" s="105"/>
      <c r="L64" s="105"/>
      <c r="M64" s="106"/>
      <c r="N64" s="106"/>
      <c r="O64" s="106"/>
      <c r="P64" s="106"/>
      <c r="Q64" s="106"/>
      <c r="R64" s="106"/>
      <c r="S64" s="106"/>
      <c r="T64" s="120" cm="1">
        <f t="array" ref="T64">IF(T20 &lt;&gt; 0, T20 / S31, (1 + INDEX($I$50:$I$57, MATCH(EOMONTH(T$6, $I64), $D$50:$D$57, 0), 0)) ^ (1 / 12))</f>
        <v>1.0045592705167172</v>
      </c>
      <c r="U64" s="120" cm="1">
        <f t="array" ref="U64">IF(U20 &lt;&gt; 0, U20 / T31, (1 + INDEX($I$50:$I$57, MATCH(EOMONTH(U$6, $I64), $D$50:$D$57, 0), 0)) ^ (1 / 12))</f>
        <v>1.0021214817217317</v>
      </c>
      <c r="V64" s="120" cm="1">
        <f t="array" ref="V64">IF(V20 &lt;&gt; 0, V20 / U31, (1 + INDEX($I$50:$I$57, MATCH(EOMONTH(V$6, $I64), $D$50:$D$57, 0), 0)) ^ (1 / 12))</f>
        <v>1.0018648163324644</v>
      </c>
      <c r="W64" s="120" cm="1">
        <f t="array" ref="W64">IF(W20 &lt;&gt; 0, W20 / V31, (1 + INDEX($I$50:$I$57, MATCH(EOMONTH(W$6, $I64), $D$50:$D$57, 0), 0)) ^ (1 / 12))</f>
        <v>1.0017465029288553</v>
      </c>
      <c r="X64" s="120" cm="1">
        <f t="array" ref="X64">IF(X20 &lt;&gt; 0, X20 / W31, (1 + INDEX($I$50:$I$57, MATCH(EOMONTH(X$6, $I64), $D$50:$D$57, 0), 0)) ^ (1 / 12))</f>
        <v>1.0017127614482191</v>
      </c>
      <c r="Y64" s="120" cm="1">
        <f t="array" ref="Y64">IF(Y20 &lt;&gt; 0, Y20 / X31, (1 + INDEX($I$50:$I$57, MATCH(EOMONTH(Y$6, $I64), $D$50:$D$57, 0), 0)) ^ (1 / 12))</f>
        <v>1.0016745678897145</v>
      </c>
      <c r="Z64" s="120" cm="1">
        <f t="array" ref="Z64">IF(Z20 &lt;&gt; 0, Z20 / Y31, (1 + INDEX($I$50:$I$57, MATCH(EOMONTH(Z$6, $I64), $D$50:$D$57, 0), 0)) ^ (1 / 12))</f>
        <v>1.0016515813019202</v>
      </c>
      <c r="AA64" s="120" cm="1">
        <f t="array" ref="AA64">IF(AA20 &lt;&gt; 0, AA20 / Z31, (1 + INDEX($I$50:$I$57, MATCH(EOMONTH(AA$6, $I64), $D$50:$D$57, 0), 0)) ^ (1 / 12))</f>
        <v>1.0016515813019202</v>
      </c>
    </row>
    <row r="65" spans="1:27" s="24" customFormat="1" x14ac:dyDescent="0.2">
      <c r="A65" s="25"/>
      <c r="B65" s="25"/>
      <c r="C65" s="25"/>
      <c r="D65" s="31" t="str">
        <f t="shared" si="2"/>
        <v>May</v>
      </c>
      <c r="E65" s="31"/>
      <c r="F65" s="31" t="s">
        <v>108</v>
      </c>
      <c r="G65" s="31" t="s">
        <v>109</v>
      </c>
      <c r="H65" s="31"/>
      <c r="I65" s="121">
        <f>I64</f>
        <v>-3</v>
      </c>
      <c r="J65" s="36"/>
      <c r="K65" s="36"/>
      <c r="L65" s="36"/>
      <c r="M65" s="104"/>
      <c r="N65" s="104"/>
      <c r="O65" s="104"/>
      <c r="P65" s="104"/>
      <c r="Q65" s="104"/>
      <c r="R65" s="104"/>
      <c r="S65" s="104"/>
      <c r="T65" s="122" cm="1">
        <f t="array" ref="T65">IF(T21 &lt;&gt; 0, T21 / T20, (1 + INDEX($I$50:$I$57, MATCH(EOMONTH(T$6, $I65), $D$50:$D$57, 0), 0)) ^ (1 / 12))</f>
        <v>1.0037821482602118</v>
      </c>
      <c r="U65" s="122" cm="1">
        <f t="array" ref="U65">IF(U21 &lt;&gt; 0, U21 / U20, (1 + INDEX($I$50:$I$57, MATCH(EOMONTH(U$6, $I65), $D$50:$D$57, 0), 0)) ^ (1 / 12))</f>
        <v>1.0021214817217317</v>
      </c>
      <c r="V65" s="122" cm="1">
        <f t="array" ref="V65">IF(V21 &lt;&gt; 0, V21 / V20, (1 + INDEX($I$50:$I$57, MATCH(EOMONTH(V$6, $I65), $D$50:$D$57, 0), 0)) ^ (1 / 12))</f>
        <v>1.0018648163324644</v>
      </c>
      <c r="W65" s="122" cm="1">
        <f t="array" ref="W65">IF(W21 &lt;&gt; 0, W21 / W20, (1 + INDEX($I$50:$I$57, MATCH(EOMONTH(W$6, $I65), $D$50:$D$57, 0), 0)) ^ (1 / 12))</f>
        <v>1.0017465029288553</v>
      </c>
      <c r="X65" s="122" cm="1">
        <f t="array" ref="X65">IF(X21 &lt;&gt; 0, X21 / X20, (1 + INDEX($I$50:$I$57, MATCH(EOMONTH(X$6, $I65), $D$50:$D$57, 0), 0)) ^ (1 / 12))</f>
        <v>1.0017127614482191</v>
      </c>
      <c r="Y65" s="122" cm="1">
        <f t="array" ref="Y65">IF(Y21 &lt;&gt; 0, Y21 / Y20, (1 + INDEX($I$50:$I$57, MATCH(EOMONTH(Y$6, $I65), $D$50:$D$57, 0), 0)) ^ (1 / 12))</f>
        <v>1.0016745678897145</v>
      </c>
      <c r="Z65" s="122" cm="1">
        <f t="array" ref="Z65">IF(Z21 &lt;&gt; 0, Z21 / Z20, (1 + INDEX($I$50:$I$57, MATCH(EOMONTH(Z$6, $I65), $D$50:$D$57, 0), 0)) ^ (1 / 12))</f>
        <v>1.0016515813019202</v>
      </c>
      <c r="AA65" s="122" cm="1">
        <f t="array" ref="AA65">IF(AA21 &lt;&gt; 0, AA21 / AA20, (1 + INDEX($I$50:$I$57, MATCH(EOMONTH(AA$6, $I65), $D$50:$D$57, 0), 0)) ^ (1 / 12))</f>
        <v>1.0016515813019202</v>
      </c>
    </row>
    <row r="66" spans="1:27" s="24" customFormat="1" x14ac:dyDescent="0.2">
      <c r="A66" s="25"/>
      <c r="B66" s="25"/>
      <c r="C66" s="25"/>
      <c r="D66" s="31" t="str">
        <f t="shared" si="2"/>
        <v>Jun</v>
      </c>
      <c r="E66" s="31"/>
      <c r="F66" s="31" t="s">
        <v>108</v>
      </c>
      <c r="G66" s="31" t="s">
        <v>109</v>
      </c>
      <c r="H66" s="31"/>
      <c r="I66" s="121">
        <f>I65</f>
        <v>-3</v>
      </c>
      <c r="J66" s="36"/>
      <c r="K66" s="36"/>
      <c r="L66" s="36"/>
      <c r="M66" s="104"/>
      <c r="N66" s="104"/>
      <c r="O66" s="104"/>
      <c r="P66" s="104"/>
      <c r="Q66" s="104"/>
      <c r="R66" s="104"/>
      <c r="S66" s="104"/>
      <c r="T66" s="123" cm="1">
        <f t="array" ref="T66">IF(T22 &lt;&gt; 0, T22 / T21, (1 + INDEX($I$50:$I$57, MATCH(EOMONTH(T$6, $I66), $D$50:$D$57, 0), 0)) ^ (1 / 12))</f>
        <v>1.0022607385079128</v>
      </c>
      <c r="U66" s="123" cm="1">
        <f t="array" ref="U66">IF(U22 &lt;&gt; 0, U22 / U21, (1 + INDEX($I$50:$I$57, MATCH(EOMONTH(U$6, $I66), $D$50:$D$57, 0), 0)) ^ (1 / 12))</f>
        <v>1.0021214817217317</v>
      </c>
      <c r="V66" s="123" cm="1">
        <f t="array" ref="V66">IF(V22 &lt;&gt; 0, V22 / V21, (1 + INDEX($I$50:$I$57, MATCH(EOMONTH(V$6, $I66), $D$50:$D$57, 0), 0)) ^ (1 / 12))</f>
        <v>1.0018648163324644</v>
      </c>
      <c r="W66" s="123" cm="1">
        <f t="array" ref="W66">IF(W22 &lt;&gt; 0, W22 / W21, (1 + INDEX($I$50:$I$57, MATCH(EOMONTH(W$6, $I66), $D$50:$D$57, 0), 0)) ^ (1 / 12))</f>
        <v>1.0017465029288553</v>
      </c>
      <c r="X66" s="123" cm="1">
        <f t="array" ref="X66">IF(X22 &lt;&gt; 0, X22 / X21, (1 + INDEX($I$50:$I$57, MATCH(EOMONTH(X$6, $I66), $D$50:$D$57, 0), 0)) ^ (1 / 12))</f>
        <v>1.0017127614482191</v>
      </c>
      <c r="Y66" s="123" cm="1">
        <f t="array" ref="Y66">IF(Y22 &lt;&gt; 0, Y22 / Y21, (1 + INDEX($I$50:$I$57, MATCH(EOMONTH(Y$6, $I66), $D$50:$D$57, 0), 0)) ^ (1 / 12))</f>
        <v>1.0016745678897145</v>
      </c>
      <c r="Z66" s="123" cm="1">
        <f t="array" ref="Z66">IF(Z22 &lt;&gt; 0, Z22 / Z21, (1 + INDEX($I$50:$I$57, MATCH(EOMONTH(Z$6, $I66), $D$50:$D$57, 0), 0)) ^ (1 / 12))</f>
        <v>1.0016515813019202</v>
      </c>
      <c r="AA66" s="123" cm="1">
        <f t="array" ref="AA66">IF(AA22 &lt;&gt; 0, AA22 / AA21, (1 + INDEX($I$50:$I$57, MATCH(EOMONTH(AA$6, $I66), $D$50:$D$57, 0), 0)) ^ (1 / 12))</f>
        <v>1.0016515813019202</v>
      </c>
    </row>
    <row r="67" spans="1:27" s="24" customFormat="1" x14ac:dyDescent="0.2">
      <c r="A67" s="25"/>
      <c r="B67" s="25"/>
      <c r="C67" s="25"/>
      <c r="D67" s="31" t="str">
        <f t="shared" si="2"/>
        <v>Jul</v>
      </c>
      <c r="E67" s="31"/>
      <c r="F67" s="31" t="s">
        <v>108</v>
      </c>
      <c r="G67" s="31" t="s">
        <v>109</v>
      </c>
      <c r="H67" s="31"/>
      <c r="I67" s="143">
        <v>9</v>
      </c>
      <c r="J67" s="36"/>
      <c r="K67" s="36"/>
      <c r="L67" s="36"/>
      <c r="M67" s="104"/>
      <c r="N67" s="104"/>
      <c r="O67" s="104"/>
      <c r="P67" s="104"/>
      <c r="Q67" s="104"/>
      <c r="R67" s="104"/>
      <c r="S67" s="104"/>
      <c r="T67" s="123" cm="1">
        <f t="array" ref="T67">IF(T23 &lt;&gt; 0, T23 / T22, (1 + INDEX($I$50:$I$57, MATCH(EOMONTH(T$6, $I67), $D$50:$D$57, 0), 0)) ^ (1 / 12))</f>
        <v>1.0021214817217317</v>
      </c>
      <c r="U67" s="123" cm="1">
        <f t="array" ref="U67">IF(U23 &lt;&gt; 0, U23 / U22, (1 + INDEX($I$50:$I$57, MATCH(EOMONTH(U$6, $I67), $D$50:$D$57, 0), 0)) ^ (1 / 12))</f>
        <v>1.0018648163324644</v>
      </c>
      <c r="V67" s="123" cm="1">
        <f t="array" ref="V67">IF(V23 &lt;&gt; 0, V23 / V22, (1 + INDEX($I$50:$I$57, MATCH(EOMONTH(V$6, $I67), $D$50:$D$57, 0), 0)) ^ (1 / 12))</f>
        <v>1.0017465029288553</v>
      </c>
      <c r="W67" s="123" cm="1">
        <f t="array" ref="W67">IF(W23 &lt;&gt; 0, W23 / W22, (1 + INDEX($I$50:$I$57, MATCH(EOMONTH(W$6, $I67), $D$50:$D$57, 0), 0)) ^ (1 / 12))</f>
        <v>1.0017127614482191</v>
      </c>
      <c r="X67" s="123" cm="1">
        <f t="array" ref="X67">IF(X23 &lt;&gt; 0, X23 / X22, (1 + INDEX($I$50:$I$57, MATCH(EOMONTH(X$6, $I67), $D$50:$D$57, 0), 0)) ^ (1 / 12))</f>
        <v>1.0016745678897145</v>
      </c>
      <c r="Y67" s="123" cm="1">
        <f t="array" ref="Y67">IF(Y23 &lt;&gt; 0, Y23 / Y22, (1 + INDEX($I$50:$I$57, MATCH(EOMONTH(Y$6, $I67), $D$50:$D$57, 0), 0)) ^ (1 / 12))</f>
        <v>1.0016515813019202</v>
      </c>
      <c r="Z67" s="123" cm="1">
        <f t="array" ref="Z67">IF(Z23 &lt;&gt; 0, Z23 / Z22, (1 + INDEX($I$50:$I$57, MATCH(EOMONTH(Z$6, $I67), $D$50:$D$57, 0), 0)) ^ (1 / 12))</f>
        <v>1.0016515813019202</v>
      </c>
      <c r="AA67" s="123" cm="1">
        <f t="array" ref="AA67">IF(AA23 &lt;&gt; 0, AA23 / AA22, (1 + INDEX($I$50:$I$57, MATCH(EOMONTH(AA$6, $I67), $D$50:$D$57, 0), 0)) ^ (1 / 12))</f>
        <v>1.0016515813019202</v>
      </c>
    </row>
    <row r="68" spans="1:27" s="24" customFormat="1" x14ac:dyDescent="0.2">
      <c r="A68" s="25"/>
      <c r="B68" s="25"/>
      <c r="C68" s="25"/>
      <c r="D68" s="31" t="str">
        <f t="shared" si="2"/>
        <v>Aug</v>
      </c>
      <c r="E68" s="31"/>
      <c r="F68" s="31" t="s">
        <v>108</v>
      </c>
      <c r="G68" s="31" t="s">
        <v>109</v>
      </c>
      <c r="H68" s="31"/>
      <c r="I68" s="121">
        <f t="shared" ref="I68:I75" si="3">I67</f>
        <v>9</v>
      </c>
      <c r="J68" s="36"/>
      <c r="K68" s="36"/>
      <c r="L68" s="36"/>
      <c r="M68" s="104"/>
      <c r="N68" s="104"/>
      <c r="O68" s="104"/>
      <c r="P68" s="104"/>
      <c r="Q68" s="104"/>
      <c r="R68" s="104"/>
      <c r="S68" s="104"/>
      <c r="T68" s="123" cm="1">
        <f t="array" ref="T68">IF(T24 &lt;&gt; 0, T24 / T23, (1 + INDEX($I$50:$I$57, MATCH(EOMONTH(T$6, $I68), $D$50:$D$57, 0), 0)) ^ (1 / 12))</f>
        <v>1.0021214817217317</v>
      </c>
      <c r="U68" s="123" cm="1">
        <f t="array" ref="U68">IF(U24 &lt;&gt; 0, U24 / U23, (1 + INDEX($I$50:$I$57, MATCH(EOMONTH(U$6, $I68), $D$50:$D$57, 0), 0)) ^ (1 / 12))</f>
        <v>1.0018648163324644</v>
      </c>
      <c r="V68" s="123" cm="1">
        <f t="array" ref="V68">IF(V24 &lt;&gt; 0, V24 / V23, (1 + INDEX($I$50:$I$57, MATCH(EOMONTH(V$6, $I68), $D$50:$D$57, 0), 0)) ^ (1 / 12))</f>
        <v>1.0017465029288553</v>
      </c>
      <c r="W68" s="123" cm="1">
        <f t="array" ref="W68">IF(W24 &lt;&gt; 0, W24 / W23, (1 + INDEX($I$50:$I$57, MATCH(EOMONTH(W$6, $I68), $D$50:$D$57, 0), 0)) ^ (1 / 12))</f>
        <v>1.0017127614482191</v>
      </c>
      <c r="X68" s="123" cm="1">
        <f t="array" ref="X68">IF(X24 &lt;&gt; 0, X24 / X23, (1 + INDEX($I$50:$I$57, MATCH(EOMONTH(X$6, $I68), $D$50:$D$57, 0), 0)) ^ (1 / 12))</f>
        <v>1.0016745678897145</v>
      </c>
      <c r="Y68" s="123" cm="1">
        <f t="array" ref="Y68">IF(Y24 &lt;&gt; 0, Y24 / Y23, (1 + INDEX($I$50:$I$57, MATCH(EOMONTH(Y$6, $I68), $D$50:$D$57, 0), 0)) ^ (1 / 12))</f>
        <v>1.0016515813019202</v>
      </c>
      <c r="Z68" s="123" cm="1">
        <f t="array" ref="Z68">IF(Z24 &lt;&gt; 0, Z24 / Z23, (1 + INDEX($I$50:$I$57, MATCH(EOMONTH(Z$6, $I68), $D$50:$D$57, 0), 0)) ^ (1 / 12))</f>
        <v>1.0016515813019202</v>
      </c>
      <c r="AA68" s="123" cm="1">
        <f t="array" ref="AA68">IF(AA24 &lt;&gt; 0, AA24 / AA23, (1 + INDEX($I$50:$I$57, MATCH(EOMONTH(AA$6, $I68), $D$50:$D$57, 0), 0)) ^ (1 / 12))</f>
        <v>1.0016515813019202</v>
      </c>
    </row>
    <row r="69" spans="1:27" s="24" customFormat="1" x14ac:dyDescent="0.2">
      <c r="A69" s="25"/>
      <c r="B69" s="25"/>
      <c r="C69" s="25"/>
      <c r="D69" s="31" t="str">
        <f t="shared" si="2"/>
        <v>Sep</v>
      </c>
      <c r="E69" s="31"/>
      <c r="F69" s="31" t="s">
        <v>108</v>
      </c>
      <c r="G69" s="31" t="s">
        <v>109</v>
      </c>
      <c r="H69" s="31"/>
      <c r="I69" s="121">
        <f t="shared" si="3"/>
        <v>9</v>
      </c>
      <c r="J69" s="36"/>
      <c r="K69" s="36"/>
      <c r="L69" s="36"/>
      <c r="M69" s="104"/>
      <c r="N69" s="104"/>
      <c r="O69" s="104"/>
      <c r="P69" s="104"/>
      <c r="Q69" s="104"/>
      <c r="R69" s="104"/>
      <c r="S69" s="104"/>
      <c r="T69" s="123" cm="1">
        <f t="array" ref="T69">IF(T25 &lt;&gt; 0, T25 / T24, (1 + INDEX($I$50:$I$57, MATCH(EOMONTH(T$6, $I69), $D$50:$D$57, 0), 0)) ^ (1 / 12))</f>
        <v>1.0021214817217317</v>
      </c>
      <c r="U69" s="123" cm="1">
        <f t="array" ref="U69">IF(U25 &lt;&gt; 0, U25 / U24, (1 + INDEX($I$50:$I$57, MATCH(EOMONTH(U$6, $I69), $D$50:$D$57, 0), 0)) ^ (1 / 12))</f>
        <v>1.0018648163324644</v>
      </c>
      <c r="V69" s="123" cm="1">
        <f t="array" ref="V69">IF(V25 &lt;&gt; 0, V25 / V24, (1 + INDEX($I$50:$I$57, MATCH(EOMONTH(V$6, $I69), $D$50:$D$57, 0), 0)) ^ (1 / 12))</f>
        <v>1.0017465029288553</v>
      </c>
      <c r="W69" s="123" cm="1">
        <f t="array" ref="W69">IF(W25 &lt;&gt; 0, W25 / W24, (1 + INDEX($I$50:$I$57, MATCH(EOMONTH(W$6, $I69), $D$50:$D$57, 0), 0)) ^ (1 / 12))</f>
        <v>1.0017127614482191</v>
      </c>
      <c r="X69" s="123" cm="1">
        <f t="array" ref="X69">IF(X25 &lt;&gt; 0, X25 / X24, (1 + INDEX($I$50:$I$57, MATCH(EOMONTH(X$6, $I69), $D$50:$D$57, 0), 0)) ^ (1 / 12))</f>
        <v>1.0016745678897145</v>
      </c>
      <c r="Y69" s="123" cm="1">
        <f t="array" ref="Y69">IF(Y25 &lt;&gt; 0, Y25 / Y24, (1 + INDEX($I$50:$I$57, MATCH(EOMONTH(Y$6, $I69), $D$50:$D$57, 0), 0)) ^ (1 / 12))</f>
        <v>1.0016515813019202</v>
      </c>
      <c r="Z69" s="123" cm="1">
        <f t="array" ref="Z69">IF(Z25 &lt;&gt; 0, Z25 / Z24, (1 + INDEX($I$50:$I$57, MATCH(EOMONTH(Z$6, $I69), $D$50:$D$57, 0), 0)) ^ (1 / 12))</f>
        <v>1.0016515813019202</v>
      </c>
      <c r="AA69" s="123" cm="1">
        <f t="array" ref="AA69">IF(AA25 &lt;&gt; 0, AA25 / AA24, (1 + INDEX($I$50:$I$57, MATCH(EOMONTH(AA$6, $I69), $D$50:$D$57, 0), 0)) ^ (1 / 12))</f>
        <v>1.0016515813019202</v>
      </c>
    </row>
    <row r="70" spans="1:27" s="24" customFormat="1" x14ac:dyDescent="0.2">
      <c r="A70" s="25"/>
      <c r="B70" s="25"/>
      <c r="C70" s="25"/>
      <c r="D70" s="31" t="str">
        <f t="shared" si="2"/>
        <v>Oct</v>
      </c>
      <c r="E70" s="31"/>
      <c r="F70" s="31" t="s">
        <v>108</v>
      </c>
      <c r="G70" s="31" t="s">
        <v>109</v>
      </c>
      <c r="H70" s="31"/>
      <c r="I70" s="121">
        <f t="shared" si="3"/>
        <v>9</v>
      </c>
      <c r="J70" s="36"/>
      <c r="K70" s="36"/>
      <c r="L70" s="36"/>
      <c r="M70" s="104"/>
      <c r="N70" s="104"/>
      <c r="O70" s="104"/>
      <c r="P70" s="104"/>
      <c r="Q70" s="104"/>
      <c r="R70" s="104"/>
      <c r="S70" s="104"/>
      <c r="T70" s="123" cm="1">
        <f t="array" ref="T70">IF(T26 &lt;&gt; 0, T26 / T25, (1 + INDEX($I$50:$I$57, MATCH(EOMONTH(T$6, $I70), $D$50:$D$57, 0), 0)) ^ (1 / 12))</f>
        <v>1.0021214817217317</v>
      </c>
      <c r="U70" s="123" cm="1">
        <f t="array" ref="U70">IF(U26 &lt;&gt; 0, U26 / U25, (1 + INDEX($I$50:$I$57, MATCH(EOMONTH(U$6, $I70), $D$50:$D$57, 0), 0)) ^ (1 / 12))</f>
        <v>1.0018648163324644</v>
      </c>
      <c r="V70" s="123" cm="1">
        <f t="array" ref="V70">IF(V26 &lt;&gt; 0, V26 / V25, (1 + INDEX($I$50:$I$57, MATCH(EOMONTH(V$6, $I70), $D$50:$D$57, 0), 0)) ^ (1 / 12))</f>
        <v>1.0017465029288553</v>
      </c>
      <c r="W70" s="123" cm="1">
        <f t="array" ref="W70">IF(W26 &lt;&gt; 0, W26 / W25, (1 + INDEX($I$50:$I$57, MATCH(EOMONTH(W$6, $I70), $D$50:$D$57, 0), 0)) ^ (1 / 12))</f>
        <v>1.0017127614482191</v>
      </c>
      <c r="X70" s="123" cm="1">
        <f t="array" ref="X70">IF(X26 &lt;&gt; 0, X26 / X25, (1 + INDEX($I$50:$I$57, MATCH(EOMONTH(X$6, $I70), $D$50:$D$57, 0), 0)) ^ (1 / 12))</f>
        <v>1.0016745678897145</v>
      </c>
      <c r="Y70" s="123" cm="1">
        <f t="array" ref="Y70">IF(Y26 &lt;&gt; 0, Y26 / Y25, (1 + INDEX($I$50:$I$57, MATCH(EOMONTH(Y$6, $I70), $D$50:$D$57, 0), 0)) ^ (1 / 12))</f>
        <v>1.0016515813019202</v>
      </c>
      <c r="Z70" s="123" cm="1">
        <f t="array" ref="Z70">IF(Z26 &lt;&gt; 0, Z26 / Z25, (1 + INDEX($I$50:$I$57, MATCH(EOMONTH(Z$6, $I70), $D$50:$D$57, 0), 0)) ^ (1 / 12))</f>
        <v>1.0016515813019202</v>
      </c>
      <c r="AA70" s="123" cm="1">
        <f t="array" ref="AA70">IF(AA26 &lt;&gt; 0, AA26 / AA25, (1 + INDEX($I$50:$I$57, MATCH(EOMONTH(AA$6, $I70), $D$50:$D$57, 0), 0)) ^ (1 / 12))</f>
        <v>1.0016515813019202</v>
      </c>
    </row>
    <row r="71" spans="1:27" s="24" customFormat="1" x14ac:dyDescent="0.2">
      <c r="A71" s="25"/>
      <c r="B71" s="25"/>
      <c r="C71" s="25"/>
      <c r="D71" s="31" t="str">
        <f t="shared" si="2"/>
        <v>Nov</v>
      </c>
      <c r="E71" s="31"/>
      <c r="F71" s="31" t="s">
        <v>108</v>
      </c>
      <c r="G71" s="31" t="s">
        <v>109</v>
      </c>
      <c r="H71" s="31"/>
      <c r="I71" s="121">
        <f t="shared" si="3"/>
        <v>9</v>
      </c>
      <c r="J71" s="36"/>
      <c r="K71" s="36"/>
      <c r="L71" s="36"/>
      <c r="M71" s="104"/>
      <c r="N71" s="104"/>
      <c r="O71" s="104"/>
      <c r="P71" s="104"/>
      <c r="Q71" s="104"/>
      <c r="R71" s="104"/>
      <c r="S71" s="104"/>
      <c r="T71" s="123" cm="1">
        <f t="array" ref="T71">IF(T27 &lt;&gt; 0, T27 / T26, (1 + INDEX($I$50:$I$57, MATCH(EOMONTH(T$6, $I71), $D$50:$D$57, 0), 0)) ^ (1 / 12))</f>
        <v>1.0021214817217317</v>
      </c>
      <c r="U71" s="123" cm="1">
        <f t="array" ref="U71">IF(U27 &lt;&gt; 0, U27 / U26, (1 + INDEX($I$50:$I$57, MATCH(EOMONTH(U$6, $I71), $D$50:$D$57, 0), 0)) ^ (1 / 12))</f>
        <v>1.0018648163324644</v>
      </c>
      <c r="V71" s="123" cm="1">
        <f t="array" ref="V71">IF(V27 &lt;&gt; 0, V27 / V26, (1 + INDEX($I$50:$I$57, MATCH(EOMONTH(V$6, $I71), $D$50:$D$57, 0), 0)) ^ (1 / 12))</f>
        <v>1.0017465029288553</v>
      </c>
      <c r="W71" s="123" cm="1">
        <f t="array" ref="W71">IF(W27 &lt;&gt; 0, W27 / W26, (1 + INDEX($I$50:$I$57, MATCH(EOMONTH(W$6, $I71), $D$50:$D$57, 0), 0)) ^ (1 / 12))</f>
        <v>1.0017127614482191</v>
      </c>
      <c r="X71" s="123" cm="1">
        <f t="array" ref="X71">IF(X27 &lt;&gt; 0, X27 / X26, (1 + INDEX($I$50:$I$57, MATCH(EOMONTH(X$6, $I71), $D$50:$D$57, 0), 0)) ^ (1 / 12))</f>
        <v>1.0016745678897145</v>
      </c>
      <c r="Y71" s="123" cm="1">
        <f t="array" ref="Y71">IF(Y27 &lt;&gt; 0, Y27 / Y26, (1 + INDEX($I$50:$I$57, MATCH(EOMONTH(Y$6, $I71), $D$50:$D$57, 0), 0)) ^ (1 / 12))</f>
        <v>1.0016515813019202</v>
      </c>
      <c r="Z71" s="123" cm="1">
        <f t="array" ref="Z71">IF(Z27 &lt;&gt; 0, Z27 / Z26, (1 + INDEX($I$50:$I$57, MATCH(EOMONTH(Z$6, $I71), $D$50:$D$57, 0), 0)) ^ (1 / 12))</f>
        <v>1.0016515813019202</v>
      </c>
      <c r="AA71" s="123" cm="1">
        <f t="array" ref="AA71">IF(AA27 &lt;&gt; 0, AA27 / AA26, (1 + INDEX($I$50:$I$57, MATCH(EOMONTH(AA$6, $I71), $D$50:$D$57, 0), 0)) ^ (1 / 12))</f>
        <v>1.0016515813019202</v>
      </c>
    </row>
    <row r="72" spans="1:27" s="24" customFormat="1" x14ac:dyDescent="0.2">
      <c r="A72" s="25"/>
      <c r="B72" s="25"/>
      <c r="C72" s="25"/>
      <c r="D72" s="31" t="str">
        <f t="shared" si="2"/>
        <v>Dec</v>
      </c>
      <c r="E72" s="31"/>
      <c r="F72" s="31" t="s">
        <v>108</v>
      </c>
      <c r="G72" s="31" t="s">
        <v>109</v>
      </c>
      <c r="H72" s="31"/>
      <c r="I72" s="121">
        <f t="shared" si="3"/>
        <v>9</v>
      </c>
      <c r="J72" s="36"/>
      <c r="K72" s="36"/>
      <c r="L72" s="36"/>
      <c r="M72" s="104"/>
      <c r="N72" s="104"/>
      <c r="O72" s="104"/>
      <c r="P72" s="104"/>
      <c r="Q72" s="104"/>
      <c r="R72" s="104"/>
      <c r="S72" s="104"/>
      <c r="T72" s="123" cm="1">
        <f t="array" ref="T72">IF(T28 &lt;&gt; 0, T28 / T27, (1 + INDEX($I$50:$I$57, MATCH(EOMONTH(T$6, $I72), $D$50:$D$57, 0), 0)) ^ (1 / 12))</f>
        <v>1.0021214817217317</v>
      </c>
      <c r="U72" s="123" cm="1">
        <f t="array" ref="U72">IF(U28 &lt;&gt; 0, U28 / U27, (1 + INDEX($I$50:$I$57, MATCH(EOMONTH(U$6, $I72), $D$50:$D$57, 0), 0)) ^ (1 / 12))</f>
        <v>1.0018648163324644</v>
      </c>
      <c r="V72" s="123" cm="1">
        <f t="array" ref="V72">IF(V28 &lt;&gt; 0, V28 / V27, (1 + INDEX($I$50:$I$57, MATCH(EOMONTH(V$6, $I72), $D$50:$D$57, 0), 0)) ^ (1 / 12))</f>
        <v>1.0017465029288553</v>
      </c>
      <c r="W72" s="123" cm="1">
        <f t="array" ref="W72">IF(W28 &lt;&gt; 0, W28 / W27, (1 + INDEX($I$50:$I$57, MATCH(EOMONTH(W$6, $I72), $D$50:$D$57, 0), 0)) ^ (1 / 12))</f>
        <v>1.0017127614482191</v>
      </c>
      <c r="X72" s="123" cm="1">
        <f t="array" ref="X72">IF(X28 &lt;&gt; 0, X28 / X27, (1 + INDEX($I$50:$I$57, MATCH(EOMONTH(X$6, $I72), $D$50:$D$57, 0), 0)) ^ (1 / 12))</f>
        <v>1.0016745678897145</v>
      </c>
      <c r="Y72" s="123" cm="1">
        <f t="array" ref="Y72">IF(Y28 &lt;&gt; 0, Y28 / Y27, (1 + INDEX($I$50:$I$57, MATCH(EOMONTH(Y$6, $I72), $D$50:$D$57, 0), 0)) ^ (1 / 12))</f>
        <v>1.0016515813019202</v>
      </c>
      <c r="Z72" s="123" cm="1">
        <f t="array" ref="Z72">IF(Z28 &lt;&gt; 0, Z28 / Z27, (1 + INDEX($I$50:$I$57, MATCH(EOMONTH(Z$6, $I72), $D$50:$D$57, 0), 0)) ^ (1 / 12))</f>
        <v>1.0016515813019202</v>
      </c>
      <c r="AA72" s="123" cm="1">
        <f t="array" ref="AA72">IF(AA28 &lt;&gt; 0, AA28 / AA27, (1 + INDEX($I$50:$I$57, MATCH(EOMONTH(AA$6, $I72), $D$50:$D$57, 0), 0)) ^ (1 / 12))</f>
        <v>1.0016515813019202</v>
      </c>
    </row>
    <row r="73" spans="1:27" s="24" customFormat="1" x14ac:dyDescent="0.2">
      <c r="A73" s="25"/>
      <c r="B73" s="25"/>
      <c r="C73" s="25"/>
      <c r="D73" s="31" t="str">
        <f t="shared" si="2"/>
        <v>Jan</v>
      </c>
      <c r="E73" s="31"/>
      <c r="F73" s="31" t="s">
        <v>108</v>
      </c>
      <c r="G73" s="31" t="s">
        <v>109</v>
      </c>
      <c r="H73" s="31"/>
      <c r="I73" s="121">
        <f t="shared" si="3"/>
        <v>9</v>
      </c>
      <c r="J73" s="36"/>
      <c r="K73" s="36"/>
      <c r="L73" s="36"/>
      <c r="M73" s="104"/>
      <c r="N73" s="104"/>
      <c r="O73" s="104"/>
      <c r="P73" s="104"/>
      <c r="Q73" s="104"/>
      <c r="R73" s="104"/>
      <c r="S73" s="104"/>
      <c r="T73" s="123" cm="1">
        <f t="array" ref="T73">IF(T29 &lt;&gt; 0, T29 / T28, (1 + INDEX($I$50:$I$57, MATCH(EOMONTH(T$6, $I73), $D$50:$D$57, 0), 0)) ^ (1 / 12))</f>
        <v>1.0021214817217317</v>
      </c>
      <c r="U73" s="123" cm="1">
        <f t="array" ref="U73">IF(U29 &lt;&gt; 0, U29 / U28, (1 + INDEX($I$50:$I$57, MATCH(EOMONTH(U$6, $I73), $D$50:$D$57, 0), 0)) ^ (1 / 12))</f>
        <v>1.0018648163324644</v>
      </c>
      <c r="V73" s="123" cm="1">
        <f t="array" ref="V73">IF(V29 &lt;&gt; 0, V29 / V28, (1 + INDEX($I$50:$I$57, MATCH(EOMONTH(V$6, $I73), $D$50:$D$57, 0), 0)) ^ (1 / 12))</f>
        <v>1.0017465029288553</v>
      </c>
      <c r="W73" s="123" cm="1">
        <f t="array" ref="W73">IF(W29 &lt;&gt; 0, W29 / W28, (1 + INDEX($I$50:$I$57, MATCH(EOMONTH(W$6, $I73), $D$50:$D$57, 0), 0)) ^ (1 / 12))</f>
        <v>1.0017127614482191</v>
      </c>
      <c r="X73" s="123" cm="1">
        <f t="array" ref="X73">IF(X29 &lt;&gt; 0, X29 / X28, (1 + INDEX($I$50:$I$57, MATCH(EOMONTH(X$6, $I73), $D$50:$D$57, 0), 0)) ^ (1 / 12))</f>
        <v>1.0016745678897145</v>
      </c>
      <c r="Y73" s="123" cm="1">
        <f t="array" ref="Y73">IF(Y29 &lt;&gt; 0, Y29 / Y28, (1 + INDEX($I$50:$I$57, MATCH(EOMONTH(Y$6, $I73), $D$50:$D$57, 0), 0)) ^ (1 / 12))</f>
        <v>1.0016515813019202</v>
      </c>
      <c r="Z73" s="123" cm="1">
        <f t="array" ref="Z73">IF(Z29 &lt;&gt; 0, Z29 / Z28, (1 + INDEX($I$50:$I$57, MATCH(EOMONTH(Z$6, $I73), $D$50:$D$57, 0), 0)) ^ (1 / 12))</f>
        <v>1.0016515813019202</v>
      </c>
      <c r="AA73" s="123" cm="1">
        <f t="array" ref="AA73">IF(AA29 &lt;&gt; 0, AA29 / AA28, (1 + INDEX($I$50:$I$57, MATCH(EOMONTH(AA$6, $I73), $D$50:$D$57, 0), 0)) ^ (1 / 12))</f>
        <v>1.0016515813019202</v>
      </c>
    </row>
    <row r="74" spans="1:27" s="24" customFormat="1" x14ac:dyDescent="0.2">
      <c r="A74" s="25"/>
      <c r="B74" s="25"/>
      <c r="C74" s="25"/>
      <c r="D74" s="31" t="str">
        <f t="shared" si="2"/>
        <v>Feb</v>
      </c>
      <c r="E74" s="31"/>
      <c r="F74" s="31" t="s">
        <v>108</v>
      </c>
      <c r="G74" s="31" t="s">
        <v>109</v>
      </c>
      <c r="H74" s="31"/>
      <c r="I74" s="121">
        <f t="shared" si="3"/>
        <v>9</v>
      </c>
      <c r="J74" s="36"/>
      <c r="K74" s="36"/>
      <c r="L74" s="36"/>
      <c r="M74" s="104"/>
      <c r="N74" s="104"/>
      <c r="O74" s="104"/>
      <c r="P74" s="104"/>
      <c r="Q74" s="104"/>
      <c r="R74" s="104"/>
      <c r="S74" s="104"/>
      <c r="T74" s="123" cm="1">
        <f t="array" ref="T74">IF(T30 &lt;&gt; 0, T30 / T29, (1 + INDEX($I$50:$I$57, MATCH(EOMONTH(T$6, $I74), $D$50:$D$57, 0), 0)) ^ (1 / 12))</f>
        <v>1.0021214817217317</v>
      </c>
      <c r="U74" s="123" cm="1">
        <f t="array" ref="U74">IF(U30 &lt;&gt; 0, U30 / U29, (1 + INDEX($I$50:$I$57, MATCH(EOMONTH(U$6, $I74), $D$50:$D$57, 0), 0)) ^ (1 / 12))</f>
        <v>1.0018648163324644</v>
      </c>
      <c r="V74" s="123" cm="1">
        <f t="array" ref="V74">IF(V30 &lt;&gt; 0, V30 / V29, (1 + INDEX($I$50:$I$57, MATCH(EOMONTH(V$6, $I74), $D$50:$D$57, 0), 0)) ^ (1 / 12))</f>
        <v>1.0017465029288553</v>
      </c>
      <c r="W74" s="123" cm="1">
        <f t="array" ref="W74">IF(W30 &lt;&gt; 0, W30 / W29, (1 + INDEX($I$50:$I$57, MATCH(EOMONTH(W$6, $I74), $D$50:$D$57, 0), 0)) ^ (1 / 12))</f>
        <v>1.0017127614482191</v>
      </c>
      <c r="X74" s="123" cm="1">
        <f t="array" ref="X74">IF(X30 &lt;&gt; 0, X30 / X29, (1 + INDEX($I$50:$I$57, MATCH(EOMONTH(X$6, $I74), $D$50:$D$57, 0), 0)) ^ (1 / 12))</f>
        <v>1.0016745678897145</v>
      </c>
      <c r="Y74" s="123" cm="1">
        <f t="array" ref="Y74">IF(Y30 &lt;&gt; 0, Y30 / Y29, (1 + INDEX($I$50:$I$57, MATCH(EOMONTH(Y$6, $I74), $D$50:$D$57, 0), 0)) ^ (1 / 12))</f>
        <v>1.0016515813019202</v>
      </c>
      <c r="Z74" s="123" cm="1">
        <f t="array" ref="Z74">IF(Z30 &lt;&gt; 0, Z30 / Z29, (1 + INDEX($I$50:$I$57, MATCH(EOMONTH(Z$6, $I74), $D$50:$D$57, 0), 0)) ^ (1 / 12))</f>
        <v>1.0016515813019202</v>
      </c>
      <c r="AA74" s="123" cm="1">
        <f t="array" ref="AA74">IF(AA30 &lt;&gt; 0, AA30 / AA29, (1 + INDEX($I$50:$I$57, MATCH(EOMONTH(AA$6, $I74), $D$50:$D$57, 0), 0)) ^ (1 / 12))</f>
        <v>1.0016515813019202</v>
      </c>
    </row>
    <row r="75" spans="1:27" s="24" customFormat="1" x14ac:dyDescent="0.2">
      <c r="A75" s="25"/>
      <c r="B75" s="25"/>
      <c r="C75" s="25"/>
      <c r="D75" s="69" t="str">
        <f t="shared" si="2"/>
        <v>Mar</v>
      </c>
      <c r="E75" s="69"/>
      <c r="F75" s="69" t="s">
        <v>108</v>
      </c>
      <c r="G75" s="69" t="s">
        <v>109</v>
      </c>
      <c r="H75" s="69"/>
      <c r="I75" s="124">
        <f t="shared" si="3"/>
        <v>9</v>
      </c>
      <c r="J75" s="109"/>
      <c r="K75" s="109"/>
      <c r="L75" s="109"/>
      <c r="M75" s="110"/>
      <c r="N75" s="110"/>
      <c r="O75" s="110"/>
      <c r="P75" s="110"/>
      <c r="Q75" s="110"/>
      <c r="R75" s="110"/>
      <c r="S75" s="110"/>
      <c r="T75" s="125" cm="1">
        <f t="array" ref="T75">IF(T31 &lt;&gt; 0, T31 / T30, (1 + INDEX($I$50:$I$57, MATCH(EOMONTH(T$6, $I75), $D$50:$D$57, 0), 0)) ^ (1 / 12))</f>
        <v>1.0021214817217317</v>
      </c>
      <c r="U75" s="125" cm="1">
        <f t="array" ref="U75">IF(U31 &lt;&gt; 0, U31 / U30, (1 + INDEX($I$50:$I$57, MATCH(EOMONTH(U$6, $I75), $D$50:$D$57, 0), 0)) ^ (1 / 12))</f>
        <v>1.0018648163324644</v>
      </c>
      <c r="V75" s="125" cm="1">
        <f t="array" ref="V75">IF(V31 &lt;&gt; 0, V31 / V30, (1 + INDEX($I$50:$I$57, MATCH(EOMONTH(V$6, $I75), $D$50:$D$57, 0), 0)) ^ (1 / 12))</f>
        <v>1.0017465029288553</v>
      </c>
      <c r="W75" s="125" cm="1">
        <f t="array" ref="W75">IF(W31 &lt;&gt; 0, W31 / W30, (1 + INDEX($I$50:$I$57, MATCH(EOMONTH(W$6, $I75), $D$50:$D$57, 0), 0)) ^ (1 / 12))</f>
        <v>1.0017127614482191</v>
      </c>
      <c r="X75" s="125" cm="1">
        <f t="array" ref="X75">IF(X31 &lt;&gt; 0, X31 / X30, (1 + INDEX($I$50:$I$57, MATCH(EOMONTH(X$6, $I75), $D$50:$D$57, 0), 0)) ^ (1 / 12))</f>
        <v>1.0016745678897145</v>
      </c>
      <c r="Y75" s="125" cm="1">
        <f t="array" ref="Y75">IF(Y31 &lt;&gt; 0, Y31 / Y30, (1 + INDEX($I$50:$I$57, MATCH(EOMONTH(Y$6, $I75), $D$50:$D$57, 0), 0)) ^ (1 / 12))</f>
        <v>1.0016515813019202</v>
      </c>
      <c r="Z75" s="125" cm="1">
        <f t="array" ref="Z75">IF(Z31 &lt;&gt; 0, Z31 / Z30, (1 + INDEX($I$50:$I$57, MATCH(EOMONTH(Z$6, $I75), $D$50:$D$57, 0), 0)) ^ (1 / 12))</f>
        <v>1.0016515813019202</v>
      </c>
      <c r="AA75" s="125" cm="1">
        <f t="array" ref="AA75">IF(AA31 &lt;&gt; 0, AA31 / AA30, (1 + INDEX($I$50:$I$57, MATCH(EOMONTH(AA$6, $I75), $D$50:$D$57, 0), 0)) ^ (1 / 12))</f>
        <v>1.0016515813019202</v>
      </c>
    </row>
    <row r="76" spans="1:27" s="24" customFormat="1" x14ac:dyDescent="0.2">
      <c r="A76" s="25"/>
      <c r="B76" s="25"/>
      <c r="C76" s="25"/>
      <c r="D76" s="25"/>
      <c r="E76" s="25"/>
      <c r="F76" s="25"/>
      <c r="G76" s="25"/>
      <c r="H76" s="25"/>
      <c r="M76" s="72"/>
      <c r="N76" s="72"/>
      <c r="O76" s="72"/>
      <c r="P76" s="72"/>
      <c r="Q76" s="72"/>
      <c r="R76" s="72"/>
      <c r="S76" s="72"/>
      <c r="T76" s="72"/>
      <c r="U76" s="72"/>
      <c r="V76" s="72"/>
      <c r="W76" s="72"/>
      <c r="X76" s="72"/>
      <c r="Y76" s="72"/>
      <c r="Z76" s="72"/>
      <c r="AA76" s="72"/>
    </row>
    <row r="77" spans="1:27" s="24" customFormat="1" ht="15" x14ac:dyDescent="0.2">
      <c r="A77" s="25"/>
      <c r="B77" s="25"/>
      <c r="C77" s="28" t="s">
        <v>110</v>
      </c>
      <c r="D77" s="25"/>
      <c r="E77" s="25"/>
      <c r="F77" s="25"/>
      <c r="G77" s="25"/>
      <c r="H77" s="25"/>
    </row>
    <row r="78" spans="1:27" s="24" customFormat="1" x14ac:dyDescent="0.2">
      <c r="A78" s="25"/>
      <c r="B78" s="25"/>
      <c r="C78" s="25"/>
      <c r="D78" s="66" t="str">
        <f t="shared" ref="D78:D89" si="4">D20</f>
        <v>Apr</v>
      </c>
      <c r="E78" s="66"/>
      <c r="F78" s="66" t="s">
        <v>111</v>
      </c>
      <c r="G78" s="66" t="s">
        <v>61</v>
      </c>
      <c r="H78" s="66"/>
      <c r="I78" s="105"/>
      <c r="J78" s="105"/>
      <c r="K78" s="105"/>
      <c r="L78" s="105" t="s">
        <v>90</v>
      </c>
      <c r="M78" s="106"/>
      <c r="N78" s="106"/>
      <c r="O78" s="106"/>
      <c r="P78" s="106"/>
      <c r="Q78" s="106"/>
      <c r="R78" s="106"/>
      <c r="S78" s="106"/>
      <c r="T78" s="126">
        <f t="shared" ref="T78:AA78" si="5">S89 * T64</f>
        <v>359.17598250498725</v>
      </c>
      <c r="U78" s="126">
        <f t="shared" si="5"/>
        <v>369.0890772675283</v>
      </c>
      <c r="V78" s="126">
        <f t="shared" si="5"/>
        <v>377.62713107051241</v>
      </c>
      <c r="W78" s="126">
        <f t="shared" si="5"/>
        <v>385.70901504478076</v>
      </c>
      <c r="X78" s="126">
        <f t="shared" si="5"/>
        <v>393.7381760963105</v>
      </c>
      <c r="Y78" s="126">
        <f t="shared" si="5"/>
        <v>401.75418723775351</v>
      </c>
      <c r="Z78" s="126">
        <f t="shared" si="5"/>
        <v>409.80807944907514</v>
      </c>
      <c r="AA78" s="126">
        <f t="shared" si="5"/>
        <v>418.00424103805699</v>
      </c>
    </row>
    <row r="79" spans="1:27" s="24" customFormat="1" x14ac:dyDescent="0.2">
      <c r="A79" s="25"/>
      <c r="B79" s="25"/>
      <c r="C79" s="25"/>
      <c r="D79" s="31" t="str">
        <f t="shared" si="4"/>
        <v>May</v>
      </c>
      <c r="E79" s="31"/>
      <c r="F79" s="31" t="s">
        <v>111</v>
      </c>
      <c r="G79" s="31" t="s">
        <v>61</v>
      </c>
      <c r="H79" s="31"/>
      <c r="I79" s="36"/>
      <c r="J79" s="36"/>
      <c r="K79" s="36"/>
      <c r="L79" s="36" t="s">
        <v>90</v>
      </c>
      <c r="M79" s="104"/>
      <c r="N79" s="104"/>
      <c r="O79" s="104"/>
      <c r="P79" s="104"/>
      <c r="Q79" s="104"/>
      <c r="R79" s="104"/>
      <c r="S79" s="104"/>
      <c r="T79" s="127">
        <f t="shared" ref="T79:AA89" si="6">T78 * T65</f>
        <v>360.53443932232835</v>
      </c>
      <c r="U79" s="127">
        <f t="shared" si="6"/>
        <v>369.87209299864219</v>
      </c>
      <c r="V79" s="127">
        <f t="shared" si="6"/>
        <v>378.33133631211439</v>
      </c>
      <c r="W79" s="127">
        <f t="shared" si="6"/>
        <v>386.38265696924236</v>
      </c>
      <c r="X79" s="127">
        <f t="shared" si="6"/>
        <v>394.41255566502036</v>
      </c>
      <c r="Y79" s="127">
        <f t="shared" si="6"/>
        <v>402.42695189926025</v>
      </c>
      <c r="Z79" s="127">
        <f t="shared" si="6"/>
        <v>410.48491081046905</v>
      </c>
      <c r="AA79" s="127">
        <f t="shared" si="6"/>
        <v>418.69460902667879</v>
      </c>
    </row>
    <row r="80" spans="1:27" s="24" customFormat="1" x14ac:dyDescent="0.2">
      <c r="A80" s="25"/>
      <c r="B80" s="25"/>
      <c r="C80" s="25"/>
      <c r="D80" s="31" t="str">
        <f t="shared" si="4"/>
        <v>Jun</v>
      </c>
      <c r="E80" s="31"/>
      <c r="F80" s="31" t="s">
        <v>111</v>
      </c>
      <c r="G80" s="31" t="s">
        <v>61</v>
      </c>
      <c r="H80" s="31"/>
      <c r="I80" s="36"/>
      <c r="J80" s="36"/>
      <c r="K80" s="36"/>
      <c r="L80" s="36" t="s">
        <v>90</v>
      </c>
      <c r="M80" s="104"/>
      <c r="N80" s="104"/>
      <c r="O80" s="104"/>
      <c r="P80" s="104"/>
      <c r="Q80" s="104"/>
      <c r="R80" s="104"/>
      <c r="S80" s="104"/>
      <c r="T80" s="128">
        <f t="shared" si="6"/>
        <v>361.34951341273307</v>
      </c>
      <c r="U80" s="128">
        <f t="shared" si="6"/>
        <v>370.65676988331745</v>
      </c>
      <c r="V80" s="128">
        <f t="shared" si="6"/>
        <v>379.03685476715231</v>
      </c>
      <c r="W80" s="128">
        <f t="shared" si="6"/>
        <v>387.05747541129801</v>
      </c>
      <c r="X80" s="128">
        <f t="shared" si="6"/>
        <v>395.08809028505698</v>
      </c>
      <c r="Y80" s="128">
        <f t="shared" si="6"/>
        <v>403.10084315086647</v>
      </c>
      <c r="Z80" s="128">
        <f t="shared" si="6"/>
        <v>411.16286001388403</v>
      </c>
      <c r="AA80" s="128">
        <f t="shared" si="6"/>
        <v>419.38611721416203</v>
      </c>
    </row>
    <row r="81" spans="1:28" s="24" customFormat="1" x14ac:dyDescent="0.2">
      <c r="A81" s="25"/>
      <c r="B81" s="25"/>
      <c r="C81" s="25"/>
      <c r="D81" s="31" t="str">
        <f t="shared" si="4"/>
        <v>Jul</v>
      </c>
      <c r="E81" s="31"/>
      <c r="F81" s="31" t="s">
        <v>111</v>
      </c>
      <c r="G81" s="31" t="s">
        <v>61</v>
      </c>
      <c r="H81" s="31"/>
      <c r="I81" s="36"/>
      <c r="J81" s="36"/>
      <c r="K81" s="36"/>
      <c r="L81" s="36" t="s">
        <v>90</v>
      </c>
      <c r="M81" s="104"/>
      <c r="N81" s="104"/>
      <c r="O81" s="104"/>
      <c r="P81" s="104"/>
      <c r="Q81" s="104"/>
      <c r="R81" s="104"/>
      <c r="S81" s="104"/>
      <c r="T81" s="128">
        <f t="shared" si="6"/>
        <v>362.11610980059481</v>
      </c>
      <c r="U81" s="128">
        <f t="shared" si="6"/>
        <v>371.34797668153436</v>
      </c>
      <c r="V81" s="128">
        <f t="shared" si="6"/>
        <v>379.69884374414721</v>
      </c>
      <c r="W81" s="128">
        <f t="shared" si="6"/>
        <v>387.72041253342746</v>
      </c>
      <c r="X81" s="128">
        <f t="shared" si="6"/>
        <v>395.74969211465697</v>
      </c>
      <c r="Y81" s="128">
        <f t="shared" si="6"/>
        <v>403.76659696620271</v>
      </c>
      <c r="Z81" s="128">
        <f t="shared" si="6"/>
        <v>411.84192890552703</v>
      </c>
      <c r="AA81" s="128">
        <f t="shared" si="6"/>
        <v>420.07876748363788</v>
      </c>
    </row>
    <row r="82" spans="1:28" s="24" customFormat="1" x14ac:dyDescent="0.2">
      <c r="A82" s="25"/>
      <c r="B82" s="25"/>
      <c r="C82" s="25"/>
      <c r="D82" s="31" t="str">
        <f t="shared" si="4"/>
        <v>Aug</v>
      </c>
      <c r="E82" s="31"/>
      <c r="F82" s="31" t="s">
        <v>111</v>
      </c>
      <c r="G82" s="31" t="s">
        <v>61</v>
      </c>
      <c r="H82" s="31"/>
      <c r="I82" s="36"/>
      <c r="J82" s="36"/>
      <c r="K82" s="36"/>
      <c r="L82" s="36" t="s">
        <v>90</v>
      </c>
      <c r="M82" s="104"/>
      <c r="N82" s="104"/>
      <c r="O82" s="104"/>
      <c r="P82" s="104"/>
      <c r="Q82" s="104"/>
      <c r="R82" s="104"/>
      <c r="S82" s="104"/>
      <c r="T82" s="128">
        <f t="shared" si="6"/>
        <v>362.88433250868133</v>
      </c>
      <c r="U82" s="128">
        <f t="shared" si="6"/>
        <v>372.04047245347766</v>
      </c>
      <c r="V82" s="128">
        <f t="shared" si="6"/>
        <v>380.36198888682929</v>
      </c>
      <c r="W82" s="128">
        <f t="shared" si="6"/>
        <v>388.38448510870234</v>
      </c>
      <c r="X82" s="128">
        <f t="shared" si="6"/>
        <v>396.41240184143658</v>
      </c>
      <c r="Y82" s="128">
        <f t="shared" si="6"/>
        <v>404.43345032809208</v>
      </c>
      <c r="Z82" s="128">
        <f t="shared" si="6"/>
        <v>412.52211933465418</v>
      </c>
      <c r="AA82" s="128">
        <f t="shared" si="6"/>
        <v>420.77256172134753</v>
      </c>
    </row>
    <row r="83" spans="1:28" s="24" customFormat="1" x14ac:dyDescent="0.2">
      <c r="A83" s="25"/>
      <c r="B83" s="25"/>
      <c r="C83" s="25"/>
      <c r="D83" s="31" t="str">
        <f t="shared" si="4"/>
        <v>Sep</v>
      </c>
      <c r="E83" s="31"/>
      <c r="F83" s="31" t="s">
        <v>111</v>
      </c>
      <c r="G83" s="31" t="s">
        <v>61</v>
      </c>
      <c r="H83" s="31"/>
      <c r="I83" s="36"/>
      <c r="J83" s="36"/>
      <c r="K83" s="36"/>
      <c r="L83" s="36" t="s">
        <v>90</v>
      </c>
      <c r="M83" s="104"/>
      <c r="N83" s="104"/>
      <c r="O83" s="104"/>
      <c r="P83" s="104"/>
      <c r="Q83" s="104"/>
      <c r="R83" s="104"/>
      <c r="S83" s="104"/>
      <c r="T83" s="128">
        <f t="shared" si="6"/>
        <v>363.65418498720129</v>
      </c>
      <c r="U83" s="128">
        <f t="shared" si="6"/>
        <v>372.73425960284669</v>
      </c>
      <c r="V83" s="128">
        <f t="shared" si="6"/>
        <v>381.02629221444533</v>
      </c>
      <c r="W83" s="128">
        <f t="shared" si="6"/>
        <v>389.04969508188293</v>
      </c>
      <c r="X83" s="128">
        <f t="shared" si="6"/>
        <v>397.07622132064489</v>
      </c>
      <c r="Y83" s="128">
        <f t="shared" si="6"/>
        <v>405.10140505252502</v>
      </c>
      <c r="Z83" s="128">
        <f t="shared" si="6"/>
        <v>413.20343315357582</v>
      </c>
      <c r="AA83" s="128">
        <f t="shared" si="6"/>
        <v>421.4675018166476</v>
      </c>
    </row>
    <row r="84" spans="1:28" s="24" customFormat="1" x14ac:dyDescent="0.2">
      <c r="A84" s="25"/>
      <c r="B84" s="25"/>
      <c r="C84" s="25"/>
      <c r="D84" s="31" t="str">
        <f t="shared" si="4"/>
        <v>Oct</v>
      </c>
      <c r="E84" s="31"/>
      <c r="F84" s="31" t="s">
        <v>111</v>
      </c>
      <c r="G84" s="31" t="s">
        <v>61</v>
      </c>
      <c r="H84" s="31"/>
      <c r="I84" s="36"/>
      <c r="J84" s="36"/>
      <c r="K84" s="36"/>
      <c r="L84" s="36" t="s">
        <v>90</v>
      </c>
      <c r="M84" s="104"/>
      <c r="N84" s="104"/>
      <c r="O84" s="104"/>
      <c r="P84" s="104"/>
      <c r="Q84" s="104"/>
      <c r="R84" s="104"/>
      <c r="S84" s="104"/>
      <c r="T84" s="128">
        <f t="shared" si="6"/>
        <v>364.42567069368283</v>
      </c>
      <c r="U84" s="128">
        <f t="shared" si="6"/>
        <v>373.42934053782312</v>
      </c>
      <c r="V84" s="128">
        <f t="shared" si="6"/>
        <v>381.69175574976873</v>
      </c>
      <c r="W84" s="128">
        <f t="shared" si="6"/>
        <v>389.71604440106057</v>
      </c>
      <c r="X84" s="128">
        <f t="shared" si="6"/>
        <v>397.74115241063765</v>
      </c>
      <c r="Y84" s="128">
        <f t="shared" si="6"/>
        <v>405.77046295849141</v>
      </c>
      <c r="Z84" s="128">
        <f t="shared" si="6"/>
        <v>413.88587221766153</v>
      </c>
      <c r="AA84" s="128">
        <f t="shared" si="6"/>
        <v>422.163589662015</v>
      </c>
    </row>
    <row r="85" spans="1:28" s="24" customFormat="1" x14ac:dyDescent="0.2">
      <c r="A85" s="25"/>
      <c r="B85" s="25"/>
      <c r="C85" s="25"/>
      <c r="D85" s="31" t="str">
        <f t="shared" si="4"/>
        <v>Nov</v>
      </c>
      <c r="E85" s="31"/>
      <c r="F85" s="31" t="s">
        <v>111</v>
      </c>
      <c r="G85" s="31" t="s">
        <v>61</v>
      </c>
      <c r="H85" s="31"/>
      <c r="I85" s="36"/>
      <c r="J85" s="36"/>
      <c r="K85" s="36"/>
      <c r="L85" s="36" t="s">
        <v>90</v>
      </c>
      <c r="M85" s="104"/>
      <c r="N85" s="104"/>
      <c r="O85" s="104"/>
      <c r="P85" s="104"/>
      <c r="Q85" s="104"/>
      <c r="R85" s="104"/>
      <c r="S85" s="104"/>
      <c r="T85" s="128">
        <f t="shared" si="6"/>
        <v>365.19879309298926</v>
      </c>
      <c r="U85" s="128">
        <f t="shared" si="6"/>
        <v>374.12571767107949</v>
      </c>
      <c r="V85" s="128">
        <f t="shared" si="6"/>
        <v>382.35838151910559</v>
      </c>
      <c r="W85" s="128">
        <f t="shared" si="6"/>
        <v>390.38353501766312</v>
      </c>
      <c r="X85" s="128">
        <f t="shared" si="6"/>
        <v>398.40719697288256</v>
      </c>
      <c r="Y85" s="128">
        <f t="shared" si="6"/>
        <v>406.44062586798515</v>
      </c>
      <c r="Z85" s="128">
        <f t="shared" si="6"/>
        <v>414.56943838534517</v>
      </c>
      <c r="AA85" s="128">
        <f t="shared" si="6"/>
        <v>422.8608271530523</v>
      </c>
    </row>
    <row r="86" spans="1:28" s="24" customFormat="1" x14ac:dyDescent="0.2">
      <c r="A86" s="25"/>
      <c r="B86" s="25"/>
      <c r="C86" s="25"/>
      <c r="D86" s="31" t="str">
        <f t="shared" si="4"/>
        <v>Dec</v>
      </c>
      <c r="E86" s="31"/>
      <c r="F86" s="31" t="s">
        <v>111</v>
      </c>
      <c r="G86" s="31" t="s">
        <v>61</v>
      </c>
      <c r="H86" s="31"/>
      <c r="I86" s="36"/>
      <c r="J86" s="36"/>
      <c r="K86" s="36"/>
      <c r="L86" s="36" t="s">
        <v>90</v>
      </c>
      <c r="M86" s="104"/>
      <c r="N86" s="104"/>
      <c r="O86" s="104"/>
      <c r="P86" s="104"/>
      <c r="Q86" s="104"/>
      <c r="R86" s="104"/>
      <c r="S86" s="104"/>
      <c r="T86" s="128">
        <f t="shared" si="6"/>
        <v>365.97355565733449</v>
      </c>
      <c r="U86" s="128">
        <f t="shared" si="6"/>
        <v>374.82339341978746</v>
      </c>
      <c r="V86" s="128">
        <f t="shared" si="6"/>
        <v>383.02617155230104</v>
      </c>
      <c r="W86" s="128">
        <f t="shared" si="6"/>
        <v>391.05216888646083</v>
      </c>
      <c r="X86" s="128">
        <f t="shared" si="6"/>
        <v>399.07435687196454</v>
      </c>
      <c r="Y86" s="128">
        <f t="shared" si="6"/>
        <v>407.11189560600945</v>
      </c>
      <c r="Z86" s="128">
        <f t="shared" si="6"/>
        <v>415.25413351812995</v>
      </c>
      <c r="AA86" s="128">
        <f t="shared" si="6"/>
        <v>423.55921618849283</v>
      </c>
    </row>
    <row r="87" spans="1:28" s="24" customFormat="1" x14ac:dyDescent="0.2">
      <c r="A87" s="25"/>
      <c r="B87" s="25"/>
      <c r="C87" s="25"/>
      <c r="D87" s="31" t="str">
        <f t="shared" si="4"/>
        <v>Jan</v>
      </c>
      <c r="E87" s="31"/>
      <c r="F87" s="31" t="s">
        <v>111</v>
      </c>
      <c r="G87" s="31" t="s">
        <v>61</v>
      </c>
      <c r="H87" s="31"/>
      <c r="I87" s="36"/>
      <c r="J87" s="36"/>
      <c r="K87" s="36"/>
      <c r="L87" s="36" t="s">
        <v>90</v>
      </c>
      <c r="M87" s="104"/>
      <c r="N87" s="104"/>
      <c r="O87" s="104"/>
      <c r="P87" s="104"/>
      <c r="Q87" s="104"/>
      <c r="R87" s="104"/>
      <c r="S87" s="104"/>
      <c r="T87" s="128">
        <f t="shared" si="6"/>
        <v>366.74996186629869</v>
      </c>
      <c r="U87" s="128">
        <f t="shared" si="6"/>
        <v>375.52237020562643</v>
      </c>
      <c r="V87" s="128">
        <f t="shared" si="6"/>
        <v>383.69512788274534</v>
      </c>
      <c r="W87" s="128">
        <f t="shared" si="6"/>
        <v>391.72194796557204</v>
      </c>
      <c r="X87" s="128">
        <f t="shared" si="6"/>
        <v>399.74263397559082</v>
      </c>
      <c r="Y87" s="128">
        <f t="shared" si="6"/>
        <v>407.78427400058166</v>
      </c>
      <c r="Z87" s="128">
        <f t="shared" si="6"/>
        <v>415.93995948059359</v>
      </c>
      <c r="AA87" s="128">
        <f t="shared" si="6"/>
        <v>424.25875867020574</v>
      </c>
    </row>
    <row r="88" spans="1:28" s="24" customFormat="1" x14ac:dyDescent="0.2">
      <c r="A88" s="25"/>
      <c r="B88" s="25"/>
      <c r="C88" s="25"/>
      <c r="D88" s="31" t="str">
        <f t="shared" si="4"/>
        <v>Feb</v>
      </c>
      <c r="E88" s="31"/>
      <c r="F88" s="31" t="s">
        <v>111</v>
      </c>
      <c r="G88" s="31" t="s">
        <v>61</v>
      </c>
      <c r="H88" s="31"/>
      <c r="I88" s="36"/>
      <c r="J88" s="36"/>
      <c r="K88" s="36"/>
      <c r="L88" s="36" t="s">
        <v>90</v>
      </c>
      <c r="M88" s="104"/>
      <c r="N88" s="104"/>
      <c r="O88" s="104"/>
      <c r="P88" s="104"/>
      <c r="Q88" s="104"/>
      <c r="R88" s="104"/>
      <c r="S88" s="104"/>
      <c r="T88" s="128">
        <f t="shared" si="6"/>
        <v>367.5280152068438</v>
      </c>
      <c r="U88" s="128">
        <f t="shared" si="6"/>
        <v>376.22265045479162</v>
      </c>
      <c r="V88" s="128">
        <f t="shared" si="6"/>
        <v>384.36525254738007</v>
      </c>
      <c r="W88" s="128">
        <f t="shared" si="6"/>
        <v>392.39287421646873</v>
      </c>
      <c r="X88" s="128">
        <f t="shared" si="6"/>
        <v>400.41203015459627</v>
      </c>
      <c r="Y88" s="128">
        <f t="shared" si="6"/>
        <v>408.45776288273811</v>
      </c>
      <c r="Z88" s="128">
        <f t="shared" si="6"/>
        <v>416.62691814039317</v>
      </c>
      <c r="AA88" s="128">
        <f t="shared" si="6"/>
        <v>424.95945650320135</v>
      </c>
    </row>
    <row r="89" spans="1:28" s="24" customFormat="1" x14ac:dyDescent="0.2">
      <c r="A89" s="25"/>
      <c r="B89" s="25"/>
      <c r="C89" s="25"/>
      <c r="D89" s="69" t="str">
        <f t="shared" si="4"/>
        <v>Mar</v>
      </c>
      <c r="E89" s="69"/>
      <c r="F89" s="69" t="s">
        <v>111</v>
      </c>
      <c r="G89" s="69" t="s">
        <v>61</v>
      </c>
      <c r="H89" s="69"/>
      <c r="I89" s="109"/>
      <c r="J89" s="109"/>
      <c r="K89" s="109"/>
      <c r="L89" s="109" t="s">
        <v>90</v>
      </c>
      <c r="M89" s="110"/>
      <c r="N89" s="110"/>
      <c r="O89" s="110"/>
      <c r="P89" s="110"/>
      <c r="Q89" s="110"/>
      <c r="R89" s="110"/>
      <c r="S89" s="129">
        <f>I17</f>
        <v>357.54583432417797</v>
      </c>
      <c r="T89" s="130">
        <f t="shared" si="6"/>
        <v>368.30771917332942</v>
      </c>
      <c r="U89" s="130">
        <f t="shared" si="6"/>
        <v>376.92423659800278</v>
      </c>
      <c r="V89" s="130">
        <f t="shared" si="6"/>
        <v>385.03654758670427</v>
      </c>
      <c r="W89" s="130">
        <f t="shared" si="6"/>
        <v>393.0649496039826</v>
      </c>
      <c r="X89" s="130">
        <f t="shared" si="6"/>
        <v>401.08254728294855</v>
      </c>
      <c r="Y89" s="130">
        <f t="shared" si="6"/>
        <v>409.13236408653938</v>
      </c>
      <c r="Z89" s="130">
        <f t="shared" si="6"/>
        <v>417.31501136827052</v>
      </c>
      <c r="AA89" s="130">
        <f t="shared" si="6"/>
        <v>425.66131159563622</v>
      </c>
    </row>
    <row r="90" spans="1:28" s="24" customFormat="1" x14ac:dyDescent="0.2">
      <c r="A90" s="25"/>
      <c r="B90" s="25"/>
      <c r="C90" s="25"/>
      <c r="D90" s="25"/>
      <c r="E90" s="25"/>
      <c r="F90" s="25"/>
      <c r="G90" s="25"/>
      <c r="H90" s="25"/>
      <c r="M90" s="72"/>
      <c r="N90" s="72"/>
      <c r="O90" s="72"/>
      <c r="P90" s="72"/>
      <c r="Q90" s="72"/>
      <c r="R90" s="72"/>
      <c r="S90" s="72"/>
      <c r="T90" s="72"/>
      <c r="U90" s="72"/>
      <c r="V90" s="72"/>
      <c r="W90" s="72"/>
      <c r="X90" s="72"/>
      <c r="Y90" s="72"/>
      <c r="Z90" s="72"/>
      <c r="AA90" s="72"/>
    </row>
    <row r="91" spans="1:28" s="24" customFormat="1" x14ac:dyDescent="0.2">
      <c r="A91" s="25"/>
      <c r="B91" s="25"/>
      <c r="C91" s="25" t="s">
        <v>112</v>
      </c>
      <c r="D91" s="25"/>
      <c r="E91" s="25"/>
      <c r="F91" s="25" t="str">
        <f>F16</f>
        <v>PIₜ</v>
      </c>
      <c r="G91" s="25" t="str">
        <f>G16</f>
        <v>1987 = 100</v>
      </c>
      <c r="H91" s="25"/>
      <c r="L91" s="24" t="s">
        <v>90</v>
      </c>
      <c r="M91" s="131">
        <f t="shared" ref="M91:AA91" si="7">IF(M16 &lt;&gt; 0, M16, AVERAGE(M78:M89))</f>
        <v>274.90833333333336</v>
      </c>
      <c r="N91" s="131">
        <f t="shared" si="7"/>
        <v>283.30833333333334</v>
      </c>
      <c r="O91" s="131">
        <f t="shared" si="7"/>
        <v>290.64166666666665</v>
      </c>
      <c r="P91" s="131">
        <f t="shared" si="7"/>
        <v>294.16666666666669</v>
      </c>
      <c r="Q91" s="131">
        <f t="shared" si="7"/>
        <v>307.32821397646848</v>
      </c>
      <c r="R91" s="131">
        <f t="shared" si="7"/>
        <v>334.29358180068937</v>
      </c>
      <c r="S91" s="131">
        <f t="shared" si="7"/>
        <v>352.83651735739545</v>
      </c>
      <c r="T91" s="131">
        <f t="shared" si="7"/>
        <v>363.99152318558367</v>
      </c>
      <c r="U91" s="131">
        <f t="shared" si="7"/>
        <v>373.06569648120484</v>
      </c>
      <c r="V91" s="131">
        <f t="shared" si="7"/>
        <v>381.35464031943383</v>
      </c>
      <c r="W91" s="131">
        <f t="shared" si="7"/>
        <v>389.38627168671178</v>
      </c>
      <c r="X91" s="131">
        <f t="shared" si="7"/>
        <v>397.41142124931213</v>
      </c>
      <c r="Y91" s="131">
        <f t="shared" si="7"/>
        <v>405.44006833642044</v>
      </c>
      <c r="Z91" s="131">
        <f t="shared" si="7"/>
        <v>413.55122206479831</v>
      </c>
      <c r="AA91" s="131">
        <f t="shared" si="7"/>
        <v>421.82224650609447</v>
      </c>
    </row>
    <row r="92" spans="1:28" s="24" customFormat="1" x14ac:dyDescent="0.2">
      <c r="A92" s="25"/>
      <c r="B92" s="25"/>
      <c r="C92" s="25"/>
      <c r="D92" s="25"/>
      <c r="E92" s="25"/>
      <c r="F92" s="25"/>
      <c r="G92" s="25"/>
      <c r="H92" s="25"/>
      <c r="Q92" s="132"/>
      <c r="R92" s="132"/>
      <c r="S92" s="132"/>
      <c r="T92" s="132"/>
      <c r="U92" s="132"/>
    </row>
    <row r="93" spans="1:28" s="24" customFormat="1" x14ac:dyDescent="0.2">
      <c r="A93" s="25"/>
      <c r="B93" s="25"/>
      <c r="C93" s="25" t="s">
        <v>113</v>
      </c>
      <c r="D93" s="25"/>
      <c r="E93" s="25"/>
      <c r="F93" s="25"/>
      <c r="G93" s="25" t="s">
        <v>114</v>
      </c>
      <c r="H93" s="25"/>
      <c r="L93" s="24" t="s">
        <v>90</v>
      </c>
      <c r="M93" s="104"/>
      <c r="N93" s="104"/>
      <c r="O93" s="104"/>
      <c r="P93" s="104"/>
      <c r="Q93" s="104"/>
      <c r="R93" s="104"/>
      <c r="S93" s="104"/>
      <c r="T93" s="133">
        <f>T91 / $N91</f>
        <v>1.2847893279486438</v>
      </c>
      <c r="U93" s="133">
        <f t="shared" ref="U93:AA93" si="8">U91 / $N91</f>
        <v>1.3168186480496684</v>
      </c>
      <c r="V93" s="133">
        <f t="shared" si="8"/>
        <v>1.346076325509076</v>
      </c>
      <c r="W93" s="133">
        <f t="shared" si="8"/>
        <v>1.374425761167321</v>
      </c>
      <c r="X93" s="133">
        <f t="shared" si="8"/>
        <v>1.4027523178491472</v>
      </c>
      <c r="Y93" s="133">
        <f t="shared" si="8"/>
        <v>1.4310912198244095</v>
      </c>
      <c r="Z93" s="133">
        <f t="shared" si="8"/>
        <v>1.4597213474064121</v>
      </c>
      <c r="AA93" s="133">
        <f t="shared" si="8"/>
        <v>1.4889157743545411</v>
      </c>
    </row>
    <row r="94" spans="1:28" s="24" customFormat="1" x14ac:dyDescent="0.2">
      <c r="A94" s="25"/>
      <c r="B94" s="25"/>
      <c r="C94" s="25"/>
      <c r="D94" s="25"/>
      <c r="E94" s="25"/>
      <c r="F94" s="25"/>
      <c r="G94" s="25"/>
      <c r="H94" s="25"/>
    </row>
    <row r="95" spans="1:28" s="24" customFormat="1" ht="18" x14ac:dyDescent="0.25">
      <c r="A95" s="139" t="s">
        <v>13</v>
      </c>
      <c r="B95" s="139" t="s">
        <v>115</v>
      </c>
      <c r="C95" s="140"/>
      <c r="D95" s="140"/>
      <c r="E95" s="140"/>
      <c r="F95" s="140"/>
      <c r="G95" s="140"/>
      <c r="H95" s="140"/>
      <c r="I95" s="141"/>
      <c r="J95" s="141"/>
      <c r="K95" s="141"/>
      <c r="L95" s="141"/>
      <c r="M95" s="141"/>
      <c r="N95" s="141"/>
      <c r="O95" s="141"/>
      <c r="P95" s="141"/>
      <c r="Q95" s="141"/>
      <c r="R95" s="141"/>
      <c r="S95" s="141"/>
      <c r="T95" s="141"/>
      <c r="U95" s="141"/>
      <c r="V95" s="141"/>
      <c r="W95" s="141"/>
      <c r="X95" s="141"/>
      <c r="Y95" s="141"/>
      <c r="Z95" s="141"/>
      <c r="AA95" s="141"/>
      <c r="AB95" s="141"/>
    </row>
    <row r="96" spans="1:28" s="24" customFormat="1" x14ac:dyDescent="0.2">
      <c r="A96" s="25"/>
      <c r="B96" s="25"/>
      <c r="C96" s="25"/>
      <c r="D96" s="25"/>
      <c r="E96" s="25"/>
      <c r="F96" s="25"/>
      <c r="G96" s="25"/>
      <c r="H96" s="25"/>
      <c r="S96" s="134"/>
      <c r="T96" s="134"/>
      <c r="U96" s="134"/>
    </row>
    <row r="97" spans="1:28" s="24" customFormat="1" x14ac:dyDescent="0.2">
      <c r="A97" s="25"/>
      <c r="B97" s="249" t="s">
        <v>116</v>
      </c>
      <c r="C97" s="25"/>
      <c r="D97" s="25"/>
      <c r="E97" s="25"/>
      <c r="F97" s="25"/>
      <c r="G97" s="25"/>
      <c r="H97" s="25"/>
      <c r="R97" s="134"/>
      <c r="S97" s="134"/>
      <c r="T97" s="134"/>
      <c r="U97" s="134"/>
      <c r="V97" s="134"/>
      <c r="W97" s="134"/>
      <c r="X97" s="134"/>
      <c r="Y97" s="134"/>
      <c r="Z97" s="134"/>
      <c r="AA97" s="134"/>
    </row>
    <row r="98" spans="1:28" s="24" customFormat="1" x14ac:dyDescent="0.2">
      <c r="A98" s="25"/>
      <c r="B98" s="25"/>
      <c r="C98" s="25"/>
      <c r="D98" s="25"/>
      <c r="E98" s="25"/>
      <c r="F98" s="25"/>
      <c r="G98" s="25"/>
      <c r="H98" s="25"/>
    </row>
    <row r="99" spans="1:28" s="24" customFormat="1" x14ac:dyDescent="0.2">
      <c r="A99" s="25"/>
      <c r="B99" s="25"/>
      <c r="C99" s="25" t="s">
        <v>117</v>
      </c>
      <c r="D99" s="25"/>
      <c r="E99" s="25"/>
      <c r="F99" s="25"/>
      <c r="G99" s="25" t="s">
        <v>61</v>
      </c>
      <c r="H99" s="25"/>
      <c r="I99" s="131">
        <f>N91</f>
        <v>283.30833333333334</v>
      </c>
    </row>
    <row r="100" spans="1:28" s="24" customFormat="1" x14ac:dyDescent="0.2">
      <c r="A100" s="25"/>
      <c r="B100" s="25"/>
      <c r="C100" s="25"/>
      <c r="D100" s="25"/>
      <c r="E100" s="25"/>
      <c r="F100" s="25"/>
      <c r="G100" s="25"/>
      <c r="H100" s="25"/>
    </row>
    <row r="101" spans="1:28" s="24" customFormat="1" x14ac:dyDescent="0.2">
      <c r="A101" s="25"/>
      <c r="B101" s="25"/>
      <c r="C101" s="25" t="str">
        <f>Inputs!C17</f>
        <v>'Day 1' date</v>
      </c>
      <c r="D101" s="25"/>
      <c r="E101" s="25"/>
      <c r="F101" s="25"/>
      <c r="G101" s="25" t="str">
        <f>Inputs!G17</f>
        <v>Date</v>
      </c>
      <c r="H101" s="25"/>
      <c r="I101" s="148">
        <f>Inputs!I17</f>
        <v>45566</v>
      </c>
    </row>
    <row r="102" spans="1:28" s="24" customFormat="1" x14ac:dyDescent="0.2">
      <c r="A102" s="25"/>
      <c r="B102" s="25"/>
      <c r="C102" s="25" t="s">
        <v>118</v>
      </c>
      <c r="D102" s="25"/>
      <c r="E102" s="25"/>
      <c r="F102" s="25"/>
      <c r="G102" s="25" t="s">
        <v>20</v>
      </c>
      <c r="H102" s="25"/>
      <c r="I102" s="135">
        <f>DATEDIF(T5, I101, "m")</f>
        <v>6</v>
      </c>
    </row>
    <row r="103" spans="1:28" s="24" customFormat="1" x14ac:dyDescent="0.2">
      <c r="A103" s="25"/>
      <c r="B103" s="25"/>
      <c r="C103" s="25" t="s">
        <v>119</v>
      </c>
      <c r="D103" s="25"/>
      <c r="E103" s="25"/>
      <c r="F103" s="25"/>
      <c r="G103" s="25" t="s">
        <v>61</v>
      </c>
      <c r="H103" s="25"/>
      <c r="I103" s="131">
        <f>SUM(_xlfn.TAKE(T78:T89, I102)) / I102</f>
        <v>361.61909375608769</v>
      </c>
    </row>
    <row r="104" spans="1:28" s="24" customFormat="1" x14ac:dyDescent="0.2">
      <c r="A104" s="25"/>
      <c r="B104" s="25"/>
      <c r="C104" s="25"/>
      <c r="D104" s="25"/>
      <c r="E104" s="25"/>
      <c r="F104" s="25"/>
      <c r="G104" s="25"/>
      <c r="H104" s="25"/>
    </row>
    <row r="105" spans="1:28" s="36" customFormat="1" x14ac:dyDescent="0.2">
      <c r="A105" s="31"/>
      <c r="B105" s="31"/>
      <c r="C105" s="31" t="s">
        <v>120</v>
      </c>
      <c r="D105" s="31"/>
      <c r="E105" s="31"/>
      <c r="F105" s="31"/>
      <c r="G105" s="31" t="str">
        <f>G$93</f>
        <v>2018-19 = 1</v>
      </c>
      <c r="H105" s="31"/>
      <c r="I105" s="133">
        <f>I103 / I99</f>
        <v>1.276415308725197</v>
      </c>
    </row>
    <row r="106" spans="1:28" s="24" customFormat="1" x14ac:dyDescent="0.2">
      <c r="A106" s="25"/>
      <c r="B106" s="25"/>
      <c r="C106" s="25"/>
      <c r="D106" s="25"/>
      <c r="E106" s="25"/>
      <c r="F106" s="25"/>
      <c r="G106" s="25"/>
      <c r="H106" s="25"/>
    </row>
    <row r="107" spans="1:28" s="102" customFormat="1" ht="18" x14ac:dyDescent="0.25">
      <c r="A107" s="139" t="s">
        <v>13</v>
      </c>
      <c r="B107" s="139" t="s">
        <v>5</v>
      </c>
      <c r="C107" s="140"/>
      <c r="D107" s="140"/>
      <c r="E107" s="140"/>
      <c r="F107" s="140"/>
      <c r="G107" s="140"/>
      <c r="H107" s="140"/>
      <c r="I107" s="141"/>
      <c r="J107" s="141"/>
      <c r="K107" s="141"/>
      <c r="L107" s="141"/>
      <c r="M107" s="141"/>
      <c r="N107" s="141"/>
      <c r="O107" s="141"/>
      <c r="P107" s="141"/>
      <c r="Q107" s="141"/>
      <c r="R107" s="141"/>
      <c r="S107" s="141"/>
      <c r="T107" s="141"/>
      <c r="U107" s="141"/>
      <c r="V107" s="141"/>
      <c r="W107" s="141"/>
      <c r="X107" s="141"/>
      <c r="Y107" s="141"/>
      <c r="Z107" s="141"/>
      <c r="AA107" s="141"/>
      <c r="AB107" s="141"/>
    </row>
    <row r="108" spans="1:28" s="24" customFormat="1" x14ac:dyDescent="0.2">
      <c r="A108" s="25"/>
      <c r="B108" s="25"/>
      <c r="C108" s="25"/>
      <c r="D108" s="25"/>
      <c r="E108" s="25"/>
      <c r="F108" s="25"/>
      <c r="G108" s="25"/>
      <c r="H108" s="25"/>
    </row>
    <row r="109" spans="1:28" s="24" customFormat="1" x14ac:dyDescent="0.2">
      <c r="A109" s="25"/>
      <c r="B109" s="25"/>
      <c r="C109" s="25" t="s">
        <v>121</v>
      </c>
      <c r="D109" s="25"/>
      <c r="E109" s="25"/>
      <c r="F109" s="25"/>
      <c r="G109" s="25" t="s">
        <v>122</v>
      </c>
      <c r="H109" s="25"/>
      <c r="M109" s="104"/>
      <c r="N109" s="104"/>
      <c r="O109" s="104"/>
      <c r="P109" s="104"/>
      <c r="Q109" s="104"/>
      <c r="R109" s="104"/>
      <c r="S109" s="104"/>
      <c r="T109" s="104"/>
      <c r="U109" s="135">
        <f t="shared" ref="U109:AA109" si="9">IF(SUM(T23:T31, U20:U22) &lt;&gt; 0, 0, 1)</f>
        <v>1</v>
      </c>
      <c r="V109" s="135">
        <f t="shared" si="9"/>
        <v>1</v>
      </c>
      <c r="W109" s="135">
        <f t="shared" si="9"/>
        <v>1</v>
      </c>
      <c r="X109" s="135">
        <f t="shared" si="9"/>
        <v>1</v>
      </c>
      <c r="Y109" s="135">
        <f t="shared" si="9"/>
        <v>1</v>
      </c>
      <c r="Z109" s="135">
        <f t="shared" si="9"/>
        <v>1</v>
      </c>
      <c r="AA109" s="135">
        <f t="shared" si="9"/>
        <v>1</v>
      </c>
    </row>
    <row r="110" spans="1:28" s="24" customFormat="1" x14ac:dyDescent="0.2">
      <c r="A110" s="25"/>
      <c r="B110" s="25"/>
      <c r="C110" s="25" t="s">
        <v>123</v>
      </c>
      <c r="D110" s="25"/>
      <c r="E110" s="25"/>
      <c r="F110" s="25"/>
      <c r="G110" s="25" t="s">
        <v>95</v>
      </c>
      <c r="H110" s="25"/>
      <c r="M110" s="104"/>
      <c r="N110" s="104"/>
      <c r="O110" s="104"/>
      <c r="P110" s="104"/>
      <c r="Q110" s="104"/>
      <c r="R110" s="104"/>
      <c r="S110" s="104"/>
      <c r="T110" s="104"/>
      <c r="U110" s="117">
        <f>U109 * (U80 /T80 - 1)</f>
        <v>2.5756936498081417E-2</v>
      </c>
      <c r="V110" s="117">
        <f t="shared" ref="V110:AA110" si="10">V109 * (V80 /U80 - 1)</f>
        <v>2.2608746324727536E-2</v>
      </c>
      <c r="W110" s="117">
        <f t="shared" si="10"/>
        <v>2.1160529756592883E-2</v>
      </c>
      <c r="X110" s="117">
        <f t="shared" si="10"/>
        <v>2.0747861451908101E-2</v>
      </c>
      <c r="Y110" s="117">
        <f t="shared" si="10"/>
        <v>2.0280927375027291E-2</v>
      </c>
      <c r="Z110" s="117">
        <f t="shared" si="10"/>
        <v>2.0000000000000684E-2</v>
      </c>
      <c r="AA110" s="117">
        <f t="shared" si="10"/>
        <v>2.0000000000000684E-2</v>
      </c>
    </row>
    <row r="111" spans="1:28" s="24" customFormat="1" x14ac:dyDescent="0.2">
      <c r="A111" s="25"/>
      <c r="B111" s="25"/>
      <c r="C111" s="25" t="s">
        <v>124</v>
      </c>
      <c r="D111" s="25"/>
      <c r="E111" s="25"/>
      <c r="F111" s="25"/>
      <c r="G111" s="25" t="s">
        <v>95</v>
      </c>
      <c r="H111" s="25"/>
      <c r="M111" s="104"/>
      <c r="N111" s="104"/>
      <c r="O111" s="104"/>
      <c r="P111" s="104"/>
      <c r="Q111" s="104"/>
      <c r="R111" s="104"/>
      <c r="S111" s="104"/>
      <c r="T111" s="104"/>
      <c r="U111" s="136" cm="1">
        <f t="array" ref="U111">U109 * INDEX($I$50:$I$57, MATCH(EOMONTH(U6, -3), $D$50:$D$57, 0), 0)</f>
        <v>2.5756936498082306E-2</v>
      </c>
      <c r="V111" s="136" cm="1">
        <f t="array" ref="V111">V109 * INDEX($I$50:$I$57, MATCH(EOMONTH(V6, -3), $D$50:$D$57, 0), 0)</f>
        <v>2.2608746324726203E-2</v>
      </c>
      <c r="W111" s="136" cm="1">
        <f t="array" ref="W111">W109 * INDEX($I$50:$I$57, MATCH(EOMONTH(W6, -3), $D$50:$D$57, 0), 0)</f>
        <v>2.1160529756593105E-2</v>
      </c>
      <c r="X111" s="136" cm="1">
        <f t="array" ref="X111">X109 * INDEX($I$50:$I$57, MATCH(EOMONTH(X6, -3), $D$50:$D$57, 0), 0)</f>
        <v>2.0747861451908323E-2</v>
      </c>
      <c r="Y111" s="136" cm="1">
        <f t="array" ref="Y111">Y109 * INDEX($I$50:$I$57, MATCH(EOMONTH(Y6, -3), $D$50:$D$57, 0), 0)</f>
        <v>2.0280927375028179E-2</v>
      </c>
      <c r="Z111" s="136" cm="1">
        <f t="array" ref="Z111">Z109 * INDEX($I$50:$I$57, MATCH(EOMONTH(Z6, -3), $D$50:$D$57, 0), 0)</f>
        <v>0.02</v>
      </c>
      <c r="AA111" s="136" cm="1">
        <f t="array" ref="AA111">AA109 * INDEX($I$50:$I$57, MATCH(EOMONTH(AA6, -3), $D$50:$D$57, 0), 0)</f>
        <v>0.02</v>
      </c>
    </row>
    <row r="112" spans="1:28" s="24" customFormat="1" x14ac:dyDescent="0.2">
      <c r="A112" s="25"/>
      <c r="B112" s="25"/>
      <c r="C112" s="25" t="s">
        <v>125</v>
      </c>
      <c r="D112" s="25"/>
      <c r="E112" s="25"/>
      <c r="F112" s="25"/>
      <c r="G112" s="25" t="s">
        <v>97</v>
      </c>
      <c r="H112" s="25"/>
      <c r="K112" s="135">
        <f>SUM(V112:AA112)</f>
        <v>0</v>
      </c>
      <c r="M112" s="104"/>
      <c r="N112" s="104"/>
      <c r="O112" s="104"/>
      <c r="P112" s="104"/>
      <c r="Q112" s="104"/>
      <c r="R112" s="104"/>
      <c r="S112" s="104"/>
      <c r="T112" s="104"/>
      <c r="U112" s="137">
        <f t="shared" ref="U112:AA112" si="11">IF(ABS(U110 - U111) &lt; Tolerance/100, 0, 1)</f>
        <v>0</v>
      </c>
      <c r="V112" s="137">
        <f t="shared" si="11"/>
        <v>0</v>
      </c>
      <c r="W112" s="137">
        <f t="shared" si="11"/>
        <v>0</v>
      </c>
      <c r="X112" s="137">
        <f t="shared" si="11"/>
        <v>0</v>
      </c>
      <c r="Y112" s="137">
        <f t="shared" si="11"/>
        <v>0</v>
      </c>
      <c r="Z112" s="137">
        <f t="shared" si="11"/>
        <v>0</v>
      </c>
      <c r="AA112" s="137">
        <f t="shared" si="11"/>
        <v>0</v>
      </c>
    </row>
    <row r="113" spans="1:28" s="24" customFormat="1" x14ac:dyDescent="0.2">
      <c r="A113" s="25"/>
      <c r="B113" s="25"/>
      <c r="C113" s="25"/>
      <c r="D113" s="25"/>
      <c r="E113" s="25"/>
      <c r="F113" s="25"/>
      <c r="G113" s="25"/>
      <c r="H113" s="25"/>
      <c r="U113" s="138"/>
    </row>
    <row r="114" spans="1:28" s="24" customFormat="1" x14ac:dyDescent="0.2">
      <c r="A114" s="25"/>
      <c r="B114" s="25"/>
      <c r="C114" s="25" t="s">
        <v>126</v>
      </c>
      <c r="D114" s="25"/>
      <c r="E114" s="25"/>
      <c r="F114" s="25"/>
      <c r="G114" s="25" t="s">
        <v>97</v>
      </c>
      <c r="H114" s="25"/>
      <c r="K114" s="135">
        <f>IF(I105 &lt; T$93, 0, 1)</f>
        <v>0</v>
      </c>
    </row>
    <row r="115" spans="1:28" s="24" customFormat="1" x14ac:dyDescent="0.2">
      <c r="A115" s="25"/>
      <c r="B115" s="25"/>
      <c r="C115" s="25"/>
      <c r="D115" s="25"/>
      <c r="E115" s="25"/>
      <c r="F115" s="25"/>
      <c r="G115" s="25"/>
      <c r="H115" s="25"/>
    </row>
    <row r="116" spans="1:28" s="24" customFormat="1" x14ac:dyDescent="0.2">
      <c r="A116" s="25"/>
      <c r="B116" s="25"/>
      <c r="C116" s="25" t="s">
        <v>96</v>
      </c>
      <c r="D116" s="25"/>
      <c r="E116" s="25"/>
      <c r="F116" s="25"/>
      <c r="G116" s="25" t="s">
        <v>97</v>
      </c>
      <c r="H116" s="25"/>
      <c r="K116" s="78">
        <f>SUM(K4:K115)</f>
        <v>0</v>
      </c>
      <c r="T116" s="79"/>
      <c r="U116" s="79"/>
      <c r="V116" s="79"/>
      <c r="W116" s="79"/>
      <c r="X116" s="79"/>
      <c r="Y116" s="79"/>
      <c r="Z116" s="79"/>
      <c r="AA116" s="79"/>
    </row>
    <row r="117" spans="1:28" s="24" customFormat="1" x14ac:dyDescent="0.2">
      <c r="A117" s="25"/>
      <c r="B117" s="25"/>
      <c r="C117" s="25"/>
      <c r="D117" s="25"/>
      <c r="E117" s="25"/>
      <c r="F117" s="25"/>
      <c r="G117" s="25"/>
      <c r="H117" s="25"/>
      <c r="T117" s="79"/>
      <c r="U117" s="79"/>
      <c r="V117" s="79"/>
      <c r="W117" s="79"/>
      <c r="X117" s="79"/>
      <c r="Y117" s="79"/>
      <c r="Z117" s="79"/>
      <c r="AA117" s="79"/>
    </row>
    <row r="118" spans="1:28" s="102" customFormat="1" ht="18" x14ac:dyDescent="0.25">
      <c r="A118" s="139" t="s">
        <v>13</v>
      </c>
      <c r="B118" s="139" t="s">
        <v>98</v>
      </c>
      <c r="C118" s="140"/>
      <c r="D118" s="140"/>
      <c r="E118" s="140"/>
      <c r="F118" s="140"/>
      <c r="G118" s="140"/>
      <c r="H118" s="140"/>
      <c r="I118" s="141"/>
      <c r="J118" s="141"/>
      <c r="K118" s="141"/>
      <c r="L118" s="141"/>
      <c r="M118" s="141"/>
      <c r="N118" s="141"/>
      <c r="O118" s="141"/>
      <c r="P118" s="141"/>
      <c r="Q118" s="141"/>
      <c r="R118" s="141"/>
      <c r="S118" s="141"/>
      <c r="T118" s="141"/>
      <c r="U118" s="141"/>
      <c r="V118" s="141"/>
      <c r="W118" s="141"/>
      <c r="X118" s="141"/>
      <c r="Y118" s="141"/>
      <c r="Z118" s="141"/>
      <c r="AA118" s="141"/>
      <c r="AB118" s="141"/>
    </row>
  </sheetData>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1" id="{7030F6F7-41A8-4AFD-95F3-3E8D0E35E623}">
            <xm:f>Control!$F$29 &lt;&gt; 0</xm:f>
            <x14:dxf>
              <fill>
                <patternFill>
                  <bgColor rgb="FFFFFF00"/>
                </patternFill>
              </fill>
            </x14:dxf>
          </x14:cfRule>
          <x14:cfRule type="expression" priority="2" id="{D7481DF2-E0EA-47FE-940D-ACB72FB203E5}">
            <xm:f>Control!$F$29 = 0</xm:f>
            <x14:dxf>
              <fill>
                <patternFill>
                  <bgColor theme="9"/>
                </patternFill>
              </fill>
            </x14:dxf>
          </x14:cfRule>
          <xm:sqref>A8:AB8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08FE4-9FDD-4B43-908A-3CD157D29F58}">
  <sheetPr codeName="Sheet19">
    <tabColor rgb="FFFFA78B"/>
  </sheetPr>
  <dimension ref="A1:U134"/>
  <sheetViews>
    <sheetView showGridLines="0" zoomScale="70" zoomScaleNormal="70" workbookViewId="0">
      <pane xSplit="12" ySplit="10" topLeftCell="M11" activePane="bottomRight" state="frozen"/>
      <selection pane="topRight" activeCell="N47" sqref="N47"/>
      <selection pane="bottomLeft" activeCell="N47" sqref="N47"/>
      <selection pane="bottomRight" activeCell="I68" sqref="I68"/>
    </sheetView>
  </sheetViews>
  <sheetFormatPr defaultColWidth="0" defaultRowHeight="14.25" x14ac:dyDescent="0.2"/>
  <cols>
    <col min="1" max="3" width="2.5" customWidth="1"/>
    <col min="4" max="4" width="55.5" customWidth="1"/>
    <col min="5" max="5" width="25.5" customWidth="1"/>
    <col min="6" max="7" width="20.5" customWidth="1"/>
    <col min="8" max="8" width="2.5" customWidth="1"/>
    <col min="9" max="9" width="12.5" customWidth="1"/>
    <col min="10" max="10" width="2.5" customWidth="1"/>
    <col min="11" max="11" width="12.5" customWidth="1"/>
    <col min="12" max="12" width="2.5" customWidth="1"/>
    <col min="13" max="20" width="12.5" customWidth="1"/>
    <col min="21" max="21" width="2.5" customWidth="1"/>
    <col min="22" max="16384" width="9.5" hidden="1"/>
  </cols>
  <sheetData>
    <row r="1" spans="1:21" ht="23.25" x14ac:dyDescent="0.35">
      <c r="A1" s="80"/>
      <c r="B1" s="80" t="str" cm="1">
        <f t="array" aca="1" ref="B1" ca="1">MID(CELL("filename", A1), FIND("]", CELL("filename", A1)) + 1, 255)</f>
        <v>RAV</v>
      </c>
      <c r="C1" s="80"/>
      <c r="D1" s="80"/>
      <c r="E1" s="80"/>
      <c r="F1" s="80"/>
      <c r="G1" s="81"/>
      <c r="H1" s="81"/>
      <c r="I1" s="82"/>
      <c r="J1" s="82"/>
      <c r="K1" s="82"/>
      <c r="L1" s="82"/>
      <c r="M1" s="82"/>
      <c r="N1" s="82"/>
      <c r="O1" s="82"/>
      <c r="P1" s="82"/>
      <c r="Q1" s="83"/>
      <c r="R1" s="83"/>
      <c r="S1" s="83"/>
      <c r="T1" s="83"/>
      <c r="U1" s="83"/>
    </row>
    <row r="2" spans="1:21" ht="4.5" customHeight="1" x14ac:dyDescent="0.2">
      <c r="A2" s="25"/>
      <c r="B2" s="27"/>
      <c r="C2" s="27"/>
      <c r="D2" s="25"/>
      <c r="E2" s="25"/>
      <c r="F2" s="25"/>
      <c r="G2" s="45"/>
      <c r="H2" s="45"/>
      <c r="I2" s="30"/>
      <c r="J2" s="30"/>
      <c r="K2" s="30"/>
      <c r="L2" s="30"/>
      <c r="M2" s="30"/>
      <c r="N2" s="30"/>
      <c r="O2" s="30"/>
      <c r="P2" s="30"/>
      <c r="Q2" s="24"/>
      <c r="R2" s="24"/>
      <c r="S2" s="24"/>
      <c r="T2" s="24"/>
      <c r="U2" s="24"/>
    </row>
    <row r="3" spans="1:21" ht="15" customHeight="1" x14ac:dyDescent="0.2">
      <c r="A3" s="25"/>
      <c r="B3" s="27"/>
      <c r="C3" s="27"/>
      <c r="D3" s="25"/>
      <c r="E3" s="28" t="s">
        <v>1</v>
      </c>
      <c r="F3" s="28" t="s">
        <v>2</v>
      </c>
      <c r="G3" s="28" t="s">
        <v>3</v>
      </c>
      <c r="H3" s="25"/>
      <c r="I3" s="29" t="s">
        <v>4</v>
      </c>
      <c r="J3" s="24"/>
      <c r="K3" s="29" t="s">
        <v>5</v>
      </c>
      <c r="L3" s="30"/>
      <c r="M3" s="30"/>
      <c r="N3" s="30"/>
      <c r="O3" s="30"/>
      <c r="P3" s="30"/>
      <c r="Q3" s="24"/>
      <c r="R3" s="24"/>
      <c r="S3" s="24"/>
      <c r="T3" s="24"/>
      <c r="U3" s="24"/>
    </row>
    <row r="4" spans="1:21" ht="14.45" customHeight="1" x14ac:dyDescent="0.2">
      <c r="A4" s="35"/>
      <c r="B4" s="35"/>
      <c r="C4" s="35" t="str">
        <f xml:space="preserve"> Inputs!C4</f>
        <v>Model Year Count</v>
      </c>
      <c r="D4" s="35"/>
      <c r="E4" s="35"/>
      <c r="F4" s="35"/>
      <c r="G4" s="35" t="str">
        <f xml:space="preserve"> Inputs!G4</f>
        <v>Count</v>
      </c>
      <c r="H4" s="35"/>
      <c r="I4" s="101"/>
      <c r="J4" s="39"/>
      <c r="K4" s="39"/>
      <c r="L4" s="39"/>
      <c r="M4" s="39">
        <f>Inputs!M4</f>
        <v>1</v>
      </c>
      <c r="N4" s="39">
        <f>Inputs!N4</f>
        <v>2</v>
      </c>
      <c r="O4" s="39">
        <f>Inputs!O4</f>
        <v>3</v>
      </c>
      <c r="P4" s="39">
        <f>Inputs!P4</f>
        <v>4</v>
      </c>
      <c r="Q4" s="39">
        <f>Inputs!Q4</f>
        <v>5</v>
      </c>
      <c r="R4" s="39">
        <f>Inputs!R4</f>
        <v>6</v>
      </c>
      <c r="S4" s="39">
        <f>Inputs!S4</f>
        <v>7</v>
      </c>
      <c r="T4" s="39">
        <f>Inputs!T4</f>
        <v>8</v>
      </c>
      <c r="U4" s="39"/>
    </row>
    <row r="5" spans="1:21" ht="14.45" customHeight="1" x14ac:dyDescent="0.2">
      <c r="A5" s="35"/>
      <c r="B5" s="35"/>
      <c r="C5" s="35" t="str">
        <f xml:space="preserve"> Inputs!C5</f>
        <v>Period start</v>
      </c>
      <c r="D5" s="35"/>
      <c r="E5" s="35"/>
      <c r="F5" s="35"/>
      <c r="G5" s="35" t="str">
        <f xml:space="preserve"> Inputs!G5</f>
        <v>Date</v>
      </c>
      <c r="H5" s="35"/>
      <c r="I5" s="101"/>
      <c r="J5" s="39"/>
      <c r="K5" s="39"/>
      <c r="L5" s="39"/>
      <c r="M5" s="41">
        <f>Inputs!M5</f>
        <v>42826</v>
      </c>
      <c r="N5" s="41">
        <f>Inputs!N5</f>
        <v>43191</v>
      </c>
      <c r="O5" s="41">
        <f>Inputs!O5</f>
        <v>43556</v>
      </c>
      <c r="P5" s="41">
        <f>Inputs!P5</f>
        <v>43922</v>
      </c>
      <c r="Q5" s="41">
        <f>Inputs!Q5</f>
        <v>44287</v>
      </c>
      <c r="R5" s="41">
        <f>Inputs!R5</f>
        <v>44652</v>
      </c>
      <c r="S5" s="41">
        <f>Inputs!S5</f>
        <v>45017</v>
      </c>
      <c r="T5" s="41">
        <f>Inputs!T5</f>
        <v>45383</v>
      </c>
      <c r="U5" s="149"/>
    </row>
    <row r="6" spans="1:21" ht="14.45" customHeight="1" x14ac:dyDescent="0.2">
      <c r="A6" s="35"/>
      <c r="B6" s="35"/>
      <c r="C6" s="35" t="str">
        <f xml:space="preserve"> Inputs!C6</f>
        <v>Period end</v>
      </c>
      <c r="D6" s="35"/>
      <c r="E6" s="35"/>
      <c r="F6" s="35"/>
      <c r="G6" s="35" t="str">
        <f xml:space="preserve"> Inputs!G6</f>
        <v>Date</v>
      </c>
      <c r="H6" s="35"/>
      <c r="I6" s="101"/>
      <c r="J6" s="39"/>
      <c r="K6" s="39"/>
      <c r="L6" s="39"/>
      <c r="M6" s="41">
        <f>Inputs!M6</f>
        <v>43190</v>
      </c>
      <c r="N6" s="41">
        <f>Inputs!N6</f>
        <v>43555</v>
      </c>
      <c r="O6" s="41">
        <f>Inputs!O6</f>
        <v>43921</v>
      </c>
      <c r="P6" s="41">
        <f>Inputs!P6</f>
        <v>44286</v>
      </c>
      <c r="Q6" s="41">
        <f>Inputs!Q6</f>
        <v>44651</v>
      </c>
      <c r="R6" s="41">
        <f>Inputs!R6</f>
        <v>45016</v>
      </c>
      <c r="S6" s="41">
        <f>Inputs!S6</f>
        <v>45382</v>
      </c>
      <c r="T6" s="41">
        <f>Inputs!T6</f>
        <v>45747</v>
      </c>
      <c r="U6" s="150"/>
    </row>
    <row r="7" spans="1:21" ht="15" customHeight="1" x14ac:dyDescent="0.2">
      <c r="A7" s="25"/>
      <c r="B7" s="27"/>
      <c r="C7" s="25" t="s">
        <v>11</v>
      </c>
      <c r="D7" s="25"/>
      <c r="E7" s="25"/>
      <c r="F7" s="25"/>
      <c r="G7" s="35" t="str">
        <f xml:space="preserve"> Inputs!G7</f>
        <v>Fin Year</v>
      </c>
      <c r="H7" s="45"/>
      <c r="I7" s="24"/>
      <c r="J7" s="30"/>
      <c r="K7" s="30"/>
      <c r="L7" s="30"/>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24"/>
    </row>
    <row r="8" spans="1:21" x14ac:dyDescent="0.2">
      <c r="A8" s="25"/>
      <c r="B8" s="27" t="str">
        <f>"Model Checks - " &amp; Check</f>
        <v>Model Checks - PASS</v>
      </c>
      <c r="C8" s="27"/>
      <c r="D8" s="25"/>
      <c r="E8" s="25"/>
      <c r="F8" s="25"/>
      <c r="G8" s="45"/>
      <c r="H8" s="45"/>
      <c r="I8" s="30"/>
      <c r="J8" s="30"/>
      <c r="K8" s="30"/>
      <c r="L8" s="30"/>
      <c r="M8" s="30"/>
      <c r="N8" s="30"/>
      <c r="O8" s="30"/>
      <c r="P8" s="30"/>
      <c r="Q8" s="24"/>
      <c r="R8" s="24"/>
      <c r="S8" s="24"/>
      <c r="T8" s="24"/>
      <c r="U8" s="24"/>
    </row>
    <row r="9" spans="1:21" ht="4.5" customHeight="1" x14ac:dyDescent="0.2">
      <c r="A9" s="25"/>
      <c r="B9" s="27"/>
      <c r="C9" s="27"/>
      <c r="D9" s="25"/>
      <c r="E9" s="25"/>
      <c r="F9" s="25"/>
      <c r="G9" s="45"/>
      <c r="H9" s="45"/>
      <c r="I9" s="30"/>
      <c r="J9" s="30"/>
      <c r="K9" s="30"/>
      <c r="L9" s="30"/>
      <c r="M9" s="30"/>
      <c r="N9" s="30"/>
      <c r="O9" s="30"/>
      <c r="P9" s="30"/>
      <c r="Q9" s="24"/>
      <c r="R9" s="24"/>
      <c r="S9" s="24"/>
      <c r="T9" s="24"/>
      <c r="U9" s="24"/>
    </row>
    <row r="10" spans="1:21" ht="23.25" x14ac:dyDescent="0.35">
      <c r="A10" s="80"/>
      <c r="B10" s="80" t="str">
        <f>Project_Name</f>
        <v>Legacy Closeout Model</v>
      </c>
      <c r="C10" s="80"/>
      <c r="D10" s="80"/>
      <c r="E10" s="80"/>
      <c r="F10" s="80"/>
      <c r="G10" s="81"/>
      <c r="H10" s="81"/>
      <c r="I10" s="82"/>
      <c r="J10" s="82"/>
      <c r="K10" s="82"/>
      <c r="L10" s="82"/>
      <c r="M10" s="82"/>
      <c r="N10" s="82"/>
      <c r="O10" s="82"/>
      <c r="P10" s="82"/>
      <c r="Q10" s="83"/>
      <c r="R10" s="83"/>
      <c r="S10" s="83"/>
      <c r="T10" s="83"/>
      <c r="U10" s="83"/>
    </row>
    <row r="11" spans="1:21" x14ac:dyDescent="0.2">
      <c r="A11" s="25"/>
      <c r="B11" s="25"/>
      <c r="C11" s="25"/>
      <c r="D11" s="25"/>
      <c r="E11" s="25"/>
      <c r="F11" s="25"/>
      <c r="G11" s="25"/>
      <c r="H11" s="25"/>
      <c r="I11" s="24"/>
      <c r="J11" s="24"/>
      <c r="K11" s="24"/>
      <c r="L11" s="24"/>
      <c r="M11" s="24"/>
      <c r="N11" s="24"/>
      <c r="O11" s="24"/>
      <c r="P11" s="24"/>
      <c r="Q11" s="24"/>
      <c r="R11" s="24"/>
      <c r="S11" s="24"/>
      <c r="T11" s="24"/>
      <c r="U11" s="24"/>
    </row>
    <row r="12" spans="1:21" ht="18" x14ac:dyDescent="0.25">
      <c r="A12" s="85" t="s">
        <v>13</v>
      </c>
      <c r="B12" s="85" t="s">
        <v>127</v>
      </c>
      <c r="C12" s="91"/>
      <c r="D12" s="91"/>
      <c r="E12" s="91"/>
      <c r="F12" s="91"/>
      <c r="G12" s="91"/>
      <c r="H12" s="91"/>
      <c r="I12" s="89"/>
      <c r="J12" s="89"/>
      <c r="K12" s="89"/>
      <c r="L12" s="89"/>
      <c r="M12" s="89"/>
      <c r="N12" s="89"/>
      <c r="O12" s="89"/>
      <c r="P12" s="89"/>
      <c r="Q12" s="89"/>
      <c r="R12" s="89"/>
      <c r="S12" s="89"/>
      <c r="T12" s="89"/>
      <c r="U12" s="89"/>
    </row>
    <row r="13" spans="1:21" x14ac:dyDescent="0.2">
      <c r="A13" s="25"/>
      <c r="B13" s="25"/>
      <c r="C13" s="25"/>
      <c r="D13" s="25"/>
      <c r="E13" s="25"/>
      <c r="F13" s="25"/>
      <c r="G13" s="25"/>
      <c r="H13" s="25"/>
      <c r="I13" s="24"/>
      <c r="J13" s="24"/>
      <c r="K13" s="24"/>
      <c r="L13" s="24"/>
      <c r="M13" s="24"/>
      <c r="N13" s="24"/>
      <c r="O13" s="24"/>
      <c r="P13" s="24"/>
      <c r="Q13" s="24"/>
      <c r="R13" s="24"/>
      <c r="S13" s="24"/>
      <c r="T13" s="24"/>
      <c r="U13" s="24"/>
    </row>
    <row r="14" spans="1:21" x14ac:dyDescent="0.2">
      <c r="A14" s="25"/>
      <c r="B14" s="249" t="s">
        <v>128</v>
      </c>
      <c r="C14" s="25"/>
      <c r="D14" s="25"/>
      <c r="E14" s="25"/>
      <c r="F14" s="25"/>
      <c r="G14" s="25"/>
      <c r="H14" s="25"/>
      <c r="I14" s="24"/>
      <c r="J14" s="24"/>
      <c r="K14" s="24"/>
      <c r="L14" s="24"/>
      <c r="M14" s="24"/>
      <c r="N14" s="24"/>
      <c r="O14" s="24"/>
      <c r="P14" s="24"/>
      <c r="Q14" s="24"/>
      <c r="R14" s="24"/>
      <c r="S14" s="24"/>
      <c r="T14" s="24"/>
      <c r="U14" s="24"/>
    </row>
    <row r="15" spans="1:21" x14ac:dyDescent="0.2">
      <c r="A15" s="25"/>
      <c r="B15" s="249" t="s">
        <v>129</v>
      </c>
      <c r="C15" s="25"/>
      <c r="D15" s="25"/>
      <c r="E15" s="25"/>
      <c r="F15" s="25"/>
      <c r="G15" s="25"/>
      <c r="H15" s="25"/>
      <c r="I15" s="24"/>
      <c r="J15" s="24"/>
      <c r="K15" s="24"/>
      <c r="L15" s="24"/>
      <c r="M15" s="24"/>
      <c r="N15" s="24"/>
      <c r="O15" s="24"/>
      <c r="P15" s="24"/>
      <c r="Q15" s="24"/>
      <c r="R15" s="24"/>
      <c r="S15" s="24"/>
      <c r="T15" s="24"/>
      <c r="U15" s="24"/>
    </row>
    <row r="16" spans="1:21" x14ac:dyDescent="0.2">
      <c r="A16" s="25"/>
      <c r="B16" s="25"/>
      <c r="C16" s="25"/>
      <c r="D16" s="25"/>
      <c r="E16" s="25"/>
      <c r="F16" s="25"/>
      <c r="G16" s="25"/>
      <c r="H16" s="25"/>
      <c r="I16" s="24"/>
      <c r="J16" s="24"/>
      <c r="K16" s="24"/>
      <c r="L16" s="24"/>
      <c r="M16" s="24"/>
      <c r="N16" s="24"/>
      <c r="O16" s="24"/>
      <c r="P16" s="24"/>
      <c r="Q16" s="24"/>
      <c r="R16" s="24"/>
      <c r="S16" s="24"/>
      <c r="T16" s="24"/>
      <c r="U16" s="24"/>
    </row>
    <row r="17" spans="1:21" x14ac:dyDescent="0.2">
      <c r="A17" s="24"/>
      <c r="B17" s="25"/>
      <c r="C17" s="25" t="str">
        <f>'Live results'!C18</f>
        <v>Controllable expenditure legacy revenue adjustment</v>
      </c>
      <c r="D17" s="25"/>
      <c r="E17" s="25"/>
      <c r="F17" s="25"/>
      <c r="G17" s="25" t="str">
        <f>'Live results'!G18</f>
        <v>£m nominal</v>
      </c>
      <c r="H17" s="25"/>
      <c r="I17" s="145">
        <f>LEG!I24</f>
        <v>-89.205001823893369</v>
      </c>
      <c r="J17" s="24"/>
      <c r="K17" s="24"/>
      <c r="L17" s="24"/>
      <c r="M17" s="24"/>
      <c r="N17" s="24"/>
      <c r="O17" s="24"/>
      <c r="P17" s="24"/>
      <c r="Q17" s="24"/>
      <c r="R17" s="24"/>
      <c r="S17" s="24"/>
      <c r="T17" s="24"/>
      <c r="U17" s="24"/>
    </row>
    <row r="18" spans="1:21" x14ac:dyDescent="0.2">
      <c r="A18" s="25"/>
      <c r="B18" s="25"/>
      <c r="C18" s="25" t="s">
        <v>130</v>
      </c>
      <c r="D18" s="31"/>
      <c r="E18" s="31"/>
      <c r="F18" s="31"/>
      <c r="G18" s="31" t="str">
        <f>G17</f>
        <v>£m nominal</v>
      </c>
      <c r="H18" s="31"/>
      <c r="I18" s="151">
        <f>ABS(I17)</f>
        <v>89.205001823893369</v>
      </c>
      <c r="J18" s="24"/>
      <c r="K18" s="24"/>
      <c r="L18" s="24"/>
      <c r="M18" s="24"/>
      <c r="N18" s="24"/>
      <c r="O18" s="24"/>
      <c r="P18" s="24"/>
      <c r="Q18" s="24"/>
      <c r="R18" s="24"/>
      <c r="S18" s="24"/>
      <c r="T18" s="24"/>
      <c r="U18" s="24"/>
    </row>
    <row r="19" spans="1:21" x14ac:dyDescent="0.2">
      <c r="A19" s="25"/>
      <c r="B19" s="25"/>
      <c r="C19" s="25" t="str">
        <f>Indexation!C$105</f>
        <v>Real 2018-19 prices to nominal conversion factor (2024-25 before Day 1)</v>
      </c>
      <c r="D19" s="31"/>
      <c r="E19" s="31"/>
      <c r="F19" s="31"/>
      <c r="G19" s="31" t="str">
        <f>Indexation!G$105</f>
        <v>2018-19 = 1</v>
      </c>
      <c r="H19" s="31"/>
      <c r="I19" s="196">
        <f>Indexation!I$105</f>
        <v>1.276415308725197</v>
      </c>
      <c r="J19" s="24"/>
      <c r="K19" s="24"/>
      <c r="L19" s="24"/>
      <c r="M19" s="24"/>
      <c r="N19" s="24"/>
      <c r="O19" s="24"/>
      <c r="P19" s="24"/>
      <c r="Q19" s="24"/>
      <c r="R19" s="24"/>
      <c r="S19" s="24"/>
      <c r="T19" s="24"/>
      <c r="U19" s="24"/>
    </row>
    <row r="20" spans="1:21" x14ac:dyDescent="0.2">
      <c r="A20" s="24"/>
      <c r="B20" s="24"/>
      <c r="C20" s="24"/>
      <c r="D20" s="24"/>
      <c r="E20" s="24"/>
      <c r="F20" s="24"/>
      <c r="G20" s="24"/>
      <c r="H20" s="24"/>
      <c r="I20" s="24"/>
      <c r="J20" s="24"/>
      <c r="K20" s="24"/>
      <c r="L20" s="24"/>
      <c r="M20" s="24"/>
      <c r="N20" s="24"/>
      <c r="O20" s="24"/>
      <c r="P20" s="24"/>
      <c r="Q20" s="24"/>
      <c r="R20" s="24"/>
      <c r="S20" s="24"/>
      <c r="T20" s="24"/>
      <c r="U20" s="24"/>
    </row>
    <row r="21" spans="1:21" x14ac:dyDescent="0.2">
      <c r="A21" s="25"/>
      <c r="B21" s="25"/>
      <c r="C21" s="25" t="str">
        <f>C18</f>
        <v>Net RAV additions 2024-25 before Day 1</v>
      </c>
      <c r="D21" s="31"/>
      <c r="E21" s="25"/>
      <c r="F21" s="25"/>
      <c r="G21" s="31" t="s">
        <v>44</v>
      </c>
      <c r="H21" s="31"/>
      <c r="I21" s="128">
        <f>I18 / I19</f>
        <v>69.887129380315628</v>
      </c>
      <c r="J21" s="24"/>
      <c r="K21" s="24"/>
      <c r="L21" s="24"/>
      <c r="M21" s="24"/>
      <c r="N21" s="24"/>
      <c r="O21" s="24"/>
      <c r="P21" s="24"/>
      <c r="Q21" s="24"/>
      <c r="R21" s="24"/>
      <c r="S21" s="24"/>
      <c r="T21" s="24"/>
      <c r="U21" s="24"/>
    </row>
    <row r="22" spans="1:21" x14ac:dyDescent="0.2">
      <c r="A22" s="25"/>
      <c r="B22" s="25"/>
      <c r="C22" s="25"/>
      <c r="D22" s="25"/>
      <c r="E22" s="25"/>
      <c r="F22" s="25"/>
      <c r="G22" s="25"/>
      <c r="H22" s="25"/>
      <c r="I22" s="24"/>
      <c r="J22" s="24"/>
      <c r="K22" s="24"/>
      <c r="L22" s="24"/>
      <c r="M22" s="24"/>
      <c r="N22" s="24"/>
      <c r="O22" s="24"/>
      <c r="P22" s="24"/>
      <c r="Q22" s="24"/>
      <c r="R22" s="24"/>
      <c r="S22" s="24"/>
      <c r="T22" s="24"/>
      <c r="U22" s="24"/>
    </row>
    <row r="23" spans="1:21" ht="15" x14ac:dyDescent="0.2">
      <c r="A23" s="25"/>
      <c r="B23" s="25"/>
      <c r="C23" s="28" t="s">
        <v>131</v>
      </c>
      <c r="D23" s="25"/>
      <c r="E23" s="25"/>
      <c r="F23" s="25"/>
      <c r="G23" s="25"/>
      <c r="H23" s="25"/>
      <c r="I23" s="24"/>
      <c r="J23" s="24"/>
      <c r="K23" s="24"/>
      <c r="L23" s="24"/>
      <c r="M23" s="24"/>
      <c r="N23" s="24"/>
      <c r="O23" s="24"/>
      <c r="P23" s="24"/>
      <c r="Q23" s="24"/>
      <c r="R23" s="24"/>
      <c r="S23" s="24"/>
      <c r="T23" s="24"/>
      <c r="U23" s="24"/>
    </row>
    <row r="24" spans="1:21" x14ac:dyDescent="0.2">
      <c r="A24" s="25"/>
      <c r="B24" s="25"/>
      <c r="C24" s="25"/>
      <c r="D24" s="66" t="s">
        <v>132</v>
      </c>
      <c r="E24" s="66"/>
      <c r="F24" s="66"/>
      <c r="G24" s="66" t="str">
        <f>Inputs!G$54</f>
        <v>£m 2018-19 prices</v>
      </c>
      <c r="H24" s="66"/>
      <c r="I24" s="105"/>
      <c r="J24" s="105"/>
      <c r="K24" s="105"/>
      <c r="L24" s="105"/>
      <c r="M24" s="197">
        <f>Inputs!M$54</f>
        <v>51.202754284834377</v>
      </c>
      <c r="N24" s="197">
        <f>Inputs!N$54</f>
        <v>60.288958800578214</v>
      </c>
      <c r="O24" s="197">
        <f>Inputs!O$54</f>
        <v>54.918379557716989</v>
      </c>
      <c r="P24" s="197">
        <f>Inputs!P$54</f>
        <v>53.789966850148303</v>
      </c>
      <c r="Q24" s="197">
        <f>Inputs!Q$54</f>
        <v>89.636487606780619</v>
      </c>
      <c r="R24" s="197">
        <f>Inputs!R$54</f>
        <v>85.980683991483914</v>
      </c>
      <c r="S24" s="197">
        <f>Inputs!S$54</f>
        <v>110.35731323183926</v>
      </c>
      <c r="T24" s="106"/>
      <c r="U24" s="24"/>
    </row>
    <row r="25" spans="1:21" x14ac:dyDescent="0.2">
      <c r="A25" s="25"/>
      <c r="B25" s="25"/>
      <c r="C25" s="25"/>
      <c r="D25" s="31" t="s">
        <v>133</v>
      </c>
      <c r="E25" s="31"/>
      <c r="F25" s="31"/>
      <c r="G25" s="31" t="str">
        <f>G21</f>
        <v>£m 2018-19 prices</v>
      </c>
      <c r="H25" s="31"/>
      <c r="I25" s="36"/>
      <c r="J25" s="36"/>
      <c r="K25" s="36"/>
      <c r="L25" s="36"/>
      <c r="M25" s="104"/>
      <c r="N25" s="104"/>
      <c r="O25" s="104"/>
      <c r="P25" s="110"/>
      <c r="Q25" s="110"/>
      <c r="R25" s="110"/>
      <c r="S25" s="152"/>
      <c r="T25" s="153">
        <f>I21</f>
        <v>69.887129380315628</v>
      </c>
      <c r="U25" s="24"/>
    </row>
    <row r="26" spans="1:21" x14ac:dyDescent="0.2">
      <c r="A26" s="25"/>
      <c r="B26" s="25"/>
      <c r="C26" s="25"/>
      <c r="D26" s="154" t="s">
        <v>134</v>
      </c>
      <c r="E26" s="154"/>
      <c r="F26" s="154"/>
      <c r="G26" s="154" t="s">
        <v>44</v>
      </c>
      <c r="H26" s="154"/>
      <c r="I26" s="155"/>
      <c r="J26" s="155"/>
      <c r="K26" s="155"/>
      <c r="L26" s="155"/>
      <c r="M26" s="156">
        <f t="shared" ref="M26:T26" si="0">SUM(M24:M25)</f>
        <v>51.202754284834377</v>
      </c>
      <c r="N26" s="156">
        <f t="shared" si="0"/>
        <v>60.288958800578214</v>
      </c>
      <c r="O26" s="156">
        <f t="shared" si="0"/>
        <v>54.918379557716989</v>
      </c>
      <c r="P26" s="156">
        <f t="shared" si="0"/>
        <v>53.789966850148303</v>
      </c>
      <c r="Q26" s="156">
        <f t="shared" si="0"/>
        <v>89.636487606780619</v>
      </c>
      <c r="R26" s="156">
        <f t="shared" si="0"/>
        <v>85.980683991483914</v>
      </c>
      <c r="S26" s="156">
        <f t="shared" si="0"/>
        <v>110.35731323183926</v>
      </c>
      <c r="T26" s="156">
        <f t="shared" si="0"/>
        <v>69.887129380315628</v>
      </c>
      <c r="U26" s="24"/>
    </row>
    <row r="27" spans="1:21" x14ac:dyDescent="0.2">
      <c r="A27" s="25"/>
      <c r="B27" s="25"/>
      <c r="C27" s="25"/>
      <c r="D27" s="25"/>
      <c r="E27" s="25"/>
      <c r="F27" s="25"/>
      <c r="G27" s="25"/>
      <c r="H27" s="25"/>
      <c r="I27" s="24"/>
      <c r="J27" s="24"/>
      <c r="K27" s="24"/>
      <c r="L27" s="24"/>
      <c r="M27" s="79"/>
      <c r="N27" s="79"/>
      <c r="O27" s="79"/>
      <c r="P27" s="79"/>
      <c r="Q27" s="79"/>
      <c r="R27" s="79"/>
      <c r="S27" s="157"/>
      <c r="T27" s="157"/>
      <c r="U27" s="158"/>
    </row>
    <row r="28" spans="1:21" x14ac:dyDescent="0.2">
      <c r="A28" s="25"/>
      <c r="B28" s="25"/>
      <c r="C28" s="25" t="str">
        <f>Inputs!C50</f>
        <v>Wokingham RAV asset addition</v>
      </c>
      <c r="D28" s="56"/>
      <c r="E28" s="25"/>
      <c r="F28" s="25"/>
      <c r="G28" s="25" t="str">
        <f>Inputs!G50</f>
        <v>£m 2018-19 prices</v>
      </c>
      <c r="H28" s="56"/>
      <c r="I28" s="198">
        <f>Inputs!I50</f>
        <v>18.972999999999999</v>
      </c>
      <c r="J28" s="65"/>
      <c r="K28" s="65"/>
      <c r="L28" s="65"/>
      <c r="M28" s="59"/>
      <c r="N28" s="59"/>
      <c r="O28" s="59"/>
      <c r="P28" s="59"/>
      <c r="Q28" s="59"/>
      <c r="R28" s="59"/>
      <c r="S28" s="59"/>
      <c r="T28" s="59"/>
      <c r="U28" s="59"/>
    </row>
    <row r="29" spans="1:21" x14ac:dyDescent="0.2">
      <c r="A29" s="25"/>
      <c r="B29" s="25"/>
      <c r="C29" s="25"/>
      <c r="D29" s="25"/>
      <c r="E29" s="25"/>
      <c r="F29" s="25"/>
      <c r="G29" s="25"/>
      <c r="H29" s="25"/>
      <c r="I29" s="24"/>
      <c r="J29" s="24"/>
      <c r="K29" s="24"/>
      <c r="L29" s="24"/>
      <c r="M29" s="79"/>
      <c r="N29" s="79"/>
      <c r="O29" s="79"/>
      <c r="P29" s="79"/>
      <c r="Q29" s="79"/>
      <c r="R29" s="79"/>
      <c r="S29" s="79"/>
      <c r="T29" s="79"/>
      <c r="U29" s="24"/>
    </row>
    <row r="30" spans="1:21" ht="18" x14ac:dyDescent="0.25">
      <c r="A30" s="85" t="s">
        <v>13</v>
      </c>
      <c r="B30" s="85" t="s">
        <v>135</v>
      </c>
      <c r="C30" s="91"/>
      <c r="D30" s="91"/>
      <c r="E30" s="91"/>
      <c r="F30" s="91"/>
      <c r="G30" s="91"/>
      <c r="H30" s="91"/>
      <c r="I30" s="89"/>
      <c r="J30" s="89"/>
      <c r="K30" s="89"/>
      <c r="L30" s="89"/>
      <c r="M30" s="89"/>
      <c r="N30" s="89"/>
      <c r="O30" s="89"/>
      <c r="P30" s="89"/>
      <c r="Q30" s="89"/>
      <c r="R30" s="89"/>
      <c r="S30" s="89"/>
      <c r="T30" s="89"/>
      <c r="U30" s="89"/>
    </row>
    <row r="32" spans="1:21" x14ac:dyDescent="0.2">
      <c r="A32" s="25"/>
      <c r="B32" s="249" t="s">
        <v>136</v>
      </c>
      <c r="C32" s="25"/>
      <c r="D32" s="25"/>
      <c r="E32" s="25"/>
      <c r="F32" s="25"/>
      <c r="G32" s="25"/>
      <c r="H32" s="25"/>
      <c r="I32" s="24"/>
      <c r="J32" s="24"/>
      <c r="K32" s="24"/>
      <c r="L32" s="24"/>
      <c r="M32" s="79"/>
      <c r="N32" s="79"/>
      <c r="O32" s="79"/>
      <c r="P32" s="79"/>
      <c r="Q32" s="79"/>
      <c r="R32" s="79"/>
      <c r="S32" s="79"/>
      <c r="T32" s="79"/>
      <c r="U32" s="24"/>
    </row>
    <row r="33" spans="1:21" x14ac:dyDescent="0.2">
      <c r="A33" s="25"/>
      <c r="B33" s="249" t="s">
        <v>137</v>
      </c>
      <c r="C33" s="25"/>
      <c r="D33" s="25"/>
      <c r="E33" s="25"/>
      <c r="F33" s="25"/>
      <c r="G33" s="25"/>
      <c r="H33" s="25"/>
      <c r="I33" s="24"/>
      <c r="J33" s="24"/>
      <c r="K33" s="24"/>
      <c r="L33" s="24"/>
      <c r="M33" s="79"/>
      <c r="N33" s="79"/>
      <c r="O33" s="79"/>
      <c r="P33" s="79"/>
      <c r="Q33" s="79"/>
      <c r="R33" s="79"/>
      <c r="S33" s="79"/>
      <c r="T33" s="79"/>
      <c r="U33" s="24"/>
    </row>
    <row r="34" spans="1:21" x14ac:dyDescent="0.2">
      <c r="A34" s="25"/>
      <c r="B34" s="25"/>
      <c r="C34" s="25"/>
      <c r="D34" s="25"/>
      <c r="E34" s="25"/>
      <c r="F34" s="25"/>
      <c r="G34" s="25"/>
      <c r="H34" s="25"/>
      <c r="I34" s="24"/>
      <c r="J34" s="24"/>
      <c r="K34" s="24"/>
      <c r="L34" s="24"/>
      <c r="M34" s="79"/>
      <c r="N34" s="79"/>
      <c r="O34" s="79"/>
      <c r="P34" s="79"/>
      <c r="Q34" s="79"/>
      <c r="R34" s="79"/>
      <c r="S34" s="79"/>
      <c r="T34" s="79"/>
      <c r="U34" s="24"/>
    </row>
    <row r="35" spans="1:21" x14ac:dyDescent="0.2">
      <c r="A35" s="25"/>
      <c r="B35" s="25"/>
      <c r="C35" s="25" t="str">
        <f>Inputs!C51</f>
        <v>Main RAV asset life</v>
      </c>
      <c r="D35" s="25"/>
      <c r="E35" s="25"/>
      <c r="F35" s="25"/>
      <c r="G35" s="25" t="str">
        <f>Inputs!G51</f>
        <v>Years</v>
      </c>
      <c r="H35" s="25"/>
      <c r="I35" s="198">
        <f>Inputs!I51</f>
        <v>7</v>
      </c>
      <c r="J35" s="24"/>
      <c r="K35" s="24"/>
      <c r="L35" s="24"/>
      <c r="M35" s="79"/>
      <c r="N35" s="79"/>
      <c r="O35" s="79"/>
      <c r="P35" s="79"/>
      <c r="Q35" s="79"/>
      <c r="R35" s="79"/>
      <c r="S35" s="79"/>
      <c r="T35" s="79"/>
      <c r="U35" s="24"/>
    </row>
    <row r="36" spans="1:21" x14ac:dyDescent="0.2">
      <c r="A36" s="25"/>
      <c r="B36" s="25"/>
      <c r="C36" s="25"/>
      <c r="D36" s="25"/>
      <c r="E36" s="25"/>
      <c r="F36" s="25"/>
      <c r="G36" s="25"/>
      <c r="H36" s="25"/>
      <c r="I36" s="24"/>
      <c r="J36" s="24"/>
      <c r="K36" s="24"/>
      <c r="L36" s="24"/>
      <c r="M36" s="79"/>
      <c r="N36" s="79"/>
      <c r="O36" s="79"/>
      <c r="P36" s="79"/>
      <c r="Q36" s="79"/>
      <c r="R36" s="79"/>
      <c r="S36" s="79"/>
      <c r="T36" s="79"/>
      <c r="U36" s="24"/>
    </row>
    <row r="37" spans="1:21" ht="15" x14ac:dyDescent="0.2">
      <c r="A37" s="25"/>
      <c r="B37" s="25"/>
      <c r="C37" s="28" t="s">
        <v>138</v>
      </c>
      <c r="D37" s="25"/>
      <c r="E37" s="25"/>
      <c r="F37" s="25"/>
      <c r="G37" s="25"/>
      <c r="H37" s="25"/>
      <c r="I37" s="29" t="s">
        <v>139</v>
      </c>
      <c r="J37" s="24"/>
      <c r="K37" s="24"/>
      <c r="L37" s="24"/>
      <c r="M37" s="79"/>
      <c r="N37" s="79"/>
      <c r="O37" s="79"/>
      <c r="P37" s="79"/>
      <c r="Q37" s="79"/>
      <c r="R37" s="79"/>
      <c r="S37" s="79"/>
      <c r="T37" s="79"/>
      <c r="U37" s="24"/>
    </row>
    <row r="38" spans="1:21" x14ac:dyDescent="0.2">
      <c r="A38" s="25"/>
      <c r="B38" s="25"/>
      <c r="C38" s="25"/>
      <c r="D38" s="160">
        <v>43190</v>
      </c>
      <c r="E38" s="161"/>
      <c r="F38" s="161"/>
      <c r="G38" s="161" t="s">
        <v>44</v>
      </c>
      <c r="H38" s="161"/>
      <c r="I38" s="162">
        <f t="array" ref="I38:I45">TRANSPOSE(M26:T26)</f>
        <v>51.202754284834377</v>
      </c>
      <c r="J38" s="163"/>
      <c r="K38" s="161"/>
      <c r="L38" s="161"/>
      <c r="M38" s="164"/>
      <c r="N38" s="165">
        <f>$I38 / $I$35</f>
        <v>7.314679183547768</v>
      </c>
      <c r="O38" s="166">
        <f>IF($I38 &gt; 0, MIN(N38, $I38 - SUM($M38:N38)), 0)</f>
        <v>7.314679183547768</v>
      </c>
      <c r="P38" s="167">
        <f>IF($I38 &gt; 0, MIN(O38, $I38 - SUM($M38:O38)), 0)</f>
        <v>7.314679183547768</v>
      </c>
      <c r="Q38" s="167">
        <f>IF($I38 &gt; 0, MIN(P38, $I38 - SUM($M38:P38)), 0)</f>
        <v>7.314679183547768</v>
      </c>
      <c r="R38" s="167">
        <f>IF($I38 &gt; 0, MIN(Q38, $I38 - SUM($M38:Q38)), 0)</f>
        <v>7.314679183547768</v>
      </c>
      <c r="S38" s="167">
        <f>IF($I38 &gt; 0, MIN(R38, $I38 - SUM($M38:R38)), 0)</f>
        <v>7.314679183547768</v>
      </c>
      <c r="T38" s="167">
        <f>IF($I38 &gt; 0, MIN(S38, $I38 - SUM($M38:S38)), 0)</f>
        <v>7.3146791835477671</v>
      </c>
      <c r="U38" s="24"/>
    </row>
    <row r="39" spans="1:21" x14ac:dyDescent="0.2">
      <c r="A39" s="25"/>
      <c r="B39" s="25"/>
      <c r="C39" s="25"/>
      <c r="D39" s="113">
        <v>43555</v>
      </c>
      <c r="E39" s="31"/>
      <c r="F39" s="31"/>
      <c r="G39" s="31" t="s">
        <v>44</v>
      </c>
      <c r="H39" s="31"/>
      <c r="I39" s="168">
        <v>60.288958800578214</v>
      </c>
      <c r="J39" s="36"/>
      <c r="K39" s="31"/>
      <c r="L39" s="31"/>
      <c r="M39" s="104"/>
      <c r="N39" s="104"/>
      <c r="O39" s="169">
        <f>$I39 / $I$35</f>
        <v>8.6127084000826013</v>
      </c>
      <c r="P39" s="170">
        <f>IF($I39 &gt; 0, MIN(O39, $I39 - SUM($M39:O39)), 0)</f>
        <v>8.6127084000826013</v>
      </c>
      <c r="Q39" s="171">
        <f>IF($I39 &gt; 0, MIN(P39, $I39 - SUM($M39:P39)), 0)</f>
        <v>8.6127084000826013</v>
      </c>
      <c r="R39" s="171">
        <f>IF($I39 &gt; 0, MIN(Q39, $I39 - SUM($M39:Q39)), 0)</f>
        <v>8.6127084000826013</v>
      </c>
      <c r="S39" s="171">
        <f>IF($I39 &gt; 0, MIN(R39, $I39 - SUM($M39:R39)), 0)</f>
        <v>8.6127084000826013</v>
      </c>
      <c r="T39" s="171">
        <f>IF($I39 &gt; 0, MIN(S39, $I39 - SUM($M39:S39)), 0)</f>
        <v>8.6127084000826013</v>
      </c>
      <c r="U39" s="24"/>
    </row>
    <row r="40" spans="1:21" x14ac:dyDescent="0.2">
      <c r="A40" s="25"/>
      <c r="B40" s="25"/>
      <c r="C40" s="25"/>
      <c r="D40" s="113">
        <v>43921</v>
      </c>
      <c r="E40" s="31"/>
      <c r="F40" s="31"/>
      <c r="G40" s="31" t="s">
        <v>44</v>
      </c>
      <c r="H40" s="31"/>
      <c r="I40" s="168">
        <v>54.918379557716989</v>
      </c>
      <c r="J40" s="36"/>
      <c r="K40" s="31"/>
      <c r="L40" s="31"/>
      <c r="M40" s="104"/>
      <c r="N40" s="104"/>
      <c r="O40" s="104"/>
      <c r="P40" s="169">
        <f>$I40 / $I$35</f>
        <v>7.8454827939595697</v>
      </c>
      <c r="Q40" s="170">
        <f>IF($I40 &gt; 0, MIN(P40, $I40 - SUM($M40:P40)), 0)</f>
        <v>7.8454827939595697</v>
      </c>
      <c r="R40" s="171">
        <f>IF($I40 &gt; 0, MIN(Q40, $I40 - SUM($M40:Q40)), 0)</f>
        <v>7.8454827939595697</v>
      </c>
      <c r="S40" s="171">
        <f>IF($I40 &gt; 0, MIN(R40, $I40 - SUM($M40:R40)), 0)</f>
        <v>7.8454827939595697</v>
      </c>
      <c r="T40" s="171">
        <f>IF($I40 &gt; 0, MIN(S40, $I40 - SUM($M40:S40)), 0)</f>
        <v>7.8454827939595697</v>
      </c>
      <c r="U40" s="24"/>
    </row>
    <row r="41" spans="1:21" x14ac:dyDescent="0.2">
      <c r="A41" s="25"/>
      <c r="B41" s="25"/>
      <c r="C41" s="25"/>
      <c r="D41" s="113">
        <v>44286</v>
      </c>
      <c r="E41" s="31"/>
      <c r="F41" s="31"/>
      <c r="G41" s="31" t="s">
        <v>44</v>
      </c>
      <c r="H41" s="31"/>
      <c r="I41" s="168">
        <v>53.789966850148303</v>
      </c>
      <c r="J41" s="36"/>
      <c r="K41" s="31"/>
      <c r="L41" s="31"/>
      <c r="M41" s="104"/>
      <c r="N41" s="104"/>
      <c r="O41" s="104"/>
      <c r="P41" s="104"/>
      <c r="Q41" s="169">
        <f>$I41 / $I$35</f>
        <v>7.6842809785926152</v>
      </c>
      <c r="R41" s="170">
        <f>IF($I41 &gt; 0, MIN(Q41, $I41 - SUM($M41:Q41)), 0)</f>
        <v>7.6842809785926152</v>
      </c>
      <c r="S41" s="171">
        <f>IF($I41 &gt; 0, MIN(R41, $I41 - SUM($M41:R41)), 0)</f>
        <v>7.6842809785926152</v>
      </c>
      <c r="T41" s="171">
        <f>IF($I41 &gt; 0, MIN(S41, $I41 - SUM($M41:S41)), 0)</f>
        <v>7.6842809785926152</v>
      </c>
      <c r="U41" s="24"/>
    </row>
    <row r="42" spans="1:21" x14ac:dyDescent="0.2">
      <c r="A42" s="25"/>
      <c r="B42" s="25"/>
      <c r="C42" s="25"/>
      <c r="D42" s="113">
        <v>44651</v>
      </c>
      <c r="E42" s="31"/>
      <c r="F42" s="31"/>
      <c r="G42" s="31" t="s">
        <v>44</v>
      </c>
      <c r="H42" s="31"/>
      <c r="I42" s="168">
        <v>89.636487606780619</v>
      </c>
      <c r="J42" s="36"/>
      <c r="K42" s="31"/>
      <c r="L42" s="31"/>
      <c r="M42" s="104"/>
      <c r="N42" s="104"/>
      <c r="O42" s="104"/>
      <c r="P42" s="104"/>
      <c r="Q42" s="104"/>
      <c r="R42" s="169">
        <f>$I42 / $I$35</f>
        <v>12.805212515254373</v>
      </c>
      <c r="S42" s="170">
        <f>IF($I42 &gt; 0, MIN(R42, $I42 - SUM($M42:R42)), 0)</f>
        <v>12.805212515254373</v>
      </c>
      <c r="T42" s="171">
        <f>IF($I42 &gt; 0, MIN(S42, $I42 - SUM($M42:S42)), 0)</f>
        <v>12.805212515254373</v>
      </c>
      <c r="U42" s="24"/>
    </row>
    <row r="43" spans="1:21" x14ac:dyDescent="0.2">
      <c r="A43" s="25"/>
      <c r="B43" s="25"/>
      <c r="C43" s="25"/>
      <c r="D43" s="113">
        <v>45016</v>
      </c>
      <c r="E43" s="31"/>
      <c r="F43" s="31"/>
      <c r="G43" s="31" t="s">
        <v>44</v>
      </c>
      <c r="H43" s="31"/>
      <c r="I43" s="168">
        <v>85.980683991483914</v>
      </c>
      <c r="J43" s="36"/>
      <c r="K43" s="31"/>
      <c r="L43" s="31"/>
      <c r="M43" s="104"/>
      <c r="N43" s="104"/>
      <c r="O43" s="104"/>
      <c r="P43" s="104"/>
      <c r="Q43" s="104"/>
      <c r="R43" s="104"/>
      <c r="S43" s="169">
        <f>$I43 / $I$35</f>
        <v>12.282954855926274</v>
      </c>
      <c r="T43" s="170">
        <f>IF($I43 &gt; 0, MIN(S43, $I43 - SUM($M43:S43)), 0)</f>
        <v>12.282954855926274</v>
      </c>
      <c r="U43" s="24"/>
    </row>
    <row r="44" spans="1:21" x14ac:dyDescent="0.2">
      <c r="A44" s="25"/>
      <c r="B44" s="25"/>
      <c r="C44" s="25"/>
      <c r="D44" s="113">
        <v>45382</v>
      </c>
      <c r="E44" s="31"/>
      <c r="F44" s="31"/>
      <c r="G44" s="31" t="s">
        <v>44</v>
      </c>
      <c r="H44" s="31"/>
      <c r="I44" s="168">
        <v>110.35731323183926</v>
      </c>
      <c r="J44" s="36"/>
      <c r="K44" s="31"/>
      <c r="L44" s="31"/>
      <c r="M44" s="104"/>
      <c r="N44" s="104"/>
      <c r="O44" s="104"/>
      <c r="P44" s="104"/>
      <c r="Q44" s="104"/>
      <c r="R44" s="104"/>
      <c r="S44" s="104"/>
      <c r="T44" s="171">
        <f>$I44 / $I$35</f>
        <v>15.765330461691322</v>
      </c>
      <c r="U44" s="24"/>
    </row>
    <row r="45" spans="1:21" x14ac:dyDescent="0.2">
      <c r="A45" s="25"/>
      <c r="B45" s="25"/>
      <c r="C45" s="25"/>
      <c r="D45" s="114">
        <v>45747</v>
      </c>
      <c r="E45" s="69"/>
      <c r="F45" s="69"/>
      <c r="G45" s="69" t="s">
        <v>44</v>
      </c>
      <c r="H45" s="69"/>
      <c r="I45" s="172">
        <v>69.887129380315628</v>
      </c>
      <c r="J45" s="109"/>
      <c r="K45" s="69"/>
      <c r="L45" s="69"/>
      <c r="M45" s="110"/>
      <c r="N45" s="110"/>
      <c r="O45" s="110"/>
      <c r="P45" s="110"/>
      <c r="Q45" s="110"/>
      <c r="R45" s="110"/>
      <c r="S45" s="110"/>
      <c r="T45" s="110"/>
      <c r="U45" s="24"/>
    </row>
    <row r="46" spans="1:21" x14ac:dyDescent="0.2">
      <c r="A46" s="25"/>
      <c r="B46" s="25"/>
      <c r="C46" s="25"/>
      <c r="D46" s="173" t="s">
        <v>140</v>
      </c>
      <c r="E46" s="154"/>
      <c r="F46" s="154"/>
      <c r="G46" s="154" t="s">
        <v>44</v>
      </c>
      <c r="H46" s="154"/>
      <c r="I46" s="174"/>
      <c r="J46" s="155"/>
      <c r="K46" s="154"/>
      <c r="L46" s="154"/>
      <c r="M46" s="175"/>
      <c r="N46" s="156">
        <f t="shared" ref="N46:T46" si="1">SUM(N38:N45)</f>
        <v>7.314679183547768</v>
      </c>
      <c r="O46" s="156">
        <f t="shared" si="1"/>
        <v>15.92738758363037</v>
      </c>
      <c r="P46" s="156">
        <f t="shared" si="1"/>
        <v>23.772870377589939</v>
      </c>
      <c r="Q46" s="156">
        <f t="shared" si="1"/>
        <v>31.457151356182553</v>
      </c>
      <c r="R46" s="156">
        <f t="shared" si="1"/>
        <v>44.262363871436925</v>
      </c>
      <c r="S46" s="156">
        <f t="shared" si="1"/>
        <v>56.545318727363195</v>
      </c>
      <c r="T46" s="156">
        <f t="shared" si="1"/>
        <v>72.310649189054516</v>
      </c>
      <c r="U46" s="24"/>
    </row>
    <row r="47" spans="1:21" x14ac:dyDescent="0.2">
      <c r="A47" s="25"/>
      <c r="B47" s="25"/>
      <c r="C47" s="25"/>
      <c r="D47" s="25"/>
      <c r="E47" s="25"/>
      <c r="F47" s="25"/>
      <c r="G47" s="25"/>
      <c r="H47" s="25"/>
      <c r="I47" s="24"/>
      <c r="J47" s="24"/>
      <c r="K47" s="24"/>
      <c r="L47" s="24"/>
      <c r="M47" s="79"/>
      <c r="N47" s="79"/>
      <c r="O47" s="79"/>
      <c r="P47" s="79"/>
      <c r="Q47" s="79"/>
      <c r="R47" s="79"/>
      <c r="S47" s="79"/>
      <c r="T47" s="79"/>
      <c r="U47" s="79"/>
    </row>
    <row r="48" spans="1:21" x14ac:dyDescent="0.2">
      <c r="A48" s="25"/>
      <c r="B48" s="25"/>
      <c r="C48" s="25" t="str">
        <f>Inputs!C52</f>
        <v>Wokingham asset life (to end 2024-25)</v>
      </c>
      <c r="D48" s="25"/>
      <c r="E48" s="25"/>
      <c r="F48" s="25"/>
      <c r="G48" s="25" t="str">
        <f>Inputs!G52</f>
        <v>Years</v>
      </c>
      <c r="H48" s="25"/>
      <c r="I48" s="198">
        <f>Inputs!I52</f>
        <v>20</v>
      </c>
      <c r="J48" s="24"/>
      <c r="K48" s="24"/>
      <c r="L48" s="24"/>
      <c r="M48" s="79"/>
      <c r="N48" s="79"/>
      <c r="O48" s="79"/>
      <c r="P48" s="79"/>
      <c r="Q48" s="79"/>
      <c r="R48" s="79"/>
      <c r="S48" s="79"/>
      <c r="T48" s="79"/>
      <c r="U48" s="79"/>
    </row>
    <row r="49" spans="1:21" x14ac:dyDescent="0.2">
      <c r="A49" s="25"/>
      <c r="B49" s="25"/>
      <c r="C49" s="25"/>
      <c r="D49" s="25"/>
      <c r="E49" s="25"/>
      <c r="F49" s="25"/>
      <c r="G49" s="25"/>
      <c r="H49" s="25"/>
      <c r="I49" s="24"/>
      <c r="J49" s="24"/>
      <c r="K49" s="24"/>
      <c r="L49" s="24"/>
      <c r="M49" s="79"/>
      <c r="N49" s="79"/>
      <c r="O49" s="79"/>
      <c r="P49" s="79"/>
      <c r="Q49" s="79"/>
      <c r="R49" s="79"/>
      <c r="S49" s="79"/>
      <c r="T49" s="79"/>
      <c r="U49" s="24"/>
    </row>
    <row r="50" spans="1:21" x14ac:dyDescent="0.2">
      <c r="A50" s="31"/>
      <c r="B50" s="31"/>
      <c r="C50" s="25" t="s">
        <v>141</v>
      </c>
      <c r="D50" s="25"/>
      <c r="E50" s="25"/>
      <c r="F50" s="25"/>
      <c r="G50" s="25" t="s">
        <v>44</v>
      </c>
      <c r="H50" s="25"/>
      <c r="I50" s="25"/>
      <c r="J50" s="25"/>
      <c r="K50" s="25"/>
      <c r="L50" s="25"/>
      <c r="M50" s="104"/>
      <c r="N50" s="104"/>
      <c r="O50" s="104"/>
      <c r="P50" s="104"/>
      <c r="Q50" s="171">
        <f>$I$28 / $I48</f>
        <v>0.94864999999999999</v>
      </c>
      <c r="R50" s="171">
        <f>$I$28 / $I48</f>
        <v>0.94864999999999999</v>
      </c>
      <c r="S50" s="171">
        <f>$I$28 / $I48</f>
        <v>0.94864999999999999</v>
      </c>
      <c r="T50" s="171">
        <f>$I$28 / $I48</f>
        <v>0.94864999999999999</v>
      </c>
      <c r="U50" s="176"/>
    </row>
    <row r="51" spans="1:21" x14ac:dyDescent="0.2">
      <c r="A51" s="25"/>
      <c r="B51" s="25"/>
      <c r="C51" s="25"/>
      <c r="D51" s="25"/>
      <c r="E51" s="25"/>
      <c r="F51" s="25"/>
      <c r="G51" s="25"/>
      <c r="H51" s="25"/>
      <c r="I51" s="24"/>
      <c r="J51" s="24"/>
      <c r="K51" s="24"/>
      <c r="L51" s="24"/>
      <c r="M51" s="79"/>
      <c r="N51" s="79"/>
      <c r="O51" s="79"/>
      <c r="P51" s="79"/>
      <c r="Q51" s="79"/>
      <c r="R51" s="79"/>
      <c r="S51" s="79"/>
      <c r="T51" s="79"/>
      <c r="U51" s="24"/>
    </row>
    <row r="52" spans="1:21" ht="18" x14ac:dyDescent="0.25">
      <c r="A52" s="85" t="s">
        <v>13</v>
      </c>
      <c r="B52" s="85" t="s">
        <v>142</v>
      </c>
      <c r="C52" s="91"/>
      <c r="D52" s="91"/>
      <c r="E52" s="91"/>
      <c r="F52" s="91"/>
      <c r="G52" s="91"/>
      <c r="H52" s="91"/>
      <c r="I52" s="89"/>
      <c r="J52" s="89"/>
      <c r="K52" s="89"/>
      <c r="L52" s="89"/>
      <c r="M52" s="89"/>
      <c r="N52" s="89"/>
      <c r="O52" s="89"/>
      <c r="P52" s="89"/>
      <c r="Q52" s="89"/>
      <c r="R52" s="89"/>
      <c r="S52" s="89"/>
      <c r="T52" s="89"/>
      <c r="U52" s="89"/>
    </row>
    <row r="53" spans="1:21" x14ac:dyDescent="0.2">
      <c r="A53" s="25"/>
      <c r="B53" s="25"/>
      <c r="C53" s="25"/>
      <c r="D53" s="25"/>
      <c r="E53" s="25"/>
      <c r="F53" s="25"/>
      <c r="G53" s="25"/>
      <c r="H53" s="25"/>
      <c r="I53" s="24"/>
      <c r="J53" s="24"/>
      <c r="K53" s="24"/>
      <c r="L53" s="24"/>
      <c r="M53" s="79"/>
      <c r="N53" s="79"/>
      <c r="O53" s="79"/>
      <c r="P53" s="79"/>
      <c r="Q53" s="79"/>
      <c r="R53" s="79"/>
      <c r="S53" s="79"/>
      <c r="T53" s="79"/>
      <c r="U53" s="24"/>
    </row>
    <row r="54" spans="1:21" x14ac:dyDescent="0.2">
      <c r="A54" s="25"/>
      <c r="B54" s="249" t="s">
        <v>143</v>
      </c>
      <c r="C54" s="25"/>
      <c r="D54" s="25"/>
      <c r="E54" s="25"/>
      <c r="F54" s="25"/>
      <c r="G54" s="25"/>
      <c r="H54" s="25"/>
      <c r="I54" s="24"/>
      <c r="J54" s="24"/>
      <c r="K54" s="24"/>
      <c r="L54" s="24"/>
      <c r="M54" s="79"/>
      <c r="N54" s="79"/>
      <c r="O54" s="79"/>
      <c r="P54" s="79"/>
      <c r="Q54" s="79"/>
      <c r="R54" s="79"/>
      <c r="S54" s="79"/>
      <c r="T54" s="79"/>
      <c r="U54" s="24"/>
    </row>
    <row r="55" spans="1:21" x14ac:dyDescent="0.2">
      <c r="A55" s="25"/>
      <c r="B55" s="25"/>
      <c r="C55" s="25"/>
      <c r="D55" s="25"/>
      <c r="E55" s="25"/>
      <c r="F55" s="25"/>
      <c r="G55" s="25"/>
      <c r="H55" s="25"/>
      <c r="I55" s="24"/>
      <c r="J55" s="24"/>
      <c r="K55" s="24"/>
      <c r="L55" s="24"/>
      <c r="M55" s="79"/>
      <c r="N55" s="79"/>
      <c r="O55" s="79"/>
      <c r="P55" s="79"/>
      <c r="Q55" s="79"/>
      <c r="R55" s="79"/>
      <c r="S55" s="79"/>
      <c r="T55" s="79"/>
      <c r="U55" s="24"/>
    </row>
    <row r="56" spans="1:21" x14ac:dyDescent="0.2">
      <c r="A56" s="25"/>
      <c r="B56" s="25"/>
      <c r="C56" s="25" t="s">
        <v>16</v>
      </c>
      <c r="D56" s="25"/>
      <c r="E56" s="25"/>
      <c r="F56" s="25"/>
      <c r="G56" s="25" t="s">
        <v>9</v>
      </c>
      <c r="H56" s="25"/>
      <c r="I56" s="177">
        <f>T5</f>
        <v>45383</v>
      </c>
      <c r="J56" s="24"/>
      <c r="K56" s="24"/>
      <c r="L56" s="24"/>
      <c r="M56" s="24"/>
      <c r="N56" s="24"/>
      <c r="O56" s="24"/>
      <c r="P56" s="24"/>
      <c r="Q56" s="24"/>
      <c r="R56" s="24"/>
      <c r="S56" s="24"/>
      <c r="T56" s="24"/>
      <c r="U56" s="24"/>
    </row>
    <row r="57" spans="1:21" x14ac:dyDescent="0.2">
      <c r="A57" s="25"/>
      <c r="B57" s="25"/>
      <c r="C57" s="25" t="str">
        <f>Inputs!C$17</f>
        <v>'Day 1' date</v>
      </c>
      <c r="D57" s="25"/>
      <c r="E57" s="25"/>
      <c r="F57" s="25"/>
      <c r="G57" s="25" t="str">
        <f>Inputs!G$17</f>
        <v>Date</v>
      </c>
      <c r="H57" s="25"/>
      <c r="I57" s="201">
        <f>Inputs!I$17</f>
        <v>45566</v>
      </c>
      <c r="J57" s="24"/>
      <c r="K57" s="24"/>
      <c r="L57" s="24"/>
      <c r="M57" s="79"/>
      <c r="N57" s="79"/>
      <c r="O57" s="79"/>
      <c r="P57" s="79"/>
      <c r="Q57" s="79"/>
      <c r="R57" s="79"/>
      <c r="S57" s="79"/>
      <c r="T57" s="79"/>
      <c r="U57" s="79"/>
    </row>
    <row r="58" spans="1:21" x14ac:dyDescent="0.2">
      <c r="A58" s="25"/>
      <c r="B58" s="25"/>
      <c r="C58" s="25"/>
      <c r="D58" s="25"/>
      <c r="E58" s="25"/>
      <c r="F58" s="25"/>
      <c r="G58" s="25"/>
      <c r="H58" s="25"/>
      <c r="I58" s="24"/>
      <c r="J58" s="24"/>
      <c r="K58" s="24"/>
      <c r="L58" s="24"/>
      <c r="M58" s="79"/>
      <c r="N58" s="79"/>
      <c r="O58" s="79"/>
      <c r="P58" s="79"/>
      <c r="Q58" s="79"/>
      <c r="R58" s="79"/>
      <c r="S58" s="79"/>
      <c r="T58" s="79"/>
      <c r="U58" s="79"/>
    </row>
    <row r="59" spans="1:21" x14ac:dyDescent="0.2">
      <c r="A59" s="25"/>
      <c r="B59" s="25"/>
      <c r="C59" s="25" t="s">
        <v>144</v>
      </c>
      <c r="D59" s="25"/>
      <c r="E59" s="25"/>
      <c r="F59" s="25"/>
      <c r="G59" s="25" t="s">
        <v>36</v>
      </c>
      <c r="H59" s="25"/>
      <c r="I59" s="178">
        <f>DATEDIF(I56, I57, "m") / 12</f>
        <v>0.5</v>
      </c>
      <c r="J59" s="24"/>
      <c r="K59" s="24"/>
      <c r="L59" s="24"/>
      <c r="M59" s="79"/>
      <c r="N59" s="79"/>
      <c r="O59" s="79"/>
      <c r="P59" s="79"/>
      <c r="Q59" s="79"/>
      <c r="R59" s="79"/>
      <c r="S59" s="79"/>
      <c r="T59" s="79"/>
      <c r="U59" s="79"/>
    </row>
    <row r="60" spans="1:21" x14ac:dyDescent="0.2">
      <c r="A60" s="25"/>
      <c r="B60" s="25"/>
      <c r="C60" s="25" t="s">
        <v>145</v>
      </c>
      <c r="D60" s="25"/>
      <c r="E60" s="25"/>
      <c r="F60" s="25"/>
      <c r="G60" s="25" t="s">
        <v>36</v>
      </c>
      <c r="H60" s="25"/>
      <c r="I60" s="178">
        <f>1 - I59</f>
        <v>0.5</v>
      </c>
      <c r="J60" s="24"/>
      <c r="K60" s="24"/>
      <c r="L60" s="24"/>
      <c r="M60" s="79"/>
      <c r="N60" s="79"/>
      <c r="O60" s="79"/>
      <c r="P60" s="79"/>
      <c r="Q60" s="79"/>
      <c r="R60" s="79"/>
      <c r="S60" s="79"/>
      <c r="T60" s="79"/>
      <c r="U60" s="79"/>
    </row>
    <row r="61" spans="1:21" x14ac:dyDescent="0.2">
      <c r="A61" s="25"/>
      <c r="B61" s="25"/>
      <c r="C61" s="25"/>
      <c r="D61" s="25"/>
      <c r="E61" s="25"/>
      <c r="F61" s="25"/>
      <c r="G61" s="25"/>
      <c r="H61" s="25"/>
      <c r="I61" s="24"/>
      <c r="J61" s="24"/>
      <c r="K61" s="24"/>
      <c r="L61" s="24"/>
      <c r="M61" s="79"/>
      <c r="N61" s="79"/>
      <c r="O61" s="79"/>
      <c r="P61" s="79"/>
      <c r="Q61" s="79"/>
      <c r="R61" s="79"/>
      <c r="S61" s="79"/>
      <c r="T61" s="79"/>
      <c r="U61" s="79"/>
    </row>
    <row r="62" spans="1:21" ht="15" x14ac:dyDescent="0.2">
      <c r="A62" s="25"/>
      <c r="B62" s="25"/>
      <c r="C62" s="28" t="s">
        <v>146</v>
      </c>
      <c r="D62" s="25"/>
      <c r="E62" s="25"/>
      <c r="F62" s="25"/>
      <c r="G62" s="25"/>
      <c r="H62" s="25"/>
      <c r="I62" s="24"/>
      <c r="J62" s="24"/>
      <c r="K62" s="24"/>
      <c r="L62" s="24"/>
      <c r="M62" s="79"/>
      <c r="N62" s="79"/>
      <c r="O62" s="79"/>
      <c r="P62" s="79"/>
      <c r="Q62" s="79"/>
      <c r="R62" s="79"/>
      <c r="S62" s="79"/>
      <c r="T62" s="79"/>
      <c r="U62" s="79"/>
    </row>
    <row r="63" spans="1:21" x14ac:dyDescent="0.2">
      <c r="A63" s="25"/>
      <c r="B63" s="25"/>
      <c r="C63" s="25"/>
      <c r="D63" s="66" t="s">
        <v>147</v>
      </c>
      <c r="E63" s="66"/>
      <c r="F63" s="66"/>
      <c r="G63" s="66" t="s">
        <v>44</v>
      </c>
      <c r="H63" s="66"/>
      <c r="I63" s="167">
        <f>(T$46 + T$50) * I59</f>
        <v>36.629649594527258</v>
      </c>
      <c r="J63" s="24"/>
      <c r="K63" s="24"/>
      <c r="L63" s="24"/>
      <c r="M63" s="79"/>
      <c r="N63" s="79"/>
      <c r="O63" s="79"/>
      <c r="P63" s="79"/>
      <c r="Q63" s="79"/>
      <c r="R63" s="79"/>
      <c r="S63" s="79"/>
      <c r="T63" s="79"/>
      <c r="U63" s="24"/>
    </row>
    <row r="64" spans="1:21" x14ac:dyDescent="0.2">
      <c r="A64" s="25"/>
      <c r="B64" s="25"/>
      <c r="C64" s="25"/>
      <c r="D64" s="69" t="s">
        <v>148</v>
      </c>
      <c r="E64" s="69"/>
      <c r="F64" s="69"/>
      <c r="G64" s="69" t="s">
        <v>44</v>
      </c>
      <c r="H64" s="69"/>
      <c r="I64" s="179">
        <f>(T$46 + T$50) * I60</f>
        <v>36.629649594527258</v>
      </c>
      <c r="J64" s="24"/>
      <c r="K64" s="24"/>
      <c r="L64" s="24"/>
      <c r="M64" s="24"/>
      <c r="N64" s="24"/>
      <c r="O64" s="24"/>
      <c r="P64" s="24"/>
      <c r="Q64" s="24"/>
      <c r="R64" s="24"/>
      <c r="S64" s="24"/>
      <c r="T64" s="24"/>
      <c r="U64" s="24"/>
    </row>
    <row r="65" spans="1:21" x14ac:dyDescent="0.2">
      <c r="A65" s="25"/>
      <c r="B65" s="25"/>
      <c r="C65" s="25"/>
      <c r="D65" s="25"/>
      <c r="E65" s="25"/>
      <c r="F65" s="25"/>
      <c r="G65" s="25"/>
      <c r="H65" s="25"/>
      <c r="I65" s="24"/>
      <c r="J65" s="24"/>
      <c r="K65" s="24"/>
      <c r="L65" s="24"/>
      <c r="M65" s="24"/>
      <c r="N65" s="24"/>
      <c r="O65" s="24"/>
      <c r="P65" s="24"/>
      <c r="Q65" s="24"/>
      <c r="R65" s="24"/>
      <c r="S65" s="24"/>
      <c r="T65" s="24"/>
      <c r="U65" s="24"/>
    </row>
    <row r="66" spans="1:21" x14ac:dyDescent="0.2">
      <c r="A66" s="25"/>
      <c r="B66" s="25"/>
      <c r="C66" s="25" t="s">
        <v>149</v>
      </c>
      <c r="D66" s="25"/>
      <c r="E66" s="25"/>
      <c r="F66" s="25"/>
      <c r="G66" s="25" t="str">
        <f>Indexation!G$93</f>
        <v>2018-19 = 1</v>
      </c>
      <c r="H66" s="31"/>
      <c r="I66" s="200">
        <f>Indexation!T$93</f>
        <v>1.2847893279486438</v>
      </c>
      <c r="J66" s="24"/>
      <c r="K66" s="24"/>
      <c r="L66" s="24"/>
      <c r="M66" s="24"/>
      <c r="N66" s="24"/>
      <c r="O66" s="24"/>
      <c r="P66" s="24"/>
      <c r="Q66" s="24"/>
      <c r="R66" s="24"/>
      <c r="S66" s="24"/>
      <c r="T66" s="24"/>
      <c r="U66" s="24"/>
    </row>
    <row r="67" spans="1:21" x14ac:dyDescent="0.2">
      <c r="A67" s="25"/>
      <c r="B67" s="25"/>
      <c r="C67" s="25"/>
      <c r="D67" s="25"/>
      <c r="E67" s="25"/>
      <c r="F67" s="25"/>
      <c r="G67" s="25"/>
      <c r="H67" s="25"/>
      <c r="I67" s="24"/>
      <c r="J67" s="24"/>
      <c r="K67" s="24"/>
      <c r="L67" s="24"/>
      <c r="M67" s="24"/>
      <c r="N67" s="24"/>
      <c r="O67" s="24"/>
      <c r="P67" s="24"/>
      <c r="Q67" s="24"/>
      <c r="R67" s="24"/>
      <c r="S67" s="24"/>
      <c r="T67" s="24"/>
      <c r="U67" s="24"/>
    </row>
    <row r="68" spans="1:21" x14ac:dyDescent="0.2">
      <c r="A68" s="25"/>
      <c r="B68" s="25"/>
      <c r="C68" s="25" t="s">
        <v>150</v>
      </c>
      <c r="D68" s="25"/>
      <c r="E68" s="25"/>
      <c r="F68" s="25" t="s">
        <v>151</v>
      </c>
      <c r="G68" s="25" t="s">
        <v>31</v>
      </c>
      <c r="H68" s="25"/>
      <c r="I68" s="180">
        <f>I63 * I66</f>
        <v>47.06138288554699</v>
      </c>
      <c r="J68" s="24"/>
      <c r="K68" s="24"/>
      <c r="L68" s="24"/>
      <c r="M68" s="24"/>
      <c r="N68" s="24"/>
      <c r="O68" s="24"/>
      <c r="P68" s="24"/>
      <c r="Q68" s="24"/>
      <c r="R68" s="24"/>
      <c r="S68" s="24"/>
      <c r="T68" s="24"/>
      <c r="U68" s="24"/>
    </row>
    <row r="69" spans="1:21" x14ac:dyDescent="0.2">
      <c r="A69" s="25"/>
      <c r="B69" s="25"/>
      <c r="C69" s="25"/>
      <c r="D69" s="25"/>
      <c r="E69" s="25"/>
      <c r="F69" s="25"/>
      <c r="G69" s="25"/>
      <c r="H69" s="25"/>
      <c r="I69" s="24"/>
      <c r="J69" s="24"/>
      <c r="K69" s="24"/>
      <c r="L69" s="24"/>
      <c r="M69" s="24"/>
      <c r="N69" s="24"/>
      <c r="O69" s="24"/>
      <c r="P69" s="24"/>
      <c r="Q69" s="24"/>
      <c r="R69" s="24"/>
      <c r="S69" s="24"/>
      <c r="T69" s="24"/>
      <c r="U69" s="24"/>
    </row>
    <row r="70" spans="1:21" x14ac:dyDescent="0.2">
      <c r="A70" s="25"/>
      <c r="B70" s="25"/>
      <c r="C70" s="25" t="s">
        <v>152</v>
      </c>
      <c r="D70" s="25"/>
      <c r="E70" s="25"/>
      <c r="F70" s="25"/>
      <c r="G70" s="181" t="s">
        <v>97</v>
      </c>
      <c r="H70" s="25"/>
      <c r="I70" s="24"/>
      <c r="J70" s="24"/>
      <c r="K70" s="121">
        <f>IF(ABS(I63 + I64 - T46 - T50) &lt; Tolerance, 0, 1)</f>
        <v>0</v>
      </c>
      <c r="L70" s="24"/>
      <c r="M70" s="79"/>
      <c r="N70" s="79"/>
      <c r="O70" s="79"/>
      <c r="P70" s="79"/>
      <c r="Q70" s="79"/>
      <c r="R70" s="79"/>
      <c r="S70" s="79"/>
      <c r="T70" s="79"/>
      <c r="U70" s="24"/>
    </row>
    <row r="71" spans="1:21" x14ac:dyDescent="0.2">
      <c r="A71" s="25"/>
      <c r="B71" s="25"/>
      <c r="C71" s="25"/>
      <c r="D71" s="25"/>
      <c r="E71" s="25"/>
      <c r="F71" s="25"/>
      <c r="G71" s="25"/>
      <c r="H71" s="25"/>
      <c r="I71" s="24"/>
      <c r="J71" s="24"/>
      <c r="K71" s="158"/>
      <c r="L71" s="24"/>
      <c r="M71" s="24"/>
      <c r="N71" s="24"/>
      <c r="O71" s="24"/>
      <c r="P71" s="24"/>
      <c r="Q71" s="24"/>
      <c r="R71" s="24"/>
      <c r="S71" s="24"/>
      <c r="T71" s="24"/>
      <c r="U71" s="24"/>
    </row>
    <row r="72" spans="1:21" ht="18" x14ac:dyDescent="0.25">
      <c r="A72" s="85" t="s">
        <v>13</v>
      </c>
      <c r="B72" s="85" t="s">
        <v>153</v>
      </c>
      <c r="C72" s="91"/>
      <c r="D72" s="91"/>
      <c r="E72" s="91"/>
      <c r="F72" s="91"/>
      <c r="G72" s="91"/>
      <c r="H72" s="91"/>
      <c r="I72" s="89"/>
      <c r="J72" s="89"/>
      <c r="K72" s="89"/>
      <c r="L72" s="89"/>
      <c r="M72" s="89"/>
      <c r="N72" s="89"/>
      <c r="O72" s="89"/>
      <c r="P72" s="89"/>
      <c r="Q72" s="89"/>
      <c r="R72" s="89"/>
      <c r="S72" s="89"/>
      <c r="T72" s="89"/>
      <c r="U72" s="89"/>
    </row>
    <row r="73" spans="1:21" x14ac:dyDescent="0.2">
      <c r="A73" s="25"/>
      <c r="B73" s="25"/>
      <c r="C73" s="25"/>
      <c r="D73" s="56"/>
      <c r="E73" s="56"/>
      <c r="F73" s="56"/>
      <c r="G73" s="56"/>
      <c r="H73" s="56"/>
      <c r="I73" s="43"/>
      <c r="J73" s="65"/>
      <c r="K73" s="65"/>
      <c r="L73" s="65"/>
      <c r="M73" s="59"/>
      <c r="N73" s="59"/>
      <c r="O73" s="59"/>
      <c r="P73" s="59"/>
      <c r="Q73" s="59"/>
      <c r="R73" s="59"/>
      <c r="S73" s="59"/>
      <c r="T73" s="59"/>
      <c r="U73" s="65"/>
    </row>
    <row r="74" spans="1:21" x14ac:dyDescent="0.2">
      <c r="A74" s="25"/>
      <c r="B74" s="249" t="s">
        <v>154</v>
      </c>
      <c r="C74" s="25"/>
      <c r="D74" s="56"/>
      <c r="E74" s="56"/>
      <c r="F74" s="56"/>
      <c r="G74" s="56"/>
      <c r="H74" s="56"/>
      <c r="I74" s="43"/>
      <c r="J74" s="65"/>
      <c r="K74" s="65"/>
      <c r="L74" s="65"/>
      <c r="M74" s="59"/>
      <c r="N74" s="59"/>
      <c r="O74" s="59"/>
      <c r="P74" s="59"/>
      <c r="Q74" s="59"/>
      <c r="R74" s="59"/>
      <c r="S74" s="59"/>
      <c r="T74" s="59"/>
      <c r="U74" s="65"/>
    </row>
    <row r="75" spans="1:21" x14ac:dyDescent="0.2">
      <c r="A75" s="25"/>
      <c r="B75" s="25"/>
      <c r="C75" s="25"/>
      <c r="D75" s="56"/>
      <c r="E75" s="56"/>
      <c r="F75" s="56"/>
      <c r="G75" s="56"/>
      <c r="H75" s="56"/>
      <c r="I75" s="43"/>
      <c r="J75" s="65"/>
      <c r="K75" s="65"/>
      <c r="L75" s="65"/>
      <c r="M75" s="59"/>
      <c r="N75" s="59"/>
      <c r="O75" s="59"/>
      <c r="P75" s="59"/>
      <c r="Q75" s="59"/>
      <c r="R75" s="59"/>
      <c r="S75" s="59"/>
      <c r="T75" s="59"/>
      <c r="U75" s="65"/>
    </row>
    <row r="76" spans="1:21" ht="15" x14ac:dyDescent="0.2">
      <c r="A76" s="25"/>
      <c r="B76" s="25"/>
      <c r="C76" s="28" t="s">
        <v>155</v>
      </c>
      <c r="D76" s="56"/>
      <c r="E76" s="56"/>
      <c r="F76" s="56"/>
      <c r="G76" s="56"/>
      <c r="H76" s="56"/>
      <c r="I76" s="43"/>
      <c r="J76" s="65"/>
      <c r="K76" s="65"/>
      <c r="L76" s="65"/>
      <c r="M76" s="59"/>
      <c r="N76" s="59"/>
      <c r="O76" s="59"/>
      <c r="P76" s="59"/>
      <c r="Q76" s="59"/>
      <c r="R76" s="59"/>
      <c r="S76" s="59"/>
      <c r="T76" s="59"/>
      <c r="U76" s="65"/>
    </row>
    <row r="77" spans="1:21" x14ac:dyDescent="0.2">
      <c r="A77" s="25"/>
      <c r="B77" s="25"/>
      <c r="C77" s="25"/>
      <c r="D77" s="182" t="s">
        <v>156</v>
      </c>
      <c r="E77" s="182"/>
      <c r="F77" s="182"/>
      <c r="G77" s="182" t="s">
        <v>44</v>
      </c>
      <c r="H77" s="182"/>
      <c r="I77" s="167">
        <f>SUM(I38:I44) - SUM(N46:S46)</f>
        <v>326.89477322363098</v>
      </c>
      <c r="J77" s="65"/>
      <c r="K77" s="65"/>
      <c r="L77" s="65"/>
      <c r="M77" s="59"/>
      <c r="N77" s="59"/>
      <c r="O77" s="59"/>
      <c r="P77" s="59"/>
      <c r="Q77" s="59"/>
      <c r="R77" s="59"/>
      <c r="S77" s="59"/>
      <c r="T77" s="59"/>
      <c r="U77" s="65"/>
    </row>
    <row r="78" spans="1:21" x14ac:dyDescent="0.2">
      <c r="A78" s="25"/>
      <c r="B78" s="25"/>
      <c r="C78" s="25"/>
      <c r="D78" s="183" t="s">
        <v>157</v>
      </c>
      <c r="E78" s="183"/>
      <c r="F78" s="183"/>
      <c r="G78" s="183" t="s">
        <v>44</v>
      </c>
      <c r="H78" s="183"/>
      <c r="I78" s="184">
        <f>I28 - SUM(Q50:S50)</f>
        <v>16.127049999999997</v>
      </c>
      <c r="J78" s="65"/>
      <c r="K78" s="65"/>
      <c r="L78" s="65"/>
      <c r="M78" s="59"/>
      <c r="N78" s="59"/>
      <c r="O78" s="59"/>
      <c r="P78" s="59"/>
      <c r="Q78" s="59"/>
      <c r="R78" s="59"/>
      <c r="S78" s="59"/>
      <c r="T78" s="59"/>
      <c r="U78" s="65"/>
    </row>
    <row r="79" spans="1:21" x14ac:dyDescent="0.2">
      <c r="A79" s="25"/>
      <c r="B79" s="25"/>
      <c r="C79" s="25"/>
      <c r="D79" s="173" t="s">
        <v>158</v>
      </c>
      <c r="E79" s="173"/>
      <c r="F79" s="173"/>
      <c r="G79" s="173" t="s">
        <v>44</v>
      </c>
      <c r="H79" s="173"/>
      <c r="I79" s="156">
        <f>SUM(I77:I78)</f>
        <v>343.02182322363097</v>
      </c>
      <c r="J79" s="65"/>
      <c r="K79" s="65"/>
      <c r="L79" s="65"/>
      <c r="M79" s="59"/>
      <c r="N79" s="59"/>
      <c r="O79" s="59"/>
      <c r="P79" s="59"/>
      <c r="Q79" s="59"/>
      <c r="R79" s="59"/>
      <c r="S79" s="59"/>
      <c r="T79" s="59"/>
      <c r="U79" s="65"/>
    </row>
    <row r="80" spans="1:21" x14ac:dyDescent="0.2">
      <c r="A80" s="25"/>
      <c r="B80" s="25"/>
      <c r="C80" s="25"/>
      <c r="D80" s="56"/>
      <c r="E80" s="56"/>
      <c r="F80" s="56"/>
      <c r="G80" s="56"/>
      <c r="H80" s="56"/>
      <c r="I80" s="65"/>
      <c r="J80" s="65"/>
      <c r="K80" s="65"/>
      <c r="L80" s="65"/>
      <c r="M80" s="59"/>
      <c r="N80" s="59"/>
      <c r="O80" s="59"/>
      <c r="P80" s="59"/>
      <c r="Q80" s="59"/>
      <c r="R80" s="59"/>
      <c r="S80" s="59"/>
      <c r="T80" s="59"/>
      <c r="U80" s="65"/>
    </row>
    <row r="81" spans="1:21" ht="15" x14ac:dyDescent="0.2">
      <c r="A81" s="25"/>
      <c r="B81" s="25"/>
      <c r="C81" s="28" t="s">
        <v>159</v>
      </c>
      <c r="D81" s="56"/>
      <c r="E81" s="56"/>
      <c r="F81" s="56"/>
      <c r="G81" s="56"/>
      <c r="H81" s="56"/>
      <c r="I81" s="65"/>
      <c r="J81" s="65"/>
      <c r="K81" s="65"/>
      <c r="L81" s="65"/>
      <c r="M81" s="59"/>
      <c r="N81" s="59"/>
      <c r="O81" s="59"/>
      <c r="P81" s="59"/>
      <c r="Q81" s="59"/>
      <c r="R81" s="59"/>
      <c r="S81" s="59"/>
      <c r="T81" s="59"/>
      <c r="U81" s="65"/>
    </row>
    <row r="82" spans="1:21" x14ac:dyDescent="0.2">
      <c r="A82" s="25"/>
      <c r="B82" s="25"/>
      <c r="C82" s="25"/>
      <c r="D82" s="182" t="str">
        <f>C76</f>
        <v>2024-25 Opening RAV balance</v>
      </c>
      <c r="E82" s="182"/>
      <c r="F82" s="182"/>
      <c r="G82" s="182" t="str">
        <f>G79</f>
        <v>£m 2018-19 prices</v>
      </c>
      <c r="H82" s="182"/>
      <c r="I82" s="167">
        <f>I79</f>
        <v>343.02182322363097</v>
      </c>
      <c r="J82" s="65"/>
      <c r="K82" s="65"/>
      <c r="L82" s="65"/>
      <c r="M82" s="59"/>
      <c r="N82" s="59"/>
      <c r="O82" s="59"/>
      <c r="P82" s="59"/>
      <c r="Q82" s="59"/>
      <c r="R82" s="59"/>
      <c r="S82" s="59"/>
      <c r="T82" s="59"/>
      <c r="U82" s="65"/>
    </row>
    <row r="83" spans="1:21" x14ac:dyDescent="0.2">
      <c r="A83" s="25"/>
      <c r="B83" s="25"/>
      <c r="C83" s="25"/>
      <c r="D83" s="183" t="s">
        <v>160</v>
      </c>
      <c r="E83" s="183"/>
      <c r="F83" s="183"/>
      <c r="G83" s="183" t="str">
        <f>G25</f>
        <v>£m 2018-19 prices</v>
      </c>
      <c r="H83" s="183"/>
      <c r="I83" s="171">
        <f>I45</f>
        <v>69.887129380315628</v>
      </c>
      <c r="J83" s="65"/>
      <c r="K83" s="65"/>
      <c r="L83" s="65"/>
      <c r="M83" s="59"/>
      <c r="N83" s="59"/>
      <c r="O83" s="59"/>
      <c r="P83" s="59"/>
      <c r="Q83" s="59"/>
      <c r="R83" s="59"/>
      <c r="S83" s="59"/>
      <c r="T83" s="59"/>
      <c r="U83" s="65"/>
    </row>
    <row r="84" spans="1:21" x14ac:dyDescent="0.2">
      <c r="A84" s="25"/>
      <c r="B84" s="25"/>
      <c r="C84" s="25"/>
      <c r="D84" s="183" t="s">
        <v>161</v>
      </c>
      <c r="E84" s="183"/>
      <c r="F84" s="183"/>
      <c r="G84" s="183" t="str">
        <f>G$63</f>
        <v>£m 2018-19 prices</v>
      </c>
      <c r="H84" s="183"/>
      <c r="I84" s="184">
        <f>(-1) * I63</f>
        <v>-36.629649594527258</v>
      </c>
      <c r="J84" s="65"/>
      <c r="K84" s="65"/>
      <c r="L84" s="65"/>
      <c r="M84" s="59"/>
      <c r="N84" s="59"/>
      <c r="O84" s="59"/>
      <c r="P84" s="59"/>
      <c r="Q84" s="59"/>
      <c r="R84" s="59"/>
      <c r="S84" s="59"/>
      <c r="T84" s="59"/>
      <c r="U84" s="65"/>
    </row>
    <row r="85" spans="1:21" x14ac:dyDescent="0.2">
      <c r="A85" s="25"/>
      <c r="B85" s="25"/>
      <c r="C85" s="25"/>
      <c r="D85" s="173" t="s">
        <v>162</v>
      </c>
      <c r="E85" s="173"/>
      <c r="F85" s="173"/>
      <c r="G85" s="173" t="s">
        <v>44</v>
      </c>
      <c r="H85" s="173"/>
      <c r="I85" s="185">
        <f>SUM(I82:I84)</f>
        <v>376.27930300941932</v>
      </c>
      <c r="J85" s="65"/>
      <c r="K85" s="65"/>
      <c r="L85" s="65"/>
      <c r="M85" s="59"/>
      <c r="N85" s="59"/>
      <c r="O85" s="59"/>
      <c r="P85" s="59"/>
      <c r="Q85" s="59"/>
      <c r="R85" s="59"/>
      <c r="S85" s="59"/>
      <c r="T85" s="59"/>
      <c r="U85" s="65"/>
    </row>
    <row r="86" spans="1:21" x14ac:dyDescent="0.2">
      <c r="A86" s="25"/>
      <c r="B86" s="25"/>
      <c r="C86" s="25"/>
      <c r="D86" s="56"/>
      <c r="E86" s="56"/>
      <c r="F86" s="56"/>
      <c r="G86" s="56"/>
      <c r="H86" s="56"/>
      <c r="I86" s="43" t="s">
        <v>163</v>
      </c>
      <c r="J86" s="65"/>
      <c r="K86" s="65"/>
      <c r="L86" s="65"/>
      <c r="M86" s="59"/>
      <c r="N86" s="59"/>
      <c r="O86" s="59"/>
      <c r="P86" s="59"/>
      <c r="Q86" s="59"/>
      <c r="R86" s="59"/>
      <c r="S86" s="59"/>
      <c r="T86" s="59"/>
      <c r="U86" s="65"/>
    </row>
    <row r="87" spans="1:21" ht="15" x14ac:dyDescent="0.2">
      <c r="A87" s="25"/>
      <c r="B87" s="25"/>
      <c r="C87" s="28" t="s">
        <v>164</v>
      </c>
      <c r="D87" s="56"/>
      <c r="E87" s="56"/>
      <c r="F87" s="56"/>
      <c r="G87" s="56"/>
      <c r="H87" s="56"/>
      <c r="I87" s="43"/>
      <c r="J87" s="65"/>
      <c r="K87" s="65"/>
      <c r="L87" s="65"/>
      <c r="M87" s="59"/>
      <c r="N87" s="59"/>
      <c r="O87" s="59"/>
      <c r="P87" s="59"/>
      <c r="Q87" s="59"/>
      <c r="R87" s="59"/>
      <c r="S87" s="59"/>
      <c r="T87" s="59"/>
      <c r="U87" s="65"/>
    </row>
    <row r="88" spans="1:21" x14ac:dyDescent="0.2">
      <c r="A88" s="25"/>
      <c r="B88" s="25"/>
      <c r="C88" s="25"/>
      <c r="D88" s="182" t="s">
        <v>165</v>
      </c>
      <c r="E88" s="182"/>
      <c r="F88" s="182"/>
      <c r="G88" s="182" t="s">
        <v>44</v>
      </c>
      <c r="H88" s="182"/>
      <c r="I88" s="167">
        <f>I85</f>
        <v>376.27930300941932</v>
      </c>
      <c r="J88" s="24"/>
      <c r="K88" s="24"/>
      <c r="L88" s="24"/>
      <c r="M88" s="24"/>
      <c r="N88" s="24"/>
      <c r="O88" s="24"/>
      <c r="P88" s="24"/>
      <c r="Q88" s="24"/>
      <c r="R88" s="24"/>
      <c r="S88" s="24"/>
      <c r="T88" s="24"/>
      <c r="U88" s="24"/>
    </row>
    <row r="89" spans="1:21" x14ac:dyDescent="0.2">
      <c r="A89" s="25"/>
      <c r="B89" s="25"/>
      <c r="C89" s="25"/>
      <c r="D89" s="183" t="s">
        <v>139</v>
      </c>
      <c r="E89" s="183"/>
      <c r="F89" s="183"/>
      <c r="G89" s="183" t="str">
        <f>G26</f>
        <v>£m 2018-19 prices</v>
      </c>
      <c r="H89" s="183"/>
      <c r="I89" s="186"/>
      <c r="J89" s="24"/>
      <c r="K89" s="24"/>
      <c r="L89" s="24"/>
      <c r="M89" s="24"/>
      <c r="N89" s="24"/>
      <c r="O89" s="24"/>
      <c r="P89" s="24"/>
      <c r="Q89" s="24"/>
      <c r="R89" s="24"/>
      <c r="S89" s="24"/>
      <c r="T89" s="24"/>
      <c r="U89" s="24"/>
    </row>
    <row r="90" spans="1:21" x14ac:dyDescent="0.2">
      <c r="A90" s="25"/>
      <c r="B90" s="25"/>
      <c r="C90" s="25"/>
      <c r="D90" s="183" t="s">
        <v>166</v>
      </c>
      <c r="E90" s="183"/>
      <c r="F90" s="183"/>
      <c r="G90" s="183" t="str">
        <f>G$64</f>
        <v>£m 2018-19 prices</v>
      </c>
      <c r="H90" s="183"/>
      <c r="I90" s="184">
        <f>(-1) * I64</f>
        <v>-36.629649594527258</v>
      </c>
      <c r="J90" s="24"/>
      <c r="K90" s="24"/>
      <c r="L90" s="24"/>
      <c r="M90" s="24"/>
      <c r="N90" s="24"/>
      <c r="O90" s="24"/>
      <c r="P90" s="24"/>
      <c r="Q90" s="24"/>
      <c r="R90" s="24"/>
      <c r="S90" s="24"/>
      <c r="T90" s="24"/>
      <c r="U90" s="24"/>
    </row>
    <row r="91" spans="1:21" x14ac:dyDescent="0.2">
      <c r="A91" s="25"/>
      <c r="B91" s="25"/>
      <c r="C91" s="25"/>
      <c r="D91" s="173" t="s">
        <v>167</v>
      </c>
      <c r="E91" s="173"/>
      <c r="F91" s="173"/>
      <c r="G91" s="173" t="s">
        <v>44</v>
      </c>
      <c r="H91" s="173"/>
      <c r="I91" s="156">
        <f t="shared" ref="I91" si="2">SUM(I88:I90)</f>
        <v>339.64965341489204</v>
      </c>
      <c r="J91" s="24"/>
      <c r="K91" s="24"/>
      <c r="L91" s="24"/>
      <c r="M91" s="24"/>
      <c r="N91" s="24"/>
      <c r="O91" s="24"/>
      <c r="P91" s="24"/>
      <c r="Q91" s="24"/>
      <c r="R91" s="24"/>
      <c r="S91" s="24"/>
      <c r="T91" s="24"/>
      <c r="U91" s="24"/>
    </row>
    <row r="92" spans="1:21" x14ac:dyDescent="0.2">
      <c r="A92" s="25"/>
      <c r="B92" s="25"/>
      <c r="C92" s="25"/>
      <c r="D92" s="56"/>
      <c r="E92" s="56"/>
      <c r="F92" s="56"/>
      <c r="G92" s="56"/>
      <c r="H92" s="56"/>
      <c r="I92" s="43"/>
      <c r="J92" s="65"/>
      <c r="K92" s="65"/>
      <c r="L92" s="65"/>
      <c r="M92" s="59"/>
      <c r="N92" s="59"/>
      <c r="O92" s="59"/>
      <c r="P92" s="59"/>
      <c r="Q92" s="59"/>
      <c r="R92" s="59"/>
      <c r="S92" s="59"/>
      <c r="T92" s="59"/>
      <c r="U92" s="65"/>
    </row>
    <row r="93" spans="1:21" ht="18" x14ac:dyDescent="0.25">
      <c r="A93" s="85" t="s">
        <v>13</v>
      </c>
      <c r="B93" s="85" t="s">
        <v>168</v>
      </c>
      <c r="C93" s="91"/>
      <c r="D93" s="91"/>
      <c r="E93" s="91"/>
      <c r="F93" s="91"/>
      <c r="G93" s="91"/>
      <c r="H93" s="91"/>
      <c r="I93" s="89"/>
      <c r="J93" s="89"/>
      <c r="K93" s="89"/>
      <c r="L93" s="89"/>
      <c r="M93" s="89"/>
      <c r="N93" s="89"/>
      <c r="O93" s="89"/>
      <c r="P93" s="89"/>
      <c r="Q93" s="89"/>
      <c r="R93" s="89"/>
      <c r="S93" s="89"/>
      <c r="T93" s="89"/>
      <c r="U93" s="89"/>
    </row>
    <row r="94" spans="1:21" x14ac:dyDescent="0.2">
      <c r="A94" s="25"/>
      <c r="B94" s="25"/>
      <c r="C94" s="25"/>
      <c r="D94" s="56"/>
      <c r="E94" s="56"/>
      <c r="F94" s="56"/>
      <c r="G94" s="56"/>
      <c r="H94" s="56"/>
      <c r="I94" s="43"/>
      <c r="J94" s="65"/>
      <c r="K94" s="65"/>
      <c r="L94" s="65"/>
      <c r="M94" s="59"/>
      <c r="N94" s="59"/>
      <c r="O94" s="59"/>
      <c r="P94" s="59"/>
      <c r="Q94" s="59"/>
      <c r="R94" s="59"/>
      <c r="S94" s="59"/>
      <c r="T94" s="59"/>
      <c r="U94" s="65"/>
    </row>
    <row r="95" spans="1:21" x14ac:dyDescent="0.2">
      <c r="A95" s="25"/>
      <c r="B95" s="249" t="s">
        <v>169</v>
      </c>
      <c r="C95" s="25"/>
      <c r="D95" s="56"/>
      <c r="E95" s="56"/>
      <c r="F95" s="56"/>
      <c r="G95" s="56"/>
      <c r="H95" s="56"/>
      <c r="I95" s="43"/>
      <c r="J95" s="65"/>
      <c r="K95" s="65"/>
      <c r="L95" s="65"/>
      <c r="M95" s="59"/>
      <c r="N95" s="59"/>
      <c r="O95" s="59"/>
      <c r="P95" s="59"/>
      <c r="Q95" s="59"/>
      <c r="R95" s="59"/>
      <c r="S95" s="59"/>
      <c r="T95" s="59"/>
      <c r="U95" s="65"/>
    </row>
    <row r="96" spans="1:21" x14ac:dyDescent="0.2">
      <c r="A96" s="25"/>
      <c r="B96" s="48"/>
      <c r="C96" s="25"/>
      <c r="D96" s="56"/>
      <c r="E96" s="56"/>
      <c r="F96" s="56"/>
      <c r="G96" s="56"/>
      <c r="H96" s="56"/>
      <c r="I96" s="43"/>
      <c r="J96" s="65"/>
      <c r="K96" s="65"/>
      <c r="L96" s="65"/>
      <c r="M96" s="59"/>
      <c r="N96" s="59"/>
      <c r="O96" s="59"/>
      <c r="P96" s="59"/>
      <c r="Q96" s="59"/>
      <c r="R96" s="59"/>
      <c r="S96" s="59"/>
      <c r="T96" s="59"/>
      <c r="U96" s="65"/>
    </row>
    <row r="97" spans="1:21" x14ac:dyDescent="0.2">
      <c r="A97" s="25"/>
      <c r="B97" s="25"/>
      <c r="C97" s="25" t="str">
        <f>C$59</f>
        <v>Share of 2024-25 before Day 1</v>
      </c>
      <c r="D97" s="25"/>
      <c r="E97" s="25"/>
      <c r="F97" s="25"/>
      <c r="G97" s="25" t="str">
        <f>G$59</f>
        <v>%</v>
      </c>
      <c r="H97" s="25"/>
      <c r="I97" s="178">
        <f>I$59</f>
        <v>0.5</v>
      </c>
      <c r="J97" s="51"/>
      <c r="K97" s="51"/>
      <c r="L97" s="51"/>
      <c r="M97" s="52"/>
      <c r="N97" s="52"/>
      <c r="O97" s="52"/>
      <c r="P97" s="52"/>
      <c r="Q97" s="52"/>
      <c r="R97" s="52"/>
      <c r="S97" s="52"/>
      <c r="T97" s="52"/>
      <c r="U97" s="24"/>
    </row>
    <row r="98" spans="1:21" x14ac:dyDescent="0.2">
      <c r="A98" s="25"/>
      <c r="B98" s="25"/>
      <c r="C98" s="25" t="str">
        <f>C$60</f>
        <v>Share of 2024-25 from Day 1</v>
      </c>
      <c r="D98" s="25"/>
      <c r="E98" s="25"/>
      <c r="F98" s="25"/>
      <c r="G98" s="25" t="str">
        <f>G$60</f>
        <v>%</v>
      </c>
      <c r="H98" s="25"/>
      <c r="I98" s="178">
        <f>I$60</f>
        <v>0.5</v>
      </c>
      <c r="J98" s="51"/>
      <c r="K98" s="51"/>
      <c r="L98" s="51"/>
      <c r="M98" s="52"/>
      <c r="N98" s="52"/>
      <c r="O98" s="52"/>
      <c r="P98" s="52"/>
      <c r="Q98" s="52"/>
      <c r="R98" s="52"/>
      <c r="S98" s="52"/>
      <c r="T98" s="52"/>
      <c r="U98" s="24"/>
    </row>
    <row r="99" spans="1:21" x14ac:dyDescent="0.2">
      <c r="A99" s="25"/>
      <c r="B99" s="25"/>
      <c r="C99" s="25"/>
      <c r="D99" s="25"/>
      <c r="E99" s="25"/>
      <c r="F99" s="25"/>
      <c r="G99" s="25"/>
      <c r="H99" s="25"/>
      <c r="I99" s="24"/>
      <c r="J99" s="24"/>
      <c r="K99" s="24"/>
      <c r="L99" s="24"/>
      <c r="M99" s="52"/>
      <c r="N99" s="24"/>
      <c r="O99" s="24"/>
      <c r="P99" s="24"/>
      <c r="Q99" s="24"/>
      <c r="R99" s="24"/>
      <c r="S99" s="24"/>
      <c r="T99" s="24"/>
      <c r="U99" s="24"/>
    </row>
    <row r="100" spans="1:21" x14ac:dyDescent="0.2">
      <c r="A100" s="25"/>
      <c r="B100" s="25"/>
      <c r="C100" s="50" t="str">
        <f>Inputs!C$60</f>
        <v>Discount Rate for 2024-25 before Day 1</v>
      </c>
      <c r="D100" s="25"/>
      <c r="E100" s="50"/>
      <c r="F100" s="50"/>
      <c r="G100" s="50" t="str">
        <f>Inputs!G$60</f>
        <v>% annual, real</v>
      </c>
      <c r="H100" s="31"/>
      <c r="I100" s="187">
        <f>Inputs!I$60</f>
        <v>5.6715825600000006E-2</v>
      </c>
      <c r="J100" s="36"/>
      <c r="K100" s="36"/>
      <c r="L100" s="36"/>
      <c r="M100" s="52"/>
      <c r="N100" s="59"/>
      <c r="O100" s="59"/>
      <c r="P100" s="59"/>
      <c r="Q100" s="59"/>
      <c r="R100" s="59"/>
      <c r="S100" s="59"/>
      <c r="T100" s="59"/>
      <c r="U100" s="65"/>
    </row>
    <row r="101" spans="1:21" x14ac:dyDescent="0.2">
      <c r="A101" s="25"/>
      <c r="B101" s="25"/>
      <c r="C101" s="50" t="str">
        <f>Inputs!C$25</f>
        <v>Discount Rate from Day 1</v>
      </c>
      <c r="D101" s="25"/>
      <c r="E101" s="50"/>
      <c r="F101" s="50"/>
      <c r="G101" s="50" t="str">
        <f>Inputs!G$25</f>
        <v>% annual, real</v>
      </c>
      <c r="H101" s="31"/>
      <c r="I101" s="187">
        <f>Inputs!I$25</f>
        <v>3.5000000000000003E-2</v>
      </c>
      <c r="J101" s="36"/>
      <c r="K101" s="36"/>
      <c r="L101" s="36"/>
      <c r="M101" s="52"/>
      <c r="N101" s="59"/>
      <c r="O101" s="59"/>
      <c r="P101" s="59"/>
      <c r="Q101" s="59"/>
      <c r="R101" s="59"/>
      <c r="S101" s="59"/>
      <c r="T101" s="59"/>
      <c r="U101" s="65"/>
    </row>
    <row r="102" spans="1:21" x14ac:dyDescent="0.2">
      <c r="A102" s="25"/>
      <c r="B102" s="25"/>
      <c r="C102" s="50"/>
      <c r="D102" s="25"/>
      <c r="E102" s="24"/>
      <c r="F102" s="24"/>
      <c r="G102" s="24"/>
      <c r="H102" s="24"/>
      <c r="I102" s="24"/>
      <c r="J102" s="24"/>
      <c r="K102" s="36"/>
      <c r="L102" s="36"/>
      <c r="M102" s="52"/>
      <c r="N102" s="59"/>
      <c r="O102" s="59"/>
      <c r="P102" s="59"/>
      <c r="Q102" s="59"/>
      <c r="R102" s="59"/>
      <c r="S102" s="59"/>
      <c r="T102" s="59"/>
      <c r="U102" s="65"/>
    </row>
    <row r="103" spans="1:21" ht="15" x14ac:dyDescent="0.2">
      <c r="A103" s="25"/>
      <c r="B103" s="25"/>
      <c r="C103" s="188" t="s">
        <v>170</v>
      </c>
      <c r="D103" s="25"/>
      <c r="E103" s="50"/>
      <c r="F103" s="50"/>
      <c r="G103" s="50"/>
      <c r="H103" s="31"/>
      <c r="I103" s="189"/>
      <c r="J103" s="24"/>
      <c r="K103" s="36"/>
      <c r="L103" s="36"/>
      <c r="M103" s="52"/>
      <c r="N103" s="59"/>
      <c r="O103" s="59"/>
      <c r="P103" s="59"/>
      <c r="Q103" s="59"/>
      <c r="R103" s="59"/>
      <c r="S103" s="59"/>
      <c r="T103" s="59"/>
      <c r="U103" s="65"/>
    </row>
    <row r="104" spans="1:21" x14ac:dyDescent="0.2">
      <c r="A104" s="25"/>
      <c r="B104" s="25"/>
      <c r="C104" s="50"/>
      <c r="D104" s="66" t="s">
        <v>147</v>
      </c>
      <c r="E104" s="190"/>
      <c r="F104" s="190"/>
      <c r="G104" s="190" t="s">
        <v>25</v>
      </c>
      <c r="H104" s="66"/>
      <c r="I104" s="191">
        <f>I97 * I100</f>
        <v>2.8357912800000003E-2</v>
      </c>
      <c r="J104" s="36"/>
      <c r="K104" s="36"/>
      <c r="L104" s="36"/>
      <c r="M104" s="52"/>
      <c r="N104" s="59"/>
      <c r="O104" s="59"/>
      <c r="P104" s="59"/>
      <c r="Q104" s="59"/>
      <c r="R104" s="59"/>
      <c r="S104" s="59"/>
      <c r="T104" s="59"/>
      <c r="U104" s="65"/>
    </row>
    <row r="105" spans="1:21" x14ac:dyDescent="0.2">
      <c r="A105" s="25"/>
      <c r="B105" s="25"/>
      <c r="C105" s="50"/>
      <c r="D105" s="69" t="s">
        <v>148</v>
      </c>
      <c r="E105" s="192"/>
      <c r="F105" s="192"/>
      <c r="G105" s="192" t="s">
        <v>25</v>
      </c>
      <c r="H105" s="69"/>
      <c r="I105" s="193">
        <f>I98 * I101</f>
        <v>1.7500000000000002E-2</v>
      </c>
      <c r="J105" s="36"/>
      <c r="K105" s="36"/>
      <c r="L105" s="36"/>
      <c r="M105" s="52"/>
      <c r="N105" s="59"/>
      <c r="O105" s="59"/>
      <c r="P105" s="59"/>
      <c r="Q105" s="59"/>
      <c r="R105" s="59"/>
      <c r="S105" s="59"/>
      <c r="T105" s="59"/>
      <c r="U105" s="65"/>
    </row>
    <row r="106" spans="1:21" x14ac:dyDescent="0.2">
      <c r="A106" s="24"/>
      <c r="B106" s="24"/>
      <c r="C106" s="50"/>
      <c r="D106" s="31"/>
      <c r="E106" s="50"/>
      <c r="F106" s="50"/>
      <c r="G106" s="50"/>
      <c r="H106" s="31"/>
      <c r="I106" s="24"/>
      <c r="J106" s="24"/>
      <c r="K106" s="24"/>
      <c r="L106" s="24"/>
      <c r="M106" s="24"/>
      <c r="N106" s="24"/>
      <c r="O106" s="24"/>
      <c r="P106" s="24"/>
      <c r="Q106" s="24"/>
      <c r="R106" s="24"/>
      <c r="S106" s="24"/>
      <c r="T106" s="24"/>
      <c r="U106" s="24"/>
    </row>
    <row r="107" spans="1:21" x14ac:dyDescent="0.2">
      <c r="A107" s="25"/>
      <c r="B107" s="25"/>
      <c r="C107" s="25" t="s">
        <v>171</v>
      </c>
      <c r="D107" s="25"/>
      <c r="E107" s="25"/>
      <c r="F107" s="25"/>
      <c r="G107" s="25" t="s">
        <v>25</v>
      </c>
      <c r="H107" s="25"/>
      <c r="I107" s="178">
        <f>SUM(I104:I105)</f>
        <v>4.5857912800000004E-2</v>
      </c>
      <c r="J107" s="36"/>
      <c r="K107" s="36"/>
      <c r="L107" s="36"/>
      <c r="M107" s="52"/>
      <c r="N107" s="59"/>
      <c r="O107" s="59"/>
      <c r="P107" s="59"/>
      <c r="Q107" s="59"/>
      <c r="R107" s="59"/>
      <c r="S107" s="59"/>
      <c r="T107" s="59"/>
      <c r="U107" s="65"/>
    </row>
    <row r="108" spans="1:21" x14ac:dyDescent="0.2">
      <c r="A108" s="25"/>
      <c r="B108" s="25"/>
      <c r="C108" s="50"/>
      <c r="D108" s="25"/>
      <c r="E108" s="50"/>
      <c r="F108" s="50"/>
      <c r="G108" s="50"/>
      <c r="H108" s="31"/>
      <c r="I108" s="189"/>
      <c r="J108" s="24"/>
      <c r="K108" s="24"/>
      <c r="L108" s="24"/>
      <c r="M108" s="24"/>
      <c r="N108" s="24"/>
      <c r="O108" s="24"/>
      <c r="P108" s="24"/>
      <c r="Q108" s="24"/>
      <c r="R108" s="24"/>
      <c r="S108" s="24"/>
      <c r="T108" s="24"/>
      <c r="U108" s="65"/>
    </row>
    <row r="109" spans="1:21" x14ac:dyDescent="0.2">
      <c r="A109" s="25"/>
      <c r="B109" s="25"/>
      <c r="C109" s="25" t="s">
        <v>172</v>
      </c>
      <c r="D109" s="25"/>
      <c r="E109" s="25"/>
      <c r="F109" s="25"/>
      <c r="G109" s="25" t="s">
        <v>173</v>
      </c>
      <c r="H109" s="25"/>
      <c r="I109" s="194">
        <f>(1 + $I107) ^ (-1)</f>
        <v>0.95615282703438365</v>
      </c>
      <c r="J109" s="24"/>
      <c r="K109" s="24"/>
      <c r="L109" s="24"/>
      <c r="M109" s="24"/>
      <c r="N109" s="24"/>
      <c r="O109" s="24"/>
      <c r="P109" s="24"/>
      <c r="Q109" s="24"/>
      <c r="R109" s="24"/>
      <c r="S109" s="24"/>
      <c r="T109" s="24"/>
      <c r="U109" s="65"/>
    </row>
    <row r="110" spans="1:21" x14ac:dyDescent="0.2">
      <c r="A110" s="25"/>
      <c r="B110" s="25"/>
      <c r="C110" s="25"/>
      <c r="D110" s="56"/>
      <c r="E110" s="56"/>
      <c r="F110" s="56"/>
      <c r="G110" s="56"/>
      <c r="H110" s="56"/>
      <c r="I110" s="43"/>
      <c r="J110" s="65"/>
      <c r="K110" s="65"/>
      <c r="L110" s="65"/>
      <c r="M110" s="59"/>
      <c r="N110" s="59"/>
      <c r="O110" s="59"/>
      <c r="P110" s="59"/>
      <c r="Q110" s="59"/>
      <c r="R110" s="59"/>
      <c r="S110" s="59"/>
      <c r="T110" s="59"/>
      <c r="U110" s="65"/>
    </row>
    <row r="111" spans="1:21" ht="18" x14ac:dyDescent="0.25">
      <c r="A111" s="85" t="s">
        <v>13</v>
      </c>
      <c r="B111" s="85" t="s">
        <v>174</v>
      </c>
      <c r="C111" s="91"/>
      <c r="D111" s="91"/>
      <c r="E111" s="91"/>
      <c r="F111" s="91"/>
      <c r="G111" s="91"/>
      <c r="H111" s="91"/>
      <c r="I111" s="89"/>
      <c r="J111" s="89"/>
      <c r="K111" s="89"/>
      <c r="L111" s="89"/>
      <c r="M111" s="89"/>
      <c r="N111" s="89"/>
      <c r="O111" s="89"/>
      <c r="P111" s="89"/>
      <c r="Q111" s="89"/>
      <c r="R111" s="89"/>
      <c r="S111" s="89"/>
      <c r="T111" s="89"/>
      <c r="U111" s="89"/>
    </row>
    <row r="112" spans="1:21" x14ac:dyDescent="0.2">
      <c r="A112" s="25"/>
      <c r="B112" s="25"/>
      <c r="C112" s="25"/>
      <c r="D112" s="56"/>
      <c r="E112" s="56"/>
      <c r="F112" s="56"/>
      <c r="G112" s="56"/>
      <c r="H112" s="56"/>
      <c r="I112" s="43"/>
      <c r="J112" s="65"/>
      <c r="K112" s="65"/>
      <c r="L112" s="65"/>
      <c r="M112" s="59"/>
      <c r="N112" s="59"/>
      <c r="O112" s="59"/>
      <c r="P112" s="59"/>
      <c r="Q112" s="59"/>
      <c r="R112" s="59"/>
      <c r="S112" s="59"/>
      <c r="T112" s="59"/>
      <c r="U112" s="65"/>
    </row>
    <row r="113" spans="1:21" x14ac:dyDescent="0.2">
      <c r="A113" s="25"/>
      <c r="B113" s="249" t="s">
        <v>175</v>
      </c>
      <c r="C113" s="25"/>
      <c r="D113" s="56"/>
      <c r="E113" s="56"/>
      <c r="F113" s="56"/>
      <c r="G113" s="56"/>
      <c r="H113" s="56"/>
      <c r="I113" s="43"/>
      <c r="J113" s="65"/>
      <c r="K113" s="65"/>
      <c r="L113" s="65"/>
      <c r="M113" s="59"/>
      <c r="N113" s="59"/>
      <c r="O113" s="59"/>
      <c r="P113" s="59"/>
      <c r="Q113" s="59"/>
      <c r="R113" s="59"/>
      <c r="S113" s="59"/>
      <c r="T113" s="59"/>
      <c r="U113" s="65"/>
    </row>
    <row r="114" spans="1:21" x14ac:dyDescent="0.2">
      <c r="A114" s="25"/>
      <c r="B114" s="25"/>
      <c r="C114" s="25"/>
      <c r="D114" s="56"/>
      <c r="E114" s="56"/>
      <c r="F114" s="56"/>
      <c r="G114" s="56"/>
      <c r="H114" s="56"/>
      <c r="I114" s="43"/>
      <c r="J114" s="65"/>
      <c r="K114" s="65"/>
      <c r="L114" s="65"/>
      <c r="M114" s="59"/>
      <c r="N114" s="59"/>
      <c r="O114" s="59"/>
      <c r="P114" s="59"/>
      <c r="Q114" s="59"/>
      <c r="R114" s="59"/>
      <c r="S114" s="59"/>
      <c r="T114" s="59"/>
      <c r="U114" s="65"/>
    </row>
    <row r="115" spans="1:21" x14ac:dyDescent="0.2">
      <c r="A115" s="25"/>
      <c r="B115" s="25"/>
      <c r="C115" s="31" t="s">
        <v>176</v>
      </c>
      <c r="D115" s="31"/>
      <c r="E115" s="31"/>
      <c r="F115" s="31"/>
      <c r="G115" s="31" t="s">
        <v>44</v>
      </c>
      <c r="H115" s="31"/>
      <c r="I115" s="171">
        <f>(I79 + I91 * I109) / 2</f>
        <v>333.88939976876429</v>
      </c>
      <c r="J115" s="24"/>
      <c r="K115" s="24"/>
      <c r="L115" s="24"/>
      <c r="M115" s="24"/>
      <c r="N115" s="24"/>
      <c r="O115" s="24"/>
      <c r="P115" s="24"/>
      <c r="Q115" s="24"/>
      <c r="R115" s="24"/>
      <c r="S115" s="24"/>
      <c r="T115" s="24"/>
      <c r="U115" s="24"/>
    </row>
    <row r="116" spans="1:21" x14ac:dyDescent="0.2">
      <c r="A116" s="25"/>
      <c r="B116" s="25"/>
      <c r="C116" s="31"/>
      <c r="D116" s="31"/>
      <c r="E116" s="31"/>
      <c r="F116" s="31"/>
      <c r="G116" s="31"/>
      <c r="H116" s="24"/>
      <c r="I116" s="31"/>
      <c r="J116" s="31"/>
      <c r="K116" s="31"/>
      <c r="L116" s="24"/>
      <c r="M116" s="24"/>
      <c r="N116" s="24"/>
      <c r="O116" s="24"/>
      <c r="P116" s="24"/>
      <c r="Q116" s="24"/>
      <c r="R116" s="24"/>
      <c r="S116" s="24"/>
      <c r="T116" s="24"/>
      <c r="U116" s="24"/>
    </row>
    <row r="117" spans="1:21" x14ac:dyDescent="0.2">
      <c r="A117" s="25"/>
      <c r="B117" s="25"/>
      <c r="C117" s="25" t="s">
        <v>149</v>
      </c>
      <c r="D117" s="25"/>
      <c r="E117" s="25"/>
      <c r="F117" s="25"/>
      <c r="G117" s="25" t="str">
        <f>Indexation!G$93</f>
        <v>2018-19 = 1</v>
      </c>
      <c r="H117" s="31"/>
      <c r="I117" s="200">
        <f>Indexation!T$93</f>
        <v>1.2847893279486438</v>
      </c>
      <c r="J117" s="24"/>
      <c r="K117" s="24"/>
      <c r="L117" s="24"/>
      <c r="M117" s="24"/>
      <c r="N117" s="24"/>
      <c r="O117" s="24"/>
      <c r="P117" s="24"/>
      <c r="Q117" s="24"/>
      <c r="R117" s="24"/>
      <c r="S117" s="24"/>
      <c r="T117" s="24"/>
      <c r="U117" s="24"/>
    </row>
    <row r="118" spans="1:21" x14ac:dyDescent="0.2">
      <c r="A118" s="25"/>
      <c r="B118" s="25"/>
      <c r="C118" s="31"/>
      <c r="D118" s="31"/>
      <c r="E118" s="31"/>
      <c r="F118" s="31"/>
      <c r="G118" s="31"/>
      <c r="H118" s="24"/>
      <c r="I118" s="25"/>
      <c r="J118" s="25"/>
      <c r="K118" s="25"/>
      <c r="L118" s="25"/>
      <c r="M118" s="25"/>
      <c r="N118" s="25"/>
      <c r="O118" s="25"/>
      <c r="P118" s="25"/>
      <c r="Q118" s="25"/>
      <c r="R118" s="25"/>
      <c r="S118" s="25"/>
      <c r="T118" s="25"/>
      <c r="U118" s="25"/>
    </row>
    <row r="119" spans="1:21" x14ac:dyDescent="0.2">
      <c r="A119" s="25"/>
      <c r="B119" s="25"/>
      <c r="C119" s="31" t="str">
        <f>C115</f>
        <v>Regulatory Asset Value (for RTNOₜ) 2024-25</v>
      </c>
      <c r="D119" s="31"/>
      <c r="E119" s="31" t="s">
        <v>177</v>
      </c>
      <c r="F119" s="31" t="s">
        <v>178</v>
      </c>
      <c r="G119" s="31" t="s">
        <v>31</v>
      </c>
      <c r="H119" s="24"/>
      <c r="I119" s="171">
        <f t="shared" ref="I119" si="3">I115 * I117</f>
        <v>428.97753753808672</v>
      </c>
      <c r="J119" s="24"/>
      <c r="K119" s="24"/>
      <c r="L119" s="24"/>
      <c r="M119" s="24"/>
      <c r="N119" s="24"/>
      <c r="O119" s="24"/>
      <c r="P119" s="24"/>
      <c r="Q119" s="24"/>
      <c r="R119" s="24"/>
      <c r="S119" s="24"/>
      <c r="T119" s="24"/>
      <c r="U119" s="24"/>
    </row>
    <row r="120" spans="1:21" x14ac:dyDescent="0.2">
      <c r="A120" s="25"/>
      <c r="B120" s="25"/>
      <c r="C120" s="25"/>
      <c r="D120" s="25"/>
      <c r="E120" s="25"/>
      <c r="F120" s="25"/>
      <c r="G120" s="25"/>
      <c r="H120" s="25"/>
      <c r="I120" s="24"/>
      <c r="J120" s="24"/>
      <c r="K120" s="24"/>
      <c r="L120" s="24"/>
      <c r="M120" s="79"/>
      <c r="N120" s="79"/>
      <c r="O120" s="79"/>
      <c r="P120" s="79"/>
      <c r="Q120" s="79"/>
      <c r="R120" s="79"/>
      <c r="S120" s="79"/>
      <c r="T120" s="79"/>
      <c r="U120" s="24"/>
    </row>
    <row r="121" spans="1:21" ht="18" x14ac:dyDescent="0.25">
      <c r="A121" s="85" t="s">
        <v>13</v>
      </c>
      <c r="B121" s="85" t="s">
        <v>179</v>
      </c>
      <c r="C121" s="91"/>
      <c r="D121" s="91"/>
      <c r="E121" s="91"/>
      <c r="F121" s="91"/>
      <c r="G121" s="91"/>
      <c r="H121" s="91"/>
      <c r="I121" s="89"/>
      <c r="J121" s="89"/>
      <c r="K121" s="89"/>
      <c r="L121" s="89"/>
      <c r="M121" s="89"/>
      <c r="N121" s="89"/>
      <c r="O121" s="89"/>
      <c r="P121" s="89"/>
      <c r="Q121" s="89"/>
      <c r="R121" s="89"/>
      <c r="S121" s="89"/>
      <c r="T121" s="89"/>
      <c r="U121" s="89"/>
    </row>
    <row r="122" spans="1:21" x14ac:dyDescent="0.2">
      <c r="A122" s="25"/>
      <c r="B122" s="25"/>
      <c r="C122" s="25"/>
      <c r="D122" s="56"/>
      <c r="E122" s="56"/>
      <c r="F122" s="56"/>
      <c r="G122" s="56"/>
      <c r="H122" s="56"/>
      <c r="I122" s="43"/>
      <c r="J122" s="65"/>
      <c r="K122" s="65"/>
      <c r="L122" s="65"/>
      <c r="M122" s="59"/>
      <c r="N122" s="59"/>
      <c r="O122" s="59"/>
      <c r="P122" s="59"/>
      <c r="Q122" s="59"/>
      <c r="R122" s="59"/>
      <c r="S122" s="59"/>
      <c r="T122" s="59"/>
      <c r="U122" s="65"/>
    </row>
    <row r="123" spans="1:21" x14ac:dyDescent="0.2">
      <c r="A123" s="25"/>
      <c r="B123" s="249" t="s">
        <v>180</v>
      </c>
      <c r="C123" s="25"/>
      <c r="D123" s="56"/>
      <c r="E123" s="56"/>
      <c r="F123" s="56"/>
      <c r="G123" s="56"/>
      <c r="H123" s="56"/>
      <c r="I123" s="43"/>
      <c r="J123" s="65"/>
      <c r="K123" s="65"/>
      <c r="L123" s="65"/>
      <c r="M123" s="59"/>
      <c r="N123" s="59"/>
      <c r="O123" s="59"/>
      <c r="P123" s="59"/>
      <c r="Q123" s="59"/>
      <c r="R123" s="59"/>
      <c r="S123" s="59"/>
      <c r="T123" s="59"/>
      <c r="U123" s="65"/>
    </row>
    <row r="124" spans="1:21" x14ac:dyDescent="0.2">
      <c r="A124" s="24"/>
      <c r="B124" s="24"/>
      <c r="C124" s="24"/>
      <c r="D124" s="24"/>
      <c r="E124" s="24"/>
      <c r="F124" s="24"/>
      <c r="G124" s="24"/>
      <c r="H124" s="24"/>
      <c r="I124" s="24"/>
      <c r="J124" s="24"/>
      <c r="K124" s="24"/>
      <c r="L124" s="24"/>
      <c r="M124" s="24"/>
      <c r="N124" s="24"/>
      <c r="O124" s="24"/>
      <c r="P124" s="24"/>
      <c r="Q124" s="24"/>
      <c r="R124" s="24"/>
      <c r="S124" s="24"/>
      <c r="T124" s="24"/>
      <c r="U124" s="24"/>
    </row>
    <row r="125" spans="1:21" x14ac:dyDescent="0.2">
      <c r="A125" s="25"/>
      <c r="B125" s="25"/>
      <c r="C125" s="31" t="s">
        <v>181</v>
      </c>
      <c r="D125" s="31"/>
      <c r="E125" s="31"/>
      <c r="F125" s="31"/>
      <c r="G125" s="31" t="str">
        <f>G104</f>
        <v>% annual, real</v>
      </c>
      <c r="H125" s="25"/>
      <c r="I125" s="178">
        <f>I104</f>
        <v>2.8357912800000003E-2</v>
      </c>
      <c r="J125" s="24"/>
      <c r="K125" s="24"/>
      <c r="L125" s="24"/>
      <c r="M125" s="79"/>
      <c r="N125" s="79"/>
      <c r="O125" s="79"/>
      <c r="P125" s="79"/>
      <c r="Q125" s="79"/>
      <c r="R125" s="79"/>
      <c r="S125" s="79"/>
      <c r="T125" s="79"/>
      <c r="U125" s="24"/>
    </row>
    <row r="126" spans="1:21" x14ac:dyDescent="0.2">
      <c r="A126" s="25"/>
      <c r="B126" s="25"/>
      <c r="C126" s="31" t="str">
        <f>C119</f>
        <v>Regulatory Asset Value (for RTNOₜ) 2024-25</v>
      </c>
      <c r="D126" s="31"/>
      <c r="E126" s="31"/>
      <c r="F126" s="31"/>
      <c r="G126" s="31" t="str">
        <f>G119</f>
        <v>£m nominal</v>
      </c>
      <c r="H126" s="25"/>
      <c r="I126" s="171">
        <f>I119</f>
        <v>428.97753753808672</v>
      </c>
      <c r="J126" s="24"/>
      <c r="K126" s="24"/>
      <c r="L126" s="24"/>
      <c r="M126" s="79"/>
      <c r="N126" s="79"/>
      <c r="O126" s="79"/>
      <c r="P126" s="79"/>
      <c r="Q126" s="79"/>
      <c r="R126" s="79"/>
      <c r="S126" s="79"/>
      <c r="T126" s="79"/>
      <c r="U126" s="24"/>
    </row>
    <row r="127" spans="1:21" x14ac:dyDescent="0.2">
      <c r="A127" s="25"/>
      <c r="B127" s="25"/>
      <c r="C127" s="25"/>
      <c r="D127" s="25"/>
      <c r="E127" s="25"/>
      <c r="F127" s="25"/>
      <c r="G127" s="25"/>
      <c r="H127" s="25"/>
      <c r="I127" s="24"/>
      <c r="J127" s="24"/>
      <c r="K127" s="24"/>
      <c r="L127" s="24"/>
      <c r="M127" s="79"/>
      <c r="N127" s="79"/>
      <c r="O127" s="79"/>
      <c r="P127" s="79"/>
      <c r="Q127" s="79"/>
      <c r="R127" s="79"/>
      <c r="S127" s="79"/>
      <c r="T127" s="79"/>
      <c r="U127" s="24"/>
    </row>
    <row r="128" spans="1:21" x14ac:dyDescent="0.2">
      <c r="A128" s="25"/>
      <c r="B128" s="25"/>
      <c r="C128" s="31" t="s">
        <v>182</v>
      </c>
      <c r="D128" s="25"/>
      <c r="E128" s="31"/>
      <c r="F128" s="31" t="s">
        <v>183</v>
      </c>
      <c r="G128" s="31" t="s">
        <v>31</v>
      </c>
      <c r="H128" s="25"/>
      <c r="I128" s="180">
        <f>I125 * I126</f>
        <v>12.16490760266379</v>
      </c>
      <c r="J128" s="24"/>
      <c r="K128" s="24"/>
      <c r="L128" s="24"/>
      <c r="M128" s="79"/>
      <c r="N128" s="79"/>
      <c r="O128" s="79"/>
      <c r="P128" s="79"/>
      <c r="Q128" s="79"/>
      <c r="R128" s="79"/>
      <c r="S128" s="79"/>
      <c r="T128" s="79"/>
      <c r="U128" s="24"/>
    </row>
    <row r="129" spans="1:21" x14ac:dyDescent="0.2">
      <c r="A129" s="25"/>
      <c r="B129" s="25"/>
      <c r="C129" s="25"/>
      <c r="D129" s="25"/>
      <c r="E129" s="25"/>
      <c r="F129" s="25"/>
      <c r="G129" s="25"/>
      <c r="H129" s="25"/>
      <c r="I129" s="24"/>
      <c r="J129" s="24"/>
      <c r="K129" s="24"/>
      <c r="L129" s="24"/>
      <c r="M129" s="79"/>
      <c r="N129" s="79"/>
      <c r="O129" s="79"/>
      <c r="P129" s="79"/>
      <c r="Q129" s="79"/>
      <c r="R129" s="79"/>
      <c r="S129" s="79"/>
      <c r="T129" s="79"/>
      <c r="U129" s="24"/>
    </row>
    <row r="130" spans="1:21" ht="18" x14ac:dyDescent="0.25">
      <c r="A130" s="85" t="s">
        <v>13</v>
      </c>
      <c r="B130" s="85" t="s">
        <v>5</v>
      </c>
      <c r="C130" s="91"/>
      <c r="D130" s="91"/>
      <c r="E130" s="91"/>
      <c r="F130" s="91"/>
      <c r="G130" s="91"/>
      <c r="H130" s="91"/>
      <c r="I130" s="89"/>
      <c r="J130" s="89"/>
      <c r="K130" s="89"/>
      <c r="L130" s="89"/>
      <c r="M130" s="89"/>
      <c r="N130" s="89"/>
      <c r="O130" s="89"/>
      <c r="P130" s="89"/>
      <c r="Q130" s="89"/>
      <c r="R130" s="89"/>
      <c r="S130" s="89"/>
      <c r="T130" s="89"/>
      <c r="U130" s="199"/>
    </row>
    <row r="131" spans="1:21" x14ac:dyDescent="0.2">
      <c r="A131" s="25"/>
      <c r="B131" s="25"/>
      <c r="C131" s="25"/>
      <c r="D131" s="25"/>
      <c r="E131" s="25"/>
      <c r="F131" s="25"/>
      <c r="G131" s="25"/>
      <c r="H131" s="25"/>
      <c r="I131" s="24"/>
      <c r="J131" s="24"/>
      <c r="K131" s="24"/>
      <c r="L131" s="24"/>
      <c r="M131" s="24"/>
      <c r="N131" s="24"/>
      <c r="O131" s="24"/>
      <c r="P131" s="24"/>
      <c r="Q131" s="24"/>
      <c r="R131" s="24"/>
      <c r="S131" s="24"/>
      <c r="T131" s="195"/>
      <c r="U131" s="24"/>
    </row>
    <row r="132" spans="1:21" x14ac:dyDescent="0.2">
      <c r="A132" s="25"/>
      <c r="B132" s="25"/>
      <c r="C132" s="25" t="s">
        <v>96</v>
      </c>
      <c r="D132" s="25"/>
      <c r="E132" s="25"/>
      <c r="F132" s="25"/>
      <c r="G132" s="25" t="s">
        <v>97</v>
      </c>
      <c r="H132" s="25"/>
      <c r="I132" s="24"/>
      <c r="J132" s="24"/>
      <c r="K132" s="78">
        <f>SUM(K4:K131)</f>
        <v>0</v>
      </c>
      <c r="L132" s="24"/>
      <c r="M132" s="24"/>
      <c r="N132" s="24"/>
      <c r="O132" s="24"/>
      <c r="P132" s="24"/>
      <c r="Q132" s="24"/>
      <c r="R132" s="24"/>
      <c r="S132" s="24"/>
      <c r="T132" s="79"/>
      <c r="U132" s="24"/>
    </row>
    <row r="133" spans="1:21" x14ac:dyDescent="0.2">
      <c r="A133" s="25"/>
      <c r="B133" s="25"/>
      <c r="C133" s="25"/>
      <c r="D133" s="25"/>
      <c r="E133" s="25"/>
      <c r="F133" s="25"/>
      <c r="G133" s="25"/>
      <c r="H133" s="25"/>
      <c r="I133" s="24"/>
      <c r="J133" s="24"/>
      <c r="K133" s="24"/>
      <c r="L133" s="24"/>
      <c r="M133" s="24"/>
      <c r="N133" s="24"/>
      <c r="O133" s="24"/>
      <c r="P133" s="24"/>
      <c r="Q133" s="24"/>
      <c r="R133" s="24"/>
      <c r="S133" s="24"/>
      <c r="T133" s="79"/>
      <c r="U133" s="24"/>
    </row>
    <row r="134" spans="1:21" ht="18" x14ac:dyDescent="0.25">
      <c r="A134" s="85" t="s">
        <v>13</v>
      </c>
      <c r="B134" s="85" t="s">
        <v>98</v>
      </c>
      <c r="C134" s="91"/>
      <c r="D134" s="91"/>
      <c r="E134" s="91"/>
      <c r="F134" s="91"/>
      <c r="G134" s="91"/>
      <c r="H134" s="91"/>
      <c r="I134" s="89"/>
      <c r="J134" s="89"/>
      <c r="K134" s="89"/>
      <c r="L134" s="89"/>
      <c r="M134" s="89"/>
      <c r="N134" s="89"/>
      <c r="O134" s="89"/>
      <c r="P134" s="89"/>
      <c r="Q134" s="89"/>
      <c r="R134" s="89"/>
      <c r="S134" s="89"/>
      <c r="T134" s="89"/>
      <c r="U134" s="199"/>
    </row>
  </sheetData>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19" id="{F71AD643-ECF6-48CB-A0EB-2D45BC72923C}">
            <xm:f>Control!$F$29 &lt;&gt; 0</xm:f>
            <x14:dxf>
              <fill>
                <patternFill>
                  <bgColor rgb="FFFFFF00"/>
                </patternFill>
              </fill>
            </x14:dxf>
          </x14:cfRule>
          <x14:cfRule type="expression" priority="20" id="{19AECC48-C77F-436C-9B4D-21E18B19E352}">
            <xm:f>Control!$F$29 = 0</xm:f>
            <x14:dxf>
              <fill>
                <patternFill>
                  <bgColor theme="9"/>
                </patternFill>
              </fill>
            </x14:dxf>
          </x14:cfRule>
          <xm:sqref>A8:U8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FFA78B"/>
  </sheetPr>
  <dimension ref="A1:AH128"/>
  <sheetViews>
    <sheetView showGridLines="0" zoomScale="80" zoomScaleNormal="80" workbookViewId="0">
      <pane xSplit="12" ySplit="10" topLeftCell="S13" activePane="bottomRight" state="frozen"/>
      <selection pane="topRight"/>
      <selection pane="bottomLeft"/>
      <selection pane="bottomRight" activeCell="G62" sqref="G62"/>
    </sheetView>
  </sheetViews>
  <sheetFormatPr defaultColWidth="0" defaultRowHeight="14.25" x14ac:dyDescent="0.2"/>
  <cols>
    <col min="1" max="3" width="2.5" style="16" customWidth="1"/>
    <col min="4" max="4" width="55.5" style="16" customWidth="1"/>
    <col min="5" max="5" width="25.5" style="16" customWidth="1"/>
    <col min="6" max="7" width="20.5" style="16" customWidth="1"/>
    <col min="8" max="8" width="2.5" style="16" customWidth="1"/>
    <col min="9" max="9" width="12.5" style="3" customWidth="1"/>
    <col min="10" max="10" width="2.5" style="3" customWidth="1"/>
    <col min="11" max="11" width="12.5" style="3" customWidth="1"/>
    <col min="12" max="12" width="2.5" style="3" customWidth="1"/>
    <col min="13" max="27" width="12.5" style="3" customWidth="1"/>
    <col min="28" max="28" width="2.5" style="3" customWidth="1"/>
    <col min="29" max="34" width="0" style="3" hidden="1" customWidth="1"/>
    <col min="35" max="16384" width="9.5" style="3" hidden="1"/>
  </cols>
  <sheetData>
    <row r="1" spans="1:28" s="10" customFormat="1" ht="23.25" x14ac:dyDescent="0.35">
      <c r="A1" s="80"/>
      <c r="B1" s="80" t="str" cm="1">
        <f t="array" aca="1" ref="B1" ca="1">MID(CELL("filename", A1), FIND("]", CELL("filename", A1)) + 1, 255)</f>
        <v>LEG</v>
      </c>
      <c r="C1" s="80"/>
      <c r="D1" s="80"/>
      <c r="E1" s="80"/>
      <c r="F1" s="208"/>
      <c r="G1" s="81"/>
      <c r="H1" s="81"/>
      <c r="I1" s="82"/>
      <c r="J1" s="82"/>
      <c r="K1" s="82"/>
      <c r="L1" s="82"/>
      <c r="M1" s="82"/>
      <c r="N1" s="82"/>
      <c r="O1" s="82"/>
      <c r="P1" s="82"/>
      <c r="Q1" s="83"/>
      <c r="R1" s="83"/>
      <c r="S1" s="83"/>
      <c r="T1" s="83"/>
      <c r="U1" s="83"/>
      <c r="V1" s="83"/>
      <c r="W1" s="83"/>
      <c r="X1" s="83"/>
      <c r="Y1" s="83"/>
      <c r="Z1" s="83"/>
      <c r="AA1" s="83"/>
      <c r="AB1" s="83"/>
    </row>
    <row r="2" spans="1:28" ht="4.5" customHeight="1" x14ac:dyDescent="0.2">
      <c r="A2" s="25"/>
      <c r="B2" s="27"/>
      <c r="C2" s="27"/>
      <c r="D2" s="25"/>
      <c r="E2" s="25"/>
      <c r="F2" s="25"/>
      <c r="G2" s="45"/>
      <c r="H2" s="45"/>
      <c r="I2" s="30"/>
      <c r="J2" s="30"/>
      <c r="K2" s="30"/>
      <c r="L2" s="30"/>
      <c r="M2" s="30"/>
      <c r="N2" s="30"/>
      <c r="O2" s="30"/>
      <c r="P2" s="30"/>
      <c r="Q2" s="24"/>
      <c r="R2" s="24"/>
      <c r="S2" s="24"/>
      <c r="T2" s="24"/>
      <c r="U2" s="24"/>
      <c r="V2" s="24"/>
      <c r="W2" s="24"/>
      <c r="X2" s="24"/>
      <c r="Y2" s="24"/>
      <c r="Z2" s="24"/>
      <c r="AA2" s="24"/>
      <c r="AB2" s="24"/>
    </row>
    <row r="3" spans="1:28" ht="15" customHeight="1" x14ac:dyDescent="0.2">
      <c r="A3" s="25"/>
      <c r="B3" s="27"/>
      <c r="C3" s="27"/>
      <c r="D3" s="25"/>
      <c r="E3" s="28" t="s">
        <v>1</v>
      </c>
      <c r="F3" s="28" t="s">
        <v>2</v>
      </c>
      <c r="G3" s="28" t="s">
        <v>3</v>
      </c>
      <c r="H3" s="25"/>
      <c r="I3" s="29" t="s">
        <v>4</v>
      </c>
      <c r="J3" s="24"/>
      <c r="K3" s="29" t="s">
        <v>5</v>
      </c>
      <c r="L3" s="30"/>
      <c r="M3" s="30"/>
      <c r="N3" s="30"/>
      <c r="O3" s="30"/>
      <c r="P3" s="30"/>
      <c r="Q3" s="24"/>
      <c r="R3" s="24"/>
      <c r="S3" s="24"/>
      <c r="T3" s="24"/>
      <c r="U3" s="24"/>
      <c r="V3" s="24"/>
      <c r="W3" s="24"/>
      <c r="X3" s="24"/>
      <c r="Y3" s="24"/>
      <c r="Z3" s="24"/>
      <c r="AA3" s="24"/>
      <c r="AB3" s="24"/>
    </row>
    <row r="4" spans="1:28" s="12" customFormat="1" ht="14.45" customHeight="1" x14ac:dyDescent="0.2">
      <c r="A4" s="35"/>
      <c r="B4" s="35"/>
      <c r="C4" s="35" t="str">
        <f xml:space="preserve"> Inputs!C4</f>
        <v>Model Year Count</v>
      </c>
      <c r="D4" s="35"/>
      <c r="E4" s="35"/>
      <c r="F4" s="35"/>
      <c r="G4" s="35" t="str">
        <f xml:space="preserve"> Inputs!G4</f>
        <v>Count</v>
      </c>
      <c r="H4" s="35"/>
      <c r="I4" s="101"/>
      <c r="J4" s="39"/>
      <c r="K4" s="39"/>
      <c r="L4" s="39"/>
      <c r="M4" s="39">
        <f>Inputs!M4</f>
        <v>1</v>
      </c>
      <c r="N4" s="39">
        <f>Inputs!N4</f>
        <v>2</v>
      </c>
      <c r="O4" s="39">
        <f>Inputs!O4</f>
        <v>3</v>
      </c>
      <c r="P4" s="39">
        <f>Inputs!P4</f>
        <v>4</v>
      </c>
      <c r="Q4" s="39">
        <f>Inputs!Q4</f>
        <v>5</v>
      </c>
      <c r="R4" s="39">
        <f>Inputs!R4</f>
        <v>6</v>
      </c>
      <c r="S4" s="39">
        <f>Inputs!S4</f>
        <v>7</v>
      </c>
      <c r="T4" s="39">
        <f>Inputs!T4</f>
        <v>8</v>
      </c>
      <c r="U4" s="39">
        <f>Inputs!U4</f>
        <v>9</v>
      </c>
      <c r="V4" s="39">
        <f>Inputs!V4</f>
        <v>10</v>
      </c>
      <c r="W4" s="39">
        <f>Inputs!W4</f>
        <v>11</v>
      </c>
      <c r="X4" s="39">
        <f>Inputs!X4</f>
        <v>12</v>
      </c>
      <c r="Y4" s="39">
        <f>Inputs!Y4</f>
        <v>13</v>
      </c>
      <c r="Z4" s="39">
        <f>Inputs!Z4</f>
        <v>14</v>
      </c>
      <c r="AA4" s="39">
        <f>Inputs!AA4</f>
        <v>15</v>
      </c>
      <c r="AB4" s="39"/>
    </row>
    <row r="5" spans="1:28" s="12" customFormat="1" ht="14.45" customHeight="1" x14ac:dyDescent="0.2">
      <c r="A5" s="35"/>
      <c r="B5" s="35"/>
      <c r="C5" s="35" t="str">
        <f xml:space="preserve"> Inputs!C5</f>
        <v>Period start</v>
      </c>
      <c r="D5" s="35"/>
      <c r="E5" s="35"/>
      <c r="F5" s="35"/>
      <c r="G5" s="35" t="str">
        <f xml:space="preserve"> Inputs!G5</f>
        <v>Date</v>
      </c>
      <c r="H5" s="35"/>
      <c r="I5" s="101"/>
      <c r="J5" s="39"/>
      <c r="K5" s="39"/>
      <c r="L5" s="39"/>
      <c r="M5" s="41">
        <f>Inputs!M5</f>
        <v>42826</v>
      </c>
      <c r="N5" s="41">
        <f>Inputs!N5</f>
        <v>43191</v>
      </c>
      <c r="O5" s="41">
        <f>Inputs!O5</f>
        <v>43556</v>
      </c>
      <c r="P5" s="41">
        <f>Inputs!P5</f>
        <v>43922</v>
      </c>
      <c r="Q5" s="41">
        <f>Inputs!Q5</f>
        <v>44287</v>
      </c>
      <c r="R5" s="41">
        <f>Inputs!R5</f>
        <v>44652</v>
      </c>
      <c r="S5" s="41">
        <f>Inputs!S5</f>
        <v>45017</v>
      </c>
      <c r="T5" s="41">
        <f>Inputs!T5</f>
        <v>45383</v>
      </c>
      <c r="U5" s="41">
        <f>Inputs!U5</f>
        <v>45748</v>
      </c>
      <c r="V5" s="41">
        <f>Inputs!V5</f>
        <v>46113</v>
      </c>
      <c r="W5" s="41">
        <f>Inputs!W5</f>
        <v>46478</v>
      </c>
      <c r="X5" s="41">
        <f>Inputs!X5</f>
        <v>46844</v>
      </c>
      <c r="Y5" s="41">
        <f>Inputs!Y5</f>
        <v>47209</v>
      </c>
      <c r="Z5" s="41">
        <f>Inputs!Z5</f>
        <v>47574</v>
      </c>
      <c r="AA5" s="41">
        <f>Inputs!AA5</f>
        <v>47939</v>
      </c>
      <c r="AB5" s="149"/>
    </row>
    <row r="6" spans="1:28" s="12" customFormat="1" ht="14.45" customHeight="1" x14ac:dyDescent="0.2">
      <c r="A6" s="35"/>
      <c r="B6" s="35"/>
      <c r="C6" s="35" t="str">
        <f xml:space="preserve"> Inputs!C6</f>
        <v>Period end</v>
      </c>
      <c r="D6" s="35"/>
      <c r="E6" s="35"/>
      <c r="F6" s="35"/>
      <c r="G6" s="35" t="str">
        <f xml:space="preserve"> Inputs!G6</f>
        <v>Date</v>
      </c>
      <c r="H6" s="35"/>
      <c r="I6" s="101"/>
      <c r="J6" s="39"/>
      <c r="K6" s="39"/>
      <c r="L6" s="39"/>
      <c r="M6" s="41">
        <f>Inputs!M6</f>
        <v>43190</v>
      </c>
      <c r="N6" s="41">
        <f>Inputs!N6</f>
        <v>43555</v>
      </c>
      <c r="O6" s="41">
        <f>Inputs!O6</f>
        <v>43921</v>
      </c>
      <c r="P6" s="41">
        <f>Inputs!P6</f>
        <v>44286</v>
      </c>
      <c r="Q6" s="41">
        <f>Inputs!Q6</f>
        <v>44651</v>
      </c>
      <c r="R6" s="41">
        <f>Inputs!R6</f>
        <v>45016</v>
      </c>
      <c r="S6" s="41">
        <f>Inputs!S6</f>
        <v>45382</v>
      </c>
      <c r="T6" s="41">
        <f>Inputs!T6</f>
        <v>45747</v>
      </c>
      <c r="U6" s="41">
        <f>Inputs!U6</f>
        <v>46112</v>
      </c>
      <c r="V6" s="41">
        <f>Inputs!V6</f>
        <v>46477</v>
      </c>
      <c r="W6" s="41">
        <f>Inputs!W6</f>
        <v>46843</v>
      </c>
      <c r="X6" s="41">
        <f>Inputs!X6</f>
        <v>47208</v>
      </c>
      <c r="Y6" s="41">
        <f>Inputs!Y6</f>
        <v>47573</v>
      </c>
      <c r="Z6" s="41">
        <f>Inputs!Z6</f>
        <v>47938</v>
      </c>
      <c r="AA6" s="41">
        <f>Inputs!AA6</f>
        <v>48304</v>
      </c>
      <c r="AB6" s="150"/>
    </row>
    <row r="7" spans="1:28" ht="15" customHeight="1" x14ac:dyDescent="0.2">
      <c r="A7" s="25"/>
      <c r="B7" s="27"/>
      <c r="C7" s="25" t="s">
        <v>11</v>
      </c>
      <c r="D7" s="25"/>
      <c r="E7" s="25"/>
      <c r="F7" s="25"/>
      <c r="G7" s="35" t="str">
        <f xml:space="preserve"> Inputs!G7</f>
        <v>Fin Year</v>
      </c>
      <c r="H7" s="45"/>
      <c r="I7" s="24"/>
      <c r="J7" s="30"/>
      <c r="K7" s="30"/>
      <c r="L7" s="30"/>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30" t="str">
        <f>Inputs!U7</f>
        <v>2025-26</v>
      </c>
      <c r="V7" s="30" t="str">
        <f>Inputs!V7</f>
        <v>2026-27</v>
      </c>
      <c r="W7" s="30" t="str">
        <f>Inputs!W7</f>
        <v>2027-28</v>
      </c>
      <c r="X7" s="30" t="str">
        <f>Inputs!X7</f>
        <v>2028-29</v>
      </c>
      <c r="Y7" s="30" t="str">
        <f>Inputs!Y7</f>
        <v>2029-30</v>
      </c>
      <c r="Z7" s="30" t="str">
        <f>Inputs!Z7</f>
        <v>2030-31</v>
      </c>
      <c r="AA7" s="30" t="str">
        <f>Inputs!AA7</f>
        <v>2031-32</v>
      </c>
      <c r="AB7" s="24"/>
    </row>
    <row r="8" spans="1:28" x14ac:dyDescent="0.2">
      <c r="A8" s="25"/>
      <c r="B8" s="27" t="str">
        <f>"Model Checks - " &amp; Check</f>
        <v>Model Checks - PASS</v>
      </c>
      <c r="C8" s="27"/>
      <c r="D8" s="25"/>
      <c r="E8" s="25"/>
      <c r="F8" s="25"/>
      <c r="G8" s="45"/>
      <c r="H8" s="45"/>
      <c r="I8" s="30"/>
      <c r="J8" s="30"/>
      <c r="K8" s="30"/>
      <c r="L8" s="30"/>
      <c r="M8" s="30"/>
      <c r="N8" s="30"/>
      <c r="O8" s="30"/>
      <c r="P8" s="30"/>
      <c r="Q8" s="24"/>
      <c r="R8" s="24"/>
      <c r="S8" s="24"/>
      <c r="T8" s="24"/>
      <c r="U8" s="24"/>
      <c r="V8" s="24"/>
      <c r="W8" s="24"/>
      <c r="X8" s="24"/>
      <c r="Y8" s="24"/>
      <c r="Z8" s="24"/>
      <c r="AA8" s="24"/>
      <c r="AB8" s="24"/>
    </row>
    <row r="9" spans="1:28" ht="4.5" customHeight="1" x14ac:dyDescent="0.2">
      <c r="A9" s="25"/>
      <c r="B9" s="27"/>
      <c r="C9" s="27"/>
      <c r="D9" s="25"/>
      <c r="E9" s="25"/>
      <c r="F9" s="25"/>
      <c r="G9" s="45"/>
      <c r="H9" s="45"/>
      <c r="I9" s="30"/>
      <c r="J9" s="30"/>
      <c r="K9" s="30"/>
      <c r="L9" s="30"/>
      <c r="M9" s="30"/>
      <c r="N9" s="30"/>
      <c r="O9" s="30"/>
      <c r="P9" s="30"/>
      <c r="Q9" s="24"/>
      <c r="R9" s="24"/>
      <c r="S9" s="24"/>
      <c r="T9" s="24"/>
      <c r="U9" s="24"/>
      <c r="V9" s="24"/>
      <c r="W9" s="24"/>
      <c r="X9" s="24"/>
      <c r="Y9" s="24"/>
      <c r="Z9" s="24"/>
      <c r="AA9" s="24"/>
      <c r="AB9" s="24"/>
    </row>
    <row r="10" spans="1:28" s="209" customFormat="1" ht="23.25" x14ac:dyDescent="0.35">
      <c r="A10" s="80"/>
      <c r="B10" s="80" t="str">
        <f>Project_Name</f>
        <v>Legacy Closeout Model</v>
      </c>
      <c r="C10" s="80"/>
      <c r="D10" s="80"/>
      <c r="E10" s="80"/>
      <c r="F10" s="208"/>
      <c r="G10" s="81"/>
      <c r="H10" s="81"/>
      <c r="I10" s="82"/>
      <c r="J10" s="82"/>
      <c r="K10" s="82"/>
      <c r="L10" s="82"/>
      <c r="M10" s="82"/>
      <c r="N10" s="82"/>
      <c r="O10" s="82"/>
      <c r="P10" s="82"/>
      <c r="Q10" s="83"/>
      <c r="R10" s="83"/>
      <c r="S10" s="83"/>
      <c r="T10" s="83"/>
      <c r="U10" s="83"/>
      <c r="V10" s="83"/>
      <c r="W10" s="83"/>
      <c r="X10" s="83"/>
      <c r="Y10" s="83"/>
      <c r="Z10" s="83"/>
      <c r="AA10" s="83"/>
      <c r="AB10" s="83"/>
    </row>
    <row r="11" spans="1:28" customFormat="1" x14ac:dyDescent="0.2">
      <c r="A11" s="25"/>
      <c r="B11" s="25"/>
      <c r="C11" s="25"/>
      <c r="D11" s="25"/>
      <c r="E11" s="25"/>
      <c r="F11" s="25"/>
      <c r="G11" s="25"/>
      <c r="H11" s="25"/>
      <c r="I11" s="24"/>
      <c r="J11" s="24"/>
      <c r="K11" s="24"/>
      <c r="L11" s="24"/>
      <c r="M11" s="24"/>
      <c r="N11" s="24"/>
      <c r="O11" s="24"/>
      <c r="P11" s="24"/>
      <c r="Q11" s="24"/>
      <c r="R11" s="24"/>
      <c r="S11" s="24"/>
      <c r="T11" s="24"/>
      <c r="U11" s="24"/>
      <c r="V11" s="24"/>
      <c r="W11" s="24"/>
      <c r="X11" s="24"/>
      <c r="Y11" s="24"/>
      <c r="Z11" s="24"/>
      <c r="AA11" s="24"/>
      <c r="AB11" s="24"/>
    </row>
    <row r="12" spans="1:28" customFormat="1" ht="18" x14ac:dyDescent="0.25">
      <c r="A12" s="85" t="s">
        <v>13</v>
      </c>
      <c r="B12" s="85" t="str">
        <f>D111</f>
        <v>Controllable expenditure</v>
      </c>
      <c r="C12" s="91"/>
      <c r="D12" s="91"/>
      <c r="E12" s="91"/>
      <c r="F12" s="210"/>
      <c r="G12" s="91"/>
      <c r="H12" s="91"/>
      <c r="I12" s="89"/>
      <c r="J12" s="89"/>
      <c r="K12" s="89"/>
      <c r="L12" s="89"/>
      <c r="M12" s="89"/>
      <c r="N12" s="89"/>
      <c r="O12" s="89"/>
      <c r="P12" s="89"/>
      <c r="Q12" s="89"/>
      <c r="R12" s="89"/>
      <c r="S12" s="89"/>
      <c r="T12" s="211"/>
      <c r="U12" s="211"/>
      <c r="V12" s="211"/>
      <c r="W12" s="211"/>
      <c r="X12" s="211"/>
      <c r="Y12" s="211"/>
      <c r="Z12" s="211"/>
      <c r="AA12" s="211"/>
      <c r="AB12" s="89"/>
    </row>
    <row r="13" spans="1:28" customFormat="1" x14ac:dyDescent="0.2">
      <c r="A13" s="25"/>
      <c r="B13" s="25"/>
      <c r="C13" s="25"/>
      <c r="D13" s="25"/>
      <c r="E13" s="25"/>
      <c r="F13" s="25"/>
      <c r="G13" s="25"/>
      <c r="H13" s="25"/>
      <c r="I13" s="24"/>
      <c r="J13" s="24"/>
      <c r="K13" s="24"/>
      <c r="L13" s="24"/>
      <c r="M13" s="24"/>
      <c r="N13" s="24"/>
      <c r="O13" s="24"/>
      <c r="P13" s="24"/>
      <c r="Q13" s="24"/>
      <c r="R13" s="24"/>
      <c r="S13" s="24"/>
      <c r="T13" s="24"/>
      <c r="U13" s="24"/>
      <c r="V13" s="24"/>
      <c r="W13" s="24"/>
      <c r="X13" s="24"/>
      <c r="Y13" s="24"/>
      <c r="Z13" s="24"/>
      <c r="AA13" s="24"/>
      <c r="AB13" s="24"/>
    </row>
    <row r="14" spans="1:28" customFormat="1" x14ac:dyDescent="0.2">
      <c r="A14" s="25"/>
      <c r="B14" s="249" t="s">
        <v>184</v>
      </c>
      <c r="C14" s="25"/>
      <c r="D14" s="25"/>
      <c r="E14" s="25"/>
      <c r="F14" s="25"/>
      <c r="G14" s="25"/>
      <c r="H14" s="25"/>
      <c r="I14" s="24"/>
      <c r="J14" s="24"/>
      <c r="K14" s="24"/>
      <c r="L14" s="24"/>
      <c r="M14" s="24"/>
      <c r="N14" s="24"/>
      <c r="O14" s="24"/>
      <c r="P14" s="24"/>
      <c r="Q14" s="24"/>
      <c r="R14" s="24"/>
      <c r="S14" s="24"/>
      <c r="T14" s="24"/>
      <c r="U14" s="24"/>
      <c r="V14" s="24"/>
      <c r="W14" s="24"/>
      <c r="X14" s="24"/>
      <c r="Y14" s="24"/>
      <c r="Z14" s="24"/>
      <c r="AA14" s="24"/>
      <c r="AB14" s="24"/>
    </row>
    <row r="15" spans="1:28" customFormat="1" x14ac:dyDescent="0.2">
      <c r="A15" s="25"/>
      <c r="B15" s="249" t="s">
        <v>185</v>
      </c>
      <c r="C15" s="25"/>
      <c r="D15" s="25"/>
      <c r="E15" s="25"/>
      <c r="F15" s="25"/>
      <c r="G15" s="25"/>
      <c r="H15" s="25"/>
      <c r="I15" s="24"/>
      <c r="J15" s="24"/>
      <c r="K15" s="24"/>
      <c r="L15" s="24"/>
      <c r="M15" s="24"/>
      <c r="N15" s="24"/>
      <c r="O15" s="24"/>
      <c r="P15" s="24"/>
      <c r="Q15" s="24"/>
      <c r="R15" s="24"/>
      <c r="S15" s="24"/>
      <c r="T15" s="24"/>
      <c r="U15" s="24"/>
      <c r="V15" s="24"/>
      <c r="W15" s="24"/>
      <c r="X15" s="24"/>
      <c r="Y15" s="24"/>
      <c r="Z15" s="24"/>
      <c r="AA15" s="24"/>
      <c r="AB15" s="24"/>
    </row>
    <row r="16" spans="1:28" customFormat="1" x14ac:dyDescent="0.2">
      <c r="A16" s="25"/>
      <c r="B16" s="25"/>
      <c r="C16" s="25"/>
      <c r="D16" s="25"/>
      <c r="E16" s="25"/>
      <c r="F16" s="25"/>
      <c r="G16" s="25"/>
      <c r="H16" s="25"/>
      <c r="I16" s="24"/>
      <c r="J16" s="24"/>
      <c r="K16" s="24"/>
      <c r="L16" s="24"/>
      <c r="M16" s="24"/>
      <c r="N16" s="24"/>
      <c r="O16" s="24"/>
      <c r="P16" s="24"/>
      <c r="Q16" s="24"/>
      <c r="R16" s="24"/>
      <c r="S16" s="24"/>
      <c r="T16" s="24"/>
      <c r="U16" s="24"/>
      <c r="V16" s="24"/>
      <c r="W16" s="24"/>
      <c r="X16" s="24"/>
      <c r="Y16" s="24"/>
      <c r="Z16" s="24"/>
      <c r="AA16" s="24"/>
      <c r="AB16" s="24"/>
    </row>
    <row r="17" spans="1:28" customFormat="1" ht="15" x14ac:dyDescent="0.2">
      <c r="A17" s="25"/>
      <c r="B17" s="25"/>
      <c r="C17" s="28" t="s">
        <v>186</v>
      </c>
      <c r="D17" s="25"/>
      <c r="E17" s="25"/>
      <c r="F17" s="25"/>
      <c r="G17" s="25"/>
      <c r="H17" s="25"/>
      <c r="I17" s="24"/>
      <c r="J17" s="24"/>
      <c r="K17" s="24"/>
      <c r="L17" s="24"/>
      <c r="M17" s="24"/>
      <c r="N17" s="24"/>
      <c r="O17" s="24"/>
      <c r="P17" s="24"/>
      <c r="Q17" s="24"/>
      <c r="R17" s="24"/>
      <c r="S17" s="24"/>
      <c r="T17" s="24"/>
      <c r="U17" s="24"/>
      <c r="V17" s="24"/>
      <c r="W17" s="24"/>
      <c r="X17" s="24"/>
      <c r="Y17" s="24"/>
      <c r="Z17" s="24"/>
      <c r="AA17" s="24"/>
      <c r="AB17" s="24"/>
    </row>
    <row r="18" spans="1:28" customFormat="1" x14ac:dyDescent="0.2">
      <c r="A18" s="25"/>
      <c r="B18" s="25"/>
      <c r="C18" s="25"/>
      <c r="D18" s="66" t="s">
        <v>187</v>
      </c>
      <c r="E18" s="66"/>
      <c r="F18" s="66"/>
      <c r="G18" s="66" t="str">
        <f>Inputs!G$36</f>
        <v>£m nominal</v>
      </c>
      <c r="H18" s="66"/>
      <c r="I18" s="197">
        <f>Inputs!I$36</f>
        <v>146.23136635309655</v>
      </c>
      <c r="J18" s="24"/>
      <c r="K18" s="24"/>
      <c r="L18" s="24"/>
      <c r="M18" s="24"/>
      <c r="N18" s="24"/>
      <c r="O18" s="24"/>
      <c r="P18" s="24"/>
      <c r="Q18" s="24"/>
      <c r="R18" s="24"/>
      <c r="S18" s="24"/>
      <c r="T18" s="24"/>
      <c r="U18" s="24"/>
      <c r="V18" s="24"/>
      <c r="W18" s="24"/>
      <c r="X18" s="24"/>
      <c r="Y18" s="24"/>
      <c r="Z18" s="24"/>
      <c r="AA18" s="24"/>
      <c r="AB18" s="24"/>
    </row>
    <row r="19" spans="1:28" customFormat="1" x14ac:dyDescent="0.2">
      <c r="A19" s="25"/>
      <c r="B19" s="25"/>
      <c r="C19" s="25"/>
      <c r="D19" s="31" t="s">
        <v>188</v>
      </c>
      <c r="E19" s="31"/>
      <c r="F19" s="31"/>
      <c r="G19" s="31" t="str">
        <f>Inputs!G$37</f>
        <v>£m nominal</v>
      </c>
      <c r="H19" s="31"/>
      <c r="I19" s="214">
        <f>Inputs!I$37</f>
        <v>91.015978923215627</v>
      </c>
      <c r="J19" s="24"/>
      <c r="K19" s="24"/>
      <c r="L19" s="24"/>
      <c r="M19" s="24"/>
      <c r="N19" s="24"/>
      <c r="O19" s="24"/>
      <c r="P19" s="24"/>
      <c r="Q19" s="24"/>
      <c r="R19" s="24"/>
      <c r="S19" s="24"/>
      <c r="T19" s="24"/>
      <c r="U19" s="24"/>
      <c r="V19" s="24"/>
      <c r="W19" s="24"/>
      <c r="X19" s="24"/>
      <c r="Y19" s="24"/>
      <c r="Z19" s="24"/>
      <c r="AA19" s="24"/>
      <c r="AB19" s="24"/>
    </row>
    <row r="20" spans="1:28" customFormat="1" x14ac:dyDescent="0.2">
      <c r="A20" s="25"/>
      <c r="B20" s="25"/>
      <c r="C20" s="25"/>
      <c r="D20" s="69" t="s">
        <v>189</v>
      </c>
      <c r="E20" s="69"/>
      <c r="F20" s="69"/>
      <c r="G20" s="69" t="s">
        <v>31</v>
      </c>
      <c r="H20" s="69"/>
      <c r="I20" s="185">
        <f>SUM(I18:I19)</f>
        <v>237.24734527631216</v>
      </c>
      <c r="J20" s="24"/>
      <c r="K20" s="24"/>
      <c r="L20" s="24"/>
      <c r="M20" s="24"/>
      <c r="N20" s="24"/>
      <c r="O20" s="24"/>
      <c r="P20" s="24"/>
      <c r="Q20" s="24"/>
      <c r="R20" s="24"/>
      <c r="S20" s="24"/>
      <c r="T20" s="24"/>
      <c r="U20" s="24"/>
      <c r="V20" s="24"/>
      <c r="W20" s="24"/>
      <c r="X20" s="24"/>
      <c r="Y20" s="24"/>
      <c r="Z20" s="24"/>
      <c r="AA20" s="24"/>
      <c r="AB20" s="24"/>
    </row>
    <row r="21" spans="1:28" customFormat="1" x14ac:dyDescent="0.2">
      <c r="A21" s="25"/>
      <c r="B21" s="25"/>
      <c r="C21" s="25"/>
      <c r="D21" s="25"/>
      <c r="E21" s="25"/>
      <c r="F21" s="25"/>
      <c r="G21" s="25"/>
      <c r="H21" s="25"/>
      <c r="I21" s="24"/>
      <c r="J21" s="24"/>
      <c r="K21" s="24"/>
      <c r="L21" s="24"/>
      <c r="M21" s="24"/>
      <c r="N21" s="24"/>
      <c r="O21" s="24"/>
      <c r="P21" s="24"/>
      <c r="Q21" s="24"/>
      <c r="R21" s="24"/>
      <c r="S21" s="24"/>
      <c r="T21" s="24"/>
      <c r="U21" s="24"/>
      <c r="V21" s="24"/>
      <c r="W21" s="24"/>
      <c r="X21" s="24"/>
      <c r="Y21" s="24"/>
      <c r="Z21" s="24"/>
      <c r="AA21" s="24"/>
      <c r="AB21" s="24"/>
    </row>
    <row r="22" spans="1:28" customFormat="1" x14ac:dyDescent="0.2">
      <c r="A22" s="25"/>
      <c r="B22" s="25"/>
      <c r="C22" s="25" t="str">
        <f>Inputs!C$48</f>
        <v>Capitalised share of totex</v>
      </c>
      <c r="D22" s="25"/>
      <c r="E22" s="25"/>
      <c r="F22" s="25"/>
      <c r="G22" s="25" t="str">
        <f>Inputs!G$48</f>
        <v>%</v>
      </c>
      <c r="H22" s="25"/>
      <c r="I22" s="147">
        <f>Inputs!I$48</f>
        <v>0.376</v>
      </c>
      <c r="J22" s="24"/>
      <c r="K22" s="24"/>
      <c r="L22" s="24"/>
      <c r="M22" s="24"/>
      <c r="N22" s="24"/>
      <c r="O22" s="24"/>
      <c r="P22" s="24"/>
      <c r="Q22" s="24"/>
      <c r="R22" s="24"/>
      <c r="S22" s="24"/>
      <c r="T22" s="24"/>
      <c r="U22" s="24"/>
      <c r="V22" s="24"/>
      <c r="W22" s="24"/>
      <c r="X22" s="24"/>
      <c r="Y22" s="24"/>
      <c r="Z22" s="24"/>
      <c r="AA22" s="24"/>
      <c r="AB22" s="24"/>
    </row>
    <row r="23" spans="1:28" customFormat="1" x14ac:dyDescent="0.2">
      <c r="A23" s="25"/>
      <c r="B23" s="25"/>
      <c r="C23" s="25"/>
      <c r="D23" s="25"/>
      <c r="E23" s="25"/>
      <c r="F23" s="25"/>
      <c r="G23" s="25"/>
      <c r="H23" s="25"/>
      <c r="I23" s="24"/>
      <c r="J23" s="24"/>
      <c r="K23" s="24"/>
      <c r="L23" s="24"/>
      <c r="M23" s="24"/>
      <c r="N23" s="24"/>
      <c r="O23" s="24"/>
      <c r="P23" s="24"/>
      <c r="Q23" s="24"/>
      <c r="R23" s="24"/>
      <c r="S23" s="24"/>
      <c r="T23" s="24"/>
      <c r="U23" s="24"/>
      <c r="V23" s="24"/>
      <c r="W23" s="24"/>
      <c r="X23" s="24"/>
      <c r="Y23" s="24"/>
      <c r="Z23" s="24"/>
      <c r="AA23" s="24"/>
      <c r="AB23" s="24"/>
    </row>
    <row r="24" spans="1:28" customFormat="1" x14ac:dyDescent="0.2">
      <c r="A24" s="25"/>
      <c r="B24" s="25"/>
      <c r="C24" s="31" t="s">
        <v>190</v>
      </c>
      <c r="D24" s="31"/>
      <c r="E24" s="31"/>
      <c r="F24" s="31" t="s">
        <v>191</v>
      </c>
      <c r="G24" s="31" t="s">
        <v>31</v>
      </c>
      <c r="H24" s="25"/>
      <c r="I24" s="180">
        <f>(-1) * I20 * I22</f>
        <v>-89.205001823893369</v>
      </c>
      <c r="J24" s="24"/>
      <c r="K24" s="24"/>
      <c r="L24" s="24"/>
      <c r="M24" s="24"/>
      <c r="N24" s="24"/>
      <c r="O24" s="24"/>
      <c r="P24" s="24"/>
      <c r="Q24" s="24"/>
      <c r="R24" s="24"/>
      <c r="S24" s="24"/>
      <c r="T24" s="24"/>
      <c r="U24" s="24"/>
      <c r="V24" s="24"/>
      <c r="W24" s="24"/>
      <c r="X24" s="24"/>
      <c r="Y24" s="24"/>
      <c r="Z24" s="24"/>
      <c r="AA24" s="24"/>
      <c r="AB24" s="24"/>
    </row>
    <row r="25" spans="1:28" customFormat="1" x14ac:dyDescent="0.2">
      <c r="A25" s="25"/>
      <c r="B25" s="25"/>
      <c r="C25" s="25"/>
      <c r="D25" s="25"/>
      <c r="E25" s="25"/>
      <c r="F25" s="25"/>
      <c r="G25" s="25"/>
      <c r="H25" s="25"/>
      <c r="I25" s="24"/>
      <c r="J25" s="24"/>
      <c r="K25" s="24"/>
      <c r="L25" s="24"/>
      <c r="M25" s="24"/>
      <c r="N25" s="24"/>
      <c r="O25" s="24"/>
      <c r="P25" s="24"/>
      <c r="Q25" s="24"/>
      <c r="R25" s="24"/>
      <c r="S25" s="24"/>
      <c r="T25" s="24"/>
      <c r="U25" s="24"/>
      <c r="V25" s="24"/>
      <c r="W25" s="24"/>
      <c r="X25" s="24"/>
      <c r="Y25" s="24"/>
      <c r="Z25" s="24"/>
      <c r="AA25" s="24"/>
      <c r="AB25" s="24"/>
    </row>
    <row r="26" spans="1:28" s="14" customFormat="1" ht="18" x14ac:dyDescent="0.25">
      <c r="A26" s="85" t="s">
        <v>13</v>
      </c>
      <c r="B26" s="85" t="s">
        <v>192</v>
      </c>
      <c r="C26" s="91"/>
      <c r="D26" s="91"/>
      <c r="E26" s="91"/>
      <c r="F26" s="91"/>
      <c r="G26" s="91"/>
      <c r="H26" s="91"/>
      <c r="I26" s="89"/>
      <c r="J26" s="89"/>
      <c r="K26" s="89"/>
      <c r="L26" s="89"/>
      <c r="M26" s="89"/>
      <c r="N26" s="89"/>
      <c r="O26" s="89"/>
      <c r="P26" s="89"/>
      <c r="Q26" s="89"/>
      <c r="R26" s="89"/>
      <c r="S26" s="89"/>
      <c r="T26" s="89"/>
      <c r="U26" s="89"/>
      <c r="V26" s="89"/>
      <c r="W26" s="89"/>
      <c r="X26" s="89"/>
      <c r="Y26" s="89"/>
      <c r="Z26" s="89"/>
      <c r="AA26" s="89"/>
      <c r="AB26" s="89"/>
    </row>
    <row r="27" spans="1:28" x14ac:dyDescent="0.2">
      <c r="A27" s="25"/>
      <c r="B27" s="25"/>
      <c r="C27" s="25"/>
      <c r="D27" s="25"/>
      <c r="E27" s="25"/>
      <c r="F27" s="25"/>
      <c r="G27" s="25"/>
      <c r="H27" s="25"/>
      <c r="I27" s="24"/>
      <c r="J27" s="24"/>
      <c r="K27" s="24"/>
      <c r="L27" s="24"/>
      <c r="M27" s="24"/>
      <c r="N27" s="24"/>
      <c r="O27" s="24"/>
      <c r="P27" s="24"/>
      <c r="Q27" s="24"/>
      <c r="R27" s="24"/>
      <c r="S27" s="24"/>
      <c r="T27" s="24"/>
      <c r="U27" s="24"/>
      <c r="V27" s="24"/>
      <c r="W27" s="24"/>
      <c r="X27" s="24"/>
      <c r="Y27" s="24"/>
      <c r="Z27" s="24"/>
      <c r="AA27" s="24"/>
      <c r="AB27" s="24"/>
    </row>
    <row r="28" spans="1:28" x14ac:dyDescent="0.2">
      <c r="A28" s="25"/>
      <c r="B28" s="249" t="s">
        <v>193</v>
      </c>
      <c r="C28" s="25"/>
      <c r="D28" s="25"/>
      <c r="E28" s="25"/>
      <c r="F28" s="25"/>
      <c r="G28" s="25"/>
      <c r="H28" s="25"/>
      <c r="I28" s="24"/>
      <c r="J28" s="24"/>
      <c r="K28" s="24"/>
      <c r="L28" s="24"/>
      <c r="M28" s="24"/>
      <c r="N28" s="24"/>
      <c r="O28" s="24"/>
      <c r="P28" s="24"/>
      <c r="Q28" s="24"/>
      <c r="R28" s="24"/>
      <c r="S28" s="24"/>
      <c r="T28" s="24"/>
      <c r="U28" s="24"/>
      <c r="V28" s="24"/>
      <c r="W28" s="24"/>
      <c r="X28" s="24"/>
      <c r="Y28" s="24"/>
      <c r="Z28" s="24"/>
      <c r="AA28" s="24"/>
      <c r="AB28" s="24"/>
    </row>
    <row r="29" spans="1:28" x14ac:dyDescent="0.2">
      <c r="A29" s="24"/>
      <c r="B29" s="25"/>
      <c r="C29" s="25"/>
      <c r="D29" s="25"/>
      <c r="E29" s="25"/>
      <c r="F29" s="25"/>
      <c r="G29" s="25"/>
      <c r="H29" s="25"/>
      <c r="I29" s="24"/>
      <c r="J29" s="24"/>
      <c r="K29" s="24"/>
      <c r="L29" s="24"/>
      <c r="M29" s="24"/>
      <c r="N29" s="24"/>
      <c r="O29" s="24"/>
      <c r="P29" s="24"/>
      <c r="Q29" s="24"/>
      <c r="R29" s="24"/>
      <c r="S29" s="24"/>
      <c r="T29" s="24"/>
      <c r="U29" s="24"/>
      <c r="V29" s="24"/>
      <c r="W29" s="24"/>
      <c r="X29" s="24"/>
      <c r="Y29" s="24"/>
      <c r="Z29" s="24"/>
      <c r="AA29" s="24"/>
      <c r="AB29" s="24"/>
    </row>
    <row r="30" spans="1:28" x14ac:dyDescent="0.2">
      <c r="A30" s="24"/>
      <c r="B30" s="25"/>
      <c r="C30" s="25" t="str">
        <f>Inputs!C$57</f>
        <v>PCFM tax allowance (2024-25)</v>
      </c>
      <c r="D30" s="25"/>
      <c r="E30" s="25"/>
      <c r="F30" s="25"/>
      <c r="G30" s="25" t="str">
        <f>Inputs!G$57</f>
        <v>£m nominal</v>
      </c>
      <c r="H30" s="25"/>
      <c r="I30" s="198">
        <f>Inputs!I$57</f>
        <v>7.5320627080056592</v>
      </c>
      <c r="J30" s="24"/>
      <c r="K30" s="24"/>
      <c r="L30" s="24"/>
      <c r="M30" s="24"/>
      <c r="N30" s="24"/>
      <c r="O30" s="24"/>
      <c r="P30" s="24"/>
      <c r="Q30" s="24"/>
      <c r="R30" s="24"/>
      <c r="S30" s="24"/>
      <c r="T30" s="24"/>
      <c r="U30" s="24"/>
      <c r="V30" s="24"/>
      <c r="W30" s="24"/>
      <c r="X30" s="24"/>
      <c r="Y30" s="24"/>
      <c r="Z30" s="24"/>
      <c r="AA30" s="24"/>
      <c r="AB30" s="24"/>
    </row>
    <row r="31" spans="1:28" x14ac:dyDescent="0.2">
      <c r="A31" s="24"/>
      <c r="B31" s="25"/>
      <c r="C31" s="25"/>
      <c r="D31" s="25"/>
      <c r="E31" s="25"/>
      <c r="F31" s="25"/>
      <c r="G31" s="25"/>
      <c r="H31" s="25"/>
      <c r="I31" s="24"/>
      <c r="J31" s="24"/>
      <c r="K31" s="24"/>
      <c r="L31" s="24"/>
      <c r="M31" s="24"/>
      <c r="N31" s="24"/>
      <c r="O31" s="24"/>
      <c r="P31" s="24"/>
      <c r="Q31" s="24"/>
      <c r="R31" s="24"/>
      <c r="S31" s="24"/>
      <c r="T31" s="24"/>
      <c r="U31" s="24"/>
      <c r="V31" s="24"/>
      <c r="W31" s="24"/>
      <c r="X31" s="24"/>
      <c r="Y31" s="24"/>
      <c r="Z31" s="24"/>
      <c r="AA31" s="24"/>
      <c r="AB31" s="24"/>
    </row>
    <row r="32" spans="1:28" x14ac:dyDescent="0.2">
      <c r="A32" s="25"/>
      <c r="B32" s="25"/>
      <c r="C32" s="25" t="str">
        <f>Inputs!C16</f>
        <v>2024-25 first day</v>
      </c>
      <c r="D32" s="25"/>
      <c r="E32" s="25"/>
      <c r="F32" s="25"/>
      <c r="G32" s="25" t="str">
        <f>Inputs!G16</f>
        <v>Date</v>
      </c>
      <c r="H32" s="25"/>
      <c r="I32" s="201">
        <f>Inputs!I16</f>
        <v>45383</v>
      </c>
      <c r="J32" s="24"/>
      <c r="K32" s="24"/>
      <c r="L32" s="24"/>
      <c r="M32" s="24"/>
      <c r="N32" s="24"/>
      <c r="O32" s="24"/>
      <c r="P32" s="24"/>
      <c r="Q32" s="24"/>
      <c r="R32" s="24"/>
      <c r="S32" s="24"/>
      <c r="T32" s="24"/>
      <c r="U32" s="24"/>
      <c r="V32" s="24"/>
      <c r="W32" s="24"/>
      <c r="X32" s="24"/>
      <c r="Y32" s="24"/>
      <c r="Z32" s="24"/>
      <c r="AA32" s="24"/>
      <c r="AB32" s="24"/>
    </row>
    <row r="33" spans="1:28" customFormat="1" x14ac:dyDescent="0.2">
      <c r="A33" s="25"/>
      <c r="B33" s="25"/>
      <c r="C33" s="25" t="str">
        <f>Inputs!C17</f>
        <v>'Day 1' date</v>
      </c>
      <c r="D33" s="25"/>
      <c r="E33" s="25"/>
      <c r="F33" s="25"/>
      <c r="G33" s="25" t="str">
        <f>Inputs!G17</f>
        <v>Date</v>
      </c>
      <c r="H33" s="25"/>
      <c r="I33" s="201">
        <f>Inputs!I17</f>
        <v>45566</v>
      </c>
      <c r="J33" s="24"/>
      <c r="K33" s="24"/>
      <c r="L33" s="24"/>
      <c r="M33" s="24"/>
      <c r="N33" s="24"/>
      <c r="O33" s="24"/>
      <c r="P33" s="24"/>
      <c r="Q33" s="24"/>
      <c r="R33" s="24"/>
      <c r="S33" s="24"/>
      <c r="T33" s="24"/>
      <c r="U33" s="24"/>
      <c r="V33" s="24"/>
      <c r="W33" s="24"/>
      <c r="X33" s="24"/>
      <c r="Y33" s="24"/>
      <c r="Z33" s="24"/>
      <c r="AA33" s="24"/>
      <c r="AB33" s="24"/>
    </row>
    <row r="34" spans="1:28" customFormat="1" x14ac:dyDescent="0.2">
      <c r="A34" s="25"/>
      <c r="B34" s="25"/>
      <c r="C34" s="25"/>
      <c r="D34" s="25"/>
      <c r="E34" s="25"/>
      <c r="F34" s="25"/>
      <c r="G34" s="25"/>
      <c r="H34" s="25"/>
      <c r="I34" s="24"/>
      <c r="J34" s="24"/>
      <c r="K34" s="24"/>
      <c r="L34" s="24"/>
      <c r="M34" s="24"/>
      <c r="N34" s="24"/>
      <c r="O34" s="24"/>
      <c r="P34" s="24"/>
      <c r="Q34" s="24"/>
      <c r="R34" s="24"/>
      <c r="S34" s="24"/>
      <c r="T34" s="24"/>
      <c r="U34" s="24"/>
      <c r="V34" s="24"/>
      <c r="W34" s="24"/>
      <c r="X34" s="24"/>
      <c r="Y34" s="24"/>
      <c r="Z34" s="24"/>
      <c r="AA34" s="24"/>
      <c r="AB34" s="24"/>
    </row>
    <row r="35" spans="1:28" customFormat="1" x14ac:dyDescent="0.2">
      <c r="A35" s="25"/>
      <c r="B35" s="25"/>
      <c r="C35" s="25" t="s">
        <v>144</v>
      </c>
      <c r="D35" s="25"/>
      <c r="E35" s="25"/>
      <c r="F35" s="25"/>
      <c r="G35" s="25" t="s">
        <v>36</v>
      </c>
      <c r="H35" s="25"/>
      <c r="I35" s="178">
        <f>DATEDIF(I32, I33, "m") / 12</f>
        <v>0.5</v>
      </c>
      <c r="J35" s="24"/>
      <c r="K35" s="24"/>
      <c r="L35" s="24"/>
      <c r="M35" s="24"/>
      <c r="N35" s="24"/>
      <c r="O35" s="24"/>
      <c r="P35" s="24"/>
      <c r="Q35" s="24"/>
      <c r="R35" s="24"/>
      <c r="S35" s="24"/>
      <c r="T35" s="24"/>
      <c r="U35" s="24"/>
      <c r="V35" s="24"/>
      <c r="W35" s="24"/>
      <c r="X35" s="24"/>
      <c r="Y35" s="24"/>
      <c r="Z35" s="24"/>
      <c r="AA35" s="24"/>
      <c r="AB35" s="24"/>
    </row>
    <row r="36" spans="1:28" x14ac:dyDescent="0.2">
      <c r="A36" s="25"/>
      <c r="B36" s="25"/>
      <c r="C36" s="31"/>
      <c r="D36" s="25"/>
      <c r="E36" s="31"/>
      <c r="F36" s="31"/>
      <c r="G36" s="25"/>
      <c r="H36" s="25"/>
      <c r="I36" s="24"/>
      <c r="J36" s="24"/>
      <c r="K36" s="24"/>
      <c r="L36" s="24"/>
      <c r="M36" s="24"/>
      <c r="N36" s="24"/>
      <c r="O36" s="24"/>
      <c r="P36" s="24"/>
      <c r="Q36" s="24"/>
      <c r="R36" s="24"/>
      <c r="S36" s="24"/>
      <c r="T36" s="24"/>
      <c r="U36" s="24"/>
      <c r="V36" s="24"/>
      <c r="W36" s="24"/>
      <c r="X36" s="24"/>
      <c r="Y36" s="24"/>
      <c r="Z36" s="24"/>
      <c r="AA36" s="24"/>
      <c r="AB36" s="24"/>
    </row>
    <row r="37" spans="1:28" x14ac:dyDescent="0.2">
      <c r="A37" s="25"/>
      <c r="B37" s="25"/>
      <c r="C37" s="31" t="s">
        <v>194</v>
      </c>
      <c r="D37" s="25"/>
      <c r="E37" s="31"/>
      <c r="F37" s="31" t="s">
        <v>195</v>
      </c>
      <c r="G37" s="25" t="s">
        <v>31</v>
      </c>
      <c r="H37" s="25"/>
      <c r="I37" s="180">
        <f>I30 * I35</f>
        <v>3.7660313540028296</v>
      </c>
      <c r="J37" s="24"/>
      <c r="K37" s="24"/>
      <c r="L37" s="24"/>
      <c r="M37" s="24"/>
      <c r="N37" s="24"/>
      <c r="O37" s="24"/>
      <c r="P37" s="24"/>
      <c r="Q37" s="24"/>
      <c r="R37" s="24"/>
      <c r="S37" s="24"/>
      <c r="T37" s="24"/>
      <c r="U37" s="24"/>
      <c r="V37" s="24"/>
      <c r="W37" s="24"/>
      <c r="X37" s="24"/>
      <c r="Y37" s="24"/>
      <c r="Z37" s="24"/>
      <c r="AA37" s="24"/>
      <c r="AB37" s="24"/>
    </row>
    <row r="38" spans="1:28" x14ac:dyDescent="0.2">
      <c r="A38" s="25"/>
      <c r="B38" s="25"/>
      <c r="C38" s="25"/>
      <c r="D38" s="25"/>
      <c r="E38" s="25"/>
      <c r="F38" s="25"/>
      <c r="G38" s="27"/>
      <c r="H38" s="27"/>
      <c r="I38" s="51"/>
      <c r="J38" s="51"/>
      <c r="K38" s="51"/>
      <c r="L38" s="51"/>
      <c r="M38" s="24"/>
      <c r="N38" s="24"/>
      <c r="O38" s="24"/>
      <c r="P38" s="24"/>
      <c r="Q38" s="24"/>
      <c r="R38" s="24"/>
      <c r="S38" s="24"/>
      <c r="T38" s="24"/>
      <c r="U38" s="24"/>
      <c r="V38" s="24"/>
      <c r="W38" s="24"/>
      <c r="X38" s="24"/>
      <c r="Y38" s="24"/>
      <c r="Z38" s="24"/>
      <c r="AA38" s="24"/>
      <c r="AB38" s="24"/>
    </row>
    <row r="39" spans="1:28" customFormat="1" ht="18" x14ac:dyDescent="0.25">
      <c r="A39" s="85" t="s">
        <v>13</v>
      </c>
      <c r="B39" s="85" t="str">
        <f>D113</f>
        <v>Financial penalties</v>
      </c>
      <c r="C39" s="91"/>
      <c r="D39" s="91"/>
      <c r="E39" s="91"/>
      <c r="F39" s="210"/>
      <c r="G39" s="91"/>
      <c r="H39" s="91"/>
      <c r="I39" s="89"/>
      <c r="J39" s="89"/>
      <c r="K39" s="89"/>
      <c r="L39" s="89"/>
      <c r="M39" s="89"/>
      <c r="N39" s="89"/>
      <c r="O39" s="89"/>
      <c r="P39" s="89"/>
      <c r="Q39" s="89"/>
      <c r="R39" s="89"/>
      <c r="S39" s="89"/>
      <c r="T39" s="211"/>
      <c r="U39" s="211"/>
      <c r="V39" s="211"/>
      <c r="W39" s="211"/>
      <c r="X39" s="211"/>
      <c r="Y39" s="211"/>
      <c r="Z39" s="211"/>
      <c r="AA39" s="211"/>
      <c r="AB39" s="89"/>
    </row>
    <row r="40" spans="1:28" customFormat="1" x14ac:dyDescent="0.2">
      <c r="A40" s="25"/>
      <c r="B40" s="25"/>
      <c r="C40" s="25"/>
      <c r="D40" s="25"/>
      <c r="E40" s="25"/>
      <c r="F40" s="25"/>
      <c r="G40" s="25"/>
      <c r="H40" s="25"/>
      <c r="I40" s="24"/>
      <c r="J40" s="24"/>
      <c r="K40" s="24"/>
      <c r="L40" s="24"/>
      <c r="M40" s="24"/>
      <c r="N40" s="24"/>
      <c r="O40" s="24"/>
      <c r="P40" s="24"/>
      <c r="Q40" s="24"/>
      <c r="R40" s="24"/>
      <c r="S40" s="24"/>
      <c r="T40" s="24"/>
      <c r="U40" s="24"/>
      <c r="V40" s="24"/>
      <c r="W40" s="24"/>
      <c r="X40" s="24"/>
      <c r="Y40" s="24"/>
      <c r="Z40" s="24"/>
      <c r="AA40" s="24"/>
      <c r="AB40" s="24"/>
    </row>
    <row r="41" spans="1:28" customFormat="1" x14ac:dyDescent="0.2">
      <c r="A41" s="25"/>
      <c r="B41" s="249" t="s">
        <v>196</v>
      </c>
      <c r="C41" s="25"/>
      <c r="D41" s="25"/>
      <c r="E41" s="25"/>
      <c r="F41" s="25"/>
      <c r="G41" s="25"/>
      <c r="H41" s="25"/>
      <c r="I41" s="24"/>
      <c r="J41" s="24"/>
      <c r="K41" s="24"/>
      <c r="L41" s="24"/>
      <c r="M41" s="24"/>
      <c r="N41" s="24"/>
      <c r="O41" s="24"/>
      <c r="P41" s="24"/>
      <c r="Q41" s="24"/>
      <c r="R41" s="24"/>
      <c r="S41" s="24"/>
      <c r="T41" s="24"/>
      <c r="U41" s="24"/>
      <c r="V41" s="24"/>
      <c r="W41" s="24"/>
      <c r="X41" s="24"/>
      <c r="Y41" s="24"/>
      <c r="Z41" s="24"/>
      <c r="AA41" s="24"/>
      <c r="AB41" s="24"/>
    </row>
    <row r="42" spans="1:28" customFormat="1" x14ac:dyDescent="0.2">
      <c r="A42" s="25"/>
      <c r="B42" s="48"/>
      <c r="C42" s="25"/>
      <c r="D42" s="25"/>
      <c r="E42" s="25"/>
      <c r="F42" s="25"/>
      <c r="G42" s="25"/>
      <c r="H42" s="25"/>
      <c r="I42" s="24"/>
      <c r="J42" s="24"/>
      <c r="K42" s="24"/>
      <c r="L42" s="24"/>
      <c r="M42" s="24"/>
      <c r="N42" s="24"/>
      <c r="O42" s="24"/>
      <c r="P42" s="24"/>
      <c r="Q42" s="24"/>
      <c r="R42" s="24"/>
      <c r="S42" s="24"/>
      <c r="T42" s="24"/>
      <c r="U42" s="24"/>
      <c r="V42" s="24"/>
      <c r="W42" s="24"/>
      <c r="X42" s="24"/>
      <c r="Y42" s="24"/>
      <c r="Z42" s="24"/>
      <c r="AA42" s="24"/>
      <c r="AB42" s="24"/>
    </row>
    <row r="43" spans="1:28" customFormat="1" x14ac:dyDescent="0.2">
      <c r="A43" s="25"/>
      <c r="B43" s="25"/>
      <c r="C43" s="25" t="str">
        <f>Inputs!C$38</f>
        <v>Fines and Penalties (2024-25 before Day 1)</v>
      </c>
      <c r="D43" s="25"/>
      <c r="E43" s="25"/>
      <c r="F43" s="25"/>
      <c r="G43" s="25" t="str">
        <f>Inputs!G$38</f>
        <v>£m nominal</v>
      </c>
      <c r="H43" s="25"/>
      <c r="I43" s="159">
        <f>Inputs!I$38</f>
        <v>0</v>
      </c>
      <c r="J43" s="24"/>
      <c r="K43" s="24"/>
      <c r="L43" s="24"/>
      <c r="M43" s="24"/>
      <c r="N43" s="24"/>
      <c r="O43" s="24"/>
      <c r="P43" s="24"/>
      <c r="Q43" s="24"/>
      <c r="R43" s="24"/>
      <c r="S43" s="24"/>
      <c r="T43" s="24"/>
      <c r="U43" s="24"/>
      <c r="V43" s="24"/>
      <c r="W43" s="24"/>
      <c r="X43" s="24"/>
      <c r="Y43" s="24"/>
      <c r="Z43" s="24"/>
      <c r="AA43" s="24"/>
      <c r="AB43" s="24"/>
    </row>
    <row r="44" spans="1:28" customFormat="1" x14ac:dyDescent="0.2">
      <c r="A44" s="25"/>
      <c r="B44" s="25"/>
      <c r="C44" s="25"/>
      <c r="D44" s="25"/>
      <c r="E44" s="25"/>
      <c r="F44" s="25"/>
      <c r="G44" s="25"/>
      <c r="H44" s="25"/>
      <c r="I44" s="24"/>
      <c r="J44" s="24"/>
      <c r="K44" s="24"/>
      <c r="L44" s="24"/>
      <c r="M44" s="24"/>
      <c r="N44" s="24"/>
      <c r="O44" s="24"/>
      <c r="P44" s="24"/>
      <c r="Q44" s="24"/>
      <c r="R44" s="24"/>
      <c r="S44" s="24"/>
      <c r="T44" s="24"/>
      <c r="U44" s="24"/>
      <c r="V44" s="24"/>
      <c r="W44" s="24"/>
      <c r="X44" s="24"/>
      <c r="Y44" s="24"/>
      <c r="Z44" s="24"/>
      <c r="AA44" s="24"/>
      <c r="AB44" s="24"/>
    </row>
    <row r="45" spans="1:28" customFormat="1" x14ac:dyDescent="0.2">
      <c r="A45" s="25"/>
      <c r="B45" s="25"/>
      <c r="C45" s="31" t="s">
        <v>197</v>
      </c>
      <c r="D45" s="25"/>
      <c r="E45" s="31"/>
      <c r="F45" s="31" t="s">
        <v>198</v>
      </c>
      <c r="G45" s="31" t="s">
        <v>31</v>
      </c>
      <c r="H45" s="25"/>
      <c r="I45" s="151">
        <f>(-1) * I43</f>
        <v>0</v>
      </c>
      <c r="J45" s="24"/>
      <c r="K45" s="24"/>
      <c r="L45" s="24"/>
      <c r="M45" s="24"/>
      <c r="N45" s="24"/>
      <c r="O45" s="24"/>
      <c r="P45" s="24"/>
      <c r="Q45" s="24"/>
      <c r="R45" s="24"/>
      <c r="S45" s="24"/>
      <c r="T45" s="24"/>
      <c r="U45" s="24"/>
      <c r="V45" s="24"/>
      <c r="W45" s="24"/>
      <c r="X45" s="24"/>
      <c r="Y45" s="24"/>
      <c r="Z45" s="24"/>
      <c r="AA45" s="24"/>
      <c r="AB45" s="24"/>
    </row>
    <row r="46" spans="1:28" customFormat="1" x14ac:dyDescent="0.2">
      <c r="A46" s="25"/>
      <c r="B46" s="25"/>
      <c r="C46" s="25"/>
      <c r="D46" s="25"/>
      <c r="E46" s="25"/>
      <c r="F46" s="25"/>
      <c r="G46" s="25"/>
      <c r="H46" s="25"/>
      <c r="I46" s="24"/>
      <c r="J46" s="24"/>
      <c r="K46" s="24"/>
      <c r="L46" s="24"/>
      <c r="M46" s="24"/>
      <c r="N46" s="24"/>
      <c r="O46" s="24"/>
      <c r="P46" s="24"/>
      <c r="Q46" s="24"/>
      <c r="R46" s="24"/>
      <c r="S46" s="24"/>
      <c r="T46" s="24"/>
      <c r="U46" s="24"/>
      <c r="V46" s="24"/>
      <c r="W46" s="24"/>
      <c r="X46" s="24"/>
      <c r="Y46" s="24"/>
      <c r="Z46" s="24"/>
      <c r="AA46" s="24"/>
      <c r="AB46" s="24"/>
    </row>
    <row r="47" spans="1:28" customFormat="1" ht="18" x14ac:dyDescent="0.25">
      <c r="A47" s="85" t="s">
        <v>13</v>
      </c>
      <c r="B47" s="85" t="str">
        <f>D116</f>
        <v>Additional funding</v>
      </c>
      <c r="C47" s="91"/>
      <c r="D47" s="91"/>
      <c r="E47" s="91"/>
      <c r="F47" s="210"/>
      <c r="G47" s="91"/>
      <c r="H47" s="91"/>
      <c r="I47" s="89"/>
      <c r="J47" s="89"/>
      <c r="K47" s="89"/>
      <c r="L47" s="89"/>
      <c r="M47" s="89"/>
      <c r="N47" s="89"/>
      <c r="O47" s="89"/>
      <c r="P47" s="89"/>
      <c r="Q47" s="89"/>
      <c r="R47" s="89"/>
      <c r="S47" s="89"/>
      <c r="T47" s="211"/>
      <c r="U47" s="211"/>
      <c r="V47" s="211"/>
      <c r="W47" s="211"/>
      <c r="X47" s="211"/>
      <c r="Y47" s="211"/>
      <c r="Z47" s="211"/>
      <c r="AA47" s="211"/>
      <c r="AB47" s="89"/>
    </row>
    <row r="48" spans="1:28" customFormat="1" x14ac:dyDescent="0.2">
      <c r="A48" s="25"/>
      <c r="B48" s="25"/>
      <c r="C48" s="25"/>
      <c r="D48" s="25"/>
      <c r="E48" s="25"/>
      <c r="F48" s="25"/>
      <c r="G48" s="25"/>
      <c r="H48" s="25"/>
      <c r="I48" s="24"/>
      <c r="J48" s="24"/>
      <c r="K48" s="24"/>
      <c r="L48" s="24"/>
      <c r="M48" s="24"/>
      <c r="N48" s="24"/>
      <c r="O48" s="24"/>
      <c r="P48" s="24"/>
      <c r="Q48" s="24"/>
      <c r="R48" s="24"/>
      <c r="S48" s="24"/>
      <c r="T48" s="24"/>
      <c r="U48" s="24"/>
      <c r="V48" s="24"/>
      <c r="W48" s="24"/>
      <c r="X48" s="24"/>
      <c r="Y48" s="24"/>
      <c r="Z48" s="24"/>
      <c r="AA48" s="24"/>
      <c r="AB48" s="24"/>
    </row>
    <row r="49" spans="1:28" customFormat="1" x14ac:dyDescent="0.2">
      <c r="A49" s="25"/>
      <c r="B49" s="249" t="s">
        <v>199</v>
      </c>
      <c r="C49" s="25"/>
      <c r="D49" s="25"/>
      <c r="E49" s="25"/>
      <c r="F49" s="25"/>
      <c r="G49" s="25"/>
      <c r="H49" s="25"/>
      <c r="I49" s="24"/>
      <c r="J49" s="24"/>
      <c r="K49" s="24"/>
      <c r="L49" s="24"/>
      <c r="M49" s="24"/>
      <c r="N49" s="24"/>
      <c r="O49" s="24"/>
      <c r="P49" s="24"/>
      <c r="Q49" s="24"/>
      <c r="R49" s="24"/>
      <c r="S49" s="24"/>
      <c r="T49" s="24"/>
      <c r="U49" s="24"/>
      <c r="V49" s="24"/>
      <c r="W49" s="24"/>
      <c r="X49" s="24"/>
      <c r="Y49" s="24"/>
      <c r="Z49" s="24"/>
      <c r="AA49" s="24"/>
      <c r="AB49" s="24"/>
    </row>
    <row r="50" spans="1:28" customFormat="1" x14ac:dyDescent="0.2">
      <c r="A50" s="25"/>
      <c r="B50" s="249" t="s">
        <v>200</v>
      </c>
      <c r="C50" s="25"/>
      <c r="D50" s="25"/>
      <c r="E50" s="25"/>
      <c r="F50" s="25"/>
      <c r="G50" s="25"/>
      <c r="H50" s="25"/>
      <c r="I50" s="24"/>
      <c r="J50" s="24"/>
      <c r="K50" s="24"/>
      <c r="L50" s="24"/>
      <c r="M50" s="24"/>
      <c r="N50" s="24"/>
      <c r="O50" s="24"/>
      <c r="P50" s="24"/>
      <c r="Q50" s="24"/>
      <c r="R50" s="24"/>
      <c r="S50" s="24"/>
      <c r="T50" s="24"/>
      <c r="U50" s="24"/>
      <c r="V50" s="24"/>
      <c r="W50" s="24"/>
      <c r="X50" s="24"/>
      <c r="Y50" s="24"/>
      <c r="Z50" s="24"/>
      <c r="AA50" s="24"/>
      <c r="AB50" s="24"/>
    </row>
    <row r="51" spans="1:28" x14ac:dyDescent="0.2">
      <c r="A51" s="25"/>
      <c r="B51" s="25"/>
      <c r="C51" s="25"/>
      <c r="D51" s="25"/>
      <c r="E51" s="25"/>
      <c r="F51" s="25"/>
      <c r="G51" s="25"/>
      <c r="H51" s="25"/>
      <c r="I51" s="24"/>
      <c r="J51" s="24"/>
      <c r="K51" s="24"/>
      <c r="L51" s="24"/>
      <c r="M51" s="24"/>
      <c r="N51" s="24"/>
      <c r="O51" s="24"/>
      <c r="P51" s="24"/>
      <c r="Q51" s="24"/>
      <c r="R51" s="24"/>
      <c r="S51" s="24"/>
      <c r="T51" s="24"/>
      <c r="U51" s="24"/>
      <c r="V51" s="24"/>
      <c r="W51" s="24"/>
      <c r="X51" s="24"/>
      <c r="Y51" s="24"/>
      <c r="Z51" s="24"/>
      <c r="AA51" s="24"/>
      <c r="AB51" s="24"/>
    </row>
    <row r="52" spans="1:28" customFormat="1" x14ac:dyDescent="0.2">
      <c r="A52" s="25"/>
      <c r="B52" s="25"/>
      <c r="C52" s="25" t="str">
        <f>Inputs!C$49</f>
        <v>Additional funding (2024-25)</v>
      </c>
      <c r="D52" s="25"/>
      <c r="E52" s="25"/>
      <c r="F52" s="25"/>
      <c r="G52" s="25" t="str">
        <f>Inputs!G$49</f>
        <v>£m nominal</v>
      </c>
      <c r="H52" s="25"/>
      <c r="I52" s="159">
        <f>Inputs!I$49</f>
        <v>4.8</v>
      </c>
      <c r="J52" s="24"/>
      <c r="K52" s="24"/>
      <c r="L52" s="24"/>
      <c r="M52" s="24"/>
      <c r="N52" s="24"/>
      <c r="O52" s="24"/>
      <c r="P52" s="24"/>
      <c r="Q52" s="24"/>
      <c r="R52" s="24"/>
      <c r="S52" s="24"/>
      <c r="T52" s="24"/>
      <c r="U52" s="24"/>
      <c r="V52" s="24"/>
      <c r="W52" s="24"/>
      <c r="X52" s="24"/>
      <c r="Y52" s="24"/>
      <c r="Z52" s="24"/>
      <c r="AA52" s="24"/>
      <c r="AB52" s="24"/>
    </row>
    <row r="53" spans="1:28" customFormat="1" x14ac:dyDescent="0.2">
      <c r="A53" s="25"/>
      <c r="B53" s="25"/>
      <c r="C53" s="25"/>
      <c r="D53" s="25"/>
      <c r="E53" s="25"/>
      <c r="F53" s="25"/>
      <c r="G53" s="25"/>
      <c r="H53" s="25"/>
      <c r="I53" s="24"/>
      <c r="J53" s="24"/>
      <c r="K53" s="24"/>
      <c r="L53" s="24"/>
      <c r="M53" s="24"/>
      <c r="N53" s="24"/>
      <c r="O53" s="24"/>
      <c r="P53" s="24"/>
      <c r="Q53" s="24"/>
      <c r="R53" s="24"/>
      <c r="S53" s="24"/>
      <c r="T53" s="24"/>
      <c r="U53" s="24"/>
      <c r="V53" s="24"/>
      <c r="W53" s="24"/>
      <c r="X53" s="24"/>
      <c r="Y53" s="24"/>
      <c r="Z53" s="24"/>
      <c r="AA53" s="24"/>
      <c r="AB53" s="24"/>
    </row>
    <row r="54" spans="1:28" customFormat="1" x14ac:dyDescent="0.2">
      <c r="A54" s="25"/>
      <c r="B54" s="25"/>
      <c r="C54" s="25" t="str">
        <f>C$35</f>
        <v>Share of 2024-25 before Day 1</v>
      </c>
      <c r="D54" s="25"/>
      <c r="E54" s="25"/>
      <c r="F54" s="25"/>
      <c r="G54" s="25" t="str">
        <f>G$35</f>
        <v>%</v>
      </c>
      <c r="H54" s="25"/>
      <c r="I54" s="178">
        <f>I$35</f>
        <v>0.5</v>
      </c>
      <c r="J54" s="24"/>
      <c r="K54" s="24"/>
      <c r="L54" s="24"/>
      <c r="M54" s="24"/>
      <c r="N54" s="24"/>
      <c r="O54" s="24"/>
      <c r="P54" s="24"/>
      <c r="Q54" s="24"/>
      <c r="R54" s="24"/>
      <c r="S54" s="24"/>
      <c r="T54" s="24"/>
      <c r="U54" s="24"/>
      <c r="V54" s="24"/>
      <c r="W54" s="24"/>
      <c r="X54" s="24"/>
      <c r="Y54" s="24"/>
      <c r="Z54" s="24"/>
      <c r="AA54" s="24"/>
      <c r="AB54" s="24"/>
    </row>
    <row r="55" spans="1:28" customFormat="1" x14ac:dyDescent="0.2">
      <c r="A55" s="25"/>
      <c r="B55" s="25"/>
      <c r="C55" s="25"/>
      <c r="D55" s="25"/>
      <c r="E55" s="25"/>
      <c r="F55" s="25"/>
      <c r="G55" s="25"/>
      <c r="H55" s="25"/>
      <c r="I55" s="24"/>
      <c r="J55" s="24"/>
      <c r="K55" s="24"/>
      <c r="L55" s="24"/>
      <c r="M55" s="24"/>
      <c r="N55" s="24"/>
      <c r="O55" s="24"/>
      <c r="P55" s="24"/>
      <c r="Q55" s="24"/>
      <c r="R55" s="24"/>
      <c r="S55" s="24"/>
      <c r="T55" s="24"/>
      <c r="U55" s="24"/>
      <c r="V55" s="24"/>
      <c r="W55" s="24"/>
      <c r="X55" s="24"/>
      <c r="Y55" s="24"/>
      <c r="Z55" s="24"/>
      <c r="AA55" s="24"/>
      <c r="AB55" s="24"/>
    </row>
    <row r="56" spans="1:28" customFormat="1" x14ac:dyDescent="0.2">
      <c r="A56" s="25"/>
      <c r="B56" s="25"/>
      <c r="C56" s="31" t="s">
        <v>201</v>
      </c>
      <c r="D56" s="25"/>
      <c r="E56" s="31"/>
      <c r="F56" s="31" t="s">
        <v>202</v>
      </c>
      <c r="G56" s="31" t="s">
        <v>31</v>
      </c>
      <c r="H56" s="25"/>
      <c r="I56" s="151">
        <f>I52 * I54</f>
        <v>2.4</v>
      </c>
      <c r="J56" s="24"/>
      <c r="K56" s="24"/>
      <c r="L56" s="24"/>
      <c r="M56" s="24"/>
      <c r="N56" s="24"/>
      <c r="O56" s="24"/>
      <c r="P56" s="24"/>
      <c r="Q56" s="24"/>
      <c r="R56" s="24"/>
      <c r="S56" s="24"/>
      <c r="T56" s="24"/>
      <c r="U56" s="24"/>
      <c r="V56" s="24"/>
      <c r="W56" s="24"/>
      <c r="X56" s="24"/>
      <c r="Y56" s="24"/>
      <c r="Z56" s="24"/>
      <c r="AA56" s="24"/>
      <c r="AB56" s="24"/>
    </row>
    <row r="57" spans="1:28" customFormat="1" x14ac:dyDescent="0.2">
      <c r="A57" s="25"/>
      <c r="B57" s="25"/>
      <c r="C57" s="25"/>
      <c r="D57" s="25"/>
      <c r="E57" s="25"/>
      <c r="F57" s="25"/>
      <c r="G57" s="25"/>
      <c r="H57" s="25"/>
      <c r="I57" s="24"/>
      <c r="J57" s="24"/>
      <c r="K57" s="24"/>
      <c r="L57" s="24"/>
      <c r="M57" s="24"/>
      <c r="N57" s="24"/>
      <c r="O57" s="24"/>
      <c r="P57" s="24"/>
      <c r="Q57" s="24"/>
      <c r="R57" s="24"/>
      <c r="S57" s="24"/>
      <c r="T57" s="24"/>
      <c r="U57" s="24"/>
      <c r="V57" s="24"/>
      <c r="W57" s="24"/>
      <c r="X57" s="24"/>
      <c r="Y57" s="24"/>
      <c r="Z57" s="24"/>
      <c r="AA57" s="24"/>
      <c r="AB57" s="24"/>
    </row>
    <row r="58" spans="1:28" customFormat="1" ht="18" x14ac:dyDescent="0.25">
      <c r="A58" s="85" t="s">
        <v>13</v>
      </c>
      <c r="B58" s="85" t="str">
        <f>D117</f>
        <v>Pension scheme established deficit (PSED) recovery allowances</v>
      </c>
      <c r="C58" s="91"/>
      <c r="D58" s="91"/>
      <c r="E58" s="91"/>
      <c r="F58" s="210"/>
      <c r="G58" s="91"/>
      <c r="H58" s="91"/>
      <c r="I58" s="89"/>
      <c r="J58" s="89"/>
      <c r="K58" s="89"/>
      <c r="L58" s="89"/>
      <c r="M58" s="89"/>
      <c r="N58" s="89"/>
      <c r="O58" s="89"/>
      <c r="P58" s="89"/>
      <c r="Q58" s="89"/>
      <c r="R58" s="89"/>
      <c r="S58" s="89"/>
      <c r="T58" s="211"/>
      <c r="U58" s="211"/>
      <c r="V58" s="211"/>
      <c r="W58" s="211"/>
      <c r="X58" s="211"/>
      <c r="Y58" s="211"/>
      <c r="Z58" s="211"/>
      <c r="AA58" s="211"/>
      <c r="AB58" s="89"/>
    </row>
    <row r="59" spans="1:28" customFormat="1" x14ac:dyDescent="0.2">
      <c r="A59" s="25"/>
      <c r="B59" s="25"/>
      <c r="C59" s="25"/>
      <c r="D59" s="25"/>
      <c r="E59" s="25"/>
      <c r="F59" s="25"/>
      <c r="G59" s="25"/>
      <c r="H59" s="25"/>
      <c r="I59" s="24"/>
      <c r="J59" s="24"/>
      <c r="K59" s="24"/>
      <c r="L59" s="24"/>
      <c r="M59" s="24"/>
      <c r="N59" s="24"/>
      <c r="O59" s="24"/>
      <c r="P59" s="24"/>
      <c r="Q59" s="24"/>
      <c r="R59" s="24"/>
      <c r="S59" s="24"/>
      <c r="T59" s="24"/>
      <c r="U59" s="24"/>
      <c r="V59" s="24"/>
      <c r="W59" s="24"/>
      <c r="X59" s="24"/>
      <c r="Y59" s="24"/>
      <c r="Z59" s="24"/>
      <c r="AA59" s="24"/>
      <c r="AB59" s="24"/>
    </row>
    <row r="60" spans="1:28" customFormat="1" x14ac:dyDescent="0.2">
      <c r="A60" s="25"/>
      <c r="B60" s="249" t="s">
        <v>203</v>
      </c>
      <c r="C60" s="25"/>
      <c r="D60" s="25"/>
      <c r="E60" s="25"/>
      <c r="F60" s="25"/>
      <c r="G60" s="25"/>
      <c r="H60" s="25"/>
      <c r="I60" s="24"/>
      <c r="J60" s="24"/>
      <c r="K60" s="24"/>
      <c r="L60" s="24"/>
      <c r="M60" s="24"/>
      <c r="N60" s="24"/>
      <c r="O60" s="24"/>
      <c r="P60" s="24"/>
      <c r="Q60" s="24"/>
      <c r="R60" s="24"/>
      <c r="S60" s="24"/>
      <c r="T60" s="24"/>
      <c r="U60" s="24"/>
      <c r="V60" s="24"/>
      <c r="W60" s="24"/>
      <c r="X60" s="24"/>
      <c r="Y60" s="24"/>
      <c r="Z60" s="24"/>
      <c r="AA60" s="24"/>
      <c r="AB60" s="24"/>
    </row>
    <row r="61" spans="1:28" customFormat="1" x14ac:dyDescent="0.2">
      <c r="A61" s="25"/>
      <c r="B61" s="25"/>
      <c r="C61" s="25"/>
      <c r="D61" s="25"/>
      <c r="E61" s="25"/>
      <c r="F61" s="25"/>
      <c r="G61" s="25"/>
      <c r="H61" s="25"/>
      <c r="I61" s="24"/>
      <c r="J61" s="24"/>
      <c r="K61" s="24"/>
      <c r="L61" s="24"/>
      <c r="M61" s="24"/>
      <c r="N61" s="24"/>
      <c r="O61" s="24"/>
      <c r="P61" s="24"/>
      <c r="Q61" s="24"/>
      <c r="R61" s="24"/>
      <c r="S61" s="24"/>
      <c r="T61" s="24"/>
      <c r="U61" s="24"/>
      <c r="V61" s="24"/>
      <c r="W61" s="24"/>
      <c r="X61" s="24"/>
      <c r="Y61" s="24"/>
      <c r="Z61" s="24"/>
      <c r="AA61" s="24"/>
      <c r="AB61" s="24"/>
    </row>
    <row r="62" spans="1:28" customFormat="1" x14ac:dyDescent="0.2">
      <c r="A62" s="25"/>
      <c r="B62" s="25"/>
      <c r="C62" s="31" t="str">
        <f>Inputs!C$41</f>
        <v>Pension scheme established deficit (PSED) recovery allowances</v>
      </c>
      <c r="D62" s="25"/>
      <c r="E62" s="31"/>
      <c r="F62" s="31"/>
      <c r="G62" s="31" t="str">
        <f>Inputs!G$41</f>
        <v>£m 2018-19 prices</v>
      </c>
      <c r="H62" s="25"/>
      <c r="I62" s="24"/>
      <c r="J62" s="24"/>
      <c r="K62" s="24"/>
      <c r="L62" s="24"/>
      <c r="M62" s="55"/>
      <c r="N62" s="55"/>
      <c r="O62" s="55"/>
      <c r="P62" s="55"/>
      <c r="Q62" s="55"/>
      <c r="R62" s="55"/>
      <c r="S62" s="55"/>
      <c r="T62" s="198">
        <f>Inputs!T$41</f>
        <v>-4.7058675801441723</v>
      </c>
      <c r="U62" s="198">
        <f>Inputs!U$41</f>
        <v>0</v>
      </c>
      <c r="V62" s="198">
        <f>Inputs!V$41</f>
        <v>0</v>
      </c>
      <c r="W62" s="198">
        <f>Inputs!W$41</f>
        <v>0</v>
      </c>
      <c r="X62" s="198">
        <f>Inputs!X$41</f>
        <v>0</v>
      </c>
      <c r="Y62" s="198">
        <f>Inputs!Y$41</f>
        <v>0</v>
      </c>
      <c r="Z62" s="198">
        <f>Inputs!Z$41</f>
        <v>0</v>
      </c>
      <c r="AA62" s="198">
        <f>Inputs!AA$41</f>
        <v>0</v>
      </c>
      <c r="AB62" s="24"/>
    </row>
    <row r="63" spans="1:28" customFormat="1" x14ac:dyDescent="0.2">
      <c r="A63" s="25"/>
      <c r="B63" s="25"/>
      <c r="C63" s="25"/>
      <c r="D63" s="25"/>
      <c r="E63" s="25"/>
      <c r="F63" s="25"/>
      <c r="G63" s="25"/>
      <c r="H63" s="25"/>
      <c r="I63" s="24"/>
      <c r="J63" s="24"/>
      <c r="K63" s="24"/>
      <c r="L63" s="24"/>
      <c r="M63" s="24"/>
      <c r="N63" s="24"/>
      <c r="O63" s="24"/>
      <c r="P63" s="24"/>
      <c r="Q63" s="24"/>
      <c r="R63" s="24"/>
      <c r="S63" s="24"/>
      <c r="T63" s="24"/>
      <c r="U63" s="24"/>
      <c r="V63" s="24"/>
      <c r="W63" s="24"/>
      <c r="X63" s="24"/>
      <c r="Y63" s="24"/>
      <c r="Z63" s="24"/>
      <c r="AA63" s="24"/>
      <c r="AB63" s="24"/>
    </row>
    <row r="64" spans="1:28" customFormat="1" x14ac:dyDescent="0.2">
      <c r="A64" s="25"/>
      <c r="B64" s="25"/>
      <c r="C64" s="31" t="str">
        <f>Indexation!C93</f>
        <v>Real 2018-19 prices to nominal conversion factor (regulatory year)</v>
      </c>
      <c r="D64" s="25"/>
      <c r="E64" s="31"/>
      <c r="F64" s="31"/>
      <c r="G64" s="31" t="str">
        <f>Indexation!G93</f>
        <v>2018-19 = 1</v>
      </c>
      <c r="H64" s="25"/>
      <c r="I64" s="24"/>
      <c r="J64" s="24"/>
      <c r="K64" s="24"/>
      <c r="L64" s="24"/>
      <c r="M64" s="55"/>
      <c r="N64" s="55"/>
      <c r="O64" s="55"/>
      <c r="P64" s="55"/>
      <c r="Q64" s="55"/>
      <c r="R64" s="55"/>
      <c r="S64" s="55"/>
      <c r="T64" s="212">
        <f>Indexation!T93</f>
        <v>1.2847893279486438</v>
      </c>
      <c r="U64" s="212">
        <f>Indexation!U93</f>
        <v>1.3168186480496684</v>
      </c>
      <c r="V64" s="212">
        <f>Indexation!V93</f>
        <v>1.346076325509076</v>
      </c>
      <c r="W64" s="212">
        <f>Indexation!W93</f>
        <v>1.374425761167321</v>
      </c>
      <c r="X64" s="212">
        <f>Indexation!X93</f>
        <v>1.4027523178491472</v>
      </c>
      <c r="Y64" s="212">
        <f>Indexation!Y93</f>
        <v>1.4310912198244095</v>
      </c>
      <c r="Z64" s="212">
        <f>Indexation!Z93</f>
        <v>1.4597213474064121</v>
      </c>
      <c r="AA64" s="212">
        <f>Indexation!AA93</f>
        <v>1.4889157743545411</v>
      </c>
      <c r="AB64" s="24"/>
    </row>
    <row r="65" spans="1:28" customFormat="1" x14ac:dyDescent="0.2">
      <c r="A65" s="25"/>
      <c r="B65" s="25"/>
      <c r="C65" s="25"/>
      <c r="D65" s="25"/>
      <c r="E65" s="25"/>
      <c r="F65" s="25"/>
      <c r="G65" s="25"/>
      <c r="H65" s="25"/>
      <c r="I65" s="24"/>
      <c r="J65" s="24"/>
      <c r="K65" s="24"/>
      <c r="L65" s="24"/>
      <c r="M65" s="24"/>
      <c r="N65" s="24"/>
      <c r="O65" s="24"/>
      <c r="P65" s="24"/>
      <c r="Q65" s="24"/>
      <c r="R65" s="24"/>
      <c r="S65" s="24"/>
      <c r="T65" s="24"/>
      <c r="U65" s="24"/>
      <c r="V65" s="24"/>
      <c r="W65" s="24"/>
      <c r="X65" s="24"/>
      <c r="Y65" s="24"/>
      <c r="Z65" s="24"/>
      <c r="AA65" s="24"/>
      <c r="AB65" s="24"/>
    </row>
    <row r="66" spans="1:28" customFormat="1" x14ac:dyDescent="0.2">
      <c r="A66" s="25"/>
      <c r="B66" s="25"/>
      <c r="C66" s="31" t="s">
        <v>204</v>
      </c>
      <c r="D66" s="25"/>
      <c r="E66" s="31"/>
      <c r="F66" s="31" t="s">
        <v>205</v>
      </c>
      <c r="G66" s="25" t="str">
        <f>Inputs!G$58</f>
        <v>£m nominal</v>
      </c>
      <c r="H66" s="25"/>
      <c r="I66" s="24"/>
      <c r="J66" s="24"/>
      <c r="K66" s="24"/>
      <c r="L66" s="24"/>
      <c r="M66" s="55"/>
      <c r="N66" s="55"/>
      <c r="O66" s="55"/>
      <c r="P66" s="55"/>
      <c r="Q66" s="55"/>
      <c r="R66" s="55"/>
      <c r="S66" s="55"/>
      <c r="T66" s="151">
        <f>T62 * T64</f>
        <v>-6.0460484457087418</v>
      </c>
      <c r="U66" s="151">
        <f t="shared" ref="U66:AA66" si="0">U62 * U64</f>
        <v>0</v>
      </c>
      <c r="V66" s="151">
        <f t="shared" si="0"/>
        <v>0</v>
      </c>
      <c r="W66" s="151">
        <f t="shared" si="0"/>
        <v>0</v>
      </c>
      <c r="X66" s="151">
        <f t="shared" si="0"/>
        <v>0</v>
      </c>
      <c r="Y66" s="151">
        <f t="shared" si="0"/>
        <v>0</v>
      </c>
      <c r="Z66" s="151">
        <f t="shared" si="0"/>
        <v>0</v>
      </c>
      <c r="AA66" s="151">
        <f t="shared" si="0"/>
        <v>0</v>
      </c>
      <c r="AB66" s="24"/>
    </row>
    <row r="67" spans="1:28" customFormat="1" x14ac:dyDescent="0.2">
      <c r="A67" s="25"/>
      <c r="B67" s="25"/>
      <c r="C67" s="25"/>
      <c r="D67" s="25"/>
      <c r="E67" s="25"/>
      <c r="F67" s="25"/>
      <c r="G67" s="25"/>
      <c r="H67" s="25"/>
      <c r="I67" s="24"/>
      <c r="J67" s="24"/>
      <c r="K67" s="24"/>
      <c r="L67" s="24"/>
      <c r="M67" s="24"/>
      <c r="N67" s="24"/>
      <c r="O67" s="24"/>
      <c r="P67" s="24"/>
      <c r="Q67" s="24"/>
      <c r="R67" s="24"/>
      <c r="S67" s="24"/>
      <c r="T67" s="24"/>
      <c r="U67" s="24"/>
      <c r="V67" s="24"/>
      <c r="W67" s="24"/>
      <c r="X67" s="24"/>
      <c r="Y67" s="24"/>
      <c r="Z67" s="24"/>
      <c r="AA67" s="24"/>
      <c r="AB67" s="24"/>
    </row>
    <row r="68" spans="1:28" customFormat="1" ht="18" x14ac:dyDescent="0.25">
      <c r="A68" s="85" t="s">
        <v>13</v>
      </c>
      <c r="B68" s="85" t="str">
        <f>D118</f>
        <v>Adjustment for new data</v>
      </c>
      <c r="C68" s="91"/>
      <c r="D68" s="91"/>
      <c r="E68" s="91"/>
      <c r="F68" s="210"/>
      <c r="G68" s="91"/>
      <c r="H68" s="91"/>
      <c r="I68" s="89"/>
      <c r="J68" s="89"/>
      <c r="K68" s="89"/>
      <c r="L68" s="89"/>
      <c r="M68" s="89"/>
      <c r="N68" s="89"/>
      <c r="O68" s="89"/>
      <c r="P68" s="89"/>
      <c r="Q68" s="89"/>
      <c r="R68" s="89"/>
      <c r="S68" s="89"/>
      <c r="T68" s="211"/>
      <c r="U68" s="211"/>
      <c r="V68" s="211"/>
      <c r="W68" s="211"/>
      <c r="X68" s="211"/>
      <c r="Y68" s="211"/>
      <c r="Z68" s="211"/>
      <c r="AA68" s="211"/>
      <c r="AB68" s="89"/>
    </row>
    <row r="69" spans="1:28" customFormat="1" x14ac:dyDescent="0.2">
      <c r="A69" s="25"/>
      <c r="B69" s="25"/>
      <c r="C69" s="25"/>
      <c r="D69" s="25"/>
      <c r="E69" s="25"/>
      <c r="F69" s="25"/>
      <c r="G69" s="25"/>
      <c r="H69" s="25"/>
      <c r="I69" s="24"/>
      <c r="J69" s="24"/>
      <c r="K69" s="24"/>
      <c r="L69" s="24"/>
      <c r="M69" s="24"/>
      <c r="N69" s="24"/>
      <c r="O69" s="24"/>
      <c r="P69" s="24"/>
      <c r="Q69" s="24"/>
      <c r="R69" s="24"/>
      <c r="S69" s="24"/>
      <c r="T69" s="24"/>
      <c r="U69" s="24"/>
      <c r="V69" s="24"/>
      <c r="W69" s="24"/>
      <c r="X69" s="24"/>
      <c r="Y69" s="24"/>
      <c r="Z69" s="24"/>
      <c r="AA69" s="24"/>
      <c r="AB69" s="24"/>
    </row>
    <row r="70" spans="1:28" customFormat="1" x14ac:dyDescent="0.2">
      <c r="A70" s="25"/>
      <c r="B70" s="250" t="s">
        <v>206</v>
      </c>
      <c r="C70" s="25"/>
      <c r="D70" s="25"/>
      <c r="E70" s="25"/>
      <c r="F70" s="25"/>
      <c r="G70" s="25"/>
      <c r="H70" s="25"/>
      <c r="I70" s="24"/>
      <c r="J70" s="24"/>
      <c r="K70" s="24"/>
      <c r="L70" s="24"/>
      <c r="M70" s="24"/>
      <c r="N70" s="24"/>
      <c r="O70" s="24"/>
      <c r="P70" s="24"/>
      <c r="Q70" s="24"/>
      <c r="R70" s="24"/>
      <c r="S70" s="24"/>
      <c r="T70" s="24"/>
      <c r="U70" s="24"/>
      <c r="V70" s="24"/>
      <c r="W70" s="24"/>
      <c r="X70" s="24"/>
      <c r="Y70" s="24"/>
      <c r="Z70" s="24"/>
      <c r="AA70" s="24"/>
      <c r="AB70" s="24"/>
    </row>
    <row r="71" spans="1:28" customFormat="1" x14ac:dyDescent="0.2">
      <c r="A71" s="25"/>
      <c r="B71" s="48"/>
      <c r="C71" s="25"/>
      <c r="D71" s="202"/>
      <c r="E71" s="25"/>
      <c r="F71" s="25"/>
      <c r="G71" s="25"/>
      <c r="H71" s="25"/>
      <c r="I71" s="24"/>
      <c r="J71" s="24"/>
      <c r="K71" s="24"/>
      <c r="L71" s="24"/>
      <c r="M71" s="24"/>
      <c r="N71" s="24"/>
      <c r="O71" s="24"/>
      <c r="P71" s="24"/>
      <c r="Q71" s="24"/>
      <c r="R71" s="24"/>
      <c r="S71" s="24"/>
      <c r="T71" s="24"/>
      <c r="U71" s="24"/>
      <c r="V71" s="24"/>
      <c r="W71" s="24"/>
      <c r="X71" s="24"/>
      <c r="Y71" s="24"/>
      <c r="Z71" s="24"/>
      <c r="AA71" s="24"/>
      <c r="AB71" s="24"/>
    </row>
    <row r="72" spans="1:28" customFormat="1" x14ac:dyDescent="0.2">
      <c r="A72" s="25"/>
      <c r="B72" s="25"/>
      <c r="C72" s="31" t="str">
        <f>Inputs!C$58</f>
        <v>AIP adjustment term (2024-25)</v>
      </c>
      <c r="D72" s="25"/>
      <c r="E72" s="31"/>
      <c r="F72" s="31"/>
      <c r="G72" s="25" t="str">
        <f>Inputs!G$58</f>
        <v>£m nominal</v>
      </c>
      <c r="H72" s="25"/>
      <c r="I72" s="198">
        <f>Inputs!I$58</f>
        <v>-35.959595353933558</v>
      </c>
      <c r="J72" s="24"/>
      <c r="K72" s="24"/>
      <c r="L72" s="24"/>
      <c r="M72" s="24"/>
      <c r="N72" s="24"/>
      <c r="O72" s="24"/>
      <c r="P72" s="24"/>
      <c r="Q72" s="24"/>
      <c r="R72" s="24"/>
      <c r="S72" s="24"/>
      <c r="T72" s="24"/>
      <c r="U72" s="24"/>
      <c r="V72" s="24"/>
      <c r="W72" s="24"/>
      <c r="X72" s="24"/>
      <c r="Y72" s="24"/>
      <c r="Z72" s="24"/>
      <c r="AA72" s="24"/>
      <c r="AB72" s="24"/>
    </row>
    <row r="73" spans="1:28" customFormat="1" x14ac:dyDescent="0.2">
      <c r="A73" s="25"/>
      <c r="B73" s="25"/>
      <c r="C73" s="25"/>
      <c r="D73" s="25"/>
      <c r="E73" s="25"/>
      <c r="F73" s="25"/>
      <c r="G73" s="25"/>
      <c r="H73" s="25"/>
      <c r="I73" s="24"/>
      <c r="J73" s="24"/>
      <c r="K73" s="24"/>
      <c r="L73" s="24"/>
      <c r="M73" s="24"/>
      <c r="N73" s="24"/>
      <c r="O73" s="24"/>
      <c r="P73" s="24"/>
      <c r="Q73" s="24"/>
      <c r="R73" s="24"/>
      <c r="S73" s="24"/>
      <c r="T73" s="24"/>
      <c r="U73" s="24"/>
      <c r="V73" s="24"/>
      <c r="W73" s="24"/>
      <c r="X73" s="24"/>
      <c r="Y73" s="24"/>
      <c r="Z73" s="24"/>
      <c r="AA73" s="24"/>
      <c r="AB73" s="24"/>
    </row>
    <row r="74" spans="1:28" customFormat="1" x14ac:dyDescent="0.2">
      <c r="A74" s="25"/>
      <c r="B74" s="25"/>
      <c r="C74" s="31" t="s">
        <v>207</v>
      </c>
      <c r="D74" s="25"/>
      <c r="E74" s="31"/>
      <c r="F74" s="31" t="s">
        <v>208</v>
      </c>
      <c r="G74" s="31" t="s">
        <v>31</v>
      </c>
      <c r="H74" s="25"/>
      <c r="I74" s="151">
        <f>I72</f>
        <v>-35.959595353933558</v>
      </c>
      <c r="J74" s="24"/>
      <c r="K74" s="24"/>
      <c r="L74" s="24"/>
      <c r="M74" s="24"/>
      <c r="N74" s="24"/>
      <c r="O74" s="24"/>
      <c r="P74" s="24"/>
      <c r="Q74" s="24"/>
      <c r="R74" s="24"/>
      <c r="S74" s="24"/>
      <c r="T74" s="24"/>
      <c r="U74" s="24"/>
      <c r="V74" s="24"/>
      <c r="W74" s="24"/>
      <c r="X74" s="24"/>
      <c r="Y74" s="24"/>
      <c r="Z74" s="24"/>
      <c r="AA74" s="24"/>
      <c r="AB74" s="24"/>
    </row>
    <row r="75" spans="1:28" customFormat="1" x14ac:dyDescent="0.2">
      <c r="A75" s="25"/>
      <c r="B75" s="25"/>
      <c r="C75" s="25"/>
      <c r="D75" s="25"/>
      <c r="E75" s="25"/>
      <c r="F75" s="25"/>
      <c r="G75" s="25"/>
      <c r="H75" s="25"/>
      <c r="I75" s="24"/>
      <c r="J75" s="24"/>
      <c r="K75" s="24"/>
      <c r="L75" s="24"/>
      <c r="M75" s="24"/>
      <c r="N75" s="24"/>
      <c r="O75" s="24"/>
      <c r="P75" s="24"/>
      <c r="Q75" s="24"/>
      <c r="R75" s="24"/>
      <c r="S75" s="24"/>
      <c r="T75" s="24"/>
      <c r="U75" s="24"/>
      <c r="V75" s="24"/>
      <c r="W75" s="24"/>
      <c r="X75" s="24"/>
      <c r="Y75" s="24"/>
      <c r="Z75" s="24"/>
      <c r="AA75" s="24"/>
      <c r="AB75" s="24"/>
    </row>
    <row r="76" spans="1:28" customFormat="1" ht="18" x14ac:dyDescent="0.25">
      <c r="A76" s="85" t="s">
        <v>13</v>
      </c>
      <c r="B76" s="85" t="str">
        <f>D119</f>
        <v>Interest on BSUoS (‘K’)</v>
      </c>
      <c r="C76" s="91"/>
      <c r="D76" s="91"/>
      <c r="E76" s="91"/>
      <c r="F76" s="210"/>
      <c r="G76" s="91"/>
      <c r="H76" s="91"/>
      <c r="I76" s="89"/>
      <c r="J76" s="89"/>
      <c r="K76" s="89"/>
      <c r="L76" s="89"/>
      <c r="M76" s="89"/>
      <c r="N76" s="89"/>
      <c r="O76" s="89"/>
      <c r="P76" s="89"/>
      <c r="Q76" s="89"/>
      <c r="R76" s="89"/>
      <c r="S76" s="89"/>
      <c r="T76" s="211"/>
      <c r="U76" s="211"/>
      <c r="V76" s="211"/>
      <c r="W76" s="211"/>
      <c r="X76" s="211"/>
      <c r="Y76" s="211"/>
      <c r="Z76" s="211"/>
      <c r="AA76" s="211"/>
      <c r="AB76" s="89"/>
    </row>
    <row r="77" spans="1:28" customFormat="1" x14ac:dyDescent="0.2">
      <c r="A77" s="25"/>
      <c r="B77" s="25"/>
      <c r="C77" s="25"/>
      <c r="D77" s="25"/>
      <c r="E77" s="25"/>
      <c r="F77" s="25"/>
      <c r="G77" s="25"/>
      <c r="H77" s="25"/>
      <c r="I77" s="24"/>
      <c r="J77" s="24"/>
      <c r="K77" s="24"/>
      <c r="L77" s="24"/>
      <c r="M77" s="24"/>
      <c r="N77" s="24"/>
      <c r="O77" s="24"/>
      <c r="P77" s="24"/>
      <c r="Q77" s="24"/>
      <c r="R77" s="24"/>
      <c r="S77" s="24"/>
      <c r="T77" s="24"/>
      <c r="U77" s="24"/>
      <c r="V77" s="24"/>
      <c r="W77" s="24"/>
      <c r="X77" s="24"/>
      <c r="Y77" s="24"/>
      <c r="Z77" s="24"/>
      <c r="AA77" s="24"/>
      <c r="AB77" s="24"/>
    </row>
    <row r="78" spans="1:28" customFormat="1" x14ac:dyDescent="0.2">
      <c r="A78" s="25"/>
      <c r="B78" s="249" t="s">
        <v>209</v>
      </c>
      <c r="C78" s="25"/>
      <c r="D78" s="25"/>
      <c r="E78" s="25"/>
      <c r="F78" s="25"/>
      <c r="G78" s="25"/>
      <c r="H78" s="25"/>
      <c r="I78" s="24"/>
      <c r="J78" s="24"/>
      <c r="K78" s="24"/>
      <c r="L78" s="24"/>
      <c r="M78" s="24"/>
      <c r="N78" s="24"/>
      <c r="O78" s="24"/>
      <c r="P78" s="24"/>
      <c r="Q78" s="24"/>
      <c r="R78" s="24"/>
      <c r="S78" s="24"/>
      <c r="T78" s="24"/>
      <c r="U78" s="24"/>
      <c r="V78" s="24"/>
      <c r="W78" s="24"/>
      <c r="X78" s="24"/>
      <c r="Y78" s="24"/>
      <c r="Z78" s="24"/>
      <c r="AA78" s="24"/>
      <c r="AB78" s="24"/>
    </row>
    <row r="79" spans="1:28" customFormat="1" x14ac:dyDescent="0.2">
      <c r="A79" s="25"/>
      <c r="B79" s="249" t="s">
        <v>210</v>
      </c>
      <c r="C79" s="25"/>
      <c r="D79" s="25"/>
      <c r="E79" s="25"/>
      <c r="F79" s="25"/>
      <c r="G79" s="25"/>
      <c r="H79" s="25"/>
      <c r="I79" s="24"/>
      <c r="J79" s="24"/>
      <c r="K79" s="24"/>
      <c r="L79" s="24"/>
      <c r="M79" s="24"/>
      <c r="N79" s="24"/>
      <c r="O79" s="24"/>
      <c r="P79" s="24"/>
      <c r="Q79" s="24"/>
      <c r="R79" s="24"/>
      <c r="S79" s="24"/>
      <c r="T79" s="24"/>
      <c r="U79" s="24"/>
      <c r="V79" s="24"/>
      <c r="W79" s="24"/>
      <c r="X79" s="24"/>
      <c r="Y79" s="24"/>
      <c r="Z79" s="24"/>
      <c r="AA79" s="24"/>
      <c r="AB79" s="24"/>
    </row>
    <row r="80" spans="1:28" x14ac:dyDescent="0.2">
      <c r="A80" s="25"/>
      <c r="B80" s="25"/>
      <c r="C80" s="25"/>
      <c r="D80" s="25"/>
      <c r="E80" s="25"/>
      <c r="F80" s="25"/>
      <c r="G80" s="25"/>
      <c r="H80" s="25"/>
      <c r="I80" s="24"/>
      <c r="J80" s="24"/>
      <c r="K80" s="24"/>
      <c r="L80" s="24"/>
      <c r="M80" s="24"/>
      <c r="N80" s="24"/>
      <c r="O80" s="24"/>
      <c r="P80" s="24"/>
      <c r="Q80" s="24"/>
      <c r="R80" s="24"/>
      <c r="S80" s="24"/>
      <c r="T80" s="24"/>
      <c r="U80" s="24"/>
      <c r="V80" s="24"/>
      <c r="W80" s="24"/>
      <c r="X80" s="24"/>
      <c r="Y80" s="24"/>
      <c r="Z80" s="24"/>
      <c r="AA80" s="24"/>
      <c r="AB80" s="24"/>
    </row>
    <row r="81" spans="1:28" x14ac:dyDescent="0.2">
      <c r="A81" s="25"/>
      <c r="B81" s="25"/>
      <c r="C81" s="31" t="str">
        <f>Inputs!C$31</f>
        <v>Total Allowed Revenue (2023-24)</v>
      </c>
      <c r="D81" s="31"/>
      <c r="E81" s="31"/>
      <c r="F81" s="31"/>
      <c r="G81" s="31" t="str">
        <f>Inputs!G$31</f>
        <v>£m nominal</v>
      </c>
      <c r="H81" s="24"/>
      <c r="I81" s="198">
        <f>Inputs!I$31</f>
        <v>2892.6223878236751</v>
      </c>
      <c r="J81" s="24"/>
      <c r="K81" s="24"/>
      <c r="L81" s="24"/>
      <c r="M81" s="24"/>
      <c r="N81" s="24"/>
      <c r="O81" s="24"/>
      <c r="P81" s="24"/>
      <c r="Q81" s="24"/>
      <c r="R81" s="24"/>
      <c r="S81" s="24"/>
      <c r="T81" s="24"/>
      <c r="U81" s="24"/>
      <c r="V81" s="24"/>
      <c r="W81" s="24"/>
      <c r="X81" s="24"/>
      <c r="Y81" s="24"/>
      <c r="Z81" s="24"/>
      <c r="AA81" s="24"/>
      <c r="AB81" s="24"/>
    </row>
    <row r="82" spans="1:28" x14ac:dyDescent="0.2">
      <c r="A82" s="25"/>
      <c r="B82" s="25"/>
      <c r="C82" s="31" t="str">
        <f>Inputs!C$32</f>
        <v>Actual Collected Revenue (2023-24)</v>
      </c>
      <c r="D82" s="31"/>
      <c r="E82" s="31"/>
      <c r="F82" s="31"/>
      <c r="G82" s="31" t="str">
        <f>Inputs!G$32</f>
        <v>£m nominal</v>
      </c>
      <c r="H82" s="24"/>
      <c r="I82" s="198">
        <f>Inputs!I$32</f>
        <v>3741.9912156121645</v>
      </c>
      <c r="J82" s="24"/>
      <c r="K82" s="24"/>
      <c r="L82" s="24"/>
      <c r="M82" s="24"/>
      <c r="N82" s="24"/>
      <c r="O82" s="24"/>
      <c r="P82" s="24"/>
      <c r="Q82" s="24"/>
      <c r="R82" s="24"/>
      <c r="S82" s="24"/>
      <c r="T82" s="24"/>
      <c r="U82" s="24"/>
      <c r="V82" s="24"/>
      <c r="W82" s="24"/>
      <c r="X82" s="24"/>
      <c r="Y82" s="24"/>
      <c r="Z82" s="24"/>
      <c r="AA82" s="24"/>
      <c r="AB82" s="24"/>
    </row>
    <row r="83" spans="1:28" x14ac:dyDescent="0.2">
      <c r="A83" s="25"/>
      <c r="B83" s="25"/>
      <c r="C83" s="31" t="str">
        <f>Inputs!C$33</f>
        <v>Average Value of SONIA (2023-24)</v>
      </c>
      <c r="D83" s="31"/>
      <c r="E83" s="31"/>
      <c r="F83" s="31"/>
      <c r="G83" s="31" t="str">
        <f>Inputs!G$33</f>
        <v>%</v>
      </c>
      <c r="H83" s="24"/>
      <c r="I83" s="147">
        <f>Inputs!I$33</f>
        <v>4.9711560000000037E-2</v>
      </c>
      <c r="J83" s="24"/>
      <c r="K83" s="24"/>
      <c r="L83" s="24"/>
      <c r="M83" s="24"/>
      <c r="N83" s="24"/>
      <c r="O83" s="24"/>
      <c r="P83" s="24"/>
      <c r="Q83" s="24"/>
      <c r="R83" s="24"/>
      <c r="S83" s="24"/>
      <c r="T83" s="24"/>
      <c r="U83" s="24"/>
      <c r="V83" s="24"/>
      <c r="W83" s="24"/>
      <c r="X83" s="24"/>
      <c r="Y83" s="24"/>
      <c r="Z83" s="24"/>
      <c r="AA83" s="24"/>
      <c r="AB83" s="24"/>
    </row>
    <row r="84" spans="1:28" x14ac:dyDescent="0.2">
      <c r="A84" s="25"/>
      <c r="B84" s="25"/>
      <c r="C84" s="31" t="str">
        <f>Inputs!C$34</f>
        <v>Credit Spread in Price Control (2023-24)</v>
      </c>
      <c r="D84" s="31"/>
      <c r="E84" s="31"/>
      <c r="F84" s="31"/>
      <c r="G84" s="31" t="str">
        <f>Inputs!G$34</f>
        <v>%</v>
      </c>
      <c r="H84" s="24"/>
      <c r="I84" s="147">
        <f>Inputs!I$34</f>
        <v>1.15E-2</v>
      </c>
      <c r="J84" s="24"/>
      <c r="K84" s="24"/>
      <c r="L84" s="24"/>
      <c r="M84" s="24"/>
      <c r="N84" s="24"/>
      <c r="O84" s="24"/>
      <c r="P84" s="24"/>
      <c r="Q84" s="24"/>
      <c r="R84" s="24"/>
      <c r="S84" s="24"/>
      <c r="T84" s="24"/>
      <c r="U84" s="24"/>
      <c r="V84" s="24"/>
      <c r="W84" s="24"/>
      <c r="X84" s="24"/>
      <c r="Y84" s="24"/>
      <c r="Z84" s="24"/>
      <c r="AA84" s="24"/>
      <c r="AB84" s="24"/>
    </row>
    <row r="85" spans="1:28" customFormat="1" x14ac:dyDescent="0.2">
      <c r="A85" s="24"/>
      <c r="B85" s="24"/>
      <c r="C85" s="31"/>
      <c r="D85" s="31"/>
      <c r="E85" s="31"/>
      <c r="F85" s="31"/>
      <c r="G85" s="31"/>
      <c r="H85" s="24"/>
      <c r="I85" s="24"/>
      <c r="J85" s="24"/>
      <c r="K85" s="24"/>
      <c r="L85" s="24"/>
      <c r="M85" s="24"/>
      <c r="N85" s="24"/>
      <c r="O85" s="24"/>
      <c r="P85" s="24"/>
      <c r="Q85" s="24"/>
      <c r="R85" s="24"/>
      <c r="S85" s="24"/>
      <c r="T85" s="24"/>
      <c r="U85" s="24"/>
      <c r="V85" s="24"/>
      <c r="W85" s="24"/>
      <c r="X85" s="24"/>
      <c r="Y85" s="24"/>
      <c r="Z85" s="24"/>
      <c r="AA85" s="24"/>
      <c r="AB85" s="24"/>
    </row>
    <row r="86" spans="1:28" customFormat="1" x14ac:dyDescent="0.2">
      <c r="A86" s="25"/>
      <c r="B86" s="25"/>
      <c r="C86" s="31" t="s">
        <v>211</v>
      </c>
      <c r="D86" s="25"/>
      <c r="E86" s="31"/>
      <c r="F86" s="31" t="s">
        <v>212</v>
      </c>
      <c r="G86" s="31" t="s">
        <v>31</v>
      </c>
      <c r="H86" s="25"/>
      <c r="I86" s="151">
        <f>(I81 - I82) * (I83 + I84)</f>
        <v>-51.99119096430482</v>
      </c>
      <c r="J86" s="24"/>
      <c r="K86" s="24"/>
      <c r="L86" s="24"/>
      <c r="M86" s="24"/>
      <c r="N86" s="24"/>
      <c r="O86" s="24"/>
      <c r="P86" s="24"/>
      <c r="Q86" s="24"/>
      <c r="R86" s="24"/>
      <c r="S86" s="24"/>
      <c r="T86" s="24"/>
      <c r="U86" s="24"/>
      <c r="V86" s="24"/>
      <c r="W86" s="24"/>
      <c r="X86" s="24"/>
      <c r="Y86" s="24"/>
      <c r="Z86" s="24"/>
      <c r="AA86" s="24"/>
      <c r="AB86" s="24"/>
    </row>
    <row r="87" spans="1:28" customFormat="1" x14ac:dyDescent="0.2">
      <c r="A87" s="25"/>
      <c r="B87" s="25"/>
      <c r="C87" s="25"/>
      <c r="D87" s="25"/>
      <c r="E87" s="25"/>
      <c r="F87" s="25"/>
      <c r="G87" s="25"/>
      <c r="H87" s="25"/>
      <c r="I87" s="24"/>
      <c r="J87" s="24"/>
      <c r="K87" s="24"/>
      <c r="L87" s="24"/>
      <c r="M87" s="24"/>
      <c r="N87" s="24"/>
      <c r="O87" s="24"/>
      <c r="P87" s="24"/>
      <c r="Q87" s="24"/>
      <c r="R87" s="24"/>
      <c r="S87" s="24"/>
      <c r="T87" s="24"/>
      <c r="U87" s="24"/>
      <c r="V87" s="24"/>
      <c r="W87" s="24"/>
      <c r="X87" s="24"/>
      <c r="Y87" s="24"/>
      <c r="Z87" s="24"/>
      <c r="AA87" s="24"/>
      <c r="AB87" s="24"/>
    </row>
    <row r="88" spans="1:28" customFormat="1" ht="18" x14ac:dyDescent="0.25">
      <c r="A88" s="85" t="s">
        <v>13</v>
      </c>
      <c r="B88" s="85" t="str">
        <f>D120</f>
        <v>Pre-RIIO2 adjustments</v>
      </c>
      <c r="C88" s="91"/>
      <c r="D88" s="91"/>
      <c r="E88" s="91"/>
      <c r="F88" s="210"/>
      <c r="G88" s="91"/>
      <c r="H88" s="91"/>
      <c r="I88" s="89"/>
      <c r="J88" s="89"/>
      <c r="K88" s="89"/>
      <c r="L88" s="89"/>
      <c r="M88" s="89"/>
      <c r="N88" s="89"/>
      <c r="O88" s="89"/>
      <c r="P88" s="89"/>
      <c r="Q88" s="89"/>
      <c r="R88" s="89"/>
      <c r="S88" s="89"/>
      <c r="T88" s="211"/>
      <c r="U88" s="211"/>
      <c r="V88" s="211"/>
      <c r="W88" s="211"/>
      <c r="X88" s="211"/>
      <c r="Y88" s="211"/>
      <c r="Z88" s="211"/>
      <c r="AA88" s="211"/>
      <c r="AB88" s="89"/>
    </row>
    <row r="89" spans="1:28" customFormat="1" x14ac:dyDescent="0.2">
      <c r="A89" s="25"/>
      <c r="B89" s="25"/>
      <c r="C89" s="25"/>
      <c r="D89" s="25"/>
      <c r="E89" s="25"/>
      <c r="F89" s="25"/>
      <c r="G89" s="25"/>
      <c r="H89" s="25"/>
      <c r="I89" s="24"/>
      <c r="J89" s="24"/>
      <c r="K89" s="24"/>
      <c r="L89" s="24"/>
      <c r="M89" s="24"/>
      <c r="N89" s="24"/>
      <c r="O89" s="24"/>
      <c r="P89" s="24"/>
      <c r="Q89" s="24"/>
      <c r="R89" s="24"/>
      <c r="S89" s="24"/>
      <c r="T89" s="24"/>
      <c r="U89" s="24"/>
      <c r="V89" s="24"/>
      <c r="W89" s="24"/>
      <c r="X89" s="24"/>
      <c r="Y89" s="24"/>
      <c r="Z89" s="24"/>
      <c r="AA89" s="24"/>
      <c r="AB89" s="24"/>
    </row>
    <row r="90" spans="1:28" customFormat="1" x14ac:dyDescent="0.2">
      <c r="A90" s="25"/>
      <c r="B90" s="249" t="s">
        <v>213</v>
      </c>
      <c r="C90" s="25"/>
      <c r="D90" s="25"/>
      <c r="E90" s="25"/>
      <c r="F90" s="25"/>
      <c r="G90" s="25"/>
      <c r="H90" s="25"/>
      <c r="I90" s="24"/>
      <c r="J90" s="24"/>
      <c r="K90" s="24"/>
      <c r="L90" s="24"/>
      <c r="M90" s="24"/>
      <c r="N90" s="24"/>
      <c r="O90" s="24"/>
      <c r="P90" s="24"/>
      <c r="Q90" s="24"/>
      <c r="R90" s="24"/>
      <c r="S90" s="24"/>
      <c r="T90" s="24"/>
      <c r="U90" s="24"/>
      <c r="V90" s="24"/>
      <c r="W90" s="24"/>
      <c r="X90" s="24"/>
      <c r="Y90" s="24"/>
      <c r="Z90" s="24"/>
      <c r="AA90" s="24"/>
      <c r="AB90" s="24"/>
    </row>
    <row r="91" spans="1:28" customFormat="1" x14ac:dyDescent="0.2">
      <c r="A91" s="25"/>
      <c r="B91" s="249" t="s">
        <v>214</v>
      </c>
      <c r="C91" s="25"/>
      <c r="D91" s="25"/>
      <c r="E91" s="25"/>
      <c r="F91" s="25"/>
      <c r="G91" s="25"/>
      <c r="H91" s="25"/>
      <c r="I91" s="24"/>
      <c r="J91" s="24"/>
      <c r="K91" s="24"/>
      <c r="L91" s="24"/>
      <c r="M91" s="24"/>
      <c r="N91" s="24"/>
      <c r="O91" s="24"/>
      <c r="P91" s="24"/>
      <c r="Q91" s="24"/>
      <c r="R91" s="24"/>
      <c r="S91" s="24"/>
      <c r="T91" s="24"/>
      <c r="U91" s="24"/>
      <c r="V91" s="24"/>
      <c r="W91" s="24"/>
      <c r="X91" s="24"/>
      <c r="Y91" s="24"/>
      <c r="Z91" s="24"/>
      <c r="AA91" s="24"/>
      <c r="AB91" s="24"/>
    </row>
    <row r="92" spans="1:28" customFormat="1" x14ac:dyDescent="0.2">
      <c r="A92" s="25"/>
      <c r="B92" s="25"/>
      <c r="C92" s="25"/>
      <c r="D92" s="25"/>
      <c r="E92" s="25"/>
      <c r="F92" s="25"/>
      <c r="G92" s="25"/>
      <c r="H92" s="25"/>
      <c r="I92" s="24"/>
      <c r="J92" s="24"/>
      <c r="K92" s="24"/>
      <c r="L92" s="24"/>
      <c r="M92" s="24"/>
      <c r="N92" s="24"/>
      <c r="O92" s="24"/>
      <c r="P92" s="24"/>
      <c r="Q92" s="24"/>
      <c r="R92" s="24"/>
      <c r="S92" s="24"/>
      <c r="T92" s="24"/>
      <c r="U92" s="24"/>
      <c r="V92" s="24"/>
      <c r="W92" s="24"/>
      <c r="X92" s="24"/>
      <c r="Y92" s="24"/>
      <c r="Z92" s="24"/>
      <c r="AA92" s="24"/>
      <c r="AB92" s="24"/>
    </row>
    <row r="93" spans="1:28" customFormat="1" x14ac:dyDescent="0.2">
      <c r="A93" s="25"/>
      <c r="B93" s="25"/>
      <c r="C93" s="31" t="str">
        <f>Inputs!C$59</f>
        <v>Legacy Allowed Revenue from latest AIP (2024-25)</v>
      </c>
      <c r="D93" s="25"/>
      <c r="E93" s="31"/>
      <c r="F93" s="31"/>
      <c r="G93" s="31" t="str">
        <f>Inputs!G$59</f>
        <v>£m nominal</v>
      </c>
      <c r="H93" s="25"/>
      <c r="I93" s="198">
        <f>Inputs!I$59</f>
        <v>1.4826468121243528</v>
      </c>
      <c r="J93" s="24"/>
      <c r="K93" s="24"/>
      <c r="L93" s="24"/>
      <c r="M93" s="24"/>
      <c r="N93" s="24"/>
      <c r="O93" s="24"/>
      <c r="P93" s="24"/>
      <c r="Q93" s="24"/>
      <c r="R93" s="24"/>
      <c r="S93" s="24"/>
      <c r="T93" s="24"/>
      <c r="U93" s="24"/>
      <c r="V93" s="24"/>
      <c r="W93" s="24"/>
      <c r="X93" s="24"/>
      <c r="Y93" s="24"/>
      <c r="Z93" s="24"/>
      <c r="AA93" s="24"/>
      <c r="AB93" s="24"/>
    </row>
    <row r="94" spans="1:28" customFormat="1" x14ac:dyDescent="0.2">
      <c r="A94" s="25"/>
      <c r="B94" s="25"/>
      <c r="C94" s="25"/>
      <c r="D94" s="25"/>
      <c r="E94" s="25"/>
      <c r="F94" s="25"/>
      <c r="G94" s="25"/>
      <c r="H94" s="25"/>
      <c r="I94" s="24"/>
      <c r="J94" s="24"/>
      <c r="K94" s="24"/>
      <c r="L94" s="24"/>
      <c r="M94" s="24"/>
      <c r="N94" s="24"/>
      <c r="O94" s="24"/>
      <c r="P94" s="24"/>
      <c r="Q94" s="24"/>
      <c r="R94" s="24"/>
      <c r="S94" s="24"/>
      <c r="T94" s="24"/>
      <c r="U94" s="24"/>
      <c r="V94" s="24"/>
      <c r="W94" s="24"/>
      <c r="X94" s="24"/>
      <c r="Y94" s="24"/>
      <c r="Z94" s="24"/>
      <c r="AA94" s="24"/>
      <c r="AB94" s="24"/>
    </row>
    <row r="95" spans="1:28" customFormat="1" x14ac:dyDescent="0.2">
      <c r="A95" s="25"/>
      <c r="B95" s="25"/>
      <c r="C95" s="31" t="s">
        <v>215</v>
      </c>
      <c r="D95" s="25"/>
      <c r="E95" s="31"/>
      <c r="F95" s="31" t="s">
        <v>216</v>
      </c>
      <c r="G95" s="31" t="s">
        <v>31</v>
      </c>
      <c r="H95" s="25"/>
      <c r="I95" s="151">
        <f>I93</f>
        <v>1.4826468121243528</v>
      </c>
      <c r="J95" s="24"/>
      <c r="K95" s="24"/>
      <c r="L95" s="24"/>
      <c r="M95" s="24"/>
      <c r="N95" s="24"/>
      <c r="O95" s="24"/>
      <c r="P95" s="24"/>
      <c r="Q95" s="24"/>
      <c r="R95" s="24"/>
      <c r="S95" s="24"/>
      <c r="T95" s="24"/>
      <c r="U95" s="24"/>
      <c r="V95" s="24"/>
      <c r="W95" s="24"/>
      <c r="X95" s="24"/>
      <c r="Y95" s="24"/>
      <c r="Z95" s="24"/>
      <c r="AA95" s="24"/>
      <c r="AB95" s="24"/>
    </row>
    <row r="96" spans="1:28" customFormat="1" x14ac:dyDescent="0.2">
      <c r="A96" s="25"/>
      <c r="B96" s="25"/>
      <c r="C96" s="25"/>
      <c r="D96" s="25"/>
      <c r="E96" s="25"/>
      <c r="F96" s="25"/>
      <c r="G96" s="25"/>
      <c r="H96" s="25"/>
      <c r="I96" s="24"/>
      <c r="J96" s="24"/>
      <c r="K96" s="24"/>
      <c r="L96" s="24"/>
      <c r="M96" s="24"/>
      <c r="N96" s="24"/>
      <c r="O96" s="24"/>
      <c r="P96" s="24"/>
      <c r="Q96" s="24"/>
      <c r="R96" s="24"/>
      <c r="S96" s="24"/>
      <c r="T96" s="24"/>
      <c r="U96" s="24"/>
      <c r="V96" s="24"/>
      <c r="W96" s="24"/>
      <c r="X96" s="24"/>
      <c r="Y96" s="24"/>
      <c r="Z96" s="24"/>
      <c r="AA96" s="24"/>
      <c r="AB96" s="24"/>
    </row>
    <row r="97" spans="1:28" customFormat="1" ht="18" x14ac:dyDescent="0.25">
      <c r="A97" s="85" t="s">
        <v>13</v>
      </c>
      <c r="B97" s="85" t="str">
        <f>D121</f>
        <v>Working Capital Facility costs</v>
      </c>
      <c r="C97" s="91"/>
      <c r="D97" s="91"/>
      <c r="E97" s="91"/>
      <c r="F97" s="210"/>
      <c r="G97" s="91"/>
      <c r="H97" s="91"/>
      <c r="I97" s="89"/>
      <c r="J97" s="89"/>
      <c r="K97" s="89"/>
      <c r="L97" s="89"/>
      <c r="M97" s="89"/>
      <c r="N97" s="89"/>
      <c r="O97" s="89"/>
      <c r="P97" s="89"/>
      <c r="Q97" s="89"/>
      <c r="R97" s="89"/>
      <c r="S97" s="89"/>
      <c r="T97" s="211"/>
      <c r="U97" s="211"/>
      <c r="V97" s="211"/>
      <c r="W97" s="211"/>
      <c r="X97" s="211"/>
      <c r="Y97" s="211"/>
      <c r="Z97" s="211"/>
      <c r="AA97" s="211"/>
      <c r="AB97" s="89"/>
    </row>
    <row r="98" spans="1:28" customFormat="1" x14ac:dyDescent="0.2">
      <c r="A98" s="25"/>
      <c r="B98" s="25"/>
      <c r="C98" s="25"/>
      <c r="D98" s="25"/>
      <c r="E98" s="25"/>
      <c r="F98" s="25"/>
      <c r="G98" s="25"/>
      <c r="H98" s="25"/>
      <c r="I98" s="24"/>
      <c r="J98" s="24"/>
      <c r="K98" s="24"/>
      <c r="L98" s="24"/>
      <c r="M98" s="24"/>
      <c r="N98" s="24"/>
      <c r="O98" s="24"/>
      <c r="P98" s="24"/>
      <c r="Q98" s="24"/>
      <c r="R98" s="24"/>
      <c r="S98" s="24"/>
      <c r="T98" s="24"/>
      <c r="U98" s="24"/>
      <c r="V98" s="24"/>
      <c r="W98" s="24"/>
      <c r="X98" s="24"/>
      <c r="Y98" s="24"/>
      <c r="Z98" s="24"/>
      <c r="AA98" s="24"/>
      <c r="AB98" s="24"/>
    </row>
    <row r="99" spans="1:28" customFormat="1" x14ac:dyDescent="0.2">
      <c r="A99" s="25"/>
      <c r="B99" s="249" t="s">
        <v>217</v>
      </c>
      <c r="C99" s="25"/>
      <c r="D99" s="25"/>
      <c r="E99" s="25"/>
      <c r="F99" s="25"/>
      <c r="G99" s="25"/>
      <c r="H99" s="25"/>
      <c r="I99" s="24"/>
      <c r="J99" s="24"/>
      <c r="K99" s="24"/>
      <c r="L99" s="24"/>
      <c r="M99" s="24"/>
      <c r="N99" s="24"/>
      <c r="O99" s="24"/>
      <c r="P99" s="24"/>
      <c r="Q99" s="24"/>
      <c r="R99" s="24"/>
      <c r="S99" s="24"/>
      <c r="T99" s="24"/>
      <c r="U99" s="24"/>
      <c r="V99" s="24"/>
      <c r="W99" s="24"/>
      <c r="X99" s="24"/>
      <c r="Y99" s="24"/>
      <c r="Z99" s="24"/>
      <c r="AA99" s="24"/>
      <c r="AB99" s="24"/>
    </row>
    <row r="100" spans="1:28" customFormat="1" x14ac:dyDescent="0.2">
      <c r="A100" s="25"/>
      <c r="B100" s="249" t="s">
        <v>218</v>
      </c>
      <c r="C100" s="25"/>
      <c r="D100" s="25"/>
      <c r="E100" s="25"/>
      <c r="F100" s="25"/>
      <c r="G100" s="25"/>
      <c r="H100" s="25"/>
      <c r="I100" s="24"/>
      <c r="J100" s="24"/>
      <c r="K100" s="24"/>
      <c r="L100" s="24"/>
      <c r="M100" s="24"/>
      <c r="N100" s="24"/>
      <c r="O100" s="24"/>
      <c r="P100" s="24"/>
      <c r="Q100" s="24"/>
      <c r="R100" s="24"/>
      <c r="S100" s="24"/>
      <c r="T100" s="24"/>
      <c r="U100" s="24"/>
      <c r="V100" s="24"/>
      <c r="W100" s="24"/>
      <c r="X100" s="24"/>
      <c r="Y100" s="24"/>
      <c r="Z100" s="24"/>
      <c r="AA100" s="24"/>
      <c r="AB100" s="24"/>
    </row>
    <row r="101" spans="1:28" x14ac:dyDescent="0.2">
      <c r="A101" s="25"/>
      <c r="B101" s="25"/>
      <c r="C101" s="25"/>
      <c r="D101" s="25"/>
      <c r="E101" s="25"/>
      <c r="F101" s="25"/>
      <c r="G101" s="25"/>
      <c r="H101" s="25"/>
      <c r="I101" s="24"/>
      <c r="J101" s="24"/>
      <c r="K101" s="24"/>
      <c r="L101" s="24"/>
      <c r="M101" s="24"/>
      <c r="N101" s="24"/>
      <c r="O101" s="24"/>
      <c r="P101" s="24"/>
      <c r="Q101" s="24"/>
      <c r="R101" s="24"/>
      <c r="S101" s="24"/>
      <c r="T101" s="24"/>
      <c r="U101" s="24"/>
      <c r="V101" s="24"/>
      <c r="W101" s="24"/>
      <c r="X101" s="24"/>
      <c r="Y101" s="24"/>
      <c r="Z101" s="24"/>
      <c r="AA101" s="24"/>
      <c r="AB101" s="24"/>
    </row>
    <row r="102" spans="1:28" customFormat="1" x14ac:dyDescent="0.2">
      <c r="A102" s="25"/>
      <c r="B102" s="25"/>
      <c r="C102" s="25" t="str">
        <f>Inputs!C$39</f>
        <v>Working Capital Facility costs beyond ESOIₜ (2024-25 before Day 1)</v>
      </c>
      <c r="D102" s="25"/>
      <c r="E102" s="25"/>
      <c r="F102" s="25"/>
      <c r="G102" s="25" t="str">
        <f>Inputs!G$39</f>
        <v>£m nominal</v>
      </c>
      <c r="H102" s="25"/>
      <c r="I102" s="159">
        <f>Inputs!I$39</f>
        <v>0</v>
      </c>
      <c r="J102" s="24"/>
      <c r="K102" s="24"/>
      <c r="L102" s="24"/>
      <c r="M102" s="24"/>
      <c r="N102" s="24"/>
      <c r="O102" s="24"/>
      <c r="P102" s="24"/>
      <c r="Q102" s="24"/>
      <c r="R102" s="24"/>
      <c r="S102" s="24"/>
      <c r="T102" s="24"/>
      <c r="U102" s="24"/>
      <c r="V102" s="24"/>
      <c r="W102" s="24"/>
      <c r="X102" s="24"/>
      <c r="Y102" s="24"/>
      <c r="Z102" s="24"/>
      <c r="AA102" s="24"/>
      <c r="AB102" s="24"/>
    </row>
    <row r="103" spans="1:28" customFormat="1" x14ac:dyDescent="0.2">
      <c r="A103" s="25"/>
      <c r="B103" s="25"/>
      <c r="C103" s="25"/>
      <c r="D103" s="25"/>
      <c r="E103" s="25"/>
      <c r="F103" s="25"/>
      <c r="G103" s="25"/>
      <c r="H103" s="25"/>
      <c r="I103" s="24"/>
      <c r="J103" s="24"/>
      <c r="K103" s="24"/>
      <c r="L103" s="24"/>
      <c r="M103" s="24"/>
      <c r="N103" s="24"/>
      <c r="O103" s="24"/>
      <c r="P103" s="24"/>
      <c r="Q103" s="24"/>
      <c r="R103" s="24"/>
      <c r="S103" s="24"/>
      <c r="T103" s="24"/>
      <c r="U103" s="24"/>
      <c r="V103" s="24"/>
      <c r="W103" s="24"/>
      <c r="X103" s="24"/>
      <c r="Y103" s="24"/>
      <c r="Z103" s="24"/>
      <c r="AA103" s="24"/>
      <c r="AB103" s="24"/>
    </row>
    <row r="104" spans="1:28" customFormat="1" x14ac:dyDescent="0.2">
      <c r="A104" s="25"/>
      <c r="B104" s="25"/>
      <c r="C104" s="31" t="s">
        <v>219</v>
      </c>
      <c r="D104" s="25"/>
      <c r="E104" s="31"/>
      <c r="F104" s="31" t="s">
        <v>220</v>
      </c>
      <c r="G104" s="31" t="s">
        <v>31</v>
      </c>
      <c r="H104" s="25"/>
      <c r="I104" s="151">
        <f>I102</f>
        <v>0</v>
      </c>
      <c r="J104" s="24"/>
      <c r="K104" s="24"/>
      <c r="L104" s="24"/>
      <c r="M104" s="24"/>
      <c r="N104" s="24"/>
      <c r="O104" s="24"/>
      <c r="P104" s="24"/>
      <c r="Q104" s="24"/>
      <c r="R104" s="24"/>
      <c r="S104" s="24"/>
      <c r="T104" s="24"/>
      <c r="U104" s="24"/>
      <c r="V104" s="24"/>
      <c r="W104" s="24"/>
      <c r="X104" s="24"/>
      <c r="Y104" s="24"/>
      <c r="Z104" s="24"/>
      <c r="AA104" s="24"/>
      <c r="AB104" s="24"/>
    </row>
    <row r="105" spans="1:28" customFormat="1" x14ac:dyDescent="0.2">
      <c r="A105" s="25"/>
      <c r="B105" s="25"/>
      <c r="C105" s="25"/>
      <c r="D105" s="25"/>
      <c r="E105" s="25"/>
      <c r="F105" s="25"/>
      <c r="G105" s="25"/>
      <c r="H105" s="25"/>
      <c r="I105" s="24"/>
      <c r="J105" s="24"/>
      <c r="K105" s="24"/>
      <c r="L105" s="24"/>
      <c r="M105" s="24"/>
      <c r="N105" s="24"/>
      <c r="O105" s="24"/>
      <c r="P105" s="24"/>
      <c r="Q105" s="24"/>
      <c r="R105" s="24"/>
      <c r="S105" s="24"/>
      <c r="T105" s="24"/>
      <c r="U105" s="24"/>
      <c r="V105" s="24"/>
      <c r="W105" s="24"/>
      <c r="X105" s="24"/>
      <c r="Y105" s="24"/>
      <c r="Z105" s="24"/>
      <c r="AA105" s="24"/>
      <c r="AB105" s="24"/>
    </row>
    <row r="106" spans="1:28" ht="18" x14ac:dyDescent="0.25">
      <c r="A106" s="85" t="s">
        <v>13</v>
      </c>
      <c r="B106" s="85" t="s">
        <v>221</v>
      </c>
      <c r="C106" s="91"/>
      <c r="D106" s="91"/>
      <c r="E106" s="91"/>
      <c r="F106" s="210"/>
      <c r="G106" s="91"/>
      <c r="H106" s="91"/>
      <c r="I106" s="89"/>
      <c r="J106" s="89"/>
      <c r="K106" s="89"/>
      <c r="L106" s="89"/>
      <c r="M106" s="89"/>
      <c r="N106" s="89"/>
      <c r="O106" s="89"/>
      <c r="P106" s="89"/>
      <c r="Q106" s="89"/>
      <c r="R106" s="89"/>
      <c r="S106" s="89"/>
      <c r="T106" s="211"/>
      <c r="U106" s="211"/>
      <c r="V106" s="211"/>
      <c r="W106" s="211"/>
      <c r="X106" s="211"/>
      <c r="Y106" s="211"/>
      <c r="Z106" s="211"/>
      <c r="AA106" s="211"/>
      <c r="AB106" s="89"/>
    </row>
    <row r="107" spans="1:28" x14ac:dyDescent="0.2">
      <c r="A107" s="25"/>
      <c r="B107" s="25"/>
      <c r="C107" s="25"/>
      <c r="D107" s="25"/>
      <c r="E107" s="25"/>
      <c r="F107" s="25"/>
      <c r="G107" s="25"/>
      <c r="H107" s="25"/>
      <c r="I107" s="24"/>
      <c r="J107" s="24"/>
      <c r="K107" s="24"/>
      <c r="L107" s="24"/>
      <c r="M107" s="24"/>
      <c r="N107" s="24"/>
      <c r="O107" s="24"/>
      <c r="P107" s="24"/>
      <c r="Q107" s="24"/>
      <c r="R107" s="24"/>
      <c r="S107" s="24"/>
      <c r="T107" s="24"/>
      <c r="U107" s="24"/>
      <c r="V107" s="24"/>
      <c r="W107" s="24"/>
      <c r="X107" s="24"/>
      <c r="Y107" s="24"/>
      <c r="Z107" s="24"/>
      <c r="AA107" s="24"/>
      <c r="AB107" s="24"/>
    </row>
    <row r="108" spans="1:28" x14ac:dyDescent="0.2">
      <c r="A108" s="25"/>
      <c r="B108" s="249" t="s">
        <v>222</v>
      </c>
      <c r="C108" s="25"/>
      <c r="D108" s="25"/>
      <c r="E108" s="25"/>
      <c r="F108" s="25"/>
      <c r="G108" s="25"/>
      <c r="H108" s="25"/>
      <c r="I108" s="24"/>
      <c r="J108" s="24"/>
      <c r="K108" s="24"/>
      <c r="L108" s="24"/>
      <c r="M108" s="24"/>
      <c r="N108" s="24"/>
      <c r="O108" s="24"/>
      <c r="P108" s="24"/>
      <c r="Q108" s="24"/>
      <c r="R108" s="24"/>
      <c r="S108" s="24"/>
      <c r="T108" s="24"/>
      <c r="U108" s="24"/>
      <c r="V108" s="24"/>
      <c r="W108" s="24"/>
      <c r="X108" s="24"/>
      <c r="Y108" s="24"/>
      <c r="Z108" s="24"/>
      <c r="AA108" s="24"/>
      <c r="AB108" s="24"/>
    </row>
    <row r="109" spans="1:28" x14ac:dyDescent="0.2">
      <c r="A109" s="25"/>
      <c r="B109" s="25"/>
      <c r="C109" s="25"/>
      <c r="D109" s="25"/>
      <c r="E109" s="25"/>
      <c r="F109" s="25"/>
      <c r="G109" s="25"/>
      <c r="H109" s="25"/>
      <c r="I109" s="24"/>
      <c r="J109" s="24"/>
      <c r="K109" s="24"/>
      <c r="L109" s="24"/>
      <c r="M109" s="24"/>
      <c r="N109" s="24"/>
      <c r="O109" s="24"/>
      <c r="P109" s="24"/>
      <c r="Q109" s="24"/>
      <c r="R109" s="24"/>
      <c r="S109" s="24"/>
      <c r="T109" s="24"/>
      <c r="U109" s="24"/>
      <c r="V109" s="24"/>
      <c r="W109" s="24"/>
      <c r="X109" s="24"/>
      <c r="Y109" s="24"/>
      <c r="Z109" s="24"/>
      <c r="AA109" s="24"/>
      <c r="AB109" s="24"/>
    </row>
    <row r="110" spans="1:28" ht="15" x14ac:dyDescent="0.2">
      <c r="A110" s="25"/>
      <c r="B110" s="25"/>
      <c r="C110" s="28" t="s">
        <v>221</v>
      </c>
      <c r="D110" s="25"/>
      <c r="E110" s="25"/>
      <c r="F110" s="25"/>
      <c r="G110" s="25"/>
      <c r="H110" s="25"/>
      <c r="I110" s="24"/>
      <c r="J110" s="24"/>
      <c r="K110" s="24"/>
      <c r="L110" s="24"/>
      <c r="M110" s="24"/>
      <c r="N110" s="24"/>
      <c r="O110" s="24"/>
      <c r="P110" s="24"/>
      <c r="Q110" s="24"/>
      <c r="R110" s="24"/>
      <c r="S110" s="24"/>
      <c r="T110" s="24"/>
      <c r="U110" s="24"/>
      <c r="V110" s="24"/>
      <c r="W110" s="24"/>
      <c r="X110" s="24"/>
      <c r="Y110" s="24"/>
      <c r="Z110" s="24"/>
      <c r="AA110" s="24"/>
      <c r="AB110" s="24"/>
    </row>
    <row r="111" spans="1:28" x14ac:dyDescent="0.2">
      <c r="A111" s="25"/>
      <c r="B111" s="25"/>
      <c r="C111" s="25"/>
      <c r="D111" s="161" t="s">
        <v>223</v>
      </c>
      <c r="E111" s="161"/>
      <c r="F111" s="161" t="s">
        <v>191</v>
      </c>
      <c r="G111" s="161" t="str">
        <f>G$24</f>
        <v>£m nominal</v>
      </c>
      <c r="H111" s="161"/>
      <c r="I111" s="163"/>
      <c r="J111" s="163"/>
      <c r="K111" s="163"/>
      <c r="L111" s="163"/>
      <c r="M111" s="203"/>
      <c r="N111" s="203"/>
      <c r="O111" s="203"/>
      <c r="P111" s="203"/>
      <c r="Q111" s="203"/>
      <c r="R111" s="203"/>
      <c r="S111" s="203"/>
      <c r="T111" s="204">
        <f>I$24</f>
        <v>-89.205001823893369</v>
      </c>
      <c r="U111" s="203"/>
      <c r="V111" s="203"/>
      <c r="W111" s="203"/>
      <c r="X111" s="203"/>
      <c r="Y111" s="203"/>
      <c r="Z111" s="203"/>
      <c r="AA111" s="203"/>
      <c r="AB111" s="24"/>
    </row>
    <row r="112" spans="1:28" x14ac:dyDescent="0.2">
      <c r="A112" s="25"/>
      <c r="B112" s="25"/>
      <c r="C112" s="25"/>
      <c r="D112" s="31" t="s">
        <v>192</v>
      </c>
      <c r="E112" s="31"/>
      <c r="F112" s="31" t="s">
        <v>195</v>
      </c>
      <c r="G112" s="31" t="str">
        <f>LEG!G$37</f>
        <v>£m nominal</v>
      </c>
      <c r="H112" s="31"/>
      <c r="I112" s="36"/>
      <c r="J112" s="36"/>
      <c r="K112" s="36"/>
      <c r="L112" s="36"/>
      <c r="M112" s="55"/>
      <c r="N112" s="55"/>
      <c r="O112" s="55"/>
      <c r="P112" s="55"/>
      <c r="Q112" s="55"/>
      <c r="R112" s="55"/>
      <c r="S112" s="55"/>
      <c r="T112" s="151">
        <f>I$37</f>
        <v>3.7660313540028296</v>
      </c>
      <c r="U112" s="55"/>
      <c r="V112" s="55"/>
      <c r="W112" s="55"/>
      <c r="X112" s="55"/>
      <c r="Y112" s="55"/>
      <c r="Z112" s="55"/>
      <c r="AA112" s="55"/>
      <c r="AB112" s="24"/>
    </row>
    <row r="113" spans="1:28" x14ac:dyDescent="0.2">
      <c r="A113" s="25"/>
      <c r="B113" s="25"/>
      <c r="C113" s="25"/>
      <c r="D113" s="31" t="s">
        <v>224</v>
      </c>
      <c r="E113" s="31"/>
      <c r="F113" s="31" t="s">
        <v>198</v>
      </c>
      <c r="G113" s="31" t="s">
        <v>31</v>
      </c>
      <c r="H113" s="31"/>
      <c r="I113" s="36"/>
      <c r="J113" s="36"/>
      <c r="K113" s="36"/>
      <c r="L113" s="36"/>
      <c r="M113" s="55"/>
      <c r="N113" s="55"/>
      <c r="O113" s="55"/>
      <c r="P113" s="55"/>
      <c r="Q113" s="55"/>
      <c r="R113" s="55"/>
      <c r="S113" s="55"/>
      <c r="T113" s="151">
        <f>I$45</f>
        <v>0</v>
      </c>
      <c r="U113" s="55"/>
      <c r="V113" s="55"/>
      <c r="W113" s="55"/>
      <c r="X113" s="55"/>
      <c r="Y113" s="55"/>
      <c r="Z113" s="55"/>
      <c r="AA113" s="55"/>
      <c r="AB113" s="24"/>
    </row>
    <row r="114" spans="1:28" x14ac:dyDescent="0.2">
      <c r="A114" s="25"/>
      <c r="B114" s="25"/>
      <c r="C114" s="25"/>
      <c r="D114" s="31" t="s">
        <v>166</v>
      </c>
      <c r="E114" s="31"/>
      <c r="F114" s="31" t="s">
        <v>151</v>
      </c>
      <c r="G114" s="31" t="str">
        <f>RAV!G68</f>
        <v>£m nominal</v>
      </c>
      <c r="H114" s="31"/>
      <c r="I114" s="36"/>
      <c r="J114" s="36"/>
      <c r="K114" s="36"/>
      <c r="L114" s="36"/>
      <c r="M114" s="55"/>
      <c r="N114" s="55"/>
      <c r="O114" s="55"/>
      <c r="P114" s="55"/>
      <c r="Q114" s="55"/>
      <c r="R114" s="55"/>
      <c r="S114" s="55"/>
      <c r="T114" s="198">
        <f>RAV!I68</f>
        <v>47.06138288554699</v>
      </c>
      <c r="U114" s="55"/>
      <c r="V114" s="55"/>
      <c r="W114" s="55"/>
      <c r="X114" s="55"/>
      <c r="Y114" s="55"/>
      <c r="Z114" s="55"/>
      <c r="AA114" s="55"/>
      <c r="AB114" s="24"/>
    </row>
    <row r="115" spans="1:28" x14ac:dyDescent="0.2">
      <c r="A115" s="25"/>
      <c r="B115" s="25"/>
      <c r="C115" s="25"/>
      <c r="D115" s="31" t="s">
        <v>182</v>
      </c>
      <c r="E115" s="31"/>
      <c r="F115" s="31" t="s">
        <v>183</v>
      </c>
      <c r="G115" s="31" t="s">
        <v>31</v>
      </c>
      <c r="H115" s="31"/>
      <c r="I115" s="36"/>
      <c r="J115" s="36"/>
      <c r="K115" s="36"/>
      <c r="L115" s="36"/>
      <c r="M115" s="55"/>
      <c r="N115" s="55"/>
      <c r="O115" s="55"/>
      <c r="P115" s="55"/>
      <c r="Q115" s="55"/>
      <c r="R115" s="55"/>
      <c r="S115" s="55"/>
      <c r="T115" s="198">
        <f>RAV!I128</f>
        <v>12.16490760266379</v>
      </c>
      <c r="U115" s="55"/>
      <c r="V115" s="55"/>
      <c r="W115" s="55"/>
      <c r="X115" s="55"/>
      <c r="Y115" s="55"/>
      <c r="Z115" s="55"/>
      <c r="AA115" s="55"/>
      <c r="AB115" s="24"/>
    </row>
    <row r="116" spans="1:28" x14ac:dyDescent="0.2">
      <c r="A116" s="25"/>
      <c r="B116" s="25"/>
      <c r="C116" s="25"/>
      <c r="D116" s="31" t="s">
        <v>225</v>
      </c>
      <c r="E116" s="31"/>
      <c r="F116" s="31" t="s">
        <v>202</v>
      </c>
      <c r="G116" s="31" t="s">
        <v>31</v>
      </c>
      <c r="H116" s="31"/>
      <c r="I116" s="36"/>
      <c r="J116" s="36"/>
      <c r="K116" s="36"/>
      <c r="L116" s="36"/>
      <c r="M116" s="55"/>
      <c r="N116" s="55"/>
      <c r="O116" s="55"/>
      <c r="P116" s="55"/>
      <c r="Q116" s="55"/>
      <c r="R116" s="55"/>
      <c r="S116" s="55"/>
      <c r="T116" s="151">
        <f>I56</f>
        <v>2.4</v>
      </c>
      <c r="U116" s="55"/>
      <c r="V116" s="55"/>
      <c r="W116" s="55"/>
      <c r="X116" s="55"/>
      <c r="Y116" s="55"/>
      <c r="Z116" s="55"/>
      <c r="AA116" s="55"/>
      <c r="AB116" s="24"/>
    </row>
    <row r="117" spans="1:28" x14ac:dyDescent="0.2">
      <c r="A117" s="25"/>
      <c r="B117" s="25"/>
      <c r="C117" s="25"/>
      <c r="D117" s="31" t="s">
        <v>43</v>
      </c>
      <c r="E117" s="31"/>
      <c r="F117" s="31" t="s">
        <v>205</v>
      </c>
      <c r="G117" s="31" t="s">
        <v>31</v>
      </c>
      <c r="H117" s="31"/>
      <c r="I117" s="36"/>
      <c r="J117" s="36"/>
      <c r="K117" s="36"/>
      <c r="L117" s="36"/>
      <c r="M117" s="55"/>
      <c r="N117" s="55"/>
      <c r="O117" s="55"/>
      <c r="P117" s="55"/>
      <c r="Q117" s="55"/>
      <c r="R117" s="55"/>
      <c r="S117" s="55"/>
      <c r="T117" s="151">
        <f t="shared" ref="T117:AA117" si="1">T$66</f>
        <v>-6.0460484457087418</v>
      </c>
      <c r="U117" s="151">
        <f t="shared" si="1"/>
        <v>0</v>
      </c>
      <c r="V117" s="151">
        <f t="shared" si="1"/>
        <v>0</v>
      </c>
      <c r="W117" s="151">
        <f t="shared" si="1"/>
        <v>0</v>
      </c>
      <c r="X117" s="151">
        <f t="shared" si="1"/>
        <v>0</v>
      </c>
      <c r="Y117" s="151">
        <f t="shared" si="1"/>
        <v>0</v>
      </c>
      <c r="Z117" s="151">
        <f t="shared" si="1"/>
        <v>0</v>
      </c>
      <c r="AA117" s="151">
        <f t="shared" si="1"/>
        <v>0</v>
      </c>
      <c r="AB117" s="24"/>
    </row>
    <row r="118" spans="1:28" x14ac:dyDescent="0.2">
      <c r="A118" s="25"/>
      <c r="B118" s="25"/>
      <c r="C118" s="25"/>
      <c r="D118" s="31" t="s">
        <v>226</v>
      </c>
      <c r="E118" s="31"/>
      <c r="F118" s="31" t="s">
        <v>208</v>
      </c>
      <c r="G118" s="31" t="s">
        <v>31</v>
      </c>
      <c r="H118" s="31"/>
      <c r="I118" s="36"/>
      <c r="J118" s="36"/>
      <c r="K118" s="36"/>
      <c r="L118" s="36"/>
      <c r="M118" s="55"/>
      <c r="N118" s="55"/>
      <c r="O118" s="55"/>
      <c r="P118" s="55"/>
      <c r="Q118" s="55"/>
      <c r="R118" s="55"/>
      <c r="S118" s="55"/>
      <c r="T118" s="151">
        <f>I$74</f>
        <v>-35.959595353933558</v>
      </c>
      <c r="U118" s="55"/>
      <c r="V118" s="55"/>
      <c r="W118" s="55"/>
      <c r="X118" s="55"/>
      <c r="Y118" s="55"/>
      <c r="Z118" s="55"/>
      <c r="AA118" s="55"/>
      <c r="AB118" s="24"/>
    </row>
    <row r="119" spans="1:28" x14ac:dyDescent="0.2">
      <c r="A119" s="25"/>
      <c r="B119" s="25"/>
      <c r="C119" s="25"/>
      <c r="D119" s="31" t="s">
        <v>227</v>
      </c>
      <c r="E119" s="31"/>
      <c r="F119" s="31" t="s">
        <v>212</v>
      </c>
      <c r="G119" s="31" t="s">
        <v>31</v>
      </c>
      <c r="H119" s="31"/>
      <c r="I119" s="36"/>
      <c r="J119" s="36"/>
      <c r="K119" s="36"/>
      <c r="L119" s="36"/>
      <c r="M119" s="55"/>
      <c r="N119" s="55"/>
      <c r="O119" s="55"/>
      <c r="P119" s="55"/>
      <c r="Q119" s="55"/>
      <c r="R119" s="55"/>
      <c r="S119" s="55"/>
      <c r="T119" s="151">
        <f>I$86</f>
        <v>-51.99119096430482</v>
      </c>
      <c r="U119" s="55"/>
      <c r="V119" s="55"/>
      <c r="W119" s="55"/>
      <c r="X119" s="55"/>
      <c r="Y119" s="55"/>
      <c r="Z119" s="55"/>
      <c r="AA119" s="55"/>
      <c r="AB119" s="24"/>
    </row>
    <row r="120" spans="1:28" x14ac:dyDescent="0.2">
      <c r="A120" s="25"/>
      <c r="B120" s="25"/>
      <c r="C120" s="25"/>
      <c r="D120" s="31" t="s">
        <v>228</v>
      </c>
      <c r="E120" s="31"/>
      <c r="F120" s="31" t="s">
        <v>216</v>
      </c>
      <c r="G120" s="31" t="s">
        <v>31</v>
      </c>
      <c r="H120" s="31"/>
      <c r="I120" s="36"/>
      <c r="J120" s="36"/>
      <c r="K120" s="36"/>
      <c r="L120" s="36"/>
      <c r="M120" s="55"/>
      <c r="N120" s="55"/>
      <c r="O120" s="55"/>
      <c r="P120" s="55"/>
      <c r="Q120" s="55"/>
      <c r="R120" s="55"/>
      <c r="S120" s="55"/>
      <c r="T120" s="151">
        <f>I$95</f>
        <v>1.4826468121243528</v>
      </c>
      <c r="U120" s="55"/>
      <c r="V120" s="55"/>
      <c r="W120" s="55"/>
      <c r="X120" s="55"/>
      <c r="Y120" s="55"/>
      <c r="Z120" s="55"/>
      <c r="AA120" s="55"/>
      <c r="AB120" s="24"/>
    </row>
    <row r="121" spans="1:28" x14ac:dyDescent="0.2">
      <c r="A121" s="25"/>
      <c r="B121" s="25"/>
      <c r="C121" s="25"/>
      <c r="D121" s="31" t="s">
        <v>219</v>
      </c>
      <c r="E121" s="31"/>
      <c r="F121" s="31" t="s">
        <v>220</v>
      </c>
      <c r="G121" s="31" t="s">
        <v>31</v>
      </c>
      <c r="H121" s="31"/>
      <c r="I121" s="36"/>
      <c r="J121" s="36"/>
      <c r="K121" s="36"/>
      <c r="L121" s="36"/>
      <c r="M121" s="55"/>
      <c r="N121" s="55"/>
      <c r="O121" s="55"/>
      <c r="P121" s="55"/>
      <c r="Q121" s="55"/>
      <c r="R121" s="55"/>
      <c r="S121" s="55"/>
      <c r="T121" s="151">
        <f>I$104</f>
        <v>0</v>
      </c>
      <c r="U121" s="55"/>
      <c r="V121" s="55"/>
      <c r="W121" s="55"/>
      <c r="X121" s="55"/>
      <c r="Y121" s="55"/>
      <c r="Z121" s="55"/>
      <c r="AA121" s="55"/>
      <c r="AB121" s="24"/>
    </row>
    <row r="122" spans="1:28" x14ac:dyDescent="0.2">
      <c r="A122" s="25"/>
      <c r="B122" s="25"/>
      <c r="C122" s="25"/>
      <c r="D122" s="69" t="s">
        <v>221</v>
      </c>
      <c r="E122" s="69"/>
      <c r="F122" s="69" t="s">
        <v>229</v>
      </c>
      <c r="G122" s="69" t="s">
        <v>31</v>
      </c>
      <c r="H122" s="69"/>
      <c r="I122" s="109"/>
      <c r="J122" s="109"/>
      <c r="K122" s="109"/>
      <c r="L122" s="109"/>
      <c r="M122" s="205"/>
      <c r="N122" s="205"/>
      <c r="O122" s="205"/>
      <c r="P122" s="205"/>
      <c r="Q122" s="205"/>
      <c r="R122" s="205"/>
      <c r="S122" s="205"/>
      <c r="T122" s="206">
        <f>SUM(T111:T121)</f>
        <v>-116.32686793350251</v>
      </c>
      <c r="U122" s="206">
        <f t="shared" ref="U122:AA122" si="2">SUM(U111:U121)</f>
        <v>0</v>
      </c>
      <c r="V122" s="206">
        <f t="shared" si="2"/>
        <v>0</v>
      </c>
      <c r="W122" s="206">
        <f t="shared" si="2"/>
        <v>0</v>
      </c>
      <c r="X122" s="206">
        <f t="shared" si="2"/>
        <v>0</v>
      </c>
      <c r="Y122" s="206">
        <f t="shared" si="2"/>
        <v>0</v>
      </c>
      <c r="Z122" s="206">
        <f t="shared" si="2"/>
        <v>0</v>
      </c>
      <c r="AA122" s="206">
        <f t="shared" si="2"/>
        <v>0</v>
      </c>
      <c r="AB122" s="24"/>
    </row>
    <row r="123" spans="1:28" x14ac:dyDescent="0.2">
      <c r="A123" s="25"/>
      <c r="B123" s="25"/>
      <c r="C123" s="25"/>
      <c r="D123" s="25"/>
      <c r="E123" s="25"/>
      <c r="F123" s="25"/>
      <c r="G123" s="25"/>
      <c r="H123" s="25"/>
      <c r="I123" s="24"/>
      <c r="J123" s="24"/>
      <c r="K123" s="24"/>
      <c r="L123" s="24"/>
      <c r="M123" s="24"/>
      <c r="N123" s="24"/>
      <c r="O123" s="24"/>
      <c r="P123" s="24"/>
      <c r="Q123" s="24"/>
      <c r="R123" s="24"/>
      <c r="S123" s="24"/>
      <c r="T123" s="24"/>
      <c r="U123" s="24"/>
      <c r="V123" s="24"/>
      <c r="W123" s="24"/>
      <c r="X123" s="24"/>
      <c r="Y123" s="24"/>
      <c r="Z123" s="24"/>
      <c r="AA123" s="24"/>
      <c r="AB123" s="24"/>
    </row>
    <row r="124" spans="1:28" s="14" customFormat="1" ht="18" x14ac:dyDescent="0.25">
      <c r="A124" s="213" t="s">
        <v>13</v>
      </c>
      <c r="B124" s="213" t="s">
        <v>5</v>
      </c>
      <c r="C124" s="91"/>
      <c r="D124" s="91"/>
      <c r="E124" s="91"/>
      <c r="F124" s="210"/>
      <c r="G124" s="91"/>
      <c r="H124" s="91"/>
      <c r="I124" s="91"/>
      <c r="J124" s="91"/>
      <c r="K124" s="89"/>
      <c r="L124" s="91"/>
      <c r="M124" s="89"/>
      <c r="N124" s="89"/>
      <c r="O124" s="89"/>
      <c r="P124" s="89"/>
      <c r="Q124" s="89"/>
      <c r="R124" s="89"/>
      <c r="S124" s="89"/>
      <c r="T124" s="89"/>
      <c r="U124" s="89"/>
      <c r="V124" s="89"/>
      <c r="W124" s="89"/>
      <c r="X124" s="89"/>
      <c r="Y124" s="89"/>
      <c r="Z124" s="89"/>
      <c r="AA124" s="89"/>
      <c r="AB124" s="89"/>
    </row>
    <row r="125" spans="1:28" x14ac:dyDescent="0.2">
      <c r="A125" s="25"/>
      <c r="B125" s="25"/>
      <c r="C125" s="25"/>
      <c r="D125" s="25"/>
      <c r="E125" s="25"/>
      <c r="F125" s="25"/>
      <c r="G125" s="25"/>
      <c r="H125" s="25"/>
      <c r="I125" s="25"/>
      <c r="J125" s="25"/>
      <c r="K125" s="24"/>
      <c r="L125" s="27"/>
      <c r="M125" s="51"/>
      <c r="N125" s="51"/>
      <c r="O125" s="51"/>
      <c r="P125" s="51"/>
      <c r="Q125" s="51"/>
      <c r="R125" s="51"/>
      <c r="S125" s="51"/>
      <c r="T125" s="51"/>
      <c r="U125" s="51"/>
      <c r="V125" s="51"/>
      <c r="W125" s="51"/>
      <c r="X125" s="51"/>
      <c r="Y125" s="51"/>
      <c r="Z125" s="51"/>
      <c r="AA125" s="51"/>
      <c r="AB125" s="24"/>
    </row>
    <row r="126" spans="1:28" x14ac:dyDescent="0.2">
      <c r="A126" s="25"/>
      <c r="B126" s="25"/>
      <c r="C126" s="25" t="s">
        <v>96</v>
      </c>
      <c r="D126" s="25"/>
      <c r="E126" s="25"/>
      <c r="F126" s="25"/>
      <c r="G126" s="25" t="s">
        <v>97</v>
      </c>
      <c r="H126" s="25"/>
      <c r="I126" s="25"/>
      <c r="J126" s="25"/>
      <c r="K126" s="207">
        <f>SUM(K4:K125)</f>
        <v>0</v>
      </c>
      <c r="L126" s="27"/>
      <c r="M126" s="24"/>
      <c r="N126" s="24"/>
      <c r="O126" s="24"/>
      <c r="P126" s="24"/>
      <c r="Q126" s="24"/>
      <c r="R126" s="24"/>
      <c r="S126" s="24"/>
      <c r="T126" s="24"/>
      <c r="U126" s="24"/>
      <c r="V126" s="24"/>
      <c r="W126" s="24"/>
      <c r="X126" s="24"/>
      <c r="Y126" s="24"/>
      <c r="Z126" s="24"/>
      <c r="AA126" s="24"/>
      <c r="AB126" s="24"/>
    </row>
    <row r="127" spans="1:28" x14ac:dyDescent="0.2">
      <c r="A127" s="25"/>
      <c r="B127" s="25"/>
      <c r="C127" s="25"/>
      <c r="D127" s="25"/>
      <c r="E127" s="25"/>
      <c r="F127" s="25"/>
      <c r="G127" s="25"/>
      <c r="H127" s="25"/>
      <c r="I127" s="25"/>
      <c r="J127" s="25"/>
      <c r="K127" s="24"/>
      <c r="L127" s="25"/>
      <c r="M127" s="24"/>
      <c r="N127" s="24"/>
      <c r="O127" s="24"/>
      <c r="P127" s="24"/>
      <c r="Q127" s="24"/>
      <c r="R127" s="24"/>
      <c r="S127" s="24"/>
      <c r="T127" s="24"/>
      <c r="U127" s="24"/>
      <c r="V127" s="24"/>
      <c r="W127" s="24"/>
      <c r="X127" s="24"/>
      <c r="Y127" s="24"/>
      <c r="Z127" s="24"/>
      <c r="AA127" s="24"/>
      <c r="AB127" s="24"/>
    </row>
    <row r="128" spans="1:28" s="14" customFormat="1" ht="18" x14ac:dyDescent="0.25">
      <c r="A128" s="85" t="s">
        <v>13</v>
      </c>
      <c r="B128" s="85" t="s">
        <v>98</v>
      </c>
      <c r="C128" s="91"/>
      <c r="D128" s="91"/>
      <c r="E128" s="91"/>
      <c r="F128" s="210"/>
      <c r="G128" s="91"/>
      <c r="H128" s="91"/>
      <c r="I128" s="89"/>
      <c r="J128" s="89"/>
      <c r="K128" s="89"/>
      <c r="L128" s="89"/>
      <c r="M128" s="89"/>
      <c r="N128" s="89"/>
      <c r="O128" s="89"/>
      <c r="P128" s="89"/>
      <c r="Q128" s="89"/>
      <c r="R128" s="89"/>
      <c r="S128" s="89"/>
      <c r="T128" s="89"/>
      <c r="U128" s="89"/>
      <c r="V128" s="89"/>
      <c r="W128" s="89"/>
      <c r="X128" s="89"/>
      <c r="Y128" s="89"/>
      <c r="Z128" s="89"/>
      <c r="AA128" s="89"/>
      <c r="AB128" s="89"/>
    </row>
  </sheetData>
  <phoneticPr fontId="8" type="noConversion"/>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25" id="{ED9A69BE-4D14-4AB2-96DA-426207E74EF9}">
            <xm:f>Control!$F$29 &lt;&gt; 0</xm:f>
            <x14:dxf>
              <fill>
                <patternFill>
                  <bgColor rgb="FFFFFF00"/>
                </patternFill>
              </fill>
            </x14:dxf>
          </x14:cfRule>
          <x14:cfRule type="expression" priority="26" id="{512729AD-FFC9-45CC-B92A-6DC2C7AA8DEE}">
            <xm:f>Control!$F$29 = 0</xm:f>
            <x14:dxf>
              <fill>
                <patternFill>
                  <bgColor theme="9"/>
                </patternFill>
              </fill>
            </x14:dxf>
          </x14:cfRule>
          <xm:sqref>A8:XFD8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A63B2-164C-4417-B0BB-EE49B2C2DCBF}">
  <sheetPr codeName="Sheet21">
    <tabColor theme="9" tint="0.39997558519241921"/>
  </sheetPr>
  <dimension ref="A1:AB24"/>
  <sheetViews>
    <sheetView showGridLines="0" zoomScale="70" zoomScaleNormal="70" workbookViewId="0">
      <pane xSplit="12" ySplit="10" topLeftCell="R11" activePane="bottomRight" state="frozen"/>
      <selection pane="topRight" activeCell="M1" sqref="M1"/>
      <selection pane="bottomLeft" activeCell="A11" sqref="A11"/>
      <selection pane="bottomRight" activeCell="K23" sqref="K23"/>
    </sheetView>
  </sheetViews>
  <sheetFormatPr defaultColWidth="0" defaultRowHeight="14.25" x14ac:dyDescent="0.2"/>
  <cols>
    <col min="1" max="3" width="2.5" customWidth="1"/>
    <col min="4" max="4" width="55.5" customWidth="1"/>
    <col min="5" max="5" width="25.5" customWidth="1"/>
    <col min="6" max="7" width="20.5" customWidth="1"/>
    <col min="8" max="8" width="2.5" customWidth="1"/>
    <col min="9" max="9" width="12.5" customWidth="1"/>
    <col min="10" max="10" width="2.5" customWidth="1"/>
    <col min="11" max="11" width="12.5" customWidth="1"/>
    <col min="12" max="12" width="2.5" customWidth="1"/>
    <col min="13" max="27" width="12.5" customWidth="1"/>
    <col min="28" max="28" width="2.5" customWidth="1"/>
    <col min="29" max="16384" width="9.5" hidden="1"/>
  </cols>
  <sheetData>
    <row r="1" spans="1:28" ht="23.25" x14ac:dyDescent="0.35">
      <c r="A1" s="216"/>
      <c r="B1" s="216" t="str" cm="1">
        <f t="array" aca="1" ref="B1" ca="1">MID(CELL("filename", A1), FIND("]", CELL("filename", A1)) + 1, 255)</f>
        <v>Live results</v>
      </c>
      <c r="C1" s="216"/>
      <c r="D1" s="216"/>
      <c r="E1" s="216"/>
      <c r="F1" s="216"/>
      <c r="G1" s="81"/>
      <c r="H1" s="81"/>
      <c r="I1" s="82"/>
      <c r="J1" s="82"/>
      <c r="K1" s="82"/>
      <c r="L1" s="83"/>
      <c r="M1" s="82"/>
      <c r="N1" s="82"/>
      <c r="O1" s="82"/>
      <c r="P1" s="82"/>
      <c r="Q1" s="83"/>
      <c r="R1" s="83"/>
      <c r="S1" s="83"/>
      <c r="T1" s="83"/>
      <c r="U1" s="83"/>
      <c r="V1" s="83"/>
      <c r="W1" s="83"/>
      <c r="X1" s="83"/>
      <c r="Y1" s="83"/>
      <c r="Z1" s="83"/>
      <c r="AA1" s="83"/>
      <c r="AB1" s="83"/>
    </row>
    <row r="2" spans="1:28" ht="4.5" customHeight="1" x14ac:dyDescent="0.2">
      <c r="A2" s="25"/>
      <c r="B2" s="27"/>
      <c r="C2" s="27"/>
      <c r="D2" s="25"/>
      <c r="E2" s="25"/>
      <c r="F2" s="25"/>
      <c r="G2" s="45"/>
      <c r="H2" s="45"/>
      <c r="I2" s="30"/>
      <c r="J2" s="30"/>
      <c r="K2" s="30"/>
      <c r="L2" s="24"/>
      <c r="M2" s="30"/>
      <c r="N2" s="30"/>
      <c r="O2" s="30"/>
      <c r="P2" s="30"/>
      <c r="Q2" s="24"/>
      <c r="R2" s="24"/>
      <c r="S2" s="24"/>
      <c r="T2" s="24"/>
      <c r="U2" s="24"/>
      <c r="V2" s="24"/>
      <c r="W2" s="24"/>
      <c r="X2" s="24"/>
      <c r="Y2" s="24"/>
      <c r="Z2" s="24"/>
      <c r="AA2" s="24"/>
      <c r="AB2" s="24"/>
    </row>
    <row r="3" spans="1:28" ht="15" customHeight="1" x14ac:dyDescent="0.2">
      <c r="A3" s="25"/>
      <c r="B3" s="27"/>
      <c r="C3" s="27"/>
      <c r="D3" s="25"/>
      <c r="E3" s="28" t="s">
        <v>1</v>
      </c>
      <c r="F3" s="28" t="s">
        <v>2</v>
      </c>
      <c r="G3" s="28" t="s">
        <v>3</v>
      </c>
      <c r="H3" s="25"/>
      <c r="I3" s="29" t="s">
        <v>4</v>
      </c>
      <c r="J3" s="24"/>
      <c r="K3" s="29" t="s">
        <v>5</v>
      </c>
      <c r="L3" s="24"/>
      <c r="M3" s="30"/>
      <c r="N3" s="30"/>
      <c r="O3" s="30"/>
      <c r="P3" s="30"/>
      <c r="Q3" s="24"/>
      <c r="R3" s="24"/>
      <c r="S3" s="24"/>
      <c r="T3" s="24"/>
      <c r="U3" s="24"/>
      <c r="V3" s="24"/>
      <c r="W3" s="24"/>
      <c r="X3" s="24"/>
      <c r="Y3" s="24"/>
      <c r="Z3" s="24"/>
      <c r="AA3" s="24"/>
      <c r="AB3" s="24"/>
    </row>
    <row r="4" spans="1:28" ht="14.45" customHeight="1" x14ac:dyDescent="0.2">
      <c r="A4" s="35"/>
      <c r="B4" s="35"/>
      <c r="C4" s="35" t="str">
        <f xml:space="preserve"> Inputs!C4</f>
        <v>Model Year Count</v>
      </c>
      <c r="D4" s="35"/>
      <c r="E4" s="35"/>
      <c r="F4" s="35"/>
      <c r="G4" s="35" t="str">
        <f xml:space="preserve"> Inputs!G4</f>
        <v>Count</v>
      </c>
      <c r="H4" s="35"/>
      <c r="I4" s="101"/>
      <c r="J4" s="39"/>
      <c r="K4" s="39"/>
      <c r="L4" s="39"/>
      <c r="M4" s="39">
        <f>Inputs!M4</f>
        <v>1</v>
      </c>
      <c r="N4" s="39">
        <f>Inputs!N4</f>
        <v>2</v>
      </c>
      <c r="O4" s="39">
        <f>Inputs!O4</f>
        <v>3</v>
      </c>
      <c r="P4" s="39">
        <f>Inputs!P4</f>
        <v>4</v>
      </c>
      <c r="Q4" s="39">
        <f>Inputs!Q4</f>
        <v>5</v>
      </c>
      <c r="R4" s="39">
        <f>Inputs!R4</f>
        <v>6</v>
      </c>
      <c r="S4" s="39">
        <f>Inputs!S4</f>
        <v>7</v>
      </c>
      <c r="T4" s="39">
        <f>Inputs!T4</f>
        <v>8</v>
      </c>
      <c r="U4" s="39">
        <f>Inputs!U4</f>
        <v>9</v>
      </c>
      <c r="V4" s="39">
        <f>Inputs!V4</f>
        <v>10</v>
      </c>
      <c r="W4" s="39">
        <f>Inputs!W4</f>
        <v>11</v>
      </c>
      <c r="X4" s="39">
        <f>Inputs!X4</f>
        <v>12</v>
      </c>
      <c r="Y4" s="39">
        <f>Inputs!Y4</f>
        <v>13</v>
      </c>
      <c r="Z4" s="39">
        <f>Inputs!Z4</f>
        <v>14</v>
      </c>
      <c r="AA4" s="39">
        <f>Inputs!AA4</f>
        <v>15</v>
      </c>
      <c r="AB4" s="39"/>
    </row>
    <row r="5" spans="1:28" ht="14.45" customHeight="1" x14ac:dyDescent="0.2">
      <c r="A5" s="35"/>
      <c r="B5" s="35"/>
      <c r="C5" s="35" t="str">
        <f xml:space="preserve"> Inputs!C5</f>
        <v>Period start</v>
      </c>
      <c r="D5" s="35"/>
      <c r="E5" s="35"/>
      <c r="F5" s="35"/>
      <c r="G5" s="35" t="str">
        <f xml:space="preserve"> Inputs!G5</f>
        <v>Date</v>
      </c>
      <c r="H5" s="35"/>
      <c r="I5" s="101"/>
      <c r="J5" s="39"/>
      <c r="K5" s="39"/>
      <c r="L5" s="149"/>
      <c r="M5" s="41">
        <f>Inputs!M5</f>
        <v>42826</v>
      </c>
      <c r="N5" s="41">
        <f>Inputs!N5</f>
        <v>43191</v>
      </c>
      <c r="O5" s="41">
        <f>Inputs!O5</f>
        <v>43556</v>
      </c>
      <c r="P5" s="41">
        <f>Inputs!P5</f>
        <v>43922</v>
      </c>
      <c r="Q5" s="41">
        <f>Inputs!Q5</f>
        <v>44287</v>
      </c>
      <c r="R5" s="41">
        <f>Inputs!R5</f>
        <v>44652</v>
      </c>
      <c r="S5" s="41">
        <f>Inputs!S5</f>
        <v>45017</v>
      </c>
      <c r="T5" s="41">
        <f>Inputs!T5</f>
        <v>45383</v>
      </c>
      <c r="U5" s="41">
        <f>Inputs!U5</f>
        <v>45748</v>
      </c>
      <c r="V5" s="41">
        <f>Inputs!V5</f>
        <v>46113</v>
      </c>
      <c r="W5" s="41">
        <f>Inputs!W5</f>
        <v>46478</v>
      </c>
      <c r="X5" s="41">
        <f>Inputs!X5</f>
        <v>46844</v>
      </c>
      <c r="Y5" s="41">
        <f>Inputs!Y5</f>
        <v>47209</v>
      </c>
      <c r="Z5" s="41">
        <f>Inputs!Z5</f>
        <v>47574</v>
      </c>
      <c r="AA5" s="41">
        <f>Inputs!AA5</f>
        <v>47939</v>
      </c>
      <c r="AB5" s="149"/>
    </row>
    <row r="6" spans="1:28" ht="14.45" customHeight="1" x14ac:dyDescent="0.2">
      <c r="A6" s="35"/>
      <c r="B6" s="35"/>
      <c r="C6" s="35" t="str">
        <f xml:space="preserve"> Inputs!C6</f>
        <v>Period end</v>
      </c>
      <c r="D6" s="35"/>
      <c r="E6" s="35"/>
      <c r="F6" s="35"/>
      <c r="G6" s="35" t="str">
        <f xml:space="preserve"> Inputs!G6</f>
        <v>Date</v>
      </c>
      <c r="H6" s="35"/>
      <c r="I6" s="101"/>
      <c r="J6" s="39"/>
      <c r="K6" s="39"/>
      <c r="L6" s="150"/>
      <c r="M6" s="41">
        <f>Inputs!M6</f>
        <v>43190</v>
      </c>
      <c r="N6" s="41">
        <f>Inputs!N6</f>
        <v>43555</v>
      </c>
      <c r="O6" s="41">
        <f>Inputs!O6</f>
        <v>43921</v>
      </c>
      <c r="P6" s="41">
        <f>Inputs!P6</f>
        <v>44286</v>
      </c>
      <c r="Q6" s="41">
        <f>Inputs!Q6</f>
        <v>44651</v>
      </c>
      <c r="R6" s="41">
        <f>Inputs!R6</f>
        <v>45016</v>
      </c>
      <c r="S6" s="41">
        <f>Inputs!S6</f>
        <v>45382</v>
      </c>
      <c r="T6" s="41">
        <f>Inputs!T6</f>
        <v>45747</v>
      </c>
      <c r="U6" s="41">
        <f>Inputs!U6</f>
        <v>46112</v>
      </c>
      <c r="V6" s="41">
        <f>Inputs!V6</f>
        <v>46477</v>
      </c>
      <c r="W6" s="41">
        <f>Inputs!W6</f>
        <v>46843</v>
      </c>
      <c r="X6" s="41">
        <f>Inputs!X6</f>
        <v>47208</v>
      </c>
      <c r="Y6" s="41">
        <f>Inputs!Y6</f>
        <v>47573</v>
      </c>
      <c r="Z6" s="41">
        <f>Inputs!Z6</f>
        <v>47938</v>
      </c>
      <c r="AA6" s="41">
        <f>Inputs!AA6</f>
        <v>48304</v>
      </c>
      <c r="AB6" s="150"/>
    </row>
    <row r="7" spans="1:28" ht="15" customHeight="1" x14ac:dyDescent="0.2">
      <c r="A7" s="25"/>
      <c r="B7" s="27"/>
      <c r="C7" s="25" t="s">
        <v>11</v>
      </c>
      <c r="D7" s="25"/>
      <c r="E7" s="25"/>
      <c r="F7" s="25"/>
      <c r="G7" s="35" t="str">
        <f xml:space="preserve"> Inputs!G7</f>
        <v>Fin Year</v>
      </c>
      <c r="H7" s="45"/>
      <c r="I7" s="24"/>
      <c r="J7" s="30"/>
      <c r="K7" s="30"/>
      <c r="L7" s="24"/>
      <c r="M7" s="30" t="str">
        <f>Inputs!M7</f>
        <v>2017-18</v>
      </c>
      <c r="N7" s="30" t="str">
        <f>Inputs!N7</f>
        <v>2018-19</v>
      </c>
      <c r="O7" s="30" t="str">
        <f>Inputs!O7</f>
        <v>2019-20</v>
      </c>
      <c r="P7" s="30" t="str">
        <f>Inputs!P7</f>
        <v>2020-21</v>
      </c>
      <c r="Q7" s="30" t="str">
        <f>Inputs!Q7</f>
        <v>2021-22</v>
      </c>
      <c r="R7" s="30" t="str">
        <f>Inputs!R7</f>
        <v>2022-23</v>
      </c>
      <c r="S7" s="30" t="str">
        <f>Inputs!S7</f>
        <v>2023-24</v>
      </c>
      <c r="T7" s="30" t="str">
        <f>Inputs!T7</f>
        <v>2024-25</v>
      </c>
      <c r="U7" s="30" t="str">
        <f>Inputs!U7</f>
        <v>2025-26</v>
      </c>
      <c r="V7" s="30" t="str">
        <f>Inputs!V7</f>
        <v>2026-27</v>
      </c>
      <c r="W7" s="30" t="str">
        <f>Inputs!W7</f>
        <v>2027-28</v>
      </c>
      <c r="X7" s="30" t="str">
        <f>Inputs!X7</f>
        <v>2028-29</v>
      </c>
      <c r="Y7" s="30" t="str">
        <f>Inputs!Y7</f>
        <v>2029-30</v>
      </c>
      <c r="Z7" s="30" t="str">
        <f>Inputs!Z7</f>
        <v>2030-31</v>
      </c>
      <c r="AA7" s="30" t="str">
        <f>Inputs!AA7</f>
        <v>2031-32</v>
      </c>
      <c r="AB7" s="24"/>
    </row>
    <row r="8" spans="1:28" ht="14.45" customHeight="1" x14ac:dyDescent="0.2">
      <c r="A8" s="25"/>
      <c r="B8" s="27" t="str">
        <f>"Model Checks - " &amp; Check</f>
        <v>Model Checks - PASS</v>
      </c>
      <c r="C8" s="27"/>
      <c r="D8" s="25"/>
      <c r="E8" s="25"/>
      <c r="F8" s="25"/>
      <c r="G8" s="45"/>
      <c r="H8" s="45"/>
      <c r="I8" s="30"/>
      <c r="J8" s="30"/>
      <c r="K8" s="30"/>
      <c r="L8" s="24"/>
      <c r="M8" s="30"/>
      <c r="N8" s="30"/>
      <c r="O8" s="30"/>
      <c r="P8" s="30"/>
      <c r="Q8" s="24"/>
      <c r="R8" s="24"/>
      <c r="S8" s="24"/>
      <c r="T8" s="24"/>
      <c r="U8" s="24"/>
      <c r="V8" s="24"/>
      <c r="W8" s="24"/>
      <c r="X8" s="24"/>
      <c r="Y8" s="24"/>
      <c r="Z8" s="24"/>
      <c r="AA8" s="24"/>
      <c r="AB8" s="24"/>
    </row>
    <row r="9" spans="1:28" ht="4.5" customHeight="1" x14ac:dyDescent="0.2">
      <c r="A9" s="25"/>
      <c r="B9" s="27"/>
      <c r="C9" s="27"/>
      <c r="D9" s="25"/>
      <c r="E9" s="25"/>
      <c r="F9" s="25"/>
      <c r="G9" s="45"/>
      <c r="H9" s="45"/>
      <c r="I9" s="30"/>
      <c r="J9" s="30"/>
      <c r="K9" s="30"/>
      <c r="L9" s="24"/>
      <c r="M9" s="30"/>
      <c r="N9" s="30"/>
      <c r="O9" s="30"/>
      <c r="P9" s="30"/>
      <c r="Q9" s="24"/>
      <c r="R9" s="24"/>
      <c r="S9" s="24"/>
      <c r="T9" s="24"/>
      <c r="U9" s="24"/>
      <c r="V9" s="24"/>
      <c r="W9" s="24"/>
      <c r="X9" s="24"/>
      <c r="Y9" s="24"/>
      <c r="Z9" s="24"/>
      <c r="AA9" s="24"/>
      <c r="AB9" s="24"/>
    </row>
    <row r="10" spans="1:28" ht="23.25" x14ac:dyDescent="0.35">
      <c r="A10" s="216"/>
      <c r="B10" s="216" t="str">
        <f>Project_Name</f>
        <v>Legacy Closeout Model</v>
      </c>
      <c r="C10" s="216"/>
      <c r="D10" s="216"/>
      <c r="E10" s="216"/>
      <c r="F10" s="216"/>
      <c r="G10" s="81"/>
      <c r="H10" s="81"/>
      <c r="I10" s="82"/>
      <c r="J10" s="82"/>
      <c r="K10" s="82"/>
      <c r="L10" s="83"/>
      <c r="M10" s="82"/>
      <c r="N10" s="82"/>
      <c r="O10" s="82"/>
      <c r="P10" s="82"/>
      <c r="Q10" s="83"/>
      <c r="R10" s="83"/>
      <c r="S10" s="83"/>
      <c r="T10" s="83"/>
      <c r="U10" s="83"/>
      <c r="V10" s="83"/>
      <c r="W10" s="83"/>
      <c r="X10" s="83"/>
      <c r="Y10" s="83"/>
      <c r="Z10" s="83"/>
      <c r="AA10" s="83"/>
      <c r="AB10" s="83"/>
    </row>
    <row r="11" spans="1:28" x14ac:dyDescent="0.2">
      <c r="A11" s="25"/>
      <c r="B11" s="25"/>
      <c r="C11" s="25"/>
      <c r="D11" s="25"/>
      <c r="E11" s="25"/>
      <c r="F11" s="25"/>
      <c r="G11" s="25"/>
      <c r="H11" s="25"/>
      <c r="I11" s="24"/>
      <c r="J11" s="24"/>
      <c r="K11" s="24"/>
      <c r="L11" s="24"/>
      <c r="M11" s="24"/>
      <c r="N11" s="24"/>
      <c r="O11" s="24"/>
      <c r="P11" s="24"/>
      <c r="Q11" s="24"/>
      <c r="R11" s="24"/>
      <c r="S11" s="24"/>
      <c r="T11" s="24"/>
      <c r="U11" s="24"/>
      <c r="V11" s="24"/>
      <c r="W11" s="24"/>
      <c r="X11" s="24"/>
      <c r="Y11" s="24"/>
      <c r="Z11" s="24"/>
      <c r="AA11" s="24"/>
      <c r="AB11" s="24"/>
    </row>
    <row r="12" spans="1:28" ht="18" x14ac:dyDescent="0.25">
      <c r="A12" s="213" t="s">
        <v>13</v>
      </c>
      <c r="B12" s="213" t="s">
        <v>230</v>
      </c>
      <c r="C12" s="91"/>
      <c r="D12" s="91"/>
      <c r="E12" s="91"/>
      <c r="F12" s="91"/>
      <c r="G12" s="91"/>
      <c r="H12" s="91"/>
      <c r="I12" s="89"/>
      <c r="J12" s="89"/>
      <c r="K12" s="89"/>
      <c r="L12" s="89"/>
      <c r="M12" s="89"/>
      <c r="N12" s="89"/>
      <c r="O12" s="89"/>
      <c r="P12" s="89"/>
      <c r="Q12" s="89"/>
      <c r="R12" s="89"/>
      <c r="S12" s="89"/>
      <c r="T12" s="211"/>
      <c r="U12" s="211"/>
      <c r="V12" s="211"/>
      <c r="W12" s="211"/>
      <c r="X12" s="211"/>
      <c r="Y12" s="211"/>
      <c r="Z12" s="211"/>
      <c r="AA12" s="211"/>
      <c r="AB12" s="89"/>
    </row>
    <row r="13" spans="1:28" x14ac:dyDescent="0.2">
      <c r="A13" s="25"/>
      <c r="B13" s="25"/>
      <c r="C13" s="25"/>
      <c r="D13" s="25"/>
      <c r="E13" s="25"/>
      <c r="F13" s="25"/>
      <c r="G13" s="25"/>
      <c r="H13" s="25"/>
      <c r="I13" s="24"/>
      <c r="J13" s="24"/>
      <c r="K13" s="24"/>
      <c r="L13" s="24"/>
      <c r="M13" s="24"/>
      <c r="N13" s="24"/>
      <c r="O13" s="24"/>
      <c r="P13" s="24"/>
      <c r="Q13" s="24"/>
      <c r="R13" s="24"/>
      <c r="S13" s="24"/>
      <c r="T13" s="24"/>
      <c r="U13" s="24"/>
      <c r="V13" s="24"/>
      <c r="W13" s="24"/>
      <c r="X13" s="24"/>
      <c r="Y13" s="24"/>
      <c r="Z13" s="24"/>
      <c r="AA13" s="24"/>
      <c r="AB13" s="24"/>
    </row>
    <row r="14" spans="1:28" x14ac:dyDescent="0.2">
      <c r="A14" s="25"/>
      <c r="B14" s="249" t="s">
        <v>231</v>
      </c>
      <c r="C14" s="25"/>
      <c r="D14" s="25"/>
      <c r="E14" s="25"/>
      <c r="F14" s="25"/>
      <c r="G14" s="25"/>
      <c r="H14" s="25"/>
      <c r="I14" s="24"/>
      <c r="J14" s="24"/>
      <c r="K14" s="24"/>
      <c r="L14" s="24"/>
      <c r="M14" s="24"/>
      <c r="N14" s="24"/>
      <c r="O14" s="24"/>
      <c r="P14" s="24"/>
      <c r="Q14" s="24"/>
      <c r="R14" s="24"/>
      <c r="S14" s="24"/>
      <c r="T14" s="24"/>
      <c r="U14" s="24"/>
      <c r="V14" s="24"/>
      <c r="W14" s="24"/>
      <c r="X14" s="24"/>
      <c r="Y14" s="24"/>
      <c r="Z14" s="24"/>
      <c r="AA14" s="24"/>
      <c r="AB14" s="24"/>
    </row>
    <row r="15" spans="1:28" x14ac:dyDescent="0.2">
      <c r="A15" s="25"/>
      <c r="B15" s="48"/>
      <c r="C15" s="25"/>
      <c r="D15" s="25"/>
      <c r="E15" s="25"/>
      <c r="F15" s="25"/>
      <c r="G15" s="25"/>
      <c r="H15" s="25"/>
      <c r="I15" s="24"/>
      <c r="J15" s="24"/>
      <c r="K15" s="24"/>
      <c r="L15" s="24"/>
      <c r="M15" s="24"/>
      <c r="N15" s="24"/>
      <c r="O15" s="24"/>
      <c r="P15" s="24"/>
      <c r="Q15" s="24"/>
      <c r="R15" s="24"/>
      <c r="S15" s="24"/>
      <c r="T15" s="24"/>
      <c r="U15" s="24"/>
      <c r="V15" s="24"/>
      <c r="W15" s="24"/>
      <c r="X15" s="24"/>
      <c r="Y15" s="24"/>
      <c r="Z15" s="24"/>
      <c r="AA15" s="24"/>
      <c r="AB15" s="24"/>
    </row>
    <row r="16" spans="1:28" x14ac:dyDescent="0.2">
      <c r="A16" s="25"/>
      <c r="B16" s="25"/>
      <c r="C16" s="25" t="s">
        <v>221</v>
      </c>
      <c r="D16" s="25"/>
      <c r="E16" s="25"/>
      <c r="F16" s="25" t="s">
        <v>232</v>
      </c>
      <c r="G16" s="25" t="s">
        <v>31</v>
      </c>
      <c r="H16" s="25"/>
      <c r="I16" s="24"/>
      <c r="J16" s="24"/>
      <c r="K16" s="24"/>
      <c r="L16" s="24"/>
      <c r="M16" s="215"/>
      <c r="N16" s="215"/>
      <c r="O16" s="215"/>
      <c r="P16" s="215"/>
      <c r="Q16" s="215"/>
      <c r="R16" s="215"/>
      <c r="S16" s="215"/>
      <c r="T16" s="198">
        <f>LEG!T$122</f>
        <v>-116.32686793350251</v>
      </c>
      <c r="U16" s="198">
        <f>LEG!U$122</f>
        <v>0</v>
      </c>
      <c r="V16" s="198">
        <f>LEG!V$122</f>
        <v>0</v>
      </c>
      <c r="W16" s="198">
        <f>LEG!W$122</f>
        <v>0</v>
      </c>
      <c r="X16" s="198">
        <f>LEG!X$122</f>
        <v>0</v>
      </c>
      <c r="Y16" s="198">
        <f>LEG!Y$122</f>
        <v>0</v>
      </c>
      <c r="Z16" s="198">
        <f>LEG!Z$122</f>
        <v>0</v>
      </c>
      <c r="AA16" s="198">
        <f>LEG!AA$122</f>
        <v>0</v>
      </c>
      <c r="AB16" s="24"/>
    </row>
    <row r="17" spans="1:28" x14ac:dyDescent="0.2">
      <c r="A17" s="25"/>
      <c r="B17" s="25"/>
      <c r="C17" s="25"/>
      <c r="D17" s="25"/>
      <c r="E17" s="25"/>
      <c r="F17" s="25"/>
      <c r="G17" s="25"/>
      <c r="H17" s="25"/>
      <c r="I17" s="25"/>
      <c r="J17" s="25"/>
      <c r="K17" s="25"/>
      <c r="L17" s="25"/>
      <c r="M17" s="24"/>
      <c r="N17" s="24"/>
      <c r="O17" s="24"/>
      <c r="P17" s="24"/>
      <c r="Q17" s="24"/>
      <c r="R17" s="24"/>
      <c r="S17" s="24"/>
      <c r="T17" s="24"/>
      <c r="U17" s="24"/>
      <c r="V17" s="24"/>
      <c r="W17" s="24"/>
      <c r="X17" s="24"/>
      <c r="Y17" s="24"/>
      <c r="Z17" s="24"/>
      <c r="AA17" s="24"/>
      <c r="AB17" s="24"/>
    </row>
    <row r="18" spans="1:28" x14ac:dyDescent="0.2">
      <c r="A18" s="25"/>
      <c r="B18" s="25"/>
      <c r="C18" s="25" t="s">
        <v>190</v>
      </c>
      <c r="D18" s="25"/>
      <c r="E18" s="25"/>
      <c r="F18" s="25" t="str">
        <f>LEG!F$111</f>
        <v>LEGETE</v>
      </c>
      <c r="G18" s="25" t="str">
        <f>LEG!G$111</f>
        <v>£m nominal</v>
      </c>
      <c r="H18" s="25"/>
      <c r="I18" s="198">
        <f>LEG!I$24</f>
        <v>-89.205001823893369</v>
      </c>
      <c r="J18" s="24"/>
      <c r="K18" s="24"/>
      <c r="L18" s="24"/>
      <c r="M18" s="24"/>
      <c r="N18" s="24"/>
      <c r="O18" s="24"/>
      <c r="P18" s="24"/>
      <c r="Q18" s="24"/>
      <c r="R18" s="24"/>
      <c r="S18" s="24"/>
      <c r="T18" s="24"/>
      <c r="U18" s="24"/>
      <c r="V18" s="24"/>
      <c r="W18" s="24"/>
      <c r="X18" s="24"/>
      <c r="Y18" s="24"/>
      <c r="Z18" s="24"/>
      <c r="AA18" s="24"/>
      <c r="AB18" s="24"/>
    </row>
    <row r="19" spans="1:28" x14ac:dyDescent="0.2">
      <c r="A19" s="25"/>
      <c r="B19" s="25"/>
      <c r="C19" s="25"/>
      <c r="D19" s="25"/>
      <c r="E19" s="25"/>
      <c r="F19" s="25"/>
      <c r="G19" s="25"/>
      <c r="H19" s="25"/>
      <c r="I19" s="24"/>
      <c r="J19" s="24"/>
      <c r="K19" s="24"/>
      <c r="L19" s="24"/>
      <c r="M19" s="24"/>
      <c r="N19" s="24"/>
      <c r="O19" s="24"/>
      <c r="P19" s="24"/>
      <c r="Q19" s="24"/>
      <c r="R19" s="24"/>
      <c r="S19" s="24"/>
      <c r="T19" s="24"/>
      <c r="U19" s="24"/>
      <c r="V19" s="24"/>
      <c r="W19" s="24"/>
      <c r="X19" s="24"/>
      <c r="Y19" s="24"/>
      <c r="Z19" s="24"/>
      <c r="AA19" s="24"/>
      <c r="AB19" s="24"/>
    </row>
    <row r="20" spans="1:28" ht="18" x14ac:dyDescent="0.25">
      <c r="A20" s="213" t="s">
        <v>13</v>
      </c>
      <c r="B20" s="213" t="s">
        <v>5</v>
      </c>
      <c r="C20" s="91"/>
      <c r="D20" s="91"/>
      <c r="E20" s="91"/>
      <c r="F20" s="91"/>
      <c r="G20" s="91"/>
      <c r="H20" s="91"/>
      <c r="I20" s="89"/>
      <c r="J20" s="89"/>
      <c r="K20" s="89"/>
      <c r="L20" s="89"/>
      <c r="M20" s="89"/>
      <c r="N20" s="89"/>
      <c r="O20" s="89"/>
      <c r="P20" s="89"/>
      <c r="Q20" s="89"/>
      <c r="R20" s="89"/>
      <c r="S20" s="89"/>
      <c r="T20" s="89"/>
      <c r="U20" s="89"/>
      <c r="V20" s="89"/>
      <c r="W20" s="89"/>
      <c r="X20" s="89"/>
      <c r="Y20" s="89"/>
      <c r="Z20" s="89"/>
      <c r="AA20" s="89"/>
      <c r="AB20" s="89"/>
    </row>
    <row r="21" spans="1:28" x14ac:dyDescent="0.2">
      <c r="A21" s="25"/>
      <c r="B21" s="25"/>
      <c r="C21" s="25"/>
      <c r="D21" s="25"/>
      <c r="E21" s="25"/>
      <c r="F21" s="25"/>
      <c r="G21" s="25"/>
      <c r="H21" s="25"/>
      <c r="I21" s="24"/>
      <c r="J21" s="24"/>
      <c r="K21" s="24"/>
      <c r="L21" s="24"/>
      <c r="M21" s="24"/>
      <c r="N21" s="24"/>
      <c r="O21" s="24"/>
      <c r="P21" s="24"/>
      <c r="Q21" s="24"/>
      <c r="R21" s="24"/>
      <c r="S21" s="24"/>
      <c r="T21" s="24"/>
      <c r="U21" s="24"/>
      <c r="V21" s="24"/>
      <c r="W21" s="24"/>
      <c r="X21" s="24"/>
      <c r="Y21" s="24"/>
      <c r="Z21" s="24"/>
      <c r="AA21" s="24"/>
      <c r="AB21" s="24"/>
    </row>
    <row r="22" spans="1:28" x14ac:dyDescent="0.2">
      <c r="A22" s="25"/>
      <c r="B22" s="25"/>
      <c r="C22" s="25" t="s">
        <v>233</v>
      </c>
      <c r="D22" s="25"/>
      <c r="E22" s="25"/>
      <c r="F22" s="25"/>
      <c r="G22" s="25" t="s">
        <v>97</v>
      </c>
      <c r="H22" s="25"/>
      <c r="I22" s="24"/>
      <c r="J22" s="24"/>
      <c r="K22" s="78" cm="1">
        <f t="array" ref="K22">COUNT(IF(ISERROR(K13:K19), 1, ""))</f>
        <v>0</v>
      </c>
      <c r="L22" s="24"/>
      <c r="M22" s="24"/>
      <c r="N22" s="24"/>
      <c r="O22" s="24"/>
      <c r="P22" s="24"/>
      <c r="Q22" s="24"/>
      <c r="R22" s="24"/>
      <c r="S22" s="24"/>
      <c r="T22" s="24"/>
      <c r="U22" s="24"/>
      <c r="V22" s="24"/>
      <c r="W22" s="24"/>
      <c r="X22" s="24"/>
      <c r="Y22" s="24"/>
      <c r="Z22" s="24"/>
      <c r="AA22" s="24"/>
      <c r="AB22" s="24"/>
    </row>
    <row r="23" spans="1:28" x14ac:dyDescent="0.2">
      <c r="A23" s="25"/>
      <c r="B23" s="25"/>
      <c r="C23" s="25"/>
      <c r="D23" s="25"/>
      <c r="E23" s="25"/>
      <c r="F23" s="25"/>
      <c r="G23" s="25"/>
      <c r="H23" s="25"/>
      <c r="I23" s="24"/>
      <c r="J23" s="24"/>
      <c r="K23" s="24"/>
      <c r="L23" s="24"/>
      <c r="M23" s="24"/>
      <c r="N23" s="24"/>
      <c r="O23" s="24"/>
      <c r="P23" s="24"/>
      <c r="Q23" s="24"/>
      <c r="R23" s="24"/>
      <c r="S23" s="24"/>
      <c r="T23" s="24"/>
      <c r="U23" s="24"/>
      <c r="V23" s="24"/>
      <c r="W23" s="24"/>
      <c r="X23" s="24"/>
      <c r="Y23" s="24"/>
      <c r="Z23" s="24"/>
      <c r="AA23" s="24"/>
      <c r="AB23" s="24"/>
    </row>
    <row r="24" spans="1:28" ht="18" x14ac:dyDescent="0.25">
      <c r="A24" s="213" t="s">
        <v>13</v>
      </c>
      <c r="B24" s="213" t="s">
        <v>98</v>
      </c>
      <c r="C24" s="91"/>
      <c r="D24" s="91"/>
      <c r="E24" s="91"/>
      <c r="F24" s="91"/>
      <c r="G24" s="91"/>
      <c r="H24" s="91"/>
      <c r="I24" s="89"/>
      <c r="J24" s="89"/>
      <c r="K24" s="89"/>
      <c r="L24" s="89"/>
      <c r="M24" s="89"/>
      <c r="N24" s="89"/>
      <c r="O24" s="89"/>
      <c r="P24" s="89"/>
      <c r="Q24" s="89"/>
      <c r="R24" s="89"/>
      <c r="S24" s="89"/>
      <c r="T24" s="89"/>
      <c r="U24" s="89"/>
      <c r="V24" s="89"/>
      <c r="W24" s="89"/>
      <c r="X24" s="89"/>
      <c r="Y24" s="89"/>
      <c r="Z24" s="89"/>
      <c r="AA24" s="89"/>
      <c r="AB24" s="89"/>
    </row>
  </sheetData>
  <pageMargins left="0.7" right="0.7" top="0.75" bottom="0.75" header="0.3" footer="0.3"/>
  <pageSetup paperSize="9" orientation="portrait" horizontalDpi="4294967292" r:id="rId1"/>
  <extLst>
    <ext xmlns:x14="http://schemas.microsoft.com/office/spreadsheetml/2009/9/main" uri="{78C0D931-6437-407d-A8EE-F0AAD7539E65}">
      <x14:conditionalFormattings>
        <x14:conditionalFormatting xmlns:xm="http://schemas.microsoft.com/office/excel/2006/main">
          <x14:cfRule type="expression" priority="1" id="{7D96A9AE-745D-47F9-A995-4A3738DB4B2C}">
            <xm:f>Control!$F$29 &lt;&gt; 0</xm:f>
            <x14:dxf>
              <fill>
                <patternFill>
                  <bgColor rgb="FFFFFF00"/>
                </patternFill>
              </fill>
            </x14:dxf>
          </x14:cfRule>
          <x14:cfRule type="expression" priority="2" id="{DB2E1121-79E1-4278-B3AD-C2C2C3BDF177}">
            <xm:f>Control!$F$29 = 0</xm:f>
            <x14:dxf>
              <fill>
                <patternFill>
                  <bgColor theme="9"/>
                </patternFill>
              </fill>
            </x14:dxf>
          </x14:cfRule>
          <xm:sqref>A8:AB8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tabColor theme="4" tint="0.39997558519241921"/>
  </sheetPr>
  <dimension ref="A1:V32"/>
  <sheetViews>
    <sheetView showGridLines="0" zoomScale="70" zoomScaleNormal="70" workbookViewId="0">
      <pane ySplit="6" topLeftCell="A7" activePane="bottomLeft" state="frozen"/>
      <selection pane="bottomLeft" activeCell="H14" sqref="H14"/>
    </sheetView>
  </sheetViews>
  <sheetFormatPr defaultColWidth="0" defaultRowHeight="14.25" x14ac:dyDescent="0.2"/>
  <cols>
    <col min="1" max="3" width="2.5" style="3" customWidth="1"/>
    <col min="4" max="4" width="32.5" style="3" customWidth="1"/>
    <col min="5" max="5" width="2.5" style="3" customWidth="1"/>
    <col min="6" max="6" width="12.5" style="3" customWidth="1"/>
    <col min="7" max="7" width="2.5" style="3" customWidth="1"/>
    <col min="8" max="8" width="112.125" style="3" customWidth="1"/>
    <col min="9" max="9" width="2.5" style="3" customWidth="1"/>
    <col min="10" max="22" width="0" style="3" hidden="1" customWidth="1"/>
    <col min="23" max="16384" width="9.5" style="3" hidden="1"/>
  </cols>
  <sheetData>
    <row r="1" spans="1:10" s="10" customFormat="1" ht="23.25" x14ac:dyDescent="0.35">
      <c r="A1" s="83"/>
      <c r="B1" s="83" t="str" cm="1">
        <f t="array" aca="1" ref="B1" ca="1">MID(CELL("filename", A1), FIND("]", CELL("filename", A1)) + 1, 255)</f>
        <v>Control</v>
      </c>
      <c r="C1" s="83"/>
      <c r="D1" s="83"/>
      <c r="E1" s="83"/>
      <c r="F1" s="83"/>
      <c r="G1" s="82"/>
      <c r="H1" s="83"/>
      <c r="I1" s="82"/>
      <c r="J1" s="11"/>
    </row>
    <row r="2" spans="1:10" ht="4.5" customHeight="1" x14ac:dyDescent="0.2">
      <c r="A2" s="24"/>
      <c r="B2" s="51"/>
      <c r="C2" s="51"/>
      <c r="D2" s="24"/>
      <c r="E2" s="24"/>
      <c r="F2" s="24"/>
      <c r="G2" s="30"/>
      <c r="H2" s="24"/>
      <c r="I2" s="30"/>
      <c r="J2" s="9"/>
    </row>
    <row r="3" spans="1:10" x14ac:dyDescent="0.2">
      <c r="A3" s="24"/>
      <c r="B3" s="51" t="str">
        <f>"Model Checks - " &amp; Check</f>
        <v>Model Checks - PASS</v>
      </c>
      <c r="C3" s="51"/>
      <c r="D3" s="24"/>
      <c r="E3" s="24"/>
      <c r="F3" s="24"/>
      <c r="G3" s="30"/>
      <c r="H3" s="24"/>
      <c r="I3" s="30"/>
      <c r="J3" s="9"/>
    </row>
    <row r="4" spans="1:10" ht="4.5" customHeight="1" x14ac:dyDescent="0.2">
      <c r="A4" s="24"/>
      <c r="B4" s="51"/>
      <c r="C4" s="51"/>
      <c r="D4" s="24"/>
      <c r="E4" s="24"/>
      <c r="F4" s="24"/>
      <c r="G4" s="30"/>
      <c r="H4" s="24"/>
      <c r="I4" s="30"/>
      <c r="J4" s="9"/>
    </row>
    <row r="5" spans="1:10" s="10" customFormat="1" ht="23.25" x14ac:dyDescent="0.35">
      <c r="A5" s="83"/>
      <c r="B5" s="83" t="str">
        <f>Project_Name</f>
        <v>Legacy Closeout Model</v>
      </c>
      <c r="C5" s="83"/>
      <c r="D5" s="83"/>
      <c r="E5" s="83"/>
      <c r="F5" s="83"/>
      <c r="G5" s="82"/>
      <c r="H5" s="83"/>
      <c r="I5" s="82"/>
      <c r="J5" s="11"/>
    </row>
    <row r="6" spans="1:10" ht="14.45" customHeight="1" x14ac:dyDescent="0.2">
      <c r="A6" s="24"/>
      <c r="B6" s="51"/>
      <c r="C6" s="51"/>
      <c r="D6" s="24"/>
      <c r="E6" s="24"/>
      <c r="F6" s="24"/>
      <c r="G6" s="30"/>
      <c r="H6" s="24"/>
      <c r="I6" s="30"/>
      <c r="J6" s="9"/>
    </row>
    <row r="7" spans="1:10" s="13" customFormat="1" ht="18" x14ac:dyDescent="0.25">
      <c r="A7" s="231" t="s">
        <v>13</v>
      </c>
      <c r="B7" s="232" t="s">
        <v>234</v>
      </c>
      <c r="C7" s="87"/>
      <c r="D7" s="87"/>
      <c r="E7" s="87"/>
      <c r="F7" s="87"/>
      <c r="G7" s="87"/>
      <c r="H7" s="87"/>
      <c r="I7" s="87"/>
    </row>
    <row r="8" spans="1:10" x14ac:dyDescent="0.2">
      <c r="A8" s="24"/>
      <c r="B8" s="24"/>
      <c r="C8" s="24"/>
      <c r="D8" s="24"/>
      <c r="E8" s="24"/>
      <c r="F8" s="24"/>
      <c r="G8" s="24"/>
      <c r="H8" s="24"/>
      <c r="I8" s="24"/>
    </row>
    <row r="9" spans="1:10" x14ac:dyDescent="0.2">
      <c r="A9" s="24"/>
      <c r="B9" s="24"/>
      <c r="C9" s="24"/>
      <c r="D9" s="217" t="s">
        <v>235</v>
      </c>
      <c r="E9" s="218"/>
      <c r="F9" s="218"/>
      <c r="G9" s="218"/>
      <c r="H9" s="233" t="s">
        <v>236</v>
      </c>
      <c r="I9" s="24"/>
    </row>
    <row r="10" spans="1:10" x14ac:dyDescent="0.2">
      <c r="A10" s="24"/>
      <c r="B10" s="24"/>
      <c r="C10" s="24"/>
      <c r="D10" s="217" t="s">
        <v>237</v>
      </c>
      <c r="E10" s="218"/>
      <c r="F10" s="218"/>
      <c r="G10" s="218"/>
      <c r="H10" s="219" t="str">
        <f ca="1">CELL("filename")</f>
        <v>https://nationalgridplc.sharepoint.com/sites/GRP-INT-UK-Finance-Controllership-Electricity-System-Operator/Shared Documents/Regulatory Finance/NESO FM Publications/2024/November/Website Publication/[NESO_LCM_ 20241127.xlsx]Front Sheet</v>
      </c>
      <c r="I10" s="24"/>
    </row>
    <row r="11" spans="1:10" x14ac:dyDescent="0.2">
      <c r="A11" s="24"/>
      <c r="B11" s="24"/>
      <c r="C11" s="24"/>
      <c r="D11" s="217" t="s">
        <v>238</v>
      </c>
      <c r="E11" s="218"/>
      <c r="F11" s="218"/>
      <c r="G11" s="218"/>
      <c r="H11" s="219" t="str">
        <f ca="1">MID(H10,SEARCH("[",H10)+1, SEARCH("]",H10)-SEARCH("[",H10)-1)</f>
        <v>NESO_LCM_ 20241127.xlsx</v>
      </c>
      <c r="I11" s="24"/>
    </row>
    <row r="12" spans="1:10" customFormat="1" x14ac:dyDescent="0.2">
      <c r="A12" s="24"/>
      <c r="B12" s="24"/>
      <c r="C12" s="24"/>
      <c r="D12" s="217" t="s">
        <v>239</v>
      </c>
      <c r="E12" s="24"/>
      <c r="F12" s="24"/>
      <c r="G12" s="24"/>
      <c r="H12" s="234" t="s">
        <v>256</v>
      </c>
      <c r="I12" s="24"/>
    </row>
    <row r="13" spans="1:10" customFormat="1" x14ac:dyDescent="0.2">
      <c r="A13" s="24"/>
      <c r="B13" s="24"/>
      <c r="C13" s="24"/>
      <c r="D13" s="217" t="s">
        <v>240</v>
      </c>
      <c r="E13" s="24"/>
      <c r="F13" s="24"/>
      <c r="G13" s="24"/>
      <c r="H13" s="235">
        <v>45623</v>
      </c>
      <c r="I13" s="24"/>
    </row>
    <row r="14" spans="1:10" x14ac:dyDescent="0.2">
      <c r="A14" s="24"/>
      <c r="B14" s="24"/>
      <c r="C14" s="24"/>
      <c r="D14" s="217" t="s">
        <v>241</v>
      </c>
      <c r="E14" s="218"/>
      <c r="F14" s="218"/>
      <c r="G14" s="218"/>
      <c r="H14" s="219" t="str">
        <f xml:space="preserve"> IF(Model_Status = "DRAFT", MID(H10, SEARCH("ver", H10), 7), "")</f>
        <v/>
      </c>
      <c r="I14" s="24"/>
    </row>
    <row r="15" spans="1:10" x14ac:dyDescent="0.2">
      <c r="A15" s="24"/>
      <c r="B15" s="24"/>
      <c r="C15" s="24"/>
      <c r="D15" s="220"/>
      <c r="E15" s="218"/>
      <c r="F15" s="218"/>
      <c r="G15" s="218"/>
      <c r="H15" s="221"/>
      <c r="I15" s="24"/>
    </row>
    <row r="16" spans="1:10" x14ac:dyDescent="0.2">
      <c r="A16" s="24"/>
      <c r="B16" s="24"/>
      <c r="C16" s="24"/>
      <c r="D16" s="217" t="s">
        <v>242</v>
      </c>
      <c r="E16" s="218"/>
      <c r="F16" s="218"/>
      <c r="G16" s="218"/>
      <c r="H16" s="221"/>
      <c r="I16" s="24"/>
    </row>
    <row r="17" spans="1:10" x14ac:dyDescent="0.2">
      <c r="A17" s="24"/>
      <c r="B17" s="24"/>
      <c r="C17" s="24"/>
      <c r="D17" s="220"/>
      <c r="E17" s="218"/>
      <c r="F17" s="218"/>
      <c r="G17" s="218"/>
      <c r="H17" s="221"/>
      <c r="I17" s="24"/>
    </row>
    <row r="18" spans="1:10" s="13" customFormat="1" ht="18" x14ac:dyDescent="0.25">
      <c r="A18" s="231" t="s">
        <v>13</v>
      </c>
      <c r="B18" s="232" t="s">
        <v>243</v>
      </c>
      <c r="C18" s="87"/>
      <c r="D18" s="87"/>
      <c r="E18" s="87"/>
      <c r="F18" s="87"/>
      <c r="G18" s="87"/>
      <c r="H18" s="87"/>
      <c r="I18" s="87"/>
    </row>
    <row r="19" spans="1:10" x14ac:dyDescent="0.2">
      <c r="A19" s="24"/>
      <c r="B19" s="24"/>
      <c r="C19" s="24"/>
      <c r="D19" s="24"/>
      <c r="E19" s="24"/>
      <c r="F19" s="24"/>
      <c r="G19" s="24"/>
      <c r="H19" s="24"/>
      <c r="I19" s="24"/>
    </row>
    <row r="20" spans="1:10" x14ac:dyDescent="0.2">
      <c r="A20" s="24"/>
      <c r="B20" s="222"/>
      <c r="C20" s="222"/>
      <c r="D20" s="217" t="s">
        <v>244</v>
      </c>
      <c r="E20" s="223"/>
      <c r="F20" s="236">
        <v>0.1</v>
      </c>
      <c r="G20" s="224"/>
      <c r="H20" s="223"/>
      <c r="I20" s="225"/>
      <c r="J20" s="4"/>
    </row>
    <row r="21" spans="1:10" customFormat="1" x14ac:dyDescent="0.2">
      <c r="A21" s="24"/>
      <c r="B21" s="51"/>
      <c r="C21" s="51"/>
      <c r="D21" s="24"/>
      <c r="E21" s="24"/>
      <c r="F21" s="24"/>
      <c r="G21" s="30"/>
      <c r="H21" s="24"/>
      <c r="I21" s="30"/>
      <c r="J21" s="5"/>
    </row>
    <row r="22" spans="1:10" customFormat="1" x14ac:dyDescent="0.2">
      <c r="A22" s="24"/>
      <c r="B22" s="51"/>
      <c r="C22" s="51"/>
      <c r="D22" s="226" t="str">
        <f ca="1">Inputs!B1</f>
        <v>Inputs</v>
      </c>
      <c r="E22" s="218"/>
      <c r="F22" s="227">
        <f>Inputs!K98</f>
        <v>0</v>
      </c>
      <c r="G22" s="30"/>
      <c r="H22" s="24"/>
      <c r="I22" s="30"/>
      <c r="J22" s="5"/>
    </row>
    <row r="23" spans="1:10" customFormat="1" x14ac:dyDescent="0.2">
      <c r="A23" s="24"/>
      <c r="B23" s="51"/>
      <c r="C23" s="51"/>
      <c r="D23" s="226" t="str">
        <f ca="1">Indexation!B1</f>
        <v>Indexation</v>
      </c>
      <c r="E23" s="218"/>
      <c r="F23" s="227">
        <f>Indexation!K116</f>
        <v>0</v>
      </c>
      <c r="G23" s="30"/>
      <c r="H23" s="24"/>
      <c r="I23" s="30"/>
      <c r="J23" s="5"/>
    </row>
    <row r="24" spans="1:10" x14ac:dyDescent="0.2">
      <c r="A24" s="24"/>
      <c r="B24" s="24"/>
      <c r="C24" s="24"/>
      <c r="D24" s="226" t="str">
        <f ca="1">RAV!B1</f>
        <v>RAV</v>
      </c>
      <c r="E24" s="218"/>
      <c r="F24" s="227">
        <f>RAV!K132</f>
        <v>0</v>
      </c>
      <c r="G24" s="228"/>
      <c r="H24" s="24"/>
      <c r="I24" s="24"/>
    </row>
    <row r="25" spans="1:10" x14ac:dyDescent="0.2">
      <c r="A25" s="24"/>
      <c r="B25" s="24"/>
      <c r="C25" s="24"/>
      <c r="D25" s="226" t="str">
        <f ca="1">LEG!B1</f>
        <v>LEG</v>
      </c>
      <c r="E25" s="218"/>
      <c r="F25" s="227">
        <f>LEG!K126</f>
        <v>0</v>
      </c>
      <c r="G25" s="228"/>
      <c r="H25" s="24"/>
      <c r="I25" s="24"/>
    </row>
    <row r="26" spans="1:10" x14ac:dyDescent="0.2">
      <c r="A26" s="24"/>
      <c r="B26" s="24"/>
      <c r="C26" s="24"/>
      <c r="D26" s="226" t="str">
        <f ca="1">'Live results'!B1</f>
        <v>Live results</v>
      </c>
      <c r="E26" s="218"/>
      <c r="F26" s="227">
        <f>'Live results'!K22</f>
        <v>0</v>
      </c>
      <c r="G26" s="228"/>
      <c r="H26" s="24"/>
      <c r="I26" s="24"/>
    </row>
    <row r="27" spans="1:10" customFormat="1" x14ac:dyDescent="0.2">
      <c r="A27" s="24"/>
      <c r="B27" s="51"/>
      <c r="C27" s="51"/>
      <c r="D27" s="226" t="s">
        <v>245</v>
      </c>
      <c r="E27" s="218"/>
      <c r="F27" s="135">
        <f>IF(AND(Model_Status = "PUBLISHED", Publication_Date = 0), 1, 0)</f>
        <v>0</v>
      </c>
      <c r="G27" s="30"/>
      <c r="H27" s="24"/>
      <c r="I27" s="30"/>
      <c r="J27" s="5"/>
    </row>
    <row r="28" spans="1:10" x14ac:dyDescent="0.2">
      <c r="A28" s="24"/>
      <c r="B28" s="24"/>
      <c r="C28" s="24"/>
      <c r="D28" s="24"/>
      <c r="E28" s="24"/>
      <c r="F28" s="24"/>
      <c r="G28" s="24"/>
      <c r="H28" s="24"/>
      <c r="I28" s="24"/>
    </row>
    <row r="29" spans="1:10" ht="15" x14ac:dyDescent="0.25">
      <c r="A29" s="24"/>
      <c r="B29" s="24"/>
      <c r="C29" s="24"/>
      <c r="D29" s="229" t="s">
        <v>246</v>
      </c>
      <c r="E29" s="218"/>
      <c r="F29" s="135">
        <f xml:space="preserve"> IFERROR(SUM(F22:F27), 1)</f>
        <v>0</v>
      </c>
      <c r="G29" s="24"/>
      <c r="H29" s="24"/>
      <c r="I29" s="24"/>
    </row>
    <row r="30" spans="1:10" ht="15" x14ac:dyDescent="0.25">
      <c r="A30" s="24"/>
      <c r="B30" s="24"/>
      <c r="C30" s="24"/>
      <c r="D30" s="229" t="s">
        <v>247</v>
      </c>
      <c r="E30" s="218"/>
      <c r="F30" s="230" t="str">
        <f xml:space="preserve"> IF(F29 = 0, "PASS", "ERROR")</f>
        <v>PASS</v>
      </c>
      <c r="G30" s="24"/>
      <c r="H30" s="24"/>
      <c r="I30" s="24"/>
    </row>
    <row r="31" spans="1:10" x14ac:dyDescent="0.2">
      <c r="A31" s="24"/>
      <c r="B31" s="24"/>
      <c r="C31" s="24"/>
      <c r="D31" s="24"/>
      <c r="E31" s="24"/>
      <c r="F31" s="24"/>
      <c r="G31" s="24"/>
      <c r="H31" s="24"/>
      <c r="I31" s="24"/>
    </row>
    <row r="32" spans="1:10" s="13" customFormat="1" ht="18" x14ac:dyDescent="0.25">
      <c r="A32" s="231" t="s">
        <v>13</v>
      </c>
      <c r="B32" s="87" t="s">
        <v>98</v>
      </c>
      <c r="C32" s="87"/>
      <c r="D32" s="87"/>
      <c r="E32" s="87"/>
      <c r="F32" s="87"/>
      <c r="G32" s="87"/>
      <c r="H32" s="87"/>
      <c r="I32" s="87"/>
    </row>
  </sheetData>
  <phoneticPr fontId="8" type="noConversion"/>
  <conditionalFormatting sqref="A3:XFD3">
    <cfRule type="expression" dxfId="13" priority="1">
      <formula>$F$29 &lt;&gt; 0</formula>
    </cfRule>
    <cfRule type="expression" dxfId="12" priority="2">
      <formula>$F$29 = 0</formula>
    </cfRule>
  </conditionalFormatting>
  <dataValidations count="1">
    <dataValidation type="list" allowBlank="1" showInputMessage="1" showErrorMessage="1" promptTitle="Model status" prompt="Select 'DRAFT' or 'PUBLISHED'. When selecting 'PUBLISHED', please enter a publication date below or an error flag will show in the Error checks section below." sqref="H12" xr:uid="{DF1AD52A-D0FB-4A7B-830A-946E5A6C9617}">
      <formula1>"DRAFT,PUBLISHED,POPULATED FOR REVIEW"</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55BC-9E2B-4815-AEA4-D04AE14D3C3F}">
  <sheetPr>
    <tabColor theme="4" tint="0.39997558519241921"/>
  </sheetPr>
  <dimension ref="A1:I31"/>
  <sheetViews>
    <sheetView showGridLines="0" zoomScale="70" zoomScaleNormal="70" workbookViewId="0">
      <pane ySplit="6" topLeftCell="A7" activePane="bottomLeft" state="frozen"/>
      <selection pane="bottomLeft" activeCell="A7" sqref="A7"/>
    </sheetView>
  </sheetViews>
  <sheetFormatPr defaultColWidth="0" defaultRowHeight="14.25" x14ac:dyDescent="0.2"/>
  <cols>
    <col min="1" max="3" width="2.5" style="3" customWidth="1"/>
    <col min="4" max="4" width="12.5" style="3" customWidth="1"/>
    <col min="5" max="5" width="15.5" style="3" customWidth="1"/>
    <col min="6" max="6" width="30.5" style="3" customWidth="1"/>
    <col min="7" max="7" width="60.5" style="3" customWidth="1"/>
    <col min="8" max="8" width="30.5" style="3" customWidth="1"/>
    <col min="9" max="9" width="2.5" style="3" customWidth="1"/>
    <col min="10" max="16384" width="9.5" hidden="1"/>
  </cols>
  <sheetData>
    <row r="1" spans="1:9" ht="23.25" x14ac:dyDescent="0.35">
      <c r="A1" s="83"/>
      <c r="B1" s="83" t="str" cm="1">
        <f t="array" aca="1" ref="B1" ca="1">MID(CELL("filename", A1), FIND("]", CELL("filename", A1)) + 1, 255)</f>
        <v>Change log</v>
      </c>
      <c r="C1" s="83"/>
      <c r="D1" s="83"/>
      <c r="E1" s="83"/>
      <c r="F1" s="83"/>
      <c r="G1" s="82"/>
      <c r="H1" s="83"/>
      <c r="I1" s="82"/>
    </row>
    <row r="2" spans="1:9" ht="4.5" customHeight="1" x14ac:dyDescent="0.2">
      <c r="A2" s="24"/>
      <c r="B2" s="51"/>
      <c r="C2" s="51"/>
      <c r="D2" s="24"/>
      <c r="E2" s="24"/>
      <c r="F2" s="24"/>
      <c r="G2" s="30"/>
      <c r="H2" s="24"/>
      <c r="I2" s="30"/>
    </row>
    <row r="3" spans="1:9" s="17" customFormat="1" x14ac:dyDescent="0.2">
      <c r="A3" s="237"/>
      <c r="B3" s="238" t="str" cm="1">
        <f t="array" ref="B3">"Model Checks - " &amp; Check</f>
        <v>Model Checks - PASS</v>
      </c>
      <c r="C3" s="238"/>
      <c r="D3" s="237"/>
      <c r="E3" s="237"/>
      <c r="F3" s="237"/>
      <c r="G3" s="239"/>
      <c r="H3" s="237"/>
      <c r="I3" s="239"/>
    </row>
    <row r="4" spans="1:9" ht="4.5" customHeight="1" x14ac:dyDescent="0.2">
      <c r="A4" s="24"/>
      <c r="B4" s="51"/>
      <c r="C4" s="51"/>
      <c r="D4" s="24"/>
      <c r="E4" s="24"/>
      <c r="F4" s="24"/>
      <c r="G4" s="30"/>
      <c r="H4" s="24"/>
      <c r="I4" s="30"/>
    </row>
    <row r="5" spans="1:9" ht="23.25" x14ac:dyDescent="0.35">
      <c r="A5" s="83"/>
      <c r="B5" s="83" t="str">
        <f>Project_Name</f>
        <v>Legacy Closeout Model</v>
      </c>
      <c r="C5" s="83"/>
      <c r="D5" s="83"/>
      <c r="E5" s="83"/>
      <c r="F5" s="83"/>
      <c r="G5" s="82"/>
      <c r="H5" s="83"/>
      <c r="I5" s="82"/>
    </row>
    <row r="6" spans="1:9" ht="14.45" customHeight="1" x14ac:dyDescent="0.2">
      <c r="A6" s="24"/>
      <c r="B6" s="51"/>
      <c r="C6" s="51"/>
      <c r="D6" s="24"/>
      <c r="E6" s="24"/>
      <c r="F6" s="24"/>
      <c r="G6" s="30"/>
      <c r="H6" s="24"/>
      <c r="I6" s="30"/>
    </row>
    <row r="7" spans="1:9" ht="18" x14ac:dyDescent="0.25">
      <c r="A7" s="231" t="s">
        <v>13</v>
      </c>
      <c r="B7" s="87" t="s">
        <v>248</v>
      </c>
      <c r="C7" s="87"/>
      <c r="D7" s="87"/>
      <c r="E7" s="87"/>
      <c r="F7" s="87"/>
      <c r="G7" s="87"/>
      <c r="H7" s="87"/>
      <c r="I7" s="87"/>
    </row>
    <row r="8" spans="1:9" x14ac:dyDescent="0.2">
      <c r="A8" s="24"/>
      <c r="B8" s="24"/>
      <c r="C8" s="24"/>
      <c r="D8" s="24"/>
      <c r="E8" s="24"/>
      <c r="F8" s="24"/>
      <c r="G8" s="24"/>
      <c r="H8" s="24"/>
      <c r="I8" s="24"/>
    </row>
    <row r="9" spans="1:9" ht="15" x14ac:dyDescent="0.25">
      <c r="A9" s="24"/>
      <c r="B9" s="24"/>
      <c r="C9" s="24"/>
      <c r="D9" s="240" t="s">
        <v>249</v>
      </c>
      <c r="E9" s="241" t="s">
        <v>250</v>
      </c>
      <c r="F9" s="241" t="s">
        <v>251</v>
      </c>
      <c r="G9" s="241" t="s">
        <v>252</v>
      </c>
      <c r="H9" s="242" t="s">
        <v>253</v>
      </c>
      <c r="I9" s="24"/>
    </row>
    <row r="10" spans="1:9" x14ac:dyDescent="0.2">
      <c r="A10" s="24"/>
      <c r="B10" s="24"/>
      <c r="C10" s="24"/>
      <c r="D10" s="243">
        <v>1</v>
      </c>
      <c r="E10" s="244"/>
      <c r="F10" s="245"/>
      <c r="G10" s="245"/>
      <c r="H10" s="246"/>
      <c r="I10" s="24"/>
    </row>
    <row r="11" spans="1:9" x14ac:dyDescent="0.2">
      <c r="A11" s="24"/>
      <c r="B11" s="24"/>
      <c r="C11" s="24"/>
      <c r="D11" s="243">
        <v>2</v>
      </c>
      <c r="E11" s="244"/>
      <c r="F11" s="245"/>
      <c r="G11" s="245"/>
      <c r="H11" s="246"/>
      <c r="I11" s="24"/>
    </row>
    <row r="12" spans="1:9" x14ac:dyDescent="0.2">
      <c r="A12" s="24"/>
      <c r="B12" s="24"/>
      <c r="C12" s="24"/>
      <c r="D12" s="243">
        <v>3</v>
      </c>
      <c r="E12" s="244"/>
      <c r="F12" s="245"/>
      <c r="G12" s="245"/>
      <c r="H12" s="246"/>
      <c r="I12" s="24"/>
    </row>
    <row r="13" spans="1:9" x14ac:dyDescent="0.2">
      <c r="A13" s="24"/>
      <c r="B13" s="24"/>
      <c r="C13" s="24"/>
      <c r="D13" s="243">
        <v>4</v>
      </c>
      <c r="E13" s="244"/>
      <c r="F13" s="245"/>
      <c r="G13" s="245"/>
      <c r="H13" s="246"/>
      <c r="I13" s="24"/>
    </row>
    <row r="14" spans="1:9" x14ac:dyDescent="0.2">
      <c r="A14" s="24"/>
      <c r="B14" s="24"/>
      <c r="C14" s="24"/>
      <c r="D14" s="243">
        <v>5</v>
      </c>
      <c r="E14" s="244"/>
      <c r="F14" s="245"/>
      <c r="G14" s="245"/>
      <c r="H14" s="246"/>
      <c r="I14" s="24"/>
    </row>
    <row r="15" spans="1:9" x14ac:dyDescent="0.2">
      <c r="A15" s="24"/>
      <c r="B15" s="24"/>
      <c r="C15" s="24"/>
      <c r="D15" s="243">
        <v>6</v>
      </c>
      <c r="E15" s="244"/>
      <c r="F15" s="245"/>
      <c r="G15" s="245"/>
      <c r="H15" s="246"/>
      <c r="I15" s="24"/>
    </row>
    <row r="16" spans="1:9" x14ac:dyDescent="0.2">
      <c r="A16" s="24"/>
      <c r="B16" s="24"/>
      <c r="C16" s="24"/>
      <c r="D16" s="243">
        <v>7</v>
      </c>
      <c r="E16" s="244"/>
      <c r="F16" s="245"/>
      <c r="G16" s="245"/>
      <c r="H16" s="246"/>
      <c r="I16" s="24"/>
    </row>
    <row r="17" spans="1:9" x14ac:dyDescent="0.2">
      <c r="A17" s="24"/>
      <c r="B17" s="24"/>
      <c r="C17" s="24"/>
      <c r="D17" s="243">
        <v>8</v>
      </c>
      <c r="E17" s="244"/>
      <c r="F17" s="245"/>
      <c r="G17" s="245"/>
      <c r="H17" s="246"/>
      <c r="I17" s="24"/>
    </row>
    <row r="18" spans="1:9" x14ac:dyDescent="0.2">
      <c r="A18" s="24"/>
      <c r="B18" s="24"/>
      <c r="C18" s="24"/>
      <c r="D18" s="243">
        <v>9</v>
      </c>
      <c r="E18" s="244"/>
      <c r="F18" s="245"/>
      <c r="G18" s="245"/>
      <c r="H18" s="246"/>
      <c r="I18" s="24"/>
    </row>
    <row r="19" spans="1:9" x14ac:dyDescent="0.2">
      <c r="A19" s="24"/>
      <c r="B19" s="24"/>
      <c r="C19" s="24"/>
      <c r="D19" s="243">
        <v>10</v>
      </c>
      <c r="E19" s="244"/>
      <c r="F19" s="245"/>
      <c r="G19" s="245"/>
      <c r="H19" s="246"/>
      <c r="I19" s="24"/>
    </row>
    <row r="20" spans="1:9" x14ac:dyDescent="0.2">
      <c r="A20" s="24"/>
      <c r="B20" s="24"/>
      <c r="C20" s="24"/>
      <c r="D20" s="243">
        <v>11</v>
      </c>
      <c r="E20" s="244"/>
      <c r="F20" s="245"/>
      <c r="G20" s="245"/>
      <c r="H20" s="246"/>
      <c r="I20" s="24"/>
    </row>
    <row r="21" spans="1:9" x14ac:dyDescent="0.2">
      <c r="A21" s="24"/>
      <c r="B21" s="24"/>
      <c r="C21" s="24"/>
      <c r="D21" s="243">
        <v>12</v>
      </c>
      <c r="E21" s="244"/>
      <c r="F21" s="245"/>
      <c r="G21" s="245"/>
      <c r="H21" s="246"/>
      <c r="I21" s="24"/>
    </row>
    <row r="22" spans="1:9" x14ac:dyDescent="0.2">
      <c r="A22" s="24"/>
      <c r="B22" s="24"/>
      <c r="C22" s="24"/>
      <c r="D22" s="243">
        <v>13</v>
      </c>
      <c r="E22" s="244"/>
      <c r="F22" s="245"/>
      <c r="G22" s="245"/>
      <c r="H22" s="246"/>
      <c r="I22" s="24"/>
    </row>
    <row r="23" spans="1:9" x14ac:dyDescent="0.2">
      <c r="A23" s="24"/>
      <c r="B23" s="24"/>
      <c r="C23" s="24"/>
      <c r="D23" s="243">
        <v>14</v>
      </c>
      <c r="E23" s="244"/>
      <c r="F23" s="245"/>
      <c r="G23" s="245"/>
      <c r="H23" s="246"/>
      <c r="I23" s="24"/>
    </row>
    <row r="24" spans="1:9" x14ac:dyDescent="0.2">
      <c r="A24" s="24"/>
      <c r="B24" s="24"/>
      <c r="C24" s="24"/>
      <c r="D24" s="243">
        <v>15</v>
      </c>
      <c r="E24" s="244"/>
      <c r="F24" s="245"/>
      <c r="G24" s="245"/>
      <c r="H24" s="246"/>
      <c r="I24" s="24"/>
    </row>
    <row r="25" spans="1:9" x14ac:dyDescent="0.2">
      <c r="A25" s="24"/>
      <c r="B25" s="24"/>
      <c r="C25" s="24"/>
      <c r="D25" s="243">
        <v>16</v>
      </c>
      <c r="E25" s="244"/>
      <c r="F25" s="245"/>
      <c r="G25" s="245"/>
      <c r="H25" s="246"/>
      <c r="I25" s="24"/>
    </row>
    <row r="26" spans="1:9" x14ac:dyDescent="0.2">
      <c r="A26" s="24"/>
      <c r="B26" s="24"/>
      <c r="C26" s="24"/>
      <c r="D26" s="243">
        <v>17</v>
      </c>
      <c r="E26" s="244"/>
      <c r="F26" s="245"/>
      <c r="G26" s="245"/>
      <c r="H26" s="246"/>
      <c r="I26" s="24"/>
    </row>
    <row r="27" spans="1:9" x14ac:dyDescent="0.2">
      <c r="A27" s="24"/>
      <c r="B27" s="24"/>
      <c r="C27" s="24"/>
      <c r="D27" s="243">
        <v>18</v>
      </c>
      <c r="E27" s="244"/>
      <c r="F27" s="245"/>
      <c r="G27" s="245"/>
      <c r="H27" s="246"/>
      <c r="I27" s="24"/>
    </row>
    <row r="28" spans="1:9" x14ac:dyDescent="0.2">
      <c r="A28" s="24"/>
      <c r="B28" s="24"/>
      <c r="C28" s="24"/>
      <c r="D28" s="243">
        <v>19</v>
      </c>
      <c r="E28" s="244"/>
      <c r="F28" s="245"/>
      <c r="G28" s="245"/>
      <c r="H28" s="246"/>
      <c r="I28" s="24"/>
    </row>
    <row r="29" spans="1:9" x14ac:dyDescent="0.2">
      <c r="A29" s="24"/>
      <c r="B29" s="24"/>
      <c r="C29" s="24"/>
      <c r="D29" s="243">
        <v>20</v>
      </c>
      <c r="E29" s="244"/>
      <c r="F29" s="245"/>
      <c r="G29" s="245"/>
      <c r="H29" s="246"/>
      <c r="I29" s="24"/>
    </row>
    <row r="30" spans="1:9" x14ac:dyDescent="0.2">
      <c r="A30" s="24"/>
      <c r="B30" s="24"/>
      <c r="C30" s="24"/>
      <c r="D30" s="24"/>
      <c r="E30" s="24"/>
      <c r="F30" s="24"/>
      <c r="G30" s="24"/>
      <c r="H30" s="24"/>
      <c r="I30" s="24"/>
    </row>
    <row r="31" spans="1:9" ht="18" x14ac:dyDescent="0.25">
      <c r="A31" s="231" t="s">
        <v>13</v>
      </c>
      <c r="B31" s="87" t="s">
        <v>98</v>
      </c>
      <c r="C31" s="87"/>
      <c r="D31" s="87"/>
      <c r="E31" s="87"/>
      <c r="F31" s="87"/>
      <c r="G31" s="87"/>
      <c r="H31" s="87"/>
      <c r="I31" s="87"/>
    </row>
  </sheetData>
  <sheetProtection sheet="1" insertRows="0" autoFilter="0"/>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7" id="{F8ABA04B-3E30-4494-93D5-B285C0E544D0}">
            <xm:f>Control!$F$29 &lt;&gt; 0</xm:f>
            <x14:dxf>
              <fill>
                <patternFill>
                  <bgColor rgb="FFFFFF00"/>
                </patternFill>
              </fill>
            </x14:dxf>
          </x14:cfRule>
          <x14:cfRule type="expression" priority="28" id="{8D14696E-644C-46F4-B638-BC6DAA9E667D}">
            <xm:f>Control!$F$29 = 0</xm:f>
            <x14:dxf>
              <fill>
                <patternFill>
                  <bgColor theme="9"/>
                </patternFill>
              </fill>
            </x14:dxf>
          </x14:cfRule>
          <xm:sqref>A3:I3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16098C20FA1A49B12255A088B9D556" ma:contentTypeVersion="21" ma:contentTypeDescription="Create a new document." ma:contentTypeScope="" ma:versionID="8e35a71a25fbb636dd765bb67a29aae2">
  <xsd:schema xmlns:xsd="http://www.w3.org/2001/XMLSchema" xmlns:xs="http://www.w3.org/2001/XMLSchema" xmlns:p="http://schemas.microsoft.com/office/2006/metadata/properties" xmlns:ns2="2b186592-6fc7-4da6-a108-5245382356be" xmlns:ns3="9e170047-b809-40ad-9dba-75e0aa00433d" xmlns:ns4="cadce026-d35b-4a62-a2ee-1436bb44fb55" targetNamespace="http://schemas.microsoft.com/office/2006/metadata/properties" ma:root="true" ma:fieldsID="d68eee24f255df101d351fd3e11daf66" ns2:_="" ns3:_="" ns4:_="">
    <xsd:import namespace="2b186592-6fc7-4da6-a108-5245382356be"/>
    <xsd:import namespace="9e170047-b809-40ad-9dba-75e0aa00433d"/>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Flow_SignoffStatus" minOccurs="0"/>
                <xsd:element ref="ns2:lcf76f155ced4ddcb4097134ff3c332f" minOccurs="0"/>
                <xsd:element ref="ns4:TaxCatchAll" minOccurs="0"/>
                <xsd:element ref="ns2:MediaServiceObjectDetectorVersions" minOccurs="0"/>
                <xsd:element ref="ns2:MediaServiceSearchPropertie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86592-6fc7-4da6-a108-524538235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DateandTime" ma:index="27" nillable="true" ma:displayName="Date and Time" ma:format="DateOnly"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e170047-b809-40ad-9dba-75e0aa00433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8255fdf1-eb70-4514-94b9-466d671c52b3}" ma:internalName="TaxCatchAll" ma:showField="CatchAllData" ma:web="9e170047-b809-40ad-9dba-75e0aa0043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1 6 " ? > < D a t a M a s h u p   x m l n s = " h t t p : / / s c h e m a s . m i c r o s o f t . c o m / D a t a M a s h u p " > A A A A A B Y D A A B Q S w M E F A A C A A g A I J k B W f Y S c a i m A A A A 9 g A A A B I A H A B D b 2 5 m a W c v U G F j a 2 F n Z S 5 4 b W w g o h g A K K A U A A A A A A A A A A A A A A A A A A A A A A A A A A A A h Y 8 x D o I w G I W v Q r r T l h K j I T 8 l 0 c F F E h M T 4 9 q U C o 1 Q D C 2 W u z l 4 J K 8 g R l E 3 x / e 9 b 3 j v f r 1 B N j R 1 c F G d 1 a 1 J U Y Q p C p S R b a F N m a L e H c M F y j h s h T y J U g W j b G w y 2 C J F l X P n h B D v P f Y x b r u S M E o j c s g 3 O 1 m p R q C P r P / L o T b W C S M V 4 r B / j e E M R z H F M z b H F M g E I d f m K 7 B x 7 7 P 9 g b D q a 9 d 3 i i s T r p d A p g j k / Y E / A F B L A w Q U A A I A C A A g m Q 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J k B W S i K R 7 g O A A A A E Q A A A B M A H A B G b 3 J t d W x h c y 9 T Z W N 0 a W 9 u M S 5 t I K I Y A C i g F A A A A A A A A A A A A A A A A A A A A A A A A A A A A C t O T S 7 J z M 9 T C I b Q h t Y A U E s B A i 0 A F A A C A A g A I J k B W f Y S c a i m A A A A 9 g A A A B I A A A A A A A A A A A A A A A A A A A A A A E N v b m Z p Z y 9 Q Y W N r Y W d l L n h t b F B L A Q I t A B Q A A g A I A C C Z A V k P y u m r p A A A A O k A A A A T A A A A A A A A A A A A A A A A A P I A A A B b Q 2 9 u d G V u d F 9 U e X B l c 1 0 u e G 1 s U E s B A i 0 A F A A C A A g A I J k B 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x 7 M H g r p / F F n 4 j 5 K P r R j v w A A A A A A g A A A A A A E G Y A A A A B A A A g A A A A e H 6 M W s 0 g Z 8 5 M e H i 0 C E G s / P t U l 2 Q K u 3 q a U L t w 6 m 2 5 M r 4 A A A A A D o A A A A A C A A A g A A A A u U P X w B c r v Z j V Q h H I s G h n y k Z Y x O Y Y w O g d C X J V 4 J 1 u Q v F Q A A A A g + c 4 r y m 5 w N h C j M p X X k Q s Y y S h Q E O p + p B E f W K n g 7 y R R T e p e i g F X 0 F s O o R z X 0 W + + f u H O j h V d F T D i X 8 S E 0 l p d r L G m / 8 k / U 7 j L 9 O V c Z 5 B H 6 R 2 R y 1 A A A A A D v K q U a b 6 f r t z a a 6 5 Y 1 4 k Y c 3 n i a N n D d B 1 f 8 j B h + Y v 5 s Q g U F X 8 c b B C n 2 o L t 1 v / z J w b 5 V 2 G 3 V K i r X x H t s / y N T I j x A = = < / D a t a M a s h u p > 
</file>

<file path=customXml/item4.xml><?xml version="1.0" encoding="utf-8"?>
<p:properties xmlns:p="http://schemas.microsoft.com/office/2006/metadata/properties" xmlns:xsi="http://www.w3.org/2001/XMLSchema-instance" xmlns:pc="http://schemas.microsoft.com/office/infopath/2007/PartnerControls">
  <documentManagement>
    <MediaLengthInSeconds xmlns="2b186592-6fc7-4da6-a108-5245382356be" xsi:nil="true"/>
    <TaxCatchAll xmlns="cadce026-d35b-4a62-a2ee-1436bb44fb55" xsi:nil="true"/>
    <lcf76f155ced4ddcb4097134ff3c332f xmlns="2b186592-6fc7-4da6-a108-5245382356be">
      <Terms xmlns="http://schemas.microsoft.com/office/infopath/2007/PartnerControls"/>
    </lcf76f155ced4ddcb4097134ff3c332f>
    <_Flow_SignoffStatus xmlns="2b186592-6fc7-4da6-a108-5245382356be" xsi:nil="true"/>
    <DateandTime xmlns="2b186592-6fc7-4da6-a108-5245382356be"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30B6C5-809E-4B6C-8D0C-650DFDA4D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86592-6fc7-4da6-a108-5245382356be"/>
    <ds:schemaRef ds:uri="9e170047-b809-40ad-9dba-75e0aa00433d"/>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EE01FE-1D5E-4DCA-98DE-74A7F47FBD16}">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FCB15CC9-5DB7-48B8-A8EF-88D473160774}">
  <ds:schemaRefs>
    <ds:schemaRef ds:uri="http://schemas.microsoft.com/DataMashup"/>
  </ds:schemaRefs>
</ds:datastoreItem>
</file>

<file path=customXml/itemProps4.xml><?xml version="1.0" encoding="utf-8"?>
<ds:datastoreItem xmlns:ds="http://schemas.openxmlformats.org/officeDocument/2006/customXml" ds:itemID="{8D4F2015-57F8-42BB-8267-48BE54E8D661}">
  <ds:schemaRefs>
    <ds:schemaRef ds:uri="http://schemas.microsoft.com/office/2006/documentManagement/types"/>
    <ds:schemaRef ds:uri="9e170047-b809-40ad-9dba-75e0aa00433d"/>
    <ds:schemaRef ds:uri="http://purl.org/dc/elements/1.1/"/>
    <ds:schemaRef ds:uri="http://schemas.microsoft.com/office/2006/metadata/properties"/>
    <ds:schemaRef ds:uri="http://schemas.microsoft.com/office/infopath/2007/PartnerControls"/>
    <ds:schemaRef ds:uri="cadce026-d35b-4a62-a2ee-1436bb44fb55"/>
    <ds:schemaRef ds:uri="http://purl.org/dc/terms/"/>
    <ds:schemaRef ds:uri="http://schemas.openxmlformats.org/package/2006/metadata/core-properties"/>
    <ds:schemaRef ds:uri="2b186592-6fc7-4da6-a108-5245382356be"/>
    <ds:schemaRef ds:uri="http://www.w3.org/XML/1998/namespace"/>
    <ds:schemaRef ds:uri="http://purl.org/dc/dcmitype/"/>
  </ds:schemaRefs>
</ds:datastoreItem>
</file>

<file path=customXml/itemProps5.xml><?xml version="1.0" encoding="utf-8"?>
<ds:datastoreItem xmlns:ds="http://schemas.openxmlformats.org/officeDocument/2006/customXml" ds:itemID="{05358B48-A2F0-4D64-B29D-FC9EF948B9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Front Sheet</vt:lpstr>
      <vt:lpstr>Inputs</vt:lpstr>
      <vt:lpstr>Indexation</vt:lpstr>
      <vt:lpstr>RAV</vt:lpstr>
      <vt:lpstr>LEG</vt:lpstr>
      <vt:lpstr>Live results</vt:lpstr>
      <vt:lpstr>Control</vt:lpstr>
      <vt:lpstr>Change log</vt:lpstr>
      <vt:lpstr>Check</vt:lpstr>
      <vt:lpstr>Model_Status</vt:lpstr>
      <vt:lpstr>Project_Name</vt:lpstr>
      <vt:lpstr>Publication_Date</vt:lpstr>
      <vt:lpstr>Tolerance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NESO LCM</dc:title>
  <dc:subject/>
  <dc:creator>NicoleFitzgerald</dc:creator>
  <cp:keywords/>
  <dc:description/>
  <cp:lastModifiedBy>Emily Rowe (NESO)</cp:lastModifiedBy>
  <cp:revision/>
  <dcterms:created xsi:type="dcterms:W3CDTF">2014-03-19T18:03:50Z</dcterms:created>
  <dcterms:modified xsi:type="dcterms:W3CDTF">2024-11-27T11:01:00Z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arison_Front Sheet2RowInsertions29">
    <vt:lpwstr/>
  </property>
  <property fmtid="{D5CDD505-2E9C-101B-9397-08002B2CF9AE}" pid="3" name="Comparison_Front Sheet2ColumnInsertions30">
    <vt:lpwstr/>
  </property>
  <property fmtid="{D5CDD505-2E9C-101B-9397-08002B2CF9AE}" pid="4" name="Comparison_Issues3RowInsertions31">
    <vt:lpwstr/>
  </property>
  <property fmtid="{D5CDD505-2E9C-101B-9397-08002B2CF9AE}" pid="5" name="Comparison_Issues3ColumnInsertions32">
    <vt:lpwstr/>
  </property>
  <property fmtid="{D5CDD505-2E9C-101B-9397-08002B2CF9AE}" pid="6" name="Comparison_Ph1 Summary7RowInsertions39">
    <vt:lpwstr/>
  </property>
  <property fmtid="{D5CDD505-2E9C-101B-9397-08002B2CF9AE}" pid="7" name="Comparison_Ph1 Summary7ColumnInsertions40">
    <vt:lpwstr/>
  </property>
  <property fmtid="{D5CDD505-2E9C-101B-9397-08002B2CF9AE}" pid="8" name="Comparison_Ph1 Calcs8RowInsertions41">
    <vt:lpwstr/>
  </property>
  <property fmtid="{D5CDD505-2E9C-101B-9397-08002B2CF9AE}" pid="9" name="Comparison_Ph1 Calcs8ColumnInsertions42">
    <vt:lpwstr/>
  </property>
  <property fmtid="{D5CDD505-2E9C-101B-9397-08002B2CF9AE}" pid="10" name="Comparison_General InputsOLD9RowInsertions43">
    <vt:lpwstr/>
  </property>
  <property fmtid="{D5CDD505-2E9C-101B-9397-08002B2CF9AE}" pid="11" name="Comparison_General InputsOLD9ColumnInsertions44">
    <vt:lpwstr/>
  </property>
  <property fmtid="{D5CDD505-2E9C-101B-9397-08002B2CF9AE}" pid="12" name="Comparison_Timing CalcsOLD10RowInsertions45">
    <vt:lpwstr/>
  </property>
  <property fmtid="{D5CDD505-2E9C-101B-9397-08002B2CF9AE}" pid="13" name="Comparison_Timing CalcsOLD10ColumnInsertions46">
    <vt:lpwstr/>
  </property>
  <property fmtid="{D5CDD505-2E9C-101B-9397-08002B2CF9AE}" pid="14" name="Comparison_Ph1 Calcs DELETE11RowInsertions47">
    <vt:lpwstr/>
  </property>
  <property fmtid="{D5CDD505-2E9C-101B-9397-08002B2CF9AE}" pid="15" name="Comparison_Ph1 Calcs DELETE11ColumnInsertions48">
    <vt:lpwstr/>
  </property>
  <property fmtid="{D5CDD505-2E9C-101B-9397-08002B2CF9AE}" pid="16" name="Comparison_Price Tracker12RowInsertions49">
    <vt:lpwstr/>
  </property>
  <property fmtid="{D5CDD505-2E9C-101B-9397-08002B2CF9AE}" pid="17" name="Comparison_Price Tracker12ColumnInsertions50">
    <vt:lpwstr/>
  </property>
  <property fmtid="{D5CDD505-2E9C-101B-9397-08002B2CF9AE}" pid="18" name="Comparison_Control13RowInsertions51">
    <vt:lpwstr/>
  </property>
  <property fmtid="{D5CDD505-2E9C-101B-9397-08002B2CF9AE}" pid="19" name="Comparison_Control13ColumnInsertions52">
    <vt:lpwstr/>
  </property>
  <property fmtid="{D5CDD505-2E9C-101B-9397-08002B2CF9AE}" pid="20" name="Comparison_Changes to Make1RowInsertions23">
    <vt:lpwstr/>
  </property>
  <property fmtid="{D5CDD505-2E9C-101B-9397-08002B2CF9AE}" pid="21" name="Comparison_Changes to Make1ColumnInsertions24">
    <vt:lpwstr/>
  </property>
  <property fmtid="{D5CDD505-2E9C-101B-9397-08002B2CF9AE}" pid="22" name="Comparison_Issues2RowInsertions25">
    <vt:lpwstr/>
  </property>
  <property fmtid="{D5CDD505-2E9C-101B-9397-08002B2CF9AE}" pid="23" name="Comparison_Issues2ColumnInsertions26">
    <vt:lpwstr/>
  </property>
  <property fmtid="{D5CDD505-2E9C-101B-9397-08002B2CF9AE}" pid="24" name="Comparison_Front Sheet3RowInsertions27">
    <vt:lpwstr/>
  </property>
  <property fmtid="{D5CDD505-2E9C-101B-9397-08002B2CF9AE}" pid="25" name="Comparison_Front Sheet3ColumnInsertions28">
    <vt:lpwstr/>
  </property>
  <property fmtid="{D5CDD505-2E9C-101B-9397-08002B2CF9AE}" pid="26" name="Comparison_General Inputs4RowInsertions29">
    <vt:lpwstr/>
  </property>
  <property fmtid="{D5CDD505-2E9C-101B-9397-08002B2CF9AE}" pid="27" name="Comparison_General Inputs4ColumnInsertions30">
    <vt:lpwstr/>
  </property>
  <property fmtid="{D5CDD505-2E9C-101B-9397-08002B2CF9AE}" pid="28" name="Comparison_Timing Calcs5RowInsertions31">
    <vt:lpwstr/>
  </property>
  <property fmtid="{D5CDD505-2E9C-101B-9397-08002B2CF9AE}" pid="29" name="Comparison_Timing Calcs5ColumnInsertions32">
    <vt:lpwstr/>
  </property>
  <property fmtid="{D5CDD505-2E9C-101B-9397-08002B2CF9AE}" pid="30" name="Comparison_Ph1 Calcs7RowInsertions35">
    <vt:lpwstr/>
  </property>
  <property fmtid="{D5CDD505-2E9C-101B-9397-08002B2CF9AE}" pid="31" name="Comparison_Ph1 Calcs7ColumnInsertions36">
    <vt:lpwstr/>
  </property>
  <property fmtid="{D5CDD505-2E9C-101B-9397-08002B2CF9AE}" pid="32" name="Comparison_Ph1 Summary8RowInsertions37">
    <vt:lpwstr/>
  </property>
  <property fmtid="{D5CDD505-2E9C-101B-9397-08002B2CF9AE}" pid="33" name="Comparison_Ph1 Summary8ColumnInsertions38">
    <vt:lpwstr/>
  </property>
  <property fmtid="{D5CDD505-2E9C-101B-9397-08002B2CF9AE}" pid="34" name="Comparison_Con Summary9RowInsertions39">
    <vt:lpwstr/>
  </property>
  <property fmtid="{D5CDD505-2E9C-101B-9397-08002B2CF9AE}" pid="35" name="Comparison_Con Summary9ColumnInsertions40">
    <vt:lpwstr/>
  </property>
  <property fmtid="{D5CDD505-2E9C-101B-9397-08002B2CF9AE}" pid="36" name="Comparison_Price Tracker10RowInsertions41">
    <vt:lpwstr/>
  </property>
  <property fmtid="{D5CDD505-2E9C-101B-9397-08002B2CF9AE}" pid="37" name="Comparison_Price Tracker10ColumnInsertions42">
    <vt:lpwstr/>
  </property>
  <property fmtid="{D5CDD505-2E9C-101B-9397-08002B2CF9AE}" pid="38" name="Comparison_Control11RowInsertions43">
    <vt:lpwstr/>
  </property>
  <property fmtid="{D5CDD505-2E9C-101B-9397-08002B2CF9AE}" pid="39" name="Comparison_Control11ColumnInsertions44">
    <vt:lpwstr/>
  </property>
  <property fmtid="{D5CDD505-2E9C-101B-9397-08002B2CF9AE}" pid="40" name="ContentTypeId">
    <vt:lpwstr>0x0101001E16098C20FA1A49B12255A088B9D556</vt:lpwstr>
  </property>
  <property fmtid="{D5CDD505-2E9C-101B-9397-08002B2CF9AE}" pid="41" name="Comparison_Ph1 Inputs6RowInsertions1">
    <vt:lpwstr/>
  </property>
  <property fmtid="{D5CDD505-2E9C-101B-9397-08002B2CF9AE}" pid="42" name="Comparison_Ph1 Inputs6ColumnInsertions2">
    <vt:lpwstr/>
  </property>
  <property fmtid="{D5CDD505-2E9C-101B-9397-08002B2CF9AE}" pid="43" name="Comparison_Ph2 Inputs10RowInsertions3">
    <vt:lpwstr/>
  </property>
  <property fmtid="{D5CDD505-2E9C-101B-9397-08002B2CF9AE}" pid="44" name="Comparison_Ph2 Inputs10ColumnInsertions4">
    <vt:lpwstr/>
  </property>
  <property fmtid="{D5CDD505-2E9C-101B-9397-08002B2CF9AE}" pid="45" name="Comparison_Ph3 Inputs14RowInsertions5">
    <vt:lpwstr/>
  </property>
  <property fmtid="{D5CDD505-2E9C-101B-9397-08002B2CF9AE}" pid="46" name="Comparison_Ph3 Inputs14ColumnInsertions6">
    <vt:lpwstr/>
  </property>
  <property fmtid="{D5CDD505-2E9C-101B-9397-08002B2CF9AE}" pid="47" name="Comparison_Ph4 Inputs18RowInsertions7">
    <vt:lpwstr/>
  </property>
  <property fmtid="{D5CDD505-2E9C-101B-9397-08002B2CF9AE}" pid="48" name="Comparison_Ph4 Inputs18ColumnInsertions8">
    <vt:lpwstr/>
  </property>
  <property fmtid="{D5CDD505-2E9C-101B-9397-08002B2CF9AE}" pid="49" name="Comparison_Ph5 Inputs22RowInsertions9">
    <vt:lpwstr/>
  </property>
  <property fmtid="{D5CDD505-2E9C-101B-9397-08002B2CF9AE}" pid="50" name="Comparison_Ph5 Inputs22ColumnInsertions10">
    <vt:lpwstr/>
  </property>
  <property fmtid="{D5CDD505-2E9C-101B-9397-08002B2CF9AE}" pid="51" name="Comparison_Ph6 Inputs26RowInsertions11">
    <vt:lpwstr/>
  </property>
  <property fmtid="{D5CDD505-2E9C-101B-9397-08002B2CF9AE}" pid="52" name="Comparison_Ph6 Inputs26ColumnInsertions12">
    <vt:lpwstr/>
  </property>
  <property fmtid="{D5CDD505-2E9C-101B-9397-08002B2CF9AE}" pid="53" name="MediaServiceImageTags">
    <vt:lpwstr/>
  </property>
  <property fmtid="{D5CDD505-2E9C-101B-9397-08002B2CF9AE}" pid="54" name="ComplianceAssetId">
    <vt:lpwstr/>
  </property>
  <property fmtid="{D5CDD505-2E9C-101B-9397-08002B2CF9AE}" pid="55" name="_ExtendedDescription">
    <vt:lpwstr/>
  </property>
  <property fmtid="{D5CDD505-2E9C-101B-9397-08002B2CF9AE}" pid="56" name="TriggerFlowInfo">
    <vt:lpwstr/>
  </property>
  <property fmtid="{D5CDD505-2E9C-101B-9397-08002B2CF9AE}" pid="57" name="MSIP_Label_38144ccb-b10a-4c0f-b070-7a3b00ac7463_Enabled">
    <vt:lpwstr>true</vt:lpwstr>
  </property>
  <property fmtid="{D5CDD505-2E9C-101B-9397-08002B2CF9AE}" pid="58" name="MSIP_Label_38144ccb-b10a-4c0f-b070-7a3b00ac7463_ContentBits">
    <vt:lpwstr>2</vt:lpwstr>
  </property>
  <property fmtid="{D5CDD505-2E9C-101B-9397-08002B2CF9AE}" pid="59" name="MSIP_Label_38144ccb-b10a-4c0f-b070-7a3b00ac7463_Name">
    <vt:lpwstr>InternalOnly</vt:lpwstr>
  </property>
  <property fmtid="{D5CDD505-2E9C-101B-9397-08002B2CF9AE}" pid="60" name="MSIP_Label_38144ccb-b10a-4c0f-b070-7a3b00ac7463_SetDate">
    <vt:lpwstr>2024-09-23T13:54:53Z</vt:lpwstr>
  </property>
  <property fmtid="{D5CDD505-2E9C-101B-9397-08002B2CF9AE}" pid="61" name="MSIP_Label_38144ccb-b10a-4c0f-b070-7a3b00ac7463_ActionId">
    <vt:lpwstr>3a4ddbc7-726e-4a20-bf96-884882cde312</vt:lpwstr>
  </property>
  <property fmtid="{D5CDD505-2E9C-101B-9397-08002B2CF9AE}" pid="62" name="MSIP_Label_38144ccb-b10a-4c0f-b070-7a3b00ac7463_Method">
    <vt:lpwstr>Standard</vt:lpwstr>
  </property>
  <property fmtid="{D5CDD505-2E9C-101B-9397-08002B2CF9AE}" pid="63" name="MSIP_Label_38144ccb-b10a-4c0f-b070-7a3b00ac7463_SiteId">
    <vt:lpwstr>185562ad-39bc-4840-8e40-be6216340c52</vt:lpwstr>
  </property>
  <property fmtid="{D5CDD505-2E9C-101B-9397-08002B2CF9AE}" pid="64" name="docIndexRef">
    <vt:lpwstr>0c04d623-da24-4af3-afaf-cd54b175cead</vt:lpwstr>
  </property>
  <property fmtid="{D5CDD505-2E9C-101B-9397-08002B2CF9AE}" pid="65" name="bjDocumentSecurityLabel">
    <vt:lpwstr>This item has no classification</vt:lpwstr>
  </property>
  <property fmtid="{D5CDD505-2E9C-101B-9397-08002B2CF9AE}" pid="66" name="bjSaver">
    <vt:lpwstr>lFZtWz4/864KGJDUNkyRNF3jKdpfzse5</vt:lpwstr>
  </property>
  <property fmtid="{D5CDD505-2E9C-101B-9397-08002B2CF9AE}" pid="67" name="bjClsUserRVM">
    <vt:lpwstr>[]</vt:lpwstr>
  </property>
</Properties>
</file>