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Y-1 Round 1/04 Build Tender/01 Build EOI/Final Versions for Publication/"/>
    </mc:Choice>
  </mc:AlternateContent>
  <xr:revisionPtr revIDLastSave="783" documentId="8_{5F47969C-4E10-4014-9BA8-30710EE826DE}" xr6:coauthVersionLast="47" xr6:coauthVersionMax="47" xr10:uidLastSave="{2C49073E-BE06-43F4-810B-F54DA3240932}"/>
  <workbookProtection workbookAlgorithmName="SHA-512" workbookHashValue="Jjjzw+m2tWBXzKvHyQIjbukH02UctW/b/kx0Jr18X5MouGjUg3YweEseL9deg+YitFf9aVnSG0OFDNY8W19S9A==" workbookSaltValue="DWSkL6XHgVcrlbDXWIErKQ==" workbookSpinCount="100000" lockStructure="1"/>
  <bookViews>
    <workbookView xWindow="28680" yWindow="-120" windowWidth="29040" windowHeight="15840" tabRatio="704" activeTab="3" xr2:uid="{B26B407C-3849-465D-8A61-E837AC0672F0}"/>
  </bookViews>
  <sheets>
    <sheet name="Intro" sheetId="20" r:id="rId1"/>
    <sheet name="Availability" sheetId="37" r:id="rId2"/>
    <sheet name="LAD" sheetId="39" r:id="rId3"/>
    <sheet name="Utilisation" sheetId="38" r:id="rId4"/>
    <sheet name="ProcInspection" sheetId="4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8" l="1"/>
  <c r="E27" i="38"/>
  <c r="F27" i="38"/>
  <c r="G27" i="38"/>
  <c r="H27" i="38"/>
  <c r="I27" i="38"/>
  <c r="J27" i="38"/>
  <c r="K27" i="38"/>
  <c r="L27" i="38"/>
  <c r="M27" i="38"/>
  <c r="N27" i="38"/>
  <c r="O27" i="38"/>
  <c r="D27" i="38"/>
  <c r="D86" i="37"/>
  <c r="D16" i="39"/>
  <c r="D62" i="37"/>
  <c r="D58" i="37"/>
  <c r="D54" i="37"/>
  <c r="D52" i="37"/>
  <c r="D50" i="37"/>
  <c r="D60" i="37" s="1"/>
  <c r="D64" i="37" s="1"/>
  <c r="D48" i="37"/>
  <c r="D44" i="37"/>
  <c r="E30" i="37"/>
  <c r="F30" i="37"/>
  <c r="G30" i="37"/>
  <c r="H30" i="37"/>
  <c r="I30" i="37"/>
  <c r="J30" i="37"/>
  <c r="K30" i="37"/>
  <c r="L30" i="37"/>
  <c r="M30" i="37"/>
  <c r="N30" i="37"/>
  <c r="O30" i="37"/>
  <c r="D30" i="37"/>
  <c r="D24" i="37"/>
  <c r="D16" i="37"/>
  <c r="D18" i="39"/>
  <c r="D20" i="39"/>
  <c r="D69" i="37" s="1"/>
  <c r="O12" i="39"/>
  <c r="N12" i="39"/>
  <c r="M12" i="39"/>
  <c r="L12" i="39"/>
  <c r="K12" i="39"/>
  <c r="J12" i="39"/>
  <c r="I12" i="39"/>
  <c r="H12" i="39"/>
  <c r="G12" i="39"/>
  <c r="F12" i="39"/>
  <c r="E12" i="39"/>
  <c r="D12" i="39"/>
  <c r="O12" i="37"/>
  <c r="N12" i="37"/>
  <c r="M12" i="37"/>
  <c r="L12" i="37"/>
  <c r="K12" i="37"/>
  <c r="J12" i="37"/>
  <c r="I12" i="37"/>
  <c r="H12" i="37"/>
  <c r="G12" i="37"/>
  <c r="F12" i="37"/>
  <c r="E12" i="37"/>
  <c r="D12" i="37"/>
  <c r="D13" i="37" l="1"/>
  <c r="E13" i="37"/>
  <c r="E62" i="37"/>
  <c r="F13" i="37"/>
  <c r="F62" i="37"/>
  <c r="G13" i="37"/>
  <c r="G62" i="37"/>
  <c r="H13" i="37"/>
  <c r="H62" i="37"/>
  <c r="I13" i="37"/>
  <c r="I62" i="37"/>
  <c r="J13" i="37"/>
  <c r="J62" i="37"/>
  <c r="K13" i="37"/>
  <c r="K62" i="37"/>
  <c r="L13" i="37"/>
  <c r="L62" i="37"/>
  <c r="M13" i="37"/>
  <c r="M62" i="37"/>
  <c r="N13" i="37"/>
  <c r="N62" i="37"/>
  <c r="O13" i="37"/>
  <c r="O62" i="37"/>
  <c r="O21" i="38"/>
  <c r="O23" i="38" s="1"/>
  <c r="N21" i="38"/>
  <c r="N23" i="38" s="1"/>
  <c r="M21" i="38"/>
  <c r="M23" i="38" s="1"/>
  <c r="L21" i="38"/>
  <c r="L23" i="38" s="1"/>
  <c r="K21" i="38"/>
  <c r="J21" i="38"/>
  <c r="I21" i="38"/>
  <c r="H21" i="38"/>
  <c r="H23" i="38" s="1"/>
  <c r="G21" i="38"/>
  <c r="G23" i="38" s="1"/>
  <c r="F21" i="38"/>
  <c r="F23" i="38" s="1"/>
  <c r="E21" i="38"/>
  <c r="E23" i="38" s="1"/>
  <c r="D21" i="38"/>
  <c r="D23" i="38" s="1"/>
  <c r="E13" i="38"/>
  <c r="E15" i="38" s="1"/>
  <c r="F13" i="38"/>
  <c r="F15" i="38" s="1"/>
  <c r="G13" i="38"/>
  <c r="H13" i="38"/>
  <c r="H15" i="38" s="1"/>
  <c r="I13" i="38"/>
  <c r="J13" i="38"/>
  <c r="K13" i="38"/>
  <c r="L13" i="38"/>
  <c r="L15" i="38" s="1"/>
  <c r="M13" i="38"/>
  <c r="M15" i="38" s="1"/>
  <c r="N13" i="38"/>
  <c r="N15" i="38" s="1"/>
  <c r="O13" i="38"/>
  <c r="G15" i="38"/>
  <c r="I15" i="38"/>
  <c r="J15" i="38"/>
  <c r="K15" i="38"/>
  <c r="O15" i="38"/>
  <c r="K23" i="38"/>
  <c r="J23" i="38"/>
  <c r="I23" i="38"/>
  <c r="D13" i="38"/>
  <c r="E25" i="38"/>
  <c r="E29" i="38" s="1"/>
  <c r="F25" i="38"/>
  <c r="F29" i="38" s="1"/>
  <c r="G25" i="38"/>
  <c r="G29" i="38" s="1"/>
  <c r="H25" i="38"/>
  <c r="H29" i="38" s="1"/>
  <c r="I25" i="38"/>
  <c r="I29" i="38" s="1"/>
  <c r="J25" i="38"/>
  <c r="J29" i="38" s="1"/>
  <c r="K25" i="38"/>
  <c r="K29" i="38" s="1"/>
  <c r="L25" i="38"/>
  <c r="L29" i="38" s="1"/>
  <c r="M25" i="38"/>
  <c r="M29" i="38" s="1"/>
  <c r="N25" i="38"/>
  <c r="N29" i="38" s="1"/>
  <c r="O25" i="38"/>
  <c r="O29" i="38" s="1"/>
  <c r="D25" i="38"/>
  <c r="D29" i="38" s="1"/>
  <c r="O54" i="37"/>
  <c r="N54" i="37"/>
  <c r="M54" i="37"/>
  <c r="L54" i="37"/>
  <c r="K54" i="37"/>
  <c r="J54" i="37"/>
  <c r="I54" i="37"/>
  <c r="H54" i="37"/>
  <c r="G54" i="37"/>
  <c r="F54" i="37"/>
  <c r="E54" i="37"/>
  <c r="O52" i="37"/>
  <c r="N52" i="37"/>
  <c r="M52" i="37"/>
  <c r="L52" i="37"/>
  <c r="K52" i="37"/>
  <c r="J52" i="37"/>
  <c r="I52" i="37"/>
  <c r="H52" i="37"/>
  <c r="G52" i="37"/>
  <c r="F52" i="37"/>
  <c r="E52" i="37"/>
  <c r="O44" i="37"/>
  <c r="N44" i="37"/>
  <c r="M44" i="37"/>
  <c r="L44" i="37"/>
  <c r="K44" i="37"/>
  <c r="J44" i="37"/>
  <c r="I44" i="37"/>
  <c r="H44" i="37"/>
  <c r="G44" i="37"/>
  <c r="F44" i="37"/>
  <c r="E44" i="37"/>
  <c r="O46" i="37"/>
  <c r="N46" i="37"/>
  <c r="M46" i="37"/>
  <c r="L46" i="37"/>
  <c r="K46" i="37"/>
  <c r="J46" i="37"/>
  <c r="I46" i="37"/>
  <c r="H46" i="37"/>
  <c r="G46" i="37"/>
  <c r="F46" i="37"/>
  <c r="E46" i="37"/>
  <c r="D46" i="37"/>
  <c r="E56" i="37" l="1"/>
  <c r="E58" i="37" s="1"/>
  <c r="L48" i="37"/>
  <c r="M56" i="37"/>
  <c r="M58" i="37" s="1"/>
  <c r="D56" i="37"/>
  <c r="L56" i="37"/>
  <c r="L58" i="37" s="1"/>
  <c r="N56" i="37"/>
  <c r="N58" i="37" s="1"/>
  <c r="F56" i="37"/>
  <c r="F58" i="37" s="1"/>
  <c r="K56" i="37"/>
  <c r="K58" i="37" s="1"/>
  <c r="G56" i="37"/>
  <c r="G58" i="37" s="1"/>
  <c r="O56" i="37"/>
  <c r="O58" i="37" s="1"/>
  <c r="H48" i="37"/>
  <c r="H50" i="37" s="1"/>
  <c r="E48" i="37"/>
  <c r="E50" i="37" s="1"/>
  <c r="H56" i="37"/>
  <c r="H58" i="37" s="1"/>
  <c r="I48" i="37"/>
  <c r="I50" i="37" s="1"/>
  <c r="I56" i="37"/>
  <c r="I58" i="37" s="1"/>
  <c r="J56" i="37"/>
  <c r="J58" i="37" s="1"/>
  <c r="F48" i="37"/>
  <c r="F50" i="37" s="1"/>
  <c r="N48" i="37"/>
  <c r="G48" i="37"/>
  <c r="G50" i="37" s="1"/>
  <c r="O48" i="37"/>
  <c r="O50" i="37" s="1"/>
  <c r="K48" i="37"/>
  <c r="K50" i="37" s="1"/>
  <c r="J48" i="37"/>
  <c r="J50" i="37" s="1"/>
  <c r="M48" i="37"/>
  <c r="M50" i="37" s="1"/>
  <c r="O16" i="37"/>
  <c r="N16" i="37"/>
  <c r="M16" i="37"/>
  <c r="L16" i="37"/>
  <c r="K16" i="37"/>
  <c r="J16" i="37"/>
  <c r="I16" i="37"/>
  <c r="H16" i="37"/>
  <c r="G16" i="37"/>
  <c r="F16" i="37"/>
  <c r="E16" i="37"/>
  <c r="O24" i="37"/>
  <c r="N24" i="37"/>
  <c r="M24" i="37"/>
  <c r="L24" i="37"/>
  <c r="K24" i="37"/>
  <c r="J24" i="37"/>
  <c r="I24" i="37"/>
  <c r="H24" i="37"/>
  <c r="G24" i="37"/>
  <c r="F24" i="37"/>
  <c r="E24" i="37"/>
  <c r="N50" i="37" l="1"/>
  <c r="N60" i="37" s="1"/>
  <c r="N64" i="37" s="1"/>
  <c r="L50" i="37"/>
  <c r="L60" i="37" s="1"/>
  <c r="L64" i="37" s="1"/>
  <c r="F60" i="37"/>
  <c r="F64" i="37" s="1"/>
  <c r="M60" i="37"/>
  <c r="M64" i="37" s="1"/>
  <c r="K60" i="37"/>
  <c r="K64" i="37" s="1"/>
  <c r="E60" i="37"/>
  <c r="I60" i="37"/>
  <c r="I64" i="37" s="1"/>
  <c r="O60" i="37"/>
  <c r="O64" i="37" s="1"/>
  <c r="G60" i="37"/>
  <c r="G64" i="37" s="1"/>
  <c r="H60" i="37"/>
  <c r="H64" i="37" s="1"/>
  <c r="J60" i="37"/>
  <c r="J64" i="37" s="1"/>
  <c r="E32" i="37"/>
  <c r="F32" i="37"/>
  <c r="G32" i="37"/>
  <c r="H32" i="37"/>
  <c r="I32" i="37"/>
  <c r="J32" i="37"/>
  <c r="K32" i="37"/>
  <c r="L32" i="37"/>
  <c r="M32" i="37"/>
  <c r="N32" i="37"/>
  <c r="O32" i="37"/>
  <c r="E28" i="37"/>
  <c r="E37" i="37" s="1"/>
  <c r="F28" i="37"/>
  <c r="F37" i="37" s="1"/>
  <c r="G28" i="37"/>
  <c r="G37" i="37" s="1"/>
  <c r="H28" i="37"/>
  <c r="H37" i="37" s="1"/>
  <c r="I28" i="37"/>
  <c r="I37" i="37" s="1"/>
  <c r="J28" i="37"/>
  <c r="J37" i="37" s="1"/>
  <c r="K28" i="37"/>
  <c r="K37" i="37" s="1"/>
  <c r="L28" i="37"/>
  <c r="L37" i="37" s="1"/>
  <c r="M28" i="37"/>
  <c r="M37" i="37" s="1"/>
  <c r="N28" i="37"/>
  <c r="N37" i="37" s="1"/>
  <c r="O28" i="37"/>
  <c r="O37" i="37" s="1"/>
  <c r="E20" i="37"/>
  <c r="E35" i="37" s="1"/>
  <c r="F20" i="37"/>
  <c r="F35" i="37" s="1"/>
  <c r="G20" i="37"/>
  <c r="G35" i="37" s="1"/>
  <c r="H20" i="37"/>
  <c r="H35" i="37" s="1"/>
  <c r="I20" i="37"/>
  <c r="I35" i="37" s="1"/>
  <c r="J20" i="37"/>
  <c r="J35" i="37" s="1"/>
  <c r="K20" i="37"/>
  <c r="K35" i="37" s="1"/>
  <c r="L20" i="37"/>
  <c r="L35" i="37" s="1"/>
  <c r="M20" i="37"/>
  <c r="M35" i="37" s="1"/>
  <c r="N20" i="37"/>
  <c r="N35" i="37" s="1"/>
  <c r="O20" i="37"/>
  <c r="O35" i="37" s="1"/>
  <c r="D28" i="37"/>
  <c r="D37" i="37" s="1"/>
  <c r="D32" i="37"/>
  <c r="D20" i="37"/>
  <c r="E64" i="37" l="1"/>
  <c r="D84" i="37" s="1"/>
  <c r="D35" i="37"/>
  <c r="G39" i="37"/>
  <c r="G41" i="37" s="1"/>
  <c r="F39" i="37"/>
  <c r="F41" i="37" s="1"/>
  <c r="M39" i="37"/>
  <c r="M41" i="37" s="1"/>
  <c r="E39" i="37"/>
  <c r="E41" i="37" s="1"/>
  <c r="K39" i="37"/>
  <c r="K41" i="37" s="1"/>
  <c r="H39" i="37"/>
  <c r="H41" i="37" s="1"/>
  <c r="O39" i="37"/>
  <c r="O41" i="37" s="1"/>
  <c r="N39" i="37"/>
  <c r="N41" i="37" s="1"/>
  <c r="L39" i="37"/>
  <c r="L41" i="37" s="1"/>
  <c r="J39" i="37"/>
  <c r="J41" i="37" s="1"/>
  <c r="I39" i="37"/>
  <c r="I41" i="37" s="1"/>
  <c r="D39" i="37"/>
  <c r="D41" i="37" l="1"/>
  <c r="D80" i="37" l="1"/>
  <c r="D73" i="37"/>
  <c r="E67" i="37" s="1"/>
  <c r="D76" i="37" l="1"/>
  <c r="E73" i="37"/>
  <c r="E76" i="37" l="1"/>
  <c r="F67" i="37"/>
  <c r="F73" i="37" s="1"/>
  <c r="F76" i="37" l="1"/>
  <c r="G67" i="37"/>
  <c r="G73" i="37" s="1"/>
  <c r="G76" i="37" l="1"/>
  <c r="H67" i="37"/>
  <c r="H73" i="37" s="1"/>
  <c r="H76" i="37" l="1"/>
  <c r="I67" i="37"/>
  <c r="I73" i="37" s="1"/>
  <c r="I76" i="37" l="1"/>
  <c r="J67" i="37"/>
  <c r="J73" i="37" s="1"/>
  <c r="J76" i="37" l="1"/>
  <c r="K67" i="37"/>
  <c r="K73" i="37" s="1"/>
  <c r="L67" i="37" s="1"/>
  <c r="L73" i="37" s="1"/>
  <c r="L76" i="37" l="1"/>
  <c r="M67" i="37"/>
  <c r="M73" i="37" s="1"/>
  <c r="N67" i="37" s="1"/>
  <c r="K76" i="37"/>
  <c r="N73" i="37" l="1"/>
  <c r="M76" i="37"/>
  <c r="N76" i="37" l="1"/>
  <c r="O67" i="37"/>
  <c r="O73" i="37" s="1"/>
  <c r="D82" i="37" s="1"/>
  <c r="D88" i="37" s="1"/>
  <c r="O76" i="37" l="1"/>
  <c r="D90" i="37" s="1"/>
</calcChain>
</file>

<file path=xl/sharedStrings.xml><?xml version="1.0" encoding="utf-8"?>
<sst xmlns="http://schemas.openxmlformats.org/spreadsheetml/2006/main" count="202" uniqueCount="143">
  <si>
    <t>Value</t>
  </si>
  <si>
    <t>Note</t>
  </si>
  <si>
    <t>Fixed value for all</t>
  </si>
  <si>
    <t>Introduction</t>
  </si>
  <si>
    <t>For ease of use, it calculates the formulae across each month, though in practice, this will be done per settlement period.</t>
  </si>
  <si>
    <t>User guide</t>
  </si>
  <si>
    <t>Cells highlighted in blue can be amended to create different scenarios.
NOTE: The values currently entered are purely illustrative and should not be taken as a guide on what to submit in the tender.</t>
  </si>
  <si>
    <t>All other cells contain formula that can be viewed to understand the payment calculation.</t>
  </si>
  <si>
    <t>Calculation methodology</t>
  </si>
  <si>
    <t>Each month, the unavailaiblity charge is netted off from the availability payment, but this is capped to the amount of the availability payment</t>
  </si>
  <si>
    <t>Any unavailability charge that has not been netted off, is carried forward to future months</t>
  </si>
  <si>
    <t>At the end of each contract year, if there is any unrecovered unavailability charge, this will be compared to the cashflow upto that point and may be payable by the provider where this is less than the cashflow.</t>
  </si>
  <si>
    <t>Across a contract year, providers will never pay back more than they are owed, but could have a net cashflow position of £0.</t>
  </si>
  <si>
    <t>Tendered SCL Capability</t>
  </si>
  <si>
    <t>Capability Value submitted in Tender</t>
  </si>
  <si>
    <t>Required SCL Availability %</t>
  </si>
  <si>
    <t>Tendered Inertia Capability</t>
  </si>
  <si>
    <t>Required Inertia Availability %</t>
  </si>
  <si>
    <t>Contract Rate</t>
  </si>
  <si>
    <t>£/SP</t>
  </si>
  <si>
    <t>Month</t>
  </si>
  <si>
    <t>`</t>
  </si>
  <si>
    <t>Constants</t>
  </si>
  <si>
    <t>BM Counterfactual</t>
  </si>
  <si>
    <t>£ total</t>
  </si>
  <si>
    <t>UCm cap</t>
  </si>
  <si>
    <t>£/day</t>
  </si>
  <si>
    <t>Days</t>
  </si>
  <si>
    <t>Term</t>
  </si>
  <si>
    <t>Description</t>
  </si>
  <si>
    <t>SP</t>
  </si>
  <si>
    <t>Actual Inertia Capability</t>
  </si>
  <si>
    <t xml:space="preserve">The lower of the Contracted Inertia Capability and any value in a redeclaration </t>
  </si>
  <si>
    <t>ACij</t>
  </si>
  <si>
    <t>Actual Inertia Capability / Tendered Inertia Capability</t>
  </si>
  <si>
    <t>ASCij</t>
  </si>
  <si>
    <t>count of SPs where inertia is declared available</t>
  </si>
  <si>
    <t>TAi</t>
  </si>
  <si>
    <t>a factor of 0.7 if the value of ACij is less than 0.9, otherwise, equal to 1</t>
  </si>
  <si>
    <t>Actual SCL Capability</t>
  </si>
  <si>
    <t xml:space="preserve">The lower of the Contracted SCL Capability and any value in a redeclaration </t>
  </si>
  <si>
    <t>ACsj</t>
  </si>
  <si>
    <t>Actual SCL Capability / Tendered SCL Capability</t>
  </si>
  <si>
    <t>ASCsj</t>
  </si>
  <si>
    <t>count of SPs where SCL is declared available</t>
  </si>
  <si>
    <t>TAs</t>
  </si>
  <si>
    <t>APd</t>
  </si>
  <si>
    <t>a factor of 2 if Tendered Inertia Capability is &gt;0, else 1</t>
  </si>
  <si>
    <t>CR</t>
  </si>
  <si>
    <t>Inertia Availability Component</t>
  </si>
  <si>
    <t>SCL Availability Component</t>
  </si>
  <si>
    <t>APm</t>
  </si>
  <si>
    <t>AAim</t>
  </si>
  <si>
    <t>Actual Inertia Availability %</t>
  </si>
  <si>
    <t>TAim</t>
  </si>
  <si>
    <t>Target Inertia Availability %</t>
  </si>
  <si>
    <t>Inertia Availability Shortfall</t>
  </si>
  <si>
    <t>Inertia Unavailability Charge</t>
  </si>
  <si>
    <t>AAsm</t>
  </si>
  <si>
    <t>Actual SCL Availability %</t>
  </si>
  <si>
    <t>TAsm</t>
  </si>
  <si>
    <t>Target SCL Availability %</t>
  </si>
  <si>
    <t>SCL Availability Shortfall</t>
  </si>
  <si>
    <t>SCL Unavailability Charge</t>
  </si>
  <si>
    <t>Intial Unavailability Charge</t>
  </si>
  <si>
    <t>UCm</t>
  </si>
  <si>
    <t>ULm</t>
  </si>
  <si>
    <t>Unrecovered Availability Rebate (Sched D - A.2.3)</t>
  </si>
  <si>
    <t>LADu</t>
  </si>
  <si>
    <t>ARm</t>
  </si>
  <si>
    <t>Availability Rebate (Sched D - A.2.1)</t>
  </si>
  <si>
    <t>Net Cashflow</t>
  </si>
  <si>
    <t>Sum of monthly settlement payments prior to ARLfinal</t>
  </si>
  <si>
    <t>APy</t>
  </si>
  <si>
    <t>sum of Availability Payment ESO owes each month</t>
  </si>
  <si>
    <t>ARy</t>
  </si>
  <si>
    <t>sum of Availability Rebate for each month</t>
  </si>
  <si>
    <t>Sum of Unavailability Charge that providers owe each month</t>
  </si>
  <si>
    <t>LADy</t>
  </si>
  <si>
    <t>LAD due during Contract year</t>
  </si>
  <si>
    <t>ARLfinal</t>
  </si>
  <si>
    <t>Final Cashflow position</t>
  </si>
  <si>
    <t>LADu cap</t>
  </si>
  <si>
    <t xml:space="preserve">Days late </t>
  </si>
  <si>
    <t xml:space="preserve">No of days late compared to service start </t>
  </si>
  <si>
    <t>N/A</t>
  </si>
  <si>
    <t>BMa</t>
  </si>
  <si>
    <t>Alternative BM cost for being late</t>
  </si>
  <si>
    <t xml:space="preserve">Cap of £70,000 per day </t>
  </si>
  <si>
    <t>LADu charge</t>
  </si>
  <si>
    <t xml:space="preserve">Realised late start fee </t>
  </si>
  <si>
    <t>Utilisation Price</t>
  </si>
  <si>
    <t>£/Hr</t>
  </si>
  <si>
    <t>ADi</t>
  </si>
  <si>
    <t>represent that the Facility provided the instructed inertia service during each Hour H</t>
  </si>
  <si>
    <t>AUi</t>
  </si>
  <si>
    <t xml:space="preserve">Actual Inertia Capability of the Facility divided by the Tendered Inertia Capability </t>
  </si>
  <si>
    <t>ADs</t>
  </si>
  <si>
    <t>represent that the Facility provided the instructed SCL service during each Hour H</t>
  </si>
  <si>
    <t>AUs</t>
  </si>
  <si>
    <t>Actual SCL Capability  of the Facility divided by the Tendered SCL Capability</t>
  </si>
  <si>
    <t>UR</t>
  </si>
  <si>
    <t>Utilisation Fee</t>
  </si>
  <si>
    <t>2 where both SCL and inertia are being contracted and procured, otherwise 1</t>
  </si>
  <si>
    <t>UPm</t>
  </si>
  <si>
    <t>Utilisation Payment</t>
  </si>
  <si>
    <t xml:space="preserve">SP (∑jm) </t>
  </si>
  <si>
    <t xml:space="preserve">Availability Payment (Schedule D) </t>
  </si>
  <si>
    <t xml:space="preserve">Total Unavailability Charge </t>
  </si>
  <si>
    <t xml:space="preserve">LAD for late start against contracted Start Date </t>
  </si>
  <si>
    <t xml:space="preserve">Annual Reconciliation Payment </t>
  </si>
  <si>
    <t>UCy</t>
  </si>
  <si>
    <t xml:space="preserve">Net Cash Flow after deducting any ARLfinal amount </t>
  </si>
  <si>
    <t>SP (∑Hm )</t>
  </si>
  <si>
    <t>Yes</t>
  </si>
  <si>
    <t>No</t>
  </si>
  <si>
    <t>Intro</t>
  </si>
  <si>
    <t>Availability</t>
  </si>
  <si>
    <t>LAD</t>
  </si>
  <si>
    <t>Utilisation</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</si>
  <si>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</si>
  <si>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</si>
  <si>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</si>
  <si>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</si>
  <si>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</si>
  <si>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</si>
  <si>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</si>
  <si>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</si>
  <si>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</si>
  <si>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</si>
  <si>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</si>
  <si>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</si>
  <si>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alexandra.millar</t>
  </si>
  <si>
    <t>Workbook Secure:</t>
  </si>
  <si>
    <t xml:space="preserve">Mid-Term (Y-1) Stability Market </t>
  </si>
  <si>
    <t>Delivery Year 2025-2026</t>
  </si>
  <si>
    <t>This spreadsheet has been created to provide an illustration of how availability and utilisation payments will be calculated the procured stability service based on the formulae in the draft contract terms.</t>
  </si>
  <si>
    <t xml:space="preserve">For scenarios where only inertia will be tendered, ensure cells that reference SCL are set to 0. </t>
  </si>
  <si>
    <t>For each tab in this document, the terms in Column A are taken from the contract terms with a brief description in column B.</t>
  </si>
  <si>
    <t xml:space="preserve">It is advised this document is used in conjunction with the draft contract to ensure full understanding. </t>
  </si>
  <si>
    <t>Availabilty payment is calculated based on the number of settlement periods each component is made available and comparing the declared capability to the tendered values.</t>
  </si>
  <si>
    <t xml:space="preserve">The unavailability charge applies where the contracted service is made available in fewer settlement periods than is required. </t>
  </si>
  <si>
    <t xml:space="preserve">This document is purely for illustrative purposes, provided by ESO in good faith.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</si>
</sst>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_-[$£-809]* #,##0.00_-;\-[$£-809]* #,##0.00_-;_-[$£-809]*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b/>
      <sz val="16"/>
      <color theme="7"/>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76A12D"/>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thin">
        <color rgb="FF00000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124">
    <xf numFmtId="0" fontId="0" fillId="0" borderId="0" xfId="0"/>
    <xf numFmtId="0" fontId="2" fillId="0" borderId="0" xfId="0" applyFont="1"/>
    <xf numFmtId="0" fontId="4" fillId="0" borderId="5" xfId="0" applyFont="1" applyBorder="1"/>
    <xf numFmtId="0" fontId="4" fillId="0" borderId="0" xfId="0" applyFont="1"/>
    <xf numFmtId="0" fontId="3" fillId="0" borderId="0" xfId="0" applyFont="1"/>
    <xf numFmtId="0" fontId="4" fillId="3" borderId="6" xfId="0" applyFont="1" applyFill="1" applyBorder="1"/>
    <xf numFmtId="0" fontId="3" fillId="3" borderId="9" xfId="0" applyFont="1" applyFill="1" applyBorder="1"/>
    <xf numFmtId="1" fontId="4" fillId="0" borderId="0" xfId="0" applyNumberFormat="1" applyFont="1"/>
    <xf numFmtId="0" fontId="4" fillId="0" borderId="4" xfId="0" applyFont="1" applyBorder="1"/>
    <xf numFmtId="44" fontId="4" fillId="0" borderId="0" xfId="0" applyNumberFormat="1" applyFont="1"/>
    <xf numFmtId="44" fontId="3" fillId="0" borderId="0" xfId="0" applyNumberFormat="1" applyFont="1"/>
    <xf numFmtId="0" fontId="4" fillId="0" borderId="0" xfId="0" applyFont="1" applyAlignment="1">
      <alignment wrapText="1"/>
    </xf>
    <xf numFmtId="44" fontId="4" fillId="0" borderId="14" xfId="0" applyNumberFormat="1" applyFont="1" applyBorder="1"/>
    <xf numFmtId="0" fontId="4" fillId="2" borderId="0" xfId="0" applyFont="1" applyFill="1"/>
    <xf numFmtId="0" fontId="4" fillId="2" borderId="0" xfId="0" applyFont="1" applyFill="1" applyAlignment="1">
      <alignment wrapText="1"/>
    </xf>
    <xf numFmtId="0" fontId="3" fillId="0" borderId="0" xfId="0" applyFont="1" applyAlignment="1">
      <alignment horizontal="left" indent="1"/>
    </xf>
    <xf numFmtId="0" fontId="3" fillId="0" borderId="16" xfId="0" applyFont="1" applyBorder="1"/>
    <xf numFmtId="0" fontId="4" fillId="0" borderId="16" xfId="0" applyFont="1" applyBorder="1" applyAlignment="1">
      <alignment wrapText="1"/>
    </xf>
    <xf numFmtId="0" fontId="4" fillId="0" borderId="16" xfId="0" applyFont="1" applyBorder="1"/>
    <xf numFmtId="44" fontId="4" fillId="0" borderId="16" xfId="0" applyNumberFormat="1" applyFont="1" applyBorder="1"/>
    <xf numFmtId="0" fontId="4" fillId="0" borderId="17" xfId="0" applyFont="1" applyBorder="1"/>
    <xf numFmtId="0" fontId="4" fillId="0" borderId="17" xfId="0" applyFont="1" applyBorder="1" applyAlignment="1">
      <alignment wrapText="1"/>
    </xf>
    <xf numFmtId="9" fontId="4" fillId="0" borderId="0" xfId="0" applyNumberFormat="1" applyFont="1"/>
    <xf numFmtId="2" fontId="4" fillId="0" borderId="0" xfId="0" applyNumberFormat="1" applyFont="1"/>
    <xf numFmtId="43" fontId="4" fillId="0" borderId="0" xfId="3" applyFont="1"/>
    <xf numFmtId="0" fontId="5" fillId="0" borderId="2" xfId="0" applyFont="1" applyBorder="1"/>
    <xf numFmtId="0" fontId="4" fillId="0" borderId="8" xfId="0" applyFont="1" applyBorder="1" applyAlignment="1">
      <alignment wrapText="1"/>
    </xf>
    <xf numFmtId="0" fontId="4" fillId="0" borderId="8" xfId="0" applyFont="1" applyBorder="1"/>
    <xf numFmtId="0" fontId="5" fillId="0" borderId="4" xfId="0" applyFont="1" applyBorder="1"/>
    <xf numFmtId="0" fontId="3" fillId="0" borderId="4" xfId="0" applyFont="1" applyBorder="1"/>
    <xf numFmtId="0" fontId="3" fillId="0" borderId="5" xfId="0" applyFont="1" applyBorder="1"/>
    <xf numFmtId="0" fontId="3" fillId="0" borderId="6" xfId="0" applyFont="1" applyBorder="1"/>
    <xf numFmtId="0" fontId="4" fillId="0" borderId="1" xfId="0" applyFont="1" applyBorder="1" applyAlignment="1">
      <alignment wrapText="1"/>
    </xf>
    <xf numFmtId="0" fontId="4" fillId="0" borderId="1" xfId="0" applyFont="1" applyBorder="1"/>
    <xf numFmtId="0" fontId="3" fillId="0" borderId="1" xfId="0" applyFont="1" applyBorder="1"/>
    <xf numFmtId="0" fontId="3" fillId="0" borderId="7" xfId="0" applyFont="1" applyBorder="1"/>
    <xf numFmtId="0" fontId="4" fillId="0" borderId="18" xfId="0" applyFont="1" applyBorder="1"/>
    <xf numFmtId="44" fontId="4" fillId="0" borderId="18" xfId="1" applyFont="1" applyFill="1" applyBorder="1"/>
    <xf numFmtId="9" fontId="4" fillId="0" borderId="18" xfId="0" applyNumberFormat="1" applyFont="1" applyBorder="1"/>
    <xf numFmtId="0" fontId="3" fillId="0" borderId="12" xfId="0" applyFont="1" applyBorder="1"/>
    <xf numFmtId="0" fontId="3" fillId="0" borderId="3" xfId="0" applyFont="1" applyBorder="1"/>
    <xf numFmtId="165" fontId="0" fillId="0" borderId="0" xfId="0" applyNumberFormat="1"/>
    <xf numFmtId="0" fontId="0" fillId="0" borderId="19" xfId="0" applyBorder="1"/>
    <xf numFmtId="44" fontId="0" fillId="0" borderId="19" xfId="0" applyNumberFormat="1" applyBorder="1"/>
    <xf numFmtId="165" fontId="0" fillId="0" borderId="19" xfId="0" applyNumberFormat="1" applyBorder="1"/>
    <xf numFmtId="1" fontId="4" fillId="5" borderId="18" xfId="0" applyNumberFormat="1" applyFont="1" applyFill="1" applyBorder="1"/>
    <xf numFmtId="9" fontId="4" fillId="5" borderId="18" xfId="0" applyNumberFormat="1" applyFont="1" applyFill="1" applyBorder="1"/>
    <xf numFmtId="0" fontId="3" fillId="0" borderId="0" xfId="0" applyFont="1" applyFill="1"/>
    <xf numFmtId="9" fontId="4" fillId="0" borderId="18" xfId="2" applyFont="1" applyBorder="1"/>
    <xf numFmtId="9" fontId="4" fillId="5" borderId="18" xfId="2" applyFont="1" applyFill="1" applyBorder="1"/>
    <xf numFmtId="0" fontId="5" fillId="0" borderId="0" xfId="0" applyFont="1"/>
    <xf numFmtId="0" fontId="4" fillId="6" borderId="0" xfId="0" applyFont="1" applyFill="1"/>
    <xf numFmtId="0" fontId="4" fillId="6" borderId="0" xfId="0" applyFont="1" applyFill="1" applyAlignment="1">
      <alignment wrapText="1"/>
    </xf>
    <xf numFmtId="44" fontId="4" fillId="0" borderId="5" xfId="0" applyNumberFormat="1" applyFont="1" applyBorder="1"/>
    <xf numFmtId="44" fontId="3" fillId="0" borderId="23" xfId="0" applyNumberFormat="1" applyFont="1" applyBorder="1"/>
    <xf numFmtId="44" fontId="4" fillId="0" borderId="3" xfId="0" applyNumberFormat="1" applyFont="1" applyBorder="1"/>
    <xf numFmtId="0" fontId="7" fillId="0" borderId="0" xfId="4"/>
    <xf numFmtId="0" fontId="8" fillId="0" borderId="0" xfId="0" applyFont="1"/>
    <xf numFmtId="22" fontId="0" fillId="0" borderId="0" xfId="0" applyNumberFormat="1"/>
    <xf numFmtId="0" fontId="9" fillId="7" borderId="0" xfId="0" applyFont="1" applyFill="1"/>
    <xf numFmtId="0" fontId="0" fillId="0" borderId="0" xfId="0" applyProtection="1"/>
    <xf numFmtId="0" fontId="11" fillId="0" borderId="0" xfId="0" applyFont="1" applyProtection="1"/>
    <xf numFmtId="0" fontId="2" fillId="0" borderId="0" xfId="0" applyFont="1" applyProtection="1"/>
    <xf numFmtId="0" fontId="6" fillId="0" borderId="0" xfId="0" applyFo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Alignment="1" applyProtection="1">
      <alignment horizontal="left"/>
    </xf>
    <xf numFmtId="0" fontId="0" fillId="0" borderId="0" xfId="0" applyAlignment="1" applyProtection="1">
      <alignment vertical="top"/>
    </xf>
    <xf numFmtId="0" fontId="0" fillId="0" borderId="0" xfId="0" applyAlignment="1" applyProtection="1">
      <alignment horizontal="left" indent="1"/>
    </xf>
    <xf numFmtId="1" fontId="4" fillId="4" borderId="18" xfId="0" applyNumberFormat="1" applyFont="1" applyFill="1" applyBorder="1" applyProtection="1">
      <protection locked="0"/>
    </xf>
    <xf numFmtId="44" fontId="4" fillId="4" borderId="18" xfId="1" applyFont="1" applyFill="1" applyBorder="1" applyProtection="1">
      <protection locked="0"/>
    </xf>
    <xf numFmtId="0" fontId="4" fillId="4" borderId="8" xfId="0" applyFont="1" applyFill="1" applyBorder="1" applyProtection="1">
      <protection locked="0"/>
    </xf>
    <xf numFmtId="0" fontId="4" fillId="4" borderId="3" xfId="0" applyFont="1" applyFill="1" applyBorder="1" applyProtection="1">
      <protection locked="0"/>
    </xf>
    <xf numFmtId="1" fontId="3" fillId="4" borderId="0" xfId="0" applyNumberFormat="1" applyFont="1" applyFill="1" applyProtection="1">
      <protection locked="0"/>
    </xf>
    <xf numFmtId="1" fontId="3" fillId="4" borderId="5" xfId="0" applyNumberFormat="1" applyFont="1" applyFill="1" applyBorder="1" applyProtection="1">
      <protection locked="0"/>
    </xf>
    <xf numFmtId="0" fontId="4" fillId="0" borderId="8" xfId="0" applyFont="1" applyFill="1" applyBorder="1" applyProtection="1"/>
    <xf numFmtId="0" fontId="4" fillId="0" borderId="3" xfId="0" applyFont="1" applyFill="1" applyBorder="1" applyProtection="1"/>
    <xf numFmtId="1" fontId="3" fillId="0" borderId="0" xfId="0" applyNumberFormat="1" applyFont="1" applyFill="1" applyProtection="1"/>
    <xf numFmtId="1" fontId="3" fillId="0" borderId="5" xfId="0" applyNumberFormat="1" applyFont="1" applyFill="1" applyBorder="1" applyProtection="1"/>
    <xf numFmtId="1" fontId="4" fillId="4" borderId="12" xfId="0" applyNumberFormat="1" applyFont="1" applyFill="1" applyBorder="1" applyProtection="1">
      <protection locked="0"/>
    </xf>
    <xf numFmtId="1" fontId="4" fillId="4" borderId="10" xfId="0" applyNumberFormat="1" applyFont="1" applyFill="1" applyBorder="1" applyProtection="1">
      <protection locked="0"/>
    </xf>
    <xf numFmtId="1" fontId="4" fillId="4" borderId="20" xfId="0" applyNumberFormat="1" applyFont="1" applyFill="1" applyBorder="1" applyProtection="1">
      <protection locked="0"/>
    </xf>
    <xf numFmtId="1" fontId="4" fillId="4" borderId="21" xfId="0" applyNumberFormat="1" applyFont="1" applyFill="1" applyBorder="1" applyProtection="1">
      <protection locked="0"/>
    </xf>
    <xf numFmtId="1" fontId="4" fillId="4" borderId="0" xfId="0" applyNumberFormat="1" applyFont="1" applyFill="1" applyBorder="1" applyProtection="1">
      <protection locked="0"/>
    </xf>
    <xf numFmtId="0" fontId="3" fillId="0" borderId="11" xfId="0" applyFont="1" applyBorder="1" applyProtection="1"/>
    <xf numFmtId="0" fontId="3" fillId="0" borderId="15" xfId="0" applyFont="1" applyBorder="1" applyProtection="1"/>
    <xf numFmtId="0" fontId="4" fillId="0" borderId="12" xfId="0" applyFont="1" applyBorder="1" applyProtection="1"/>
    <xf numFmtId="0" fontId="4" fillId="0" borderId="8" xfId="0" applyFont="1" applyBorder="1" applyProtection="1"/>
    <xf numFmtId="0" fontId="4" fillId="0" borderId="10" xfId="0" applyFont="1" applyBorder="1" applyProtection="1"/>
    <xf numFmtId="0" fontId="4" fillId="0" borderId="5" xfId="0" applyFont="1" applyBorder="1" applyProtection="1"/>
    <xf numFmtId="0" fontId="4" fillId="0" borderId="9" xfId="0" applyFont="1" applyBorder="1" applyProtection="1"/>
    <xf numFmtId="0" fontId="4" fillId="0" borderId="7" xfId="0" applyFont="1" applyBorder="1" applyProtection="1"/>
    <xf numFmtId="1" fontId="4" fillId="6" borderId="9" xfId="0" applyNumberFormat="1" applyFont="1" applyFill="1" applyBorder="1" applyProtection="1"/>
    <xf numFmtId="0" fontId="4" fillId="0" borderId="0" xfId="0" applyFont="1" applyProtection="1"/>
    <xf numFmtId="0" fontId="4" fillId="0" borderId="11" xfId="0" applyFont="1" applyBorder="1" applyProtection="1"/>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3" fillId="3" borderId="11" xfId="0" applyFont="1" applyFill="1" applyBorder="1" applyProtection="1"/>
    <xf numFmtId="0" fontId="4" fillId="3" borderId="11" xfId="0" applyFont="1" applyFill="1" applyBorder="1" applyProtection="1"/>
    <xf numFmtId="0" fontId="4" fillId="3" borderId="9" xfId="0" applyFont="1" applyFill="1" applyBorder="1" applyProtection="1"/>
    <xf numFmtId="0" fontId="4" fillId="3" borderId="6" xfId="0" applyFont="1" applyFill="1" applyBorder="1" applyAlignment="1" applyProtection="1">
      <alignment horizontal="center" vertical="center"/>
    </xf>
    <xf numFmtId="0" fontId="0" fillId="0" borderId="2" xfId="0" applyBorder="1" applyProtection="1"/>
    <xf numFmtId="0" fontId="0" fillId="0" borderId="8" xfId="0" applyBorder="1" applyAlignment="1" applyProtection="1">
      <alignment wrapText="1"/>
    </xf>
    <xf numFmtId="0" fontId="0" fillId="0" borderId="8" xfId="0" applyBorder="1" applyProtection="1"/>
    <xf numFmtId="0" fontId="0" fillId="0" borderId="4" xfId="0" applyBorder="1" applyProtection="1"/>
    <xf numFmtId="0" fontId="0" fillId="0" borderId="5" xfId="0" applyBorder="1" applyProtection="1"/>
    <xf numFmtId="1" fontId="0" fillId="0" borderId="0" xfId="0" applyNumberFormat="1" applyProtection="1"/>
    <xf numFmtId="1" fontId="0" fillId="0" borderId="5" xfId="0" applyNumberFormat="1" applyBorder="1" applyProtection="1"/>
    <xf numFmtId="0" fontId="0" fillId="0" borderId="6" xfId="0" applyBorder="1" applyProtection="1"/>
    <xf numFmtId="0" fontId="0" fillId="0" borderId="1" xfId="0" applyBorder="1" applyAlignment="1" applyProtection="1">
      <alignment wrapText="1"/>
    </xf>
    <xf numFmtId="0" fontId="0" fillId="0" borderId="1" xfId="0" applyBorder="1" applyProtection="1"/>
    <xf numFmtId="0" fontId="0" fillId="0" borderId="7" xfId="0" applyBorder="1" applyProtection="1"/>
    <xf numFmtId="1" fontId="4" fillId="0" borderId="20" xfId="0" applyNumberFormat="1" applyFont="1" applyFill="1" applyBorder="1" applyProtection="1"/>
    <xf numFmtId="1" fontId="4" fillId="0" borderId="25" xfId="0" applyNumberFormat="1" applyFont="1" applyFill="1" applyBorder="1" applyProtection="1"/>
    <xf numFmtId="1" fontId="4" fillId="0" borderId="0" xfId="0" applyNumberFormat="1" applyFont="1" applyFill="1" applyBorder="1" applyProtection="1"/>
    <xf numFmtId="1" fontId="4" fillId="0" borderId="22" xfId="0" applyNumberFormat="1" applyFont="1" applyFill="1" applyBorder="1" applyProtection="1"/>
    <xf numFmtId="0" fontId="6" fillId="0" borderId="0" xfId="0" applyFont="1" applyAlignment="1" applyProtection="1">
      <alignment wrapText="1"/>
    </xf>
    <xf numFmtId="0" fontId="0" fillId="0" borderId="3" xfId="0" applyBorder="1" applyProtection="1"/>
    <xf numFmtId="0" fontId="0" fillId="0" borderId="0" xfId="0" applyBorder="1" applyProtection="1"/>
    <xf numFmtId="0" fontId="2" fillId="0" borderId="24" xfId="0" applyFont="1" applyBorder="1" applyProtection="1"/>
    <xf numFmtId="164" fontId="2" fillId="0" borderId="24" xfId="1" applyNumberFormat="1" applyFont="1" applyBorder="1" applyProtection="1"/>
    <xf numFmtId="0" fontId="4" fillId="3" borderId="11" xfId="0" applyFont="1" applyFill="1" applyBorder="1" applyAlignment="1" applyProtection="1">
      <alignment horizontal="center" vertical="center"/>
    </xf>
    <xf numFmtId="0" fontId="10" fillId="8" borderId="0" xfId="0" applyFont="1" applyFill="1"/>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11410950</xdr:colOff>
      <xdr:row>0</xdr:row>
      <xdr:rowOff>105843</xdr:rowOff>
    </xdr:from>
    <xdr:to>
      <xdr:col>0</xdr:col>
      <xdr:colOff>12934475</xdr:colOff>
      <xdr:row>4</xdr:row>
      <xdr:rowOff>85477</xdr:rowOff>
    </xdr:to>
    <xdr:pic>
      <xdr:nvPicPr>
        <xdr:cNvPr id="2" name="Picture 1">
          <a:extLst>
            <a:ext uri="{FF2B5EF4-FFF2-40B4-BE49-F238E27FC236}">
              <a16:creationId xmlns:a16="http://schemas.microsoft.com/office/drawing/2014/main" id="{438CEC6B-4754-375F-1EFA-4484FA927AE5}"/>
            </a:ext>
          </a:extLst>
        </xdr:cNvPr>
        <xdr:cNvPicPr>
          <a:picLocks noChangeAspect="1"/>
        </xdr:cNvPicPr>
      </xdr:nvPicPr>
      <xdr:blipFill>
        <a:blip xmlns:r="http://schemas.openxmlformats.org/officeDocument/2006/relationships" r:embed="rId1"/>
        <a:stretch>
          <a:fillRect/>
        </a:stretch>
      </xdr:blipFill>
      <xdr:spPr>
        <a:xfrm>
          <a:off x="11410950" y="105843"/>
          <a:ext cx="1523525" cy="789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C83B-DD61-4110-9A74-9E71214B9057}">
  <dimension ref="A1:D27"/>
  <sheetViews>
    <sheetView showGridLines="0" workbookViewId="0">
      <selection activeCell="A27" sqref="A27"/>
    </sheetView>
  </sheetViews>
  <sheetFormatPr defaultColWidth="0" defaultRowHeight="14.5" zeroHeight="1" x14ac:dyDescent="0.35"/>
  <cols>
    <col min="1" max="1" width="190.54296875" bestFit="1" customWidth="1"/>
    <col min="2" max="4" width="8.7265625" customWidth="1"/>
    <col min="5" max="16384" width="8.7265625" hidden="1"/>
  </cols>
  <sheetData>
    <row r="1" spans="1:4" x14ac:dyDescent="0.35">
      <c r="A1" s="60"/>
      <c r="B1" s="60"/>
      <c r="C1" s="60"/>
      <c r="D1" s="60"/>
    </row>
    <row r="2" spans="1:4" ht="21" x14ac:dyDescent="0.5">
      <c r="A2" s="61" t="s">
        <v>134</v>
      </c>
      <c r="B2" s="60"/>
      <c r="C2" s="60"/>
      <c r="D2" s="60"/>
    </row>
    <row r="3" spans="1:4" x14ac:dyDescent="0.35">
      <c r="A3" s="62" t="s">
        <v>135</v>
      </c>
      <c r="B3" s="60"/>
      <c r="C3" s="60"/>
      <c r="D3" s="60"/>
    </row>
    <row r="4" spans="1:4" x14ac:dyDescent="0.35">
      <c r="A4" s="63" t="s">
        <v>142</v>
      </c>
      <c r="B4" s="60"/>
      <c r="C4" s="60"/>
      <c r="D4" s="60"/>
    </row>
    <row r="5" spans="1:4" x14ac:dyDescent="0.35">
      <c r="A5" s="60"/>
      <c r="B5" s="60"/>
      <c r="C5" s="60"/>
      <c r="D5" s="60"/>
    </row>
    <row r="6" spans="1:4" x14ac:dyDescent="0.35">
      <c r="A6" s="62" t="s">
        <v>3</v>
      </c>
      <c r="B6" s="60"/>
      <c r="C6" s="60"/>
      <c r="D6" s="60"/>
    </row>
    <row r="7" spans="1:4" x14ac:dyDescent="0.35">
      <c r="A7" s="60" t="s">
        <v>136</v>
      </c>
      <c r="B7" s="60"/>
      <c r="C7" s="60"/>
      <c r="D7" s="60"/>
    </row>
    <row r="8" spans="1:4" x14ac:dyDescent="0.35">
      <c r="A8" s="60" t="s">
        <v>4</v>
      </c>
      <c r="B8" s="60"/>
      <c r="C8" s="60"/>
      <c r="D8" s="60"/>
    </row>
    <row r="9" spans="1:4" x14ac:dyDescent="0.35">
      <c r="A9" s="60"/>
      <c r="B9" s="60"/>
      <c r="C9" s="60"/>
      <c r="D9" s="60"/>
    </row>
    <row r="10" spans="1:4" x14ac:dyDescent="0.35">
      <c r="A10" s="62" t="s">
        <v>5</v>
      </c>
      <c r="B10" s="60"/>
      <c r="C10" s="60"/>
      <c r="D10" s="60"/>
    </row>
    <row r="11" spans="1:4" ht="29" x14ac:dyDescent="0.35">
      <c r="A11" s="64" t="s">
        <v>6</v>
      </c>
      <c r="B11" s="60"/>
      <c r="C11" s="60"/>
      <c r="D11" s="60"/>
    </row>
    <row r="12" spans="1:4" x14ac:dyDescent="0.35">
      <c r="A12" s="64" t="s">
        <v>137</v>
      </c>
      <c r="B12" s="60"/>
      <c r="C12" s="60"/>
      <c r="D12" s="60"/>
    </row>
    <row r="13" spans="1:4" x14ac:dyDescent="0.35">
      <c r="A13" s="64" t="s">
        <v>7</v>
      </c>
      <c r="B13" s="60"/>
      <c r="C13" s="60"/>
      <c r="D13" s="60"/>
    </row>
    <row r="14" spans="1:4" x14ac:dyDescent="0.35">
      <c r="A14" s="64" t="s">
        <v>138</v>
      </c>
      <c r="B14" s="60"/>
      <c r="C14" s="60"/>
      <c r="D14" s="60"/>
    </row>
    <row r="15" spans="1:4" x14ac:dyDescent="0.35">
      <c r="A15" s="64" t="s">
        <v>139</v>
      </c>
      <c r="B15" s="60"/>
      <c r="C15" s="60"/>
      <c r="D15" s="60"/>
    </row>
    <row r="16" spans="1:4" x14ac:dyDescent="0.35">
      <c r="A16" s="60"/>
      <c r="B16" s="60"/>
      <c r="C16" s="60"/>
      <c r="D16" s="60"/>
    </row>
    <row r="17" spans="1:4" x14ac:dyDescent="0.35">
      <c r="A17" s="62" t="s">
        <v>8</v>
      </c>
      <c r="B17" s="60"/>
      <c r="C17" s="60"/>
      <c r="D17" s="60"/>
    </row>
    <row r="18" spans="1:4" x14ac:dyDescent="0.35">
      <c r="A18" s="60" t="s">
        <v>140</v>
      </c>
      <c r="B18" s="60"/>
      <c r="C18" s="60"/>
      <c r="D18" s="60"/>
    </row>
    <row r="19" spans="1:4" x14ac:dyDescent="0.35">
      <c r="A19" s="60" t="s">
        <v>141</v>
      </c>
      <c r="B19" s="60"/>
      <c r="C19" s="60"/>
      <c r="D19" s="60"/>
    </row>
    <row r="20" spans="1:4" x14ac:dyDescent="0.35">
      <c r="A20" s="65" t="s">
        <v>9</v>
      </c>
      <c r="B20" s="60"/>
      <c r="C20" s="60"/>
      <c r="D20" s="60"/>
    </row>
    <row r="21" spans="1:4" x14ac:dyDescent="0.35">
      <c r="A21" s="65" t="s">
        <v>10</v>
      </c>
      <c r="B21" s="60"/>
      <c r="C21" s="60"/>
      <c r="D21" s="60"/>
    </row>
    <row r="22" spans="1:4" x14ac:dyDescent="0.35">
      <c r="A22" s="66" t="s">
        <v>11</v>
      </c>
      <c r="B22" s="60"/>
      <c r="C22" s="60"/>
      <c r="D22" s="60"/>
    </row>
    <row r="23" spans="1:4" x14ac:dyDescent="0.35">
      <c r="A23" s="67" t="s">
        <v>12</v>
      </c>
      <c r="B23" s="60"/>
      <c r="C23" s="60"/>
      <c r="D23" s="60"/>
    </row>
    <row r="24" spans="1:4" x14ac:dyDescent="0.35">
      <c r="A24" s="68"/>
      <c r="B24" s="60"/>
      <c r="C24" s="60"/>
      <c r="D24" s="60"/>
    </row>
    <row r="25" spans="1:4" x14ac:dyDescent="0.35">
      <c r="A25" s="68"/>
      <c r="B25" s="60"/>
      <c r="C25" s="60"/>
      <c r="D25" s="60"/>
    </row>
    <row r="26" spans="1:4" x14ac:dyDescent="0.35">
      <c r="A26" s="60"/>
      <c r="B26" s="60"/>
      <c r="C26" s="60"/>
      <c r="D26" s="60"/>
    </row>
    <row r="27" spans="1:4" x14ac:dyDescent="0.35">
      <c r="A27" s="60"/>
      <c r="B27" s="60"/>
      <c r="C27" s="60"/>
      <c r="D27" s="60"/>
    </row>
  </sheetData>
  <sheetProtection algorithmName="SHA-512" hashValue="mtaRvVJNlp6iJ80v7smNR4xenzqLFaL5FXn//Pu0P00nWOrNa8G5AEPfUk5/iw29CY940BJt/2IQKN9NB0vceA==" saltValue="rzoG6iNChNhCEfJX65009w==" spinCount="100000" sheet="1" objects="1" scenarios="1"/>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6B8B-4ABF-4874-9DBB-853E7B694869}">
  <dimension ref="A1:V105"/>
  <sheetViews>
    <sheetView workbookViewId="0">
      <pane xSplit="3" ySplit="12" topLeftCell="D13" activePane="bottomRight" state="frozen"/>
      <selection pane="topRight" activeCell="D1" sqref="D1"/>
      <selection pane="bottomLeft" activeCell="A11" sqref="A11"/>
      <selection pane="bottomRight" activeCell="B16" sqref="B16"/>
    </sheetView>
  </sheetViews>
  <sheetFormatPr defaultColWidth="0" defaultRowHeight="13" zeroHeight="1" x14ac:dyDescent="0.3"/>
  <cols>
    <col min="1" max="1" width="29.7265625" style="3" customWidth="1"/>
    <col min="2" max="2" width="31.1796875" style="3" bestFit="1" customWidth="1"/>
    <col min="3" max="3" width="15" style="3" bestFit="1" customWidth="1"/>
    <col min="4" max="4" width="18.7265625" style="3" bestFit="1" customWidth="1"/>
    <col min="5" max="5" width="17.7265625" style="3" bestFit="1" customWidth="1"/>
    <col min="6" max="15" width="18.7265625" style="3" bestFit="1" customWidth="1"/>
    <col min="16" max="16" width="11.7265625" style="3" customWidth="1"/>
    <col min="17" max="17" width="13.54296875" style="3" bestFit="1" customWidth="1"/>
    <col min="18" max="18" width="51.81640625" style="3" bestFit="1" customWidth="1"/>
    <col min="19" max="22" width="11.7265625" style="3" customWidth="1"/>
    <col min="23" max="16384" width="11.7265625" style="3" hidden="1"/>
  </cols>
  <sheetData>
    <row r="1" spans="1:15" x14ac:dyDescent="0.3">
      <c r="A1" s="39" t="s">
        <v>22</v>
      </c>
      <c r="B1" s="40" t="s">
        <v>1</v>
      </c>
      <c r="C1" s="39" t="s">
        <v>0</v>
      </c>
    </row>
    <row r="2" spans="1:15" x14ac:dyDescent="0.3">
      <c r="A2" s="36" t="s">
        <v>16</v>
      </c>
      <c r="B2" s="36" t="s">
        <v>14</v>
      </c>
      <c r="C2" s="69">
        <v>500</v>
      </c>
    </row>
    <row r="3" spans="1:15" x14ac:dyDescent="0.3">
      <c r="A3" s="36" t="s">
        <v>13</v>
      </c>
      <c r="B3" s="36" t="s">
        <v>14</v>
      </c>
      <c r="C3" s="45">
        <v>0</v>
      </c>
      <c r="E3" s="24"/>
    </row>
    <row r="4" spans="1:15" x14ac:dyDescent="0.3">
      <c r="A4" s="36" t="s">
        <v>17</v>
      </c>
      <c r="B4" s="36" t="s">
        <v>2</v>
      </c>
      <c r="C4" s="48">
        <v>0.9</v>
      </c>
    </row>
    <row r="5" spans="1:15" x14ac:dyDescent="0.3">
      <c r="A5" s="36" t="s">
        <v>15</v>
      </c>
      <c r="B5" s="36" t="s">
        <v>2</v>
      </c>
      <c r="C5" s="49">
        <v>0</v>
      </c>
    </row>
    <row r="6" spans="1:15" x14ac:dyDescent="0.3">
      <c r="A6" s="36" t="s">
        <v>18</v>
      </c>
      <c r="B6" s="36" t="s">
        <v>19</v>
      </c>
      <c r="C6" s="70">
        <v>300</v>
      </c>
      <c r="E6" s="24"/>
    </row>
    <row r="7" spans="1:15" x14ac:dyDescent="0.3">
      <c r="A7" s="36" t="s">
        <v>23</v>
      </c>
      <c r="B7" s="36" t="s">
        <v>24</v>
      </c>
      <c r="C7" s="70">
        <v>3000000</v>
      </c>
      <c r="D7" s="9"/>
    </row>
    <row r="8" spans="1:15" x14ac:dyDescent="0.3">
      <c r="A8" s="36" t="s">
        <v>25</v>
      </c>
      <c r="B8" s="36" t="s">
        <v>26</v>
      </c>
      <c r="C8" s="37">
        <v>70000</v>
      </c>
      <c r="D8" s="9"/>
    </row>
    <row r="9" spans="1:15" x14ac:dyDescent="0.3">
      <c r="D9" s="7"/>
    </row>
    <row r="10" spans="1:15" x14ac:dyDescent="0.3">
      <c r="C10" s="3" t="s">
        <v>20</v>
      </c>
      <c r="D10" s="3">
        <v>1</v>
      </c>
      <c r="E10" s="3">
        <v>2</v>
      </c>
      <c r="F10" s="3">
        <v>3</v>
      </c>
      <c r="G10" s="3">
        <v>4</v>
      </c>
      <c r="H10" s="3">
        <v>5</v>
      </c>
      <c r="I10" s="3">
        <v>6</v>
      </c>
      <c r="J10" s="3">
        <v>7</v>
      </c>
      <c r="K10" s="3">
        <v>8</v>
      </c>
      <c r="L10" s="3">
        <v>9</v>
      </c>
      <c r="M10" s="3">
        <v>10</v>
      </c>
      <c r="N10" s="3">
        <v>11</v>
      </c>
      <c r="O10" s="3">
        <v>12</v>
      </c>
    </row>
    <row r="11" spans="1:15" x14ac:dyDescent="0.3">
      <c r="C11" s="3" t="s">
        <v>27</v>
      </c>
      <c r="D11" s="3">
        <v>30</v>
      </c>
      <c r="E11" s="3">
        <v>30</v>
      </c>
      <c r="F11" s="3">
        <v>30</v>
      </c>
      <c r="G11" s="3">
        <v>30</v>
      </c>
      <c r="H11" s="3">
        <v>30</v>
      </c>
      <c r="I11" s="3">
        <v>30</v>
      </c>
      <c r="J11" s="3">
        <v>30</v>
      </c>
      <c r="K11" s="3">
        <v>30</v>
      </c>
      <c r="L11" s="3">
        <v>30</v>
      </c>
      <c r="M11" s="3">
        <v>30</v>
      </c>
      <c r="N11" s="3">
        <v>30</v>
      </c>
      <c r="O11" s="3">
        <v>30</v>
      </c>
    </row>
    <row r="12" spans="1:15" x14ac:dyDescent="0.3">
      <c r="A12" s="6" t="s">
        <v>28</v>
      </c>
      <c r="B12" s="5" t="s">
        <v>29</v>
      </c>
      <c r="C12" s="5" t="s">
        <v>106</v>
      </c>
      <c r="D12" s="5">
        <f>D11*48</f>
        <v>1440</v>
      </c>
      <c r="E12" s="5">
        <f t="shared" ref="E12:O12" si="0">E11*48</f>
        <v>1440</v>
      </c>
      <c r="F12" s="5">
        <f t="shared" si="0"/>
        <v>1440</v>
      </c>
      <c r="G12" s="5">
        <f t="shared" si="0"/>
        <v>1440</v>
      </c>
      <c r="H12" s="5">
        <f t="shared" si="0"/>
        <v>1440</v>
      </c>
      <c r="I12" s="5">
        <f t="shared" si="0"/>
        <v>1440</v>
      </c>
      <c r="J12" s="5">
        <f t="shared" si="0"/>
        <v>1440</v>
      </c>
      <c r="K12" s="5">
        <f t="shared" si="0"/>
        <v>1440</v>
      </c>
      <c r="L12" s="5">
        <f t="shared" si="0"/>
        <v>1440</v>
      </c>
      <c r="M12" s="5">
        <f t="shared" si="0"/>
        <v>1440</v>
      </c>
      <c r="N12" s="5">
        <f t="shared" si="0"/>
        <v>1440</v>
      </c>
      <c r="O12" s="5">
        <f t="shared" si="0"/>
        <v>1440</v>
      </c>
    </row>
    <row r="13" spans="1:15" x14ac:dyDescent="0.3">
      <c r="C13" s="22">
        <v>0.9</v>
      </c>
      <c r="D13" s="3">
        <f>D12*0.9</f>
        <v>1296</v>
      </c>
      <c r="E13" s="3">
        <f t="shared" ref="E13:O13" si="1">E12*0.9</f>
        <v>1296</v>
      </c>
      <c r="F13" s="3">
        <f t="shared" si="1"/>
        <v>1296</v>
      </c>
      <c r="G13" s="3">
        <f t="shared" si="1"/>
        <v>1296</v>
      </c>
      <c r="H13" s="3">
        <f t="shared" si="1"/>
        <v>1296</v>
      </c>
      <c r="I13" s="3">
        <f t="shared" si="1"/>
        <v>1296</v>
      </c>
      <c r="J13" s="3">
        <f t="shared" si="1"/>
        <v>1296</v>
      </c>
      <c r="K13" s="3">
        <f t="shared" si="1"/>
        <v>1296</v>
      </c>
      <c r="L13" s="3">
        <f t="shared" si="1"/>
        <v>1296</v>
      </c>
      <c r="M13" s="3">
        <f t="shared" si="1"/>
        <v>1296</v>
      </c>
      <c r="N13" s="3">
        <f t="shared" si="1"/>
        <v>1296</v>
      </c>
      <c r="O13" s="3">
        <f t="shared" si="1"/>
        <v>1296</v>
      </c>
    </row>
    <row r="14" spans="1:15" ht="39" x14ac:dyDescent="0.3">
      <c r="A14" s="25" t="s">
        <v>31</v>
      </c>
      <c r="B14" s="26" t="s">
        <v>32</v>
      </c>
      <c r="C14" s="27"/>
      <c r="D14" s="71">
        <v>1000</v>
      </c>
      <c r="E14" s="71">
        <v>1000</v>
      </c>
      <c r="F14" s="71">
        <v>1000</v>
      </c>
      <c r="G14" s="71">
        <v>1000</v>
      </c>
      <c r="H14" s="71">
        <v>1000</v>
      </c>
      <c r="I14" s="71">
        <v>1000</v>
      </c>
      <c r="J14" s="71">
        <v>1000</v>
      </c>
      <c r="K14" s="71">
        <v>1000</v>
      </c>
      <c r="L14" s="71">
        <v>1000</v>
      </c>
      <c r="M14" s="71">
        <v>1000</v>
      </c>
      <c r="N14" s="71">
        <v>1000</v>
      </c>
      <c r="O14" s="72">
        <v>1000</v>
      </c>
    </row>
    <row r="15" spans="1:15" x14ac:dyDescent="0.3">
      <c r="A15" s="28"/>
      <c r="B15" s="11"/>
      <c r="O15" s="2"/>
    </row>
    <row r="16" spans="1:15" ht="26" x14ac:dyDescent="0.3">
      <c r="A16" s="29" t="s">
        <v>33</v>
      </c>
      <c r="B16" s="11" t="s">
        <v>34</v>
      </c>
      <c r="D16" s="4">
        <f>IFERROR(D14/$C$2,0)</f>
        <v>2</v>
      </c>
      <c r="E16" s="4">
        <f t="shared" ref="E16:O16" si="2">IFERROR(E14/$C$2,0)</f>
        <v>2</v>
      </c>
      <c r="F16" s="4">
        <f t="shared" si="2"/>
        <v>2</v>
      </c>
      <c r="G16" s="4">
        <f t="shared" si="2"/>
        <v>2</v>
      </c>
      <c r="H16" s="4">
        <f t="shared" si="2"/>
        <v>2</v>
      </c>
      <c r="I16" s="4">
        <f t="shared" si="2"/>
        <v>2</v>
      </c>
      <c r="J16" s="4">
        <f t="shared" si="2"/>
        <v>2</v>
      </c>
      <c r="K16" s="4">
        <f t="shared" si="2"/>
        <v>2</v>
      </c>
      <c r="L16" s="4">
        <f t="shared" si="2"/>
        <v>2</v>
      </c>
      <c r="M16" s="4">
        <f t="shared" si="2"/>
        <v>2</v>
      </c>
      <c r="N16" s="4">
        <f t="shared" si="2"/>
        <v>2</v>
      </c>
      <c r="O16" s="30">
        <f t="shared" si="2"/>
        <v>2</v>
      </c>
    </row>
    <row r="17" spans="1:17" x14ac:dyDescent="0.3">
      <c r="A17" s="8"/>
      <c r="B17" s="11"/>
      <c r="O17" s="2"/>
    </row>
    <row r="18" spans="1:17" ht="26" x14ac:dyDescent="0.3">
      <c r="A18" s="29" t="s">
        <v>35</v>
      </c>
      <c r="B18" s="11" t="s">
        <v>36</v>
      </c>
      <c r="D18" s="73">
        <v>500</v>
      </c>
      <c r="E18" s="73">
        <v>1400</v>
      </c>
      <c r="F18" s="73">
        <v>200</v>
      </c>
      <c r="G18" s="73">
        <v>900</v>
      </c>
      <c r="H18" s="73">
        <v>900</v>
      </c>
      <c r="I18" s="73">
        <v>900</v>
      </c>
      <c r="J18" s="73">
        <v>1000</v>
      </c>
      <c r="K18" s="73">
        <v>1400</v>
      </c>
      <c r="L18" s="73">
        <v>0</v>
      </c>
      <c r="M18" s="73">
        <v>900</v>
      </c>
      <c r="N18" s="73">
        <v>900</v>
      </c>
      <c r="O18" s="74">
        <v>900</v>
      </c>
    </row>
    <row r="19" spans="1:17" x14ac:dyDescent="0.3">
      <c r="A19" s="8"/>
      <c r="B19" s="11"/>
      <c r="O19" s="2"/>
    </row>
    <row r="20" spans="1:17" ht="26" x14ac:dyDescent="0.3">
      <c r="A20" s="31" t="s">
        <v>37</v>
      </c>
      <c r="B20" s="32" t="s">
        <v>38</v>
      </c>
      <c r="C20" s="33"/>
      <c r="D20" s="34">
        <f t="shared" ref="D20:O20" si="3">IF(D16&lt;0.9,0.7,1)</f>
        <v>1</v>
      </c>
      <c r="E20" s="34">
        <f t="shared" si="3"/>
        <v>1</v>
      </c>
      <c r="F20" s="34">
        <f t="shared" si="3"/>
        <v>1</v>
      </c>
      <c r="G20" s="34">
        <f t="shared" si="3"/>
        <v>1</v>
      </c>
      <c r="H20" s="34">
        <f t="shared" si="3"/>
        <v>1</v>
      </c>
      <c r="I20" s="34">
        <f t="shared" si="3"/>
        <v>1</v>
      </c>
      <c r="J20" s="34">
        <f t="shared" si="3"/>
        <v>1</v>
      </c>
      <c r="K20" s="34">
        <f t="shared" si="3"/>
        <v>1</v>
      </c>
      <c r="L20" s="34">
        <f t="shared" si="3"/>
        <v>1</v>
      </c>
      <c r="M20" s="34">
        <f t="shared" si="3"/>
        <v>1</v>
      </c>
      <c r="N20" s="34">
        <f t="shared" si="3"/>
        <v>1</v>
      </c>
      <c r="O20" s="35">
        <f t="shared" si="3"/>
        <v>1</v>
      </c>
    </row>
    <row r="21" spans="1:17" x14ac:dyDescent="0.3">
      <c r="B21" s="11"/>
    </row>
    <row r="22" spans="1:17" ht="39" x14ac:dyDescent="0.3">
      <c r="A22" s="25" t="s">
        <v>39</v>
      </c>
      <c r="B22" s="26" t="s">
        <v>40</v>
      </c>
      <c r="C22" s="27"/>
      <c r="D22" s="75">
        <v>0</v>
      </c>
      <c r="E22" s="75">
        <v>0</v>
      </c>
      <c r="F22" s="75">
        <v>0</v>
      </c>
      <c r="G22" s="75">
        <v>0</v>
      </c>
      <c r="H22" s="75">
        <v>0</v>
      </c>
      <c r="I22" s="75">
        <v>0</v>
      </c>
      <c r="J22" s="75">
        <v>0</v>
      </c>
      <c r="K22" s="75">
        <v>0</v>
      </c>
      <c r="L22" s="75">
        <v>0</v>
      </c>
      <c r="M22" s="75">
        <v>0</v>
      </c>
      <c r="N22" s="75">
        <v>0</v>
      </c>
      <c r="O22" s="76">
        <v>0</v>
      </c>
    </row>
    <row r="23" spans="1:17" x14ac:dyDescent="0.3">
      <c r="A23" s="28"/>
      <c r="B23" s="11"/>
      <c r="O23" s="2"/>
    </row>
    <row r="24" spans="1:17" ht="26" x14ac:dyDescent="0.3">
      <c r="A24" s="29" t="s">
        <v>41</v>
      </c>
      <c r="B24" s="11" t="s">
        <v>42</v>
      </c>
      <c r="D24" s="4">
        <f t="shared" ref="D24:O24" si="4">IFERROR(D22/$C$3,0)</f>
        <v>0</v>
      </c>
      <c r="E24" s="4">
        <f t="shared" si="4"/>
        <v>0</v>
      </c>
      <c r="F24" s="4">
        <f t="shared" si="4"/>
        <v>0</v>
      </c>
      <c r="G24" s="4">
        <f t="shared" si="4"/>
        <v>0</v>
      </c>
      <c r="H24" s="4">
        <f t="shared" si="4"/>
        <v>0</v>
      </c>
      <c r="I24" s="4">
        <f t="shared" si="4"/>
        <v>0</v>
      </c>
      <c r="J24" s="4">
        <f t="shared" si="4"/>
        <v>0</v>
      </c>
      <c r="K24" s="4">
        <f t="shared" si="4"/>
        <v>0</v>
      </c>
      <c r="L24" s="4">
        <f t="shared" si="4"/>
        <v>0</v>
      </c>
      <c r="M24" s="4">
        <f t="shared" si="4"/>
        <v>0</v>
      </c>
      <c r="N24" s="4">
        <f t="shared" si="4"/>
        <v>0</v>
      </c>
      <c r="O24" s="30">
        <f t="shared" si="4"/>
        <v>0</v>
      </c>
      <c r="Q24" s="9"/>
    </row>
    <row r="25" spans="1:17" x14ac:dyDescent="0.3">
      <c r="A25" s="8"/>
      <c r="B25" s="11"/>
      <c r="O25" s="2"/>
      <c r="Q25" s="9"/>
    </row>
    <row r="26" spans="1:17" ht="26" x14ac:dyDescent="0.3">
      <c r="A26" s="29" t="s">
        <v>43</v>
      </c>
      <c r="B26" s="11" t="s">
        <v>44</v>
      </c>
      <c r="D26" s="77">
        <v>0</v>
      </c>
      <c r="E26" s="77">
        <v>0</v>
      </c>
      <c r="F26" s="77">
        <v>0</v>
      </c>
      <c r="G26" s="77">
        <v>0</v>
      </c>
      <c r="H26" s="77">
        <v>0</v>
      </c>
      <c r="I26" s="77">
        <v>0</v>
      </c>
      <c r="J26" s="77">
        <v>0</v>
      </c>
      <c r="K26" s="77">
        <v>0</v>
      </c>
      <c r="L26" s="77">
        <v>0</v>
      </c>
      <c r="M26" s="77">
        <v>0</v>
      </c>
      <c r="N26" s="77">
        <v>0</v>
      </c>
      <c r="O26" s="78">
        <v>0</v>
      </c>
      <c r="Q26" s="9"/>
    </row>
    <row r="27" spans="1:17" x14ac:dyDescent="0.3">
      <c r="A27" s="8"/>
      <c r="B27" s="11"/>
      <c r="O27" s="2"/>
      <c r="Q27" s="9"/>
    </row>
    <row r="28" spans="1:17" ht="26" x14ac:dyDescent="0.3">
      <c r="A28" s="31" t="s">
        <v>45</v>
      </c>
      <c r="B28" s="32" t="s">
        <v>38</v>
      </c>
      <c r="C28" s="33"/>
      <c r="D28" s="34">
        <f t="shared" ref="D28:O28" si="5">IF(D24&lt;0.9,0.7,1)</f>
        <v>0.7</v>
      </c>
      <c r="E28" s="34">
        <f t="shared" si="5"/>
        <v>0.7</v>
      </c>
      <c r="F28" s="34">
        <f t="shared" si="5"/>
        <v>0.7</v>
      </c>
      <c r="G28" s="34">
        <f t="shared" si="5"/>
        <v>0.7</v>
      </c>
      <c r="H28" s="34">
        <f t="shared" si="5"/>
        <v>0.7</v>
      </c>
      <c r="I28" s="34">
        <f t="shared" si="5"/>
        <v>0.7</v>
      </c>
      <c r="J28" s="34">
        <f t="shared" si="5"/>
        <v>0.7</v>
      </c>
      <c r="K28" s="34">
        <f t="shared" si="5"/>
        <v>0.7</v>
      </c>
      <c r="L28" s="34">
        <f t="shared" si="5"/>
        <v>0.7</v>
      </c>
      <c r="M28" s="34">
        <f t="shared" si="5"/>
        <v>0.7</v>
      </c>
      <c r="N28" s="34">
        <f t="shared" si="5"/>
        <v>0.7</v>
      </c>
      <c r="O28" s="35">
        <f t="shared" si="5"/>
        <v>0.7</v>
      </c>
      <c r="Q28" s="9"/>
    </row>
    <row r="29" spans="1:17" x14ac:dyDescent="0.3">
      <c r="B29" s="11"/>
      <c r="Q29" s="9"/>
    </row>
    <row r="30" spans="1:17" ht="26" x14ac:dyDescent="0.3">
      <c r="A30" s="4" t="s">
        <v>46</v>
      </c>
      <c r="B30" s="11" t="s">
        <v>47</v>
      </c>
      <c r="D30" s="4">
        <f>COUNTIF($C$4:$C$5,"&gt;0")</f>
        <v>1</v>
      </c>
      <c r="E30" s="4">
        <f t="shared" ref="E30:O30" si="6">COUNTIF($C$4:$C$5,"&gt;0")</f>
        <v>1</v>
      </c>
      <c r="F30" s="4">
        <f t="shared" si="6"/>
        <v>1</v>
      </c>
      <c r="G30" s="4">
        <f t="shared" si="6"/>
        <v>1</v>
      </c>
      <c r="H30" s="4">
        <f t="shared" si="6"/>
        <v>1</v>
      </c>
      <c r="I30" s="4">
        <f t="shared" si="6"/>
        <v>1</v>
      </c>
      <c r="J30" s="4">
        <f t="shared" si="6"/>
        <v>1</v>
      </c>
      <c r="K30" s="4">
        <f t="shared" si="6"/>
        <v>1</v>
      </c>
      <c r="L30" s="4">
        <f t="shared" si="6"/>
        <v>1</v>
      </c>
      <c r="M30" s="4">
        <f t="shared" si="6"/>
        <v>1</v>
      </c>
      <c r="N30" s="4">
        <f t="shared" si="6"/>
        <v>1</v>
      </c>
      <c r="O30" s="4">
        <f t="shared" si="6"/>
        <v>1</v>
      </c>
      <c r="Q30" s="9"/>
    </row>
    <row r="31" spans="1:17" x14ac:dyDescent="0.3">
      <c r="B31" s="11"/>
    </row>
    <row r="32" spans="1:17" x14ac:dyDescent="0.3">
      <c r="A32" s="47" t="s">
        <v>48</v>
      </c>
      <c r="B32" s="11" t="s">
        <v>18</v>
      </c>
      <c r="D32" s="10">
        <f>$C$6</f>
        <v>300</v>
      </c>
      <c r="E32" s="10">
        <f t="shared" ref="E32:O32" si="7">$C$6</f>
        <v>300</v>
      </c>
      <c r="F32" s="10">
        <f t="shared" si="7"/>
        <v>300</v>
      </c>
      <c r="G32" s="10">
        <f t="shared" si="7"/>
        <v>300</v>
      </c>
      <c r="H32" s="10">
        <f t="shared" si="7"/>
        <v>300</v>
      </c>
      <c r="I32" s="10">
        <f t="shared" si="7"/>
        <v>300</v>
      </c>
      <c r="J32" s="10">
        <f t="shared" si="7"/>
        <v>300</v>
      </c>
      <c r="K32" s="10">
        <f t="shared" si="7"/>
        <v>300</v>
      </c>
      <c r="L32" s="10">
        <f t="shared" si="7"/>
        <v>300</v>
      </c>
      <c r="M32" s="10">
        <f t="shared" si="7"/>
        <v>300</v>
      </c>
      <c r="N32" s="10">
        <f t="shared" si="7"/>
        <v>300</v>
      </c>
      <c r="O32" s="10">
        <f t="shared" si="7"/>
        <v>300</v>
      </c>
    </row>
    <row r="33" spans="1:17" s="18" customFormat="1" ht="13.5" thickBot="1" x14ac:dyDescent="0.35">
      <c r="B33" s="17"/>
    </row>
    <row r="34" spans="1:17" s="20" customFormat="1" x14ac:dyDescent="0.3">
      <c r="B34" s="21"/>
    </row>
    <row r="35" spans="1:17" x14ac:dyDescent="0.3">
      <c r="B35" s="3" t="s">
        <v>49</v>
      </c>
      <c r="D35" s="3">
        <f>((D16*D18*D20))</f>
        <v>1000</v>
      </c>
      <c r="E35" s="3">
        <f t="shared" ref="E35:O35" si="8">((E16*E18*E20))</f>
        <v>2800</v>
      </c>
      <c r="F35" s="3">
        <f t="shared" si="8"/>
        <v>400</v>
      </c>
      <c r="G35" s="3">
        <f t="shared" si="8"/>
        <v>1800</v>
      </c>
      <c r="H35" s="3">
        <f t="shared" si="8"/>
        <v>1800</v>
      </c>
      <c r="I35" s="3">
        <f t="shared" si="8"/>
        <v>1800</v>
      </c>
      <c r="J35" s="3">
        <f t="shared" si="8"/>
        <v>2000</v>
      </c>
      <c r="K35" s="3">
        <f t="shared" si="8"/>
        <v>2800</v>
      </c>
      <c r="L35" s="3">
        <f t="shared" si="8"/>
        <v>0</v>
      </c>
      <c r="M35" s="3">
        <f t="shared" si="8"/>
        <v>1800</v>
      </c>
      <c r="N35" s="3">
        <f t="shared" si="8"/>
        <v>1800</v>
      </c>
      <c r="O35" s="3">
        <f t="shared" si="8"/>
        <v>1800</v>
      </c>
    </row>
    <row r="36" spans="1:17" x14ac:dyDescent="0.3">
      <c r="A36" s="4"/>
      <c r="B36" s="11"/>
      <c r="D36" s="9"/>
      <c r="E36" s="9"/>
      <c r="F36" s="9"/>
      <c r="G36" s="9"/>
      <c r="H36" s="9"/>
      <c r="I36" s="9"/>
      <c r="J36" s="9"/>
      <c r="K36" s="9"/>
      <c r="L36" s="9"/>
      <c r="M36" s="9"/>
      <c r="N36" s="9"/>
      <c r="O36" s="9"/>
      <c r="Q36" s="9"/>
    </row>
    <row r="37" spans="1:17" x14ac:dyDescent="0.3">
      <c r="A37" s="15"/>
      <c r="B37" s="11" t="s">
        <v>50</v>
      </c>
      <c r="D37" s="3">
        <f>+ (D24*D26*D28)</f>
        <v>0</v>
      </c>
      <c r="E37" s="3">
        <f t="shared" ref="E37:O37" si="9">+ (E24*E26*E28)</f>
        <v>0</v>
      </c>
      <c r="F37" s="3">
        <f t="shared" si="9"/>
        <v>0</v>
      </c>
      <c r="G37" s="3">
        <f t="shared" si="9"/>
        <v>0</v>
      </c>
      <c r="H37" s="3">
        <f t="shared" si="9"/>
        <v>0</v>
      </c>
      <c r="I37" s="3">
        <f t="shared" si="9"/>
        <v>0</v>
      </c>
      <c r="J37" s="3">
        <f t="shared" si="9"/>
        <v>0</v>
      </c>
      <c r="K37" s="3">
        <f t="shared" si="9"/>
        <v>0</v>
      </c>
      <c r="L37" s="3">
        <f t="shared" si="9"/>
        <v>0</v>
      </c>
      <c r="M37" s="3">
        <f t="shared" si="9"/>
        <v>0</v>
      </c>
      <c r="N37" s="3">
        <f t="shared" si="9"/>
        <v>0</v>
      </c>
      <c r="O37" s="3">
        <f t="shared" si="9"/>
        <v>0</v>
      </c>
      <c r="Q37" s="9"/>
    </row>
    <row r="38" spans="1:17" x14ac:dyDescent="0.3">
      <c r="A38" s="15"/>
      <c r="B38" s="11"/>
      <c r="Q38" s="9"/>
    </row>
    <row r="39" spans="1:17" x14ac:dyDescent="0.3">
      <c r="A39" s="15"/>
      <c r="B39" s="11" t="s">
        <v>18</v>
      </c>
      <c r="D39" s="9">
        <f>D32</f>
        <v>300</v>
      </c>
      <c r="E39" s="9">
        <f t="shared" ref="E39:O39" si="10">E32</f>
        <v>300</v>
      </c>
      <c r="F39" s="9">
        <f t="shared" si="10"/>
        <v>300</v>
      </c>
      <c r="G39" s="9">
        <f t="shared" si="10"/>
        <v>300</v>
      </c>
      <c r="H39" s="9">
        <f t="shared" si="10"/>
        <v>300</v>
      </c>
      <c r="I39" s="9">
        <f t="shared" si="10"/>
        <v>300</v>
      </c>
      <c r="J39" s="9">
        <f t="shared" si="10"/>
        <v>300</v>
      </c>
      <c r="K39" s="9">
        <f t="shared" si="10"/>
        <v>300</v>
      </c>
      <c r="L39" s="9">
        <f t="shared" si="10"/>
        <v>300</v>
      </c>
      <c r="M39" s="9">
        <f t="shared" si="10"/>
        <v>300</v>
      </c>
      <c r="N39" s="9">
        <f t="shared" si="10"/>
        <v>300</v>
      </c>
      <c r="O39" s="9">
        <f t="shared" si="10"/>
        <v>300</v>
      </c>
      <c r="Q39" s="9"/>
    </row>
    <row r="40" spans="1:17" x14ac:dyDescent="0.3">
      <c r="A40" s="4"/>
      <c r="B40" s="11"/>
      <c r="D40" s="9"/>
      <c r="E40" s="9"/>
      <c r="F40" s="9"/>
      <c r="G40" s="9"/>
      <c r="H40" s="9"/>
      <c r="I40" s="9"/>
      <c r="J40" s="9"/>
      <c r="K40" s="9"/>
      <c r="L40" s="9"/>
      <c r="M40" s="9"/>
      <c r="N40" s="9"/>
      <c r="O40" s="9"/>
      <c r="Q40" s="9"/>
    </row>
    <row r="41" spans="1:17" x14ac:dyDescent="0.3">
      <c r="A41" s="4" t="s">
        <v>51</v>
      </c>
      <c r="B41" s="11" t="s">
        <v>107</v>
      </c>
      <c r="D41" s="9">
        <f>((D35+D37)/D30)*D39</f>
        <v>300000</v>
      </c>
      <c r="E41" s="9">
        <f t="shared" ref="E41:O41" si="11">((E35+E37)/E30)*E39</f>
        <v>840000</v>
      </c>
      <c r="F41" s="9">
        <f t="shared" si="11"/>
        <v>120000</v>
      </c>
      <c r="G41" s="9">
        <f t="shared" si="11"/>
        <v>540000</v>
      </c>
      <c r="H41" s="9">
        <f t="shared" si="11"/>
        <v>540000</v>
      </c>
      <c r="I41" s="9">
        <f t="shared" si="11"/>
        <v>540000</v>
      </c>
      <c r="J41" s="9">
        <f t="shared" si="11"/>
        <v>600000</v>
      </c>
      <c r="K41" s="9">
        <f t="shared" si="11"/>
        <v>840000</v>
      </c>
      <c r="L41" s="9">
        <f t="shared" si="11"/>
        <v>0</v>
      </c>
      <c r="M41" s="9">
        <f t="shared" si="11"/>
        <v>540000</v>
      </c>
      <c r="N41" s="9">
        <f t="shared" si="11"/>
        <v>540000</v>
      </c>
      <c r="O41" s="9">
        <f t="shared" si="11"/>
        <v>540000</v>
      </c>
      <c r="Q41" s="9"/>
    </row>
    <row r="42" spans="1:17" s="18" customFormat="1" ht="13.5" thickBot="1" x14ac:dyDescent="0.35">
      <c r="A42" s="16"/>
      <c r="B42" s="17"/>
      <c r="D42" s="19"/>
      <c r="E42" s="19"/>
      <c r="F42" s="19"/>
      <c r="G42" s="19"/>
      <c r="H42" s="19"/>
      <c r="I42" s="19"/>
      <c r="J42" s="19"/>
      <c r="K42" s="19"/>
      <c r="L42" s="19"/>
      <c r="M42" s="19"/>
      <c r="N42" s="19"/>
      <c r="O42" s="19"/>
      <c r="Q42" s="19"/>
    </row>
    <row r="43" spans="1:17" x14ac:dyDescent="0.3">
      <c r="A43" s="4"/>
      <c r="B43" s="11"/>
      <c r="D43" s="9"/>
      <c r="E43" s="9"/>
      <c r="F43" s="9"/>
      <c r="G43" s="9"/>
      <c r="H43" s="9"/>
      <c r="I43" s="9"/>
      <c r="J43" s="9"/>
      <c r="K43" s="9"/>
      <c r="L43" s="9"/>
      <c r="M43" s="9"/>
      <c r="N43" s="9"/>
      <c r="O43" s="9"/>
      <c r="Q43" s="9"/>
    </row>
    <row r="44" spans="1:17" x14ac:dyDescent="0.3">
      <c r="A44" s="4" t="s">
        <v>52</v>
      </c>
      <c r="B44" s="3" t="s">
        <v>53</v>
      </c>
      <c r="D44" s="23">
        <f t="shared" ref="D44:O44" si="12">D18/D12</f>
        <v>0.34722222222222221</v>
      </c>
      <c r="E44" s="23">
        <f t="shared" si="12"/>
        <v>0.97222222222222221</v>
      </c>
      <c r="F44" s="23">
        <f t="shared" si="12"/>
        <v>0.1388888888888889</v>
      </c>
      <c r="G44" s="23">
        <f t="shared" si="12"/>
        <v>0.625</v>
      </c>
      <c r="H44" s="23">
        <f t="shared" si="12"/>
        <v>0.625</v>
      </c>
      <c r="I44" s="23">
        <f t="shared" si="12"/>
        <v>0.625</v>
      </c>
      <c r="J44" s="23">
        <f t="shared" si="12"/>
        <v>0.69444444444444442</v>
      </c>
      <c r="K44" s="23">
        <f t="shared" si="12"/>
        <v>0.97222222222222221</v>
      </c>
      <c r="L44" s="23">
        <f t="shared" si="12"/>
        <v>0</v>
      </c>
      <c r="M44" s="23">
        <f t="shared" si="12"/>
        <v>0.625</v>
      </c>
      <c r="N44" s="23">
        <f t="shared" si="12"/>
        <v>0.625</v>
      </c>
      <c r="O44" s="23">
        <f t="shared" si="12"/>
        <v>0.625</v>
      </c>
    </row>
    <row r="45" spans="1:17" x14ac:dyDescent="0.3">
      <c r="A45" s="4"/>
      <c r="B45" s="11"/>
      <c r="D45" s="23"/>
      <c r="E45" s="23"/>
      <c r="F45" s="23"/>
      <c r="G45" s="23"/>
      <c r="H45" s="23"/>
      <c r="I45" s="23"/>
      <c r="J45" s="23"/>
      <c r="K45" s="23"/>
      <c r="L45" s="23"/>
      <c r="M45" s="23"/>
      <c r="N45" s="23"/>
      <c r="O45" s="23"/>
      <c r="Q45" s="9"/>
    </row>
    <row r="46" spans="1:17" x14ac:dyDescent="0.3">
      <c r="A46" s="4" t="s">
        <v>54</v>
      </c>
      <c r="B46" s="11" t="s">
        <v>55</v>
      </c>
      <c r="D46" s="23">
        <f>$C$4</f>
        <v>0.9</v>
      </c>
      <c r="E46" s="23">
        <f t="shared" ref="E46:O46" si="13">$C$4</f>
        <v>0.9</v>
      </c>
      <c r="F46" s="23">
        <f t="shared" si="13"/>
        <v>0.9</v>
      </c>
      <c r="G46" s="23">
        <f t="shared" si="13"/>
        <v>0.9</v>
      </c>
      <c r="H46" s="23">
        <f t="shared" si="13"/>
        <v>0.9</v>
      </c>
      <c r="I46" s="23">
        <f t="shared" si="13"/>
        <v>0.9</v>
      </c>
      <c r="J46" s="23">
        <f t="shared" si="13"/>
        <v>0.9</v>
      </c>
      <c r="K46" s="23">
        <f t="shared" si="13"/>
        <v>0.9</v>
      </c>
      <c r="L46" s="23">
        <f t="shared" si="13"/>
        <v>0.9</v>
      </c>
      <c r="M46" s="23">
        <f t="shared" si="13"/>
        <v>0.9</v>
      </c>
      <c r="N46" s="23">
        <f t="shared" si="13"/>
        <v>0.9</v>
      </c>
      <c r="O46" s="23">
        <f t="shared" si="13"/>
        <v>0.9</v>
      </c>
      <c r="Q46" s="9"/>
    </row>
    <row r="47" spans="1:17" x14ac:dyDescent="0.3">
      <c r="A47" s="4"/>
      <c r="B47" s="11"/>
      <c r="D47" s="9"/>
      <c r="E47" s="9"/>
      <c r="F47" s="9"/>
      <c r="G47" s="9"/>
      <c r="H47" s="9"/>
      <c r="I47" s="9"/>
      <c r="J47" s="9"/>
      <c r="K47" s="9"/>
      <c r="L47" s="9"/>
      <c r="M47" s="9"/>
      <c r="N47" s="9"/>
      <c r="O47" s="9"/>
      <c r="Q47" s="9"/>
    </row>
    <row r="48" spans="1:17" x14ac:dyDescent="0.3">
      <c r="A48" s="4"/>
      <c r="B48" s="11" t="s">
        <v>56</v>
      </c>
      <c r="D48" s="22">
        <f>(MIN(D44-D46,0))</f>
        <v>-0.55277777777777781</v>
      </c>
      <c r="E48" s="22">
        <f t="shared" ref="E48:O48" si="14">(MIN(E44-E46,0))</f>
        <v>0</v>
      </c>
      <c r="F48" s="22">
        <f t="shared" si="14"/>
        <v>-0.76111111111111107</v>
      </c>
      <c r="G48" s="22">
        <f t="shared" si="14"/>
        <v>-0.27500000000000002</v>
      </c>
      <c r="H48" s="22">
        <f t="shared" si="14"/>
        <v>-0.27500000000000002</v>
      </c>
      <c r="I48" s="22">
        <f t="shared" si="14"/>
        <v>-0.27500000000000002</v>
      </c>
      <c r="J48" s="22">
        <f t="shared" si="14"/>
        <v>-0.2055555555555556</v>
      </c>
      <c r="K48" s="22">
        <f t="shared" si="14"/>
        <v>0</v>
      </c>
      <c r="L48" s="22">
        <f t="shared" si="14"/>
        <v>-0.9</v>
      </c>
      <c r="M48" s="22">
        <f t="shared" si="14"/>
        <v>-0.27500000000000002</v>
      </c>
      <c r="N48" s="22">
        <f t="shared" si="14"/>
        <v>-0.27500000000000002</v>
      </c>
      <c r="O48" s="22">
        <f t="shared" si="14"/>
        <v>-0.27500000000000002</v>
      </c>
      <c r="Q48" s="9"/>
    </row>
    <row r="49" spans="1:17" x14ac:dyDescent="0.3">
      <c r="A49" s="4"/>
      <c r="B49" s="11"/>
      <c r="D49" s="9"/>
      <c r="E49" s="9"/>
      <c r="F49" s="9"/>
      <c r="G49" s="9"/>
      <c r="H49" s="9"/>
      <c r="I49" s="9"/>
      <c r="J49" s="9"/>
      <c r="K49" s="9"/>
      <c r="L49" s="9"/>
      <c r="M49" s="9"/>
      <c r="N49" s="9"/>
      <c r="O49" s="9"/>
      <c r="Q49" s="9"/>
    </row>
    <row r="50" spans="1:17" x14ac:dyDescent="0.3">
      <c r="A50" s="4"/>
      <c r="B50" s="11" t="s">
        <v>57</v>
      </c>
      <c r="D50" s="9">
        <f t="shared" ref="D50:O50" si="15" xml:space="preserve"> D48 * $C$7 / D30</f>
        <v>-1658333.3333333335</v>
      </c>
      <c r="E50" s="9">
        <f t="shared" si="15"/>
        <v>0</v>
      </c>
      <c r="F50" s="9">
        <f t="shared" si="15"/>
        <v>-2283333.333333333</v>
      </c>
      <c r="G50" s="9">
        <f t="shared" si="15"/>
        <v>-825000.00000000012</v>
      </c>
      <c r="H50" s="9">
        <f t="shared" si="15"/>
        <v>-825000.00000000012</v>
      </c>
      <c r="I50" s="9">
        <f t="shared" si="15"/>
        <v>-825000.00000000012</v>
      </c>
      <c r="J50" s="9">
        <f t="shared" si="15"/>
        <v>-616666.66666666686</v>
      </c>
      <c r="K50" s="9">
        <f t="shared" si="15"/>
        <v>0</v>
      </c>
      <c r="L50" s="9">
        <f t="shared" si="15"/>
        <v>-2700000</v>
      </c>
      <c r="M50" s="9">
        <f t="shared" si="15"/>
        <v>-825000.00000000012</v>
      </c>
      <c r="N50" s="9">
        <f t="shared" si="15"/>
        <v>-825000.00000000012</v>
      </c>
      <c r="O50" s="9">
        <f t="shared" si="15"/>
        <v>-825000.00000000012</v>
      </c>
      <c r="Q50" s="9"/>
    </row>
    <row r="51" spans="1:17" x14ac:dyDescent="0.3">
      <c r="A51" s="4"/>
      <c r="B51" s="11"/>
      <c r="D51" s="9"/>
      <c r="E51" s="9"/>
      <c r="F51" s="9"/>
      <c r="G51" s="9"/>
      <c r="H51" s="9"/>
      <c r="I51" s="9"/>
      <c r="J51" s="9"/>
      <c r="K51" s="9"/>
      <c r="L51" s="9"/>
      <c r="M51" s="9"/>
      <c r="N51" s="9"/>
      <c r="O51" s="9"/>
      <c r="Q51" s="9"/>
    </row>
    <row r="52" spans="1:17" x14ac:dyDescent="0.3">
      <c r="A52" s="4" t="s">
        <v>58</v>
      </c>
      <c r="B52" s="3" t="s">
        <v>59</v>
      </c>
      <c r="D52" s="23">
        <f t="shared" ref="D52:O52" si="16">D26/D12</f>
        <v>0</v>
      </c>
      <c r="E52" s="23">
        <f t="shared" si="16"/>
        <v>0</v>
      </c>
      <c r="F52" s="23">
        <f t="shared" si="16"/>
        <v>0</v>
      </c>
      <c r="G52" s="23">
        <f t="shared" si="16"/>
        <v>0</v>
      </c>
      <c r="H52" s="23">
        <f t="shared" si="16"/>
        <v>0</v>
      </c>
      <c r="I52" s="23">
        <f t="shared" si="16"/>
        <v>0</v>
      </c>
      <c r="J52" s="23">
        <f t="shared" si="16"/>
        <v>0</v>
      </c>
      <c r="K52" s="23">
        <f t="shared" si="16"/>
        <v>0</v>
      </c>
      <c r="L52" s="23">
        <f t="shared" si="16"/>
        <v>0</v>
      </c>
      <c r="M52" s="23">
        <f t="shared" si="16"/>
        <v>0</v>
      </c>
      <c r="N52" s="23">
        <f t="shared" si="16"/>
        <v>0</v>
      </c>
      <c r="O52" s="23">
        <f t="shared" si="16"/>
        <v>0</v>
      </c>
      <c r="Q52" s="9"/>
    </row>
    <row r="53" spans="1:17" x14ac:dyDescent="0.3">
      <c r="A53" s="4"/>
      <c r="B53" s="11"/>
      <c r="D53" s="23"/>
      <c r="E53" s="23"/>
      <c r="F53" s="23"/>
      <c r="G53" s="23"/>
      <c r="H53" s="23"/>
      <c r="I53" s="23"/>
      <c r="J53" s="23"/>
      <c r="K53" s="23"/>
      <c r="L53" s="23"/>
      <c r="M53" s="23"/>
      <c r="N53" s="23"/>
      <c r="O53" s="23"/>
      <c r="Q53" s="9"/>
    </row>
    <row r="54" spans="1:17" x14ac:dyDescent="0.3">
      <c r="A54" s="4" t="s">
        <v>60</v>
      </c>
      <c r="B54" s="11" t="s">
        <v>61</v>
      </c>
      <c r="D54" s="23">
        <f t="shared" ref="D54:O54" si="17">C5</f>
        <v>0</v>
      </c>
      <c r="E54" s="23">
        <f t="shared" si="17"/>
        <v>0</v>
      </c>
      <c r="F54" s="23">
        <f t="shared" si="17"/>
        <v>0</v>
      </c>
      <c r="G54" s="23">
        <f t="shared" si="17"/>
        <v>0</v>
      </c>
      <c r="H54" s="23">
        <f t="shared" si="17"/>
        <v>0</v>
      </c>
      <c r="I54" s="23">
        <f t="shared" si="17"/>
        <v>0</v>
      </c>
      <c r="J54" s="23">
        <f t="shared" si="17"/>
        <v>0</v>
      </c>
      <c r="K54" s="23">
        <f t="shared" si="17"/>
        <v>0</v>
      </c>
      <c r="L54" s="23">
        <f t="shared" si="17"/>
        <v>0</v>
      </c>
      <c r="M54" s="23">
        <f t="shared" si="17"/>
        <v>0</v>
      </c>
      <c r="N54" s="23">
        <f t="shared" si="17"/>
        <v>0</v>
      </c>
      <c r="O54" s="23">
        <f t="shared" si="17"/>
        <v>0</v>
      </c>
      <c r="Q54" s="9"/>
    </row>
    <row r="55" spans="1:17" x14ac:dyDescent="0.3">
      <c r="A55" s="4"/>
      <c r="B55" s="11"/>
      <c r="E55" s="9"/>
      <c r="F55" s="9"/>
      <c r="G55" s="9"/>
      <c r="H55" s="9"/>
      <c r="I55" s="9"/>
      <c r="J55" s="9"/>
      <c r="K55" s="9"/>
      <c r="L55" s="9"/>
      <c r="M55" s="9"/>
      <c r="N55" s="9"/>
      <c r="O55" s="9"/>
      <c r="Q55" s="9"/>
    </row>
    <row r="56" spans="1:17" x14ac:dyDescent="0.3">
      <c r="A56" s="4"/>
      <c r="B56" s="11" t="s">
        <v>62</v>
      </c>
      <c r="D56" s="22">
        <f>(MIN(D52-D54,0))</f>
        <v>0</v>
      </c>
      <c r="E56" s="22">
        <f t="shared" ref="E56:O56" si="18">(MIN(E52-E54,0))</f>
        <v>0</v>
      </c>
      <c r="F56" s="22">
        <f t="shared" si="18"/>
        <v>0</v>
      </c>
      <c r="G56" s="22">
        <f t="shared" si="18"/>
        <v>0</v>
      </c>
      <c r="H56" s="22">
        <f t="shared" si="18"/>
        <v>0</v>
      </c>
      <c r="I56" s="22">
        <f t="shared" si="18"/>
        <v>0</v>
      </c>
      <c r="J56" s="22">
        <f t="shared" si="18"/>
        <v>0</v>
      </c>
      <c r="K56" s="22">
        <f t="shared" si="18"/>
        <v>0</v>
      </c>
      <c r="L56" s="22">
        <f t="shared" si="18"/>
        <v>0</v>
      </c>
      <c r="M56" s="22">
        <f t="shared" si="18"/>
        <v>0</v>
      </c>
      <c r="N56" s="22">
        <f t="shared" si="18"/>
        <v>0</v>
      </c>
      <c r="O56" s="22">
        <f t="shared" si="18"/>
        <v>0</v>
      </c>
      <c r="Q56" s="9"/>
    </row>
    <row r="57" spans="1:17" x14ac:dyDescent="0.3">
      <c r="A57" s="4"/>
      <c r="B57" s="11"/>
      <c r="D57" s="22"/>
      <c r="E57" s="22"/>
      <c r="F57" s="22"/>
      <c r="G57" s="22"/>
      <c r="H57" s="22"/>
      <c r="I57" s="22"/>
      <c r="J57" s="22"/>
      <c r="K57" s="22"/>
      <c r="L57" s="22"/>
      <c r="M57" s="22"/>
      <c r="N57" s="22"/>
      <c r="O57" s="22"/>
      <c r="Q57" s="9"/>
    </row>
    <row r="58" spans="1:17" x14ac:dyDescent="0.3">
      <c r="A58" s="4"/>
      <c r="B58" s="11" t="s">
        <v>63</v>
      </c>
      <c r="D58" s="9">
        <f t="shared" ref="D58:O58" si="19" xml:space="preserve"> D56 * $C$7 / D30</f>
        <v>0</v>
      </c>
      <c r="E58" s="9">
        <f t="shared" si="19"/>
        <v>0</v>
      </c>
      <c r="F58" s="9">
        <f t="shared" si="19"/>
        <v>0</v>
      </c>
      <c r="G58" s="9">
        <f t="shared" si="19"/>
        <v>0</v>
      </c>
      <c r="H58" s="9">
        <f t="shared" si="19"/>
        <v>0</v>
      </c>
      <c r="I58" s="9">
        <f t="shared" si="19"/>
        <v>0</v>
      </c>
      <c r="J58" s="9">
        <f t="shared" si="19"/>
        <v>0</v>
      </c>
      <c r="K58" s="9">
        <f t="shared" si="19"/>
        <v>0</v>
      </c>
      <c r="L58" s="9">
        <f t="shared" si="19"/>
        <v>0</v>
      </c>
      <c r="M58" s="9">
        <f t="shared" si="19"/>
        <v>0</v>
      </c>
      <c r="N58" s="9">
        <f t="shared" si="19"/>
        <v>0</v>
      </c>
      <c r="O58" s="9">
        <f t="shared" si="19"/>
        <v>0</v>
      </c>
      <c r="Q58" s="9"/>
    </row>
    <row r="59" spans="1:17" x14ac:dyDescent="0.3">
      <c r="A59" s="4"/>
      <c r="B59" s="11"/>
      <c r="D59" s="9"/>
      <c r="E59" s="9"/>
      <c r="F59" s="9"/>
      <c r="G59" s="9"/>
      <c r="H59" s="9"/>
      <c r="I59" s="9"/>
      <c r="J59" s="9"/>
      <c r="K59" s="9"/>
      <c r="L59" s="9"/>
      <c r="M59" s="9"/>
      <c r="N59" s="9"/>
      <c r="O59" s="9"/>
      <c r="Q59" s="9"/>
    </row>
    <row r="60" spans="1:17" x14ac:dyDescent="0.3">
      <c r="B60" s="3" t="s">
        <v>64</v>
      </c>
      <c r="D60" s="9">
        <f>+D50+D58</f>
        <v>-1658333.3333333335</v>
      </c>
      <c r="E60" s="9">
        <f t="shared" ref="E60:O60" si="20">+E50+E58</f>
        <v>0</v>
      </c>
      <c r="F60" s="9">
        <f t="shared" si="20"/>
        <v>-2283333.333333333</v>
      </c>
      <c r="G60" s="9">
        <f t="shared" si="20"/>
        <v>-825000.00000000012</v>
      </c>
      <c r="H60" s="9">
        <f t="shared" si="20"/>
        <v>-825000.00000000012</v>
      </c>
      <c r="I60" s="9">
        <f t="shared" si="20"/>
        <v>-825000.00000000012</v>
      </c>
      <c r="J60" s="9">
        <f t="shared" si="20"/>
        <v>-616666.66666666686</v>
      </c>
      <c r="K60" s="9">
        <f t="shared" si="20"/>
        <v>0</v>
      </c>
      <c r="L60" s="9">
        <f t="shared" si="20"/>
        <v>-2700000</v>
      </c>
      <c r="M60" s="9">
        <f t="shared" si="20"/>
        <v>-825000.00000000012</v>
      </c>
      <c r="N60" s="9">
        <f t="shared" si="20"/>
        <v>-825000.00000000012</v>
      </c>
      <c r="O60" s="9">
        <f t="shared" si="20"/>
        <v>-825000.00000000012</v>
      </c>
      <c r="Q60" s="9"/>
    </row>
    <row r="61" spans="1:17" x14ac:dyDescent="0.3">
      <c r="D61" s="9"/>
      <c r="E61" s="9"/>
      <c r="F61" s="9"/>
      <c r="G61" s="9"/>
      <c r="H61" s="9"/>
      <c r="I61" s="9"/>
      <c r="J61" s="9"/>
      <c r="K61" s="9"/>
      <c r="L61" s="9"/>
      <c r="M61" s="9"/>
      <c r="N61" s="9"/>
      <c r="O61" s="9"/>
      <c r="Q61" s="9"/>
    </row>
    <row r="62" spans="1:17" x14ac:dyDescent="0.3">
      <c r="B62" s="3" t="s">
        <v>25</v>
      </c>
      <c r="D62" s="9">
        <f t="shared" ref="D62:O62" si="21">IF(D18&gt;D12*0.9,0,(D18-(D12*0.9))*($C$8/48))</f>
        <v>-1160833.3333333333</v>
      </c>
      <c r="E62" s="9">
        <f t="shared" si="21"/>
        <v>0</v>
      </c>
      <c r="F62" s="9">
        <f t="shared" si="21"/>
        <v>-1598333.3333333333</v>
      </c>
      <c r="G62" s="9">
        <f t="shared" si="21"/>
        <v>-577500</v>
      </c>
      <c r="H62" s="9">
        <f t="shared" si="21"/>
        <v>-577500</v>
      </c>
      <c r="I62" s="9">
        <f t="shared" si="21"/>
        <v>-577500</v>
      </c>
      <c r="J62" s="9">
        <f t="shared" si="21"/>
        <v>-431666.66666666663</v>
      </c>
      <c r="K62" s="9">
        <f t="shared" si="21"/>
        <v>0</v>
      </c>
      <c r="L62" s="9">
        <f t="shared" si="21"/>
        <v>-1890000</v>
      </c>
      <c r="M62" s="9">
        <f t="shared" si="21"/>
        <v>-577500</v>
      </c>
      <c r="N62" s="9">
        <f t="shared" si="21"/>
        <v>-577500</v>
      </c>
      <c r="O62" s="9">
        <f t="shared" si="21"/>
        <v>-577500</v>
      </c>
      <c r="Q62" s="9"/>
    </row>
    <row r="63" spans="1:17" x14ac:dyDescent="0.3">
      <c r="A63" s="4"/>
      <c r="B63" s="11"/>
      <c r="D63" s="9"/>
      <c r="E63" s="9"/>
      <c r="F63" s="9"/>
      <c r="G63" s="9"/>
      <c r="H63" s="9"/>
      <c r="I63" s="9"/>
      <c r="J63" s="9"/>
      <c r="K63" s="9"/>
      <c r="L63" s="9"/>
      <c r="M63" s="9"/>
      <c r="N63" s="9"/>
      <c r="O63" s="9"/>
      <c r="Q63" s="9"/>
    </row>
    <row r="64" spans="1:17" x14ac:dyDescent="0.3">
      <c r="A64" s="4" t="s">
        <v>65</v>
      </c>
      <c r="B64" s="11" t="s">
        <v>108</v>
      </c>
      <c r="D64" s="9">
        <f>MAX(D60,D62)</f>
        <v>-1160833.3333333333</v>
      </c>
      <c r="E64" s="9">
        <f t="shared" ref="E64:O64" si="22">MAX(E60,E62)</f>
        <v>0</v>
      </c>
      <c r="F64" s="9">
        <f t="shared" si="22"/>
        <v>-1598333.3333333333</v>
      </c>
      <c r="G64" s="9">
        <f t="shared" si="22"/>
        <v>-577500</v>
      </c>
      <c r="H64" s="9">
        <f t="shared" si="22"/>
        <v>-577500</v>
      </c>
      <c r="I64" s="9">
        <f t="shared" si="22"/>
        <v>-577500</v>
      </c>
      <c r="J64" s="9">
        <f t="shared" si="22"/>
        <v>-431666.66666666663</v>
      </c>
      <c r="K64" s="9">
        <f t="shared" si="22"/>
        <v>0</v>
      </c>
      <c r="L64" s="9">
        <f t="shared" si="22"/>
        <v>-1890000</v>
      </c>
      <c r="M64" s="9">
        <f t="shared" si="22"/>
        <v>-577500</v>
      </c>
      <c r="N64" s="9">
        <f t="shared" si="22"/>
        <v>-577500</v>
      </c>
      <c r="O64" s="9">
        <f t="shared" si="22"/>
        <v>-577500</v>
      </c>
      <c r="Q64" s="9"/>
    </row>
    <row r="65" spans="1:19" x14ac:dyDescent="0.3">
      <c r="A65" s="4"/>
      <c r="B65" s="11"/>
      <c r="D65" s="9"/>
      <c r="E65" s="9"/>
      <c r="F65" s="9"/>
      <c r="G65" s="9"/>
      <c r="H65" s="9"/>
      <c r="I65" s="9"/>
      <c r="J65" s="9"/>
      <c r="K65" s="9"/>
      <c r="L65" s="9"/>
      <c r="M65" s="9"/>
      <c r="N65" s="9"/>
      <c r="O65" s="9"/>
      <c r="Q65" s="9"/>
    </row>
    <row r="66" spans="1:19" x14ac:dyDescent="0.3">
      <c r="A66" s="4"/>
      <c r="B66" s="11"/>
      <c r="D66" s="9"/>
      <c r="E66" s="9"/>
      <c r="F66" s="9"/>
      <c r="G66" s="9"/>
      <c r="H66" s="9"/>
      <c r="I66" s="9"/>
      <c r="J66" s="9"/>
      <c r="K66" s="9"/>
      <c r="L66" s="9"/>
      <c r="M66" s="9"/>
      <c r="N66" s="9"/>
      <c r="O66" s="9"/>
      <c r="Q66" s="9"/>
    </row>
    <row r="67" spans="1:19" ht="26" x14ac:dyDescent="0.3">
      <c r="A67" s="4" t="s">
        <v>66</v>
      </c>
      <c r="B67" s="11" t="s">
        <v>67</v>
      </c>
      <c r="D67" s="9">
        <v>0</v>
      </c>
      <c r="E67" s="9">
        <f>SUM($D$64:D64) + SUM($D$69:D69)-SUM($D$73:D73)</f>
        <v>-1840833.333333333</v>
      </c>
      <c r="F67" s="9">
        <f>SUM($D$64:E64) + SUM($D$69:E69)-SUM($D$73:E73)</f>
        <v>-1000833.333333333</v>
      </c>
      <c r="G67" s="9">
        <f>SUM($D$64:F64) + SUM($D$69:F69)-SUM($D$73:F73)</f>
        <v>-2479166.6666666665</v>
      </c>
      <c r="H67" s="9">
        <f>SUM($D$64:G64) + SUM($D$69:G69)-SUM($D$73:G73)</f>
        <v>-2516666.666666666</v>
      </c>
      <c r="I67" s="9">
        <f>SUM($D$64:H64) + SUM($D$69:H69)-SUM($D$73:H73)</f>
        <v>-2554166.666666666</v>
      </c>
      <c r="J67" s="9">
        <f>SUM($D$64:I64) + SUM($D$69:I69)-SUM($D$73:I73)</f>
        <v>-2591666.666666666</v>
      </c>
      <c r="K67" s="9">
        <f>SUM($D$64:J64) + SUM($D$69:J69)-SUM($D$73:J73)</f>
        <v>-2423333.333333333</v>
      </c>
      <c r="L67" s="9">
        <f>SUM($D$64:K64) + SUM($D$69:K69)-SUM($D$73:K73)</f>
        <v>-1583333.333333333</v>
      </c>
      <c r="M67" s="9">
        <f>SUM($D$64:L64) + SUM($D$69:L69)-SUM($D$73:L73)</f>
        <v>-3473333.333333333</v>
      </c>
      <c r="N67" s="9">
        <f>SUM($D$64:M64) + SUM($D$69:M69)-SUM($D$73:M73)</f>
        <v>-3510833.333333333</v>
      </c>
      <c r="O67" s="9">
        <f>SUM($D$64:N64) + SUM($D$69:N69)-SUM($D$73:N73)</f>
        <v>-3548333.3333333321</v>
      </c>
      <c r="P67" s="9"/>
      <c r="Q67" s="9"/>
    </row>
    <row r="68" spans="1:19" x14ac:dyDescent="0.3">
      <c r="A68" s="4"/>
      <c r="B68" s="11"/>
      <c r="D68" s="9"/>
      <c r="E68" s="9"/>
      <c r="F68" s="9"/>
      <c r="G68" s="9"/>
      <c r="H68" s="9"/>
      <c r="I68" s="9"/>
      <c r="J68" s="9"/>
      <c r="K68" s="9"/>
      <c r="L68" s="9"/>
      <c r="M68" s="9"/>
      <c r="N68" s="9"/>
      <c r="O68" s="9"/>
      <c r="P68" s="9"/>
      <c r="Q68" s="9"/>
    </row>
    <row r="69" spans="1:19" ht="26" x14ac:dyDescent="0.3">
      <c r="A69" s="4" t="s">
        <v>68</v>
      </c>
      <c r="B69" s="11" t="s">
        <v>109</v>
      </c>
      <c r="D69" s="9">
        <f>-LAD!D20</f>
        <v>-980000</v>
      </c>
      <c r="E69" s="9">
        <v>0</v>
      </c>
      <c r="F69" s="9">
        <v>0</v>
      </c>
      <c r="G69" s="9">
        <v>0</v>
      </c>
      <c r="H69" s="9">
        <v>0</v>
      </c>
      <c r="I69" s="9">
        <v>0</v>
      </c>
      <c r="J69" s="9">
        <v>0</v>
      </c>
      <c r="K69" s="9">
        <v>0</v>
      </c>
      <c r="L69" s="9">
        <v>0</v>
      </c>
      <c r="M69" s="9">
        <v>0</v>
      </c>
      <c r="N69" s="9">
        <v>0</v>
      </c>
      <c r="O69" s="9">
        <v>0</v>
      </c>
      <c r="P69" s="9"/>
      <c r="Q69" s="9"/>
    </row>
    <row r="70" spans="1:19" x14ac:dyDescent="0.3">
      <c r="A70" s="4"/>
      <c r="B70" s="11"/>
      <c r="D70" s="9"/>
      <c r="E70" s="9"/>
      <c r="F70" s="9"/>
      <c r="G70" s="9"/>
      <c r="H70" s="9"/>
      <c r="I70" s="9"/>
      <c r="J70" s="9"/>
      <c r="K70" s="9"/>
      <c r="L70" s="9"/>
      <c r="M70" s="9"/>
      <c r="N70" s="9"/>
      <c r="O70" s="9"/>
      <c r="P70" s="9"/>
      <c r="Q70" s="9"/>
    </row>
    <row r="71" spans="1:19" x14ac:dyDescent="0.3">
      <c r="A71" s="4"/>
      <c r="B71" s="11"/>
      <c r="D71" s="9"/>
      <c r="E71" s="9"/>
      <c r="F71" s="9"/>
      <c r="G71" s="9"/>
      <c r="H71" s="9"/>
      <c r="I71" s="9"/>
      <c r="J71" s="9"/>
      <c r="K71" s="9"/>
      <c r="L71" s="9"/>
      <c r="M71" s="9"/>
      <c r="N71" s="9"/>
      <c r="O71" s="9"/>
      <c r="P71" s="9"/>
      <c r="Q71" s="9"/>
    </row>
    <row r="72" spans="1:19" x14ac:dyDescent="0.3">
      <c r="A72" s="4"/>
      <c r="B72" s="11"/>
      <c r="D72" s="9"/>
      <c r="E72" s="9"/>
      <c r="F72" s="9"/>
      <c r="G72" s="9"/>
      <c r="H72" s="9"/>
      <c r="I72" s="9"/>
      <c r="J72" s="9"/>
      <c r="K72" s="9"/>
      <c r="L72" s="9"/>
      <c r="M72" s="9"/>
      <c r="N72" s="9"/>
      <c r="O72" s="9"/>
      <c r="P72" s="9"/>
      <c r="Q72" s="9"/>
    </row>
    <row r="73" spans="1:19" x14ac:dyDescent="0.3">
      <c r="A73" s="4" t="s">
        <v>69</v>
      </c>
      <c r="B73" s="11" t="s">
        <v>70</v>
      </c>
      <c r="D73" s="9">
        <f>MAX((D64+D67+D69),-D41)</f>
        <v>-300000</v>
      </c>
      <c r="E73" s="9">
        <f t="shared" ref="E73:O73" si="23">MAX((E60+E67+E69),-E41)</f>
        <v>-840000</v>
      </c>
      <c r="F73" s="9">
        <f t="shared" si="23"/>
        <v>-120000</v>
      </c>
      <c r="G73" s="9">
        <f t="shared" si="23"/>
        <v>-540000</v>
      </c>
      <c r="H73" s="9">
        <f t="shared" si="23"/>
        <v>-540000</v>
      </c>
      <c r="I73" s="9">
        <f t="shared" si="23"/>
        <v>-540000</v>
      </c>
      <c r="J73" s="9">
        <f t="shared" si="23"/>
        <v>-600000</v>
      </c>
      <c r="K73" s="9">
        <f t="shared" si="23"/>
        <v>-840000</v>
      </c>
      <c r="L73" s="9">
        <f t="shared" si="23"/>
        <v>0</v>
      </c>
      <c r="M73" s="9">
        <f t="shared" si="23"/>
        <v>-540000</v>
      </c>
      <c r="N73" s="9">
        <f t="shared" si="23"/>
        <v>-540000</v>
      </c>
      <c r="O73" s="9">
        <f t="shared" si="23"/>
        <v>-540000</v>
      </c>
      <c r="Q73" s="9"/>
      <c r="S73" s="9"/>
    </row>
    <row r="74" spans="1:19" x14ac:dyDescent="0.3">
      <c r="B74" s="11"/>
      <c r="Q74" s="9"/>
    </row>
    <row r="75" spans="1:19" x14ac:dyDescent="0.3">
      <c r="B75" s="11"/>
    </row>
    <row r="76" spans="1:19" ht="26" x14ac:dyDescent="0.3">
      <c r="A76" s="4" t="s">
        <v>71</v>
      </c>
      <c r="B76" s="11" t="s">
        <v>72</v>
      </c>
      <c r="D76" s="12">
        <f t="shared" ref="D76:O76" si="24">D41+D73</f>
        <v>0</v>
      </c>
      <c r="E76" s="12">
        <f t="shared" si="24"/>
        <v>0</v>
      </c>
      <c r="F76" s="12">
        <f t="shared" si="24"/>
        <v>0</v>
      </c>
      <c r="G76" s="12">
        <f t="shared" si="24"/>
        <v>0</v>
      </c>
      <c r="H76" s="12">
        <f t="shared" si="24"/>
        <v>0</v>
      </c>
      <c r="I76" s="12">
        <f t="shared" si="24"/>
        <v>0</v>
      </c>
      <c r="J76" s="12">
        <f t="shared" si="24"/>
        <v>0</v>
      </c>
      <c r="K76" s="12">
        <f t="shared" si="24"/>
        <v>0</v>
      </c>
      <c r="L76" s="12">
        <f t="shared" si="24"/>
        <v>0</v>
      </c>
      <c r="M76" s="12">
        <f t="shared" si="24"/>
        <v>0</v>
      </c>
      <c r="N76" s="12">
        <f t="shared" si="24"/>
        <v>0</v>
      </c>
      <c r="O76" s="12">
        <f t="shared" si="24"/>
        <v>0</v>
      </c>
      <c r="Q76" s="9"/>
    </row>
    <row r="77" spans="1:19" x14ac:dyDescent="0.3">
      <c r="B77" s="11"/>
    </row>
    <row r="78" spans="1:19" s="13" customFormat="1" x14ac:dyDescent="0.3">
      <c r="B78" s="14"/>
    </row>
    <row r="79" spans="1:19" x14ac:dyDescent="0.3">
      <c r="A79" s="50" t="s">
        <v>110</v>
      </c>
      <c r="B79" s="11"/>
    </row>
    <row r="80" spans="1:19" ht="26" x14ac:dyDescent="0.3">
      <c r="A80" s="4" t="s">
        <v>73</v>
      </c>
      <c r="B80" s="11" t="s">
        <v>74</v>
      </c>
      <c r="D80" s="55">
        <f>SUM($D$41:$O$41)</f>
        <v>5940000</v>
      </c>
    </row>
    <row r="81" spans="1:15" x14ac:dyDescent="0.3">
      <c r="B81" s="11"/>
      <c r="D81" s="2"/>
    </row>
    <row r="82" spans="1:15" ht="26" x14ac:dyDescent="0.3">
      <c r="A82" s="4" t="s">
        <v>75</v>
      </c>
      <c r="B82" s="11" t="s">
        <v>76</v>
      </c>
      <c r="D82" s="53">
        <f>SUM($D$73:$O$73)</f>
        <v>-5940000</v>
      </c>
    </row>
    <row r="83" spans="1:15" x14ac:dyDescent="0.3">
      <c r="B83" s="11"/>
      <c r="D83" s="2"/>
    </row>
    <row r="84" spans="1:15" ht="26" x14ac:dyDescent="0.3">
      <c r="A84" s="4" t="s">
        <v>111</v>
      </c>
      <c r="B84" s="11" t="s">
        <v>77</v>
      </c>
      <c r="D84" s="53">
        <f>SUM($D$64:$O$64)</f>
        <v>-8545833.3333333321</v>
      </c>
    </row>
    <row r="85" spans="1:15" x14ac:dyDescent="0.3">
      <c r="A85" s="4"/>
      <c r="B85" s="11"/>
      <c r="D85" s="53"/>
    </row>
    <row r="86" spans="1:15" x14ac:dyDescent="0.3">
      <c r="A86" s="4" t="s">
        <v>78</v>
      </c>
      <c r="B86" s="11" t="s">
        <v>79</v>
      </c>
      <c r="D86" s="53">
        <f>SUM($D$69:$O$69)</f>
        <v>-980000</v>
      </c>
    </row>
    <row r="87" spans="1:15" x14ac:dyDescent="0.3">
      <c r="B87" s="11"/>
      <c r="D87" s="2"/>
    </row>
    <row r="88" spans="1:15" x14ac:dyDescent="0.3">
      <c r="A88" s="4" t="s">
        <v>80</v>
      </c>
      <c r="B88" s="11"/>
      <c r="D88" s="53">
        <f>MIN((D80+D82),ABS((D84+D86)-D82))</f>
        <v>0</v>
      </c>
    </row>
    <row r="89" spans="1:15" x14ac:dyDescent="0.3">
      <c r="B89" s="11"/>
      <c r="D89" s="2"/>
    </row>
    <row r="90" spans="1:15" ht="26.5" thickBot="1" x14ac:dyDescent="0.35">
      <c r="A90" s="4" t="s">
        <v>81</v>
      </c>
      <c r="B90" s="11" t="s">
        <v>112</v>
      </c>
      <c r="D90" s="54">
        <f>SUM(D76:O76)-D88</f>
        <v>0</v>
      </c>
    </row>
    <row r="91" spans="1:15" ht="13.5" thickTop="1" x14ac:dyDescent="0.3">
      <c r="B91" s="11"/>
    </row>
    <row r="92" spans="1:15" s="51" customFormat="1" x14ac:dyDescent="0.3">
      <c r="B92" s="52"/>
    </row>
    <row r="93" spans="1:15" x14ac:dyDescent="0.3"/>
    <row r="94" spans="1:15" x14ac:dyDescent="0.3"/>
    <row r="95" spans="1:15" x14ac:dyDescent="0.3"/>
    <row r="96" spans="1:15" x14ac:dyDescent="0.3">
      <c r="O96" s="9"/>
    </row>
    <row r="97" spans="15:17" x14ac:dyDescent="0.3">
      <c r="O97" s="9"/>
      <c r="Q97" s="9"/>
    </row>
    <row r="98" spans="15:17" x14ac:dyDescent="0.3">
      <c r="O98" s="9"/>
    </row>
    <row r="99" spans="15:17" x14ac:dyDescent="0.3">
      <c r="O99" s="9"/>
    </row>
    <row r="100" spans="15:17" x14ac:dyDescent="0.3"/>
    <row r="101" spans="15:17" x14ac:dyDescent="0.3"/>
    <row r="102" spans="15:17" x14ac:dyDescent="0.3"/>
    <row r="103" spans="15:17" x14ac:dyDescent="0.3"/>
    <row r="104" spans="15:17" x14ac:dyDescent="0.3"/>
    <row r="105" spans="15:17" x14ac:dyDescent="0.3"/>
  </sheetData>
  <sheetProtection algorithmName="SHA-512" hashValue="ISzyjrhZuil6tTtaQfXFlYaZrnTaw6iFetduOavA5cQIZG/7ReD+7l6TjK2s6GGn1TaVoTa8G1B7Czw+5k8zQg==" saltValue="OP8mJWpXssNoLGDb/WzolQ==" spinCount="100000" sheet="1" objects="1" scenarios="1"/>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3DCB-0484-47CB-9BC9-187482A9DDB9}">
  <dimension ref="A1:T30"/>
  <sheetViews>
    <sheetView workbookViewId="0">
      <selection activeCell="F26" sqref="F26"/>
    </sheetView>
  </sheetViews>
  <sheetFormatPr defaultColWidth="0" defaultRowHeight="14.5" zeroHeight="1" x14ac:dyDescent="0.35"/>
  <cols>
    <col min="1" max="1" width="25.7265625" bestFit="1" customWidth="1"/>
    <col min="2" max="2" width="31.1796875" bestFit="1" customWidth="1"/>
    <col min="3" max="3" width="14" bestFit="1" customWidth="1"/>
    <col min="4" max="4" width="16" bestFit="1" customWidth="1"/>
    <col min="5" max="5" width="12.81640625" bestFit="1" customWidth="1"/>
    <col min="6" max="6" width="12" bestFit="1" customWidth="1"/>
    <col min="7" max="8" width="5.81640625" bestFit="1" customWidth="1"/>
    <col min="9" max="9" width="5.81640625" customWidth="1"/>
    <col min="10" max="15" width="5.81640625" bestFit="1" customWidth="1"/>
    <col min="16" max="20" width="8.7265625" customWidth="1"/>
    <col min="21" max="16384" width="8.7265625" hidden="1"/>
  </cols>
  <sheetData>
    <row r="1" spans="1:15" s="3" customFormat="1" ht="13" x14ac:dyDescent="0.3">
      <c r="A1" s="39" t="s">
        <v>22</v>
      </c>
      <c r="B1" s="40" t="s">
        <v>1</v>
      </c>
      <c r="C1" s="39" t="s">
        <v>0</v>
      </c>
    </row>
    <row r="2" spans="1:15" s="3" customFormat="1" ht="13" x14ac:dyDescent="0.3">
      <c r="A2" s="36" t="s">
        <v>16</v>
      </c>
      <c r="B2" s="36" t="s">
        <v>14</v>
      </c>
      <c r="C2" s="69">
        <v>1000</v>
      </c>
    </row>
    <row r="3" spans="1:15" s="3" customFormat="1" ht="13" x14ac:dyDescent="0.3">
      <c r="A3" s="36" t="s">
        <v>17</v>
      </c>
      <c r="B3" s="36" t="s">
        <v>2</v>
      </c>
      <c r="C3" s="38">
        <v>0.9</v>
      </c>
    </row>
    <row r="4" spans="1:15" s="3" customFormat="1" ht="13" x14ac:dyDescent="0.3">
      <c r="A4" s="36" t="s">
        <v>13</v>
      </c>
      <c r="B4" s="36" t="s">
        <v>14</v>
      </c>
      <c r="C4" s="45">
        <v>0</v>
      </c>
      <c r="E4" s="24"/>
    </row>
    <row r="5" spans="1:15" s="3" customFormat="1" ht="13" x14ac:dyDescent="0.3">
      <c r="A5" s="36" t="s">
        <v>15</v>
      </c>
      <c r="B5" s="36" t="s">
        <v>2</v>
      </c>
      <c r="C5" s="46">
        <v>0</v>
      </c>
    </row>
    <row r="6" spans="1:15" s="3" customFormat="1" ht="13" x14ac:dyDescent="0.3">
      <c r="A6" s="36" t="s">
        <v>18</v>
      </c>
      <c r="B6" s="36" t="s">
        <v>19</v>
      </c>
      <c r="C6" s="70">
        <v>400</v>
      </c>
      <c r="E6" s="24"/>
    </row>
    <row r="7" spans="1:15" s="3" customFormat="1" ht="13" x14ac:dyDescent="0.3">
      <c r="A7" s="36" t="s">
        <v>23</v>
      </c>
      <c r="B7" s="36" t="s">
        <v>24</v>
      </c>
      <c r="C7" s="70">
        <v>3000000</v>
      </c>
      <c r="D7" s="9"/>
    </row>
    <row r="8" spans="1:15" s="3" customFormat="1" ht="13" x14ac:dyDescent="0.3">
      <c r="A8" s="36" t="s">
        <v>82</v>
      </c>
      <c r="B8" s="36" t="s">
        <v>26</v>
      </c>
      <c r="C8" s="37">
        <v>70000</v>
      </c>
      <c r="D8" s="9"/>
    </row>
    <row r="9" spans="1:15" s="3" customFormat="1" ht="13" x14ac:dyDescent="0.3">
      <c r="D9" s="7"/>
    </row>
    <row r="10" spans="1:15" s="3" customFormat="1" ht="13" x14ac:dyDescent="0.3">
      <c r="C10" s="3" t="s">
        <v>20</v>
      </c>
      <c r="D10" s="3">
        <v>1</v>
      </c>
      <c r="E10" s="3">
        <v>2</v>
      </c>
      <c r="F10" s="3">
        <v>3</v>
      </c>
      <c r="G10" s="3">
        <v>4</v>
      </c>
      <c r="H10" s="3">
        <v>5</v>
      </c>
      <c r="I10" s="3">
        <v>6</v>
      </c>
      <c r="J10" s="3">
        <v>7</v>
      </c>
      <c r="K10" s="3">
        <v>8</v>
      </c>
      <c r="L10" s="3">
        <v>9</v>
      </c>
      <c r="M10" s="3">
        <v>10</v>
      </c>
      <c r="N10" s="3">
        <v>11</v>
      </c>
      <c r="O10" s="3">
        <v>12</v>
      </c>
    </row>
    <row r="11" spans="1:15" s="3" customFormat="1" ht="13" x14ac:dyDescent="0.3">
      <c r="C11" s="3" t="s">
        <v>27</v>
      </c>
      <c r="D11" s="3">
        <v>30</v>
      </c>
      <c r="E11" s="3">
        <v>30</v>
      </c>
      <c r="F11" s="3">
        <v>30</v>
      </c>
      <c r="G11" s="3">
        <v>30</v>
      </c>
      <c r="H11" s="3">
        <v>30</v>
      </c>
      <c r="I11" s="3">
        <v>30</v>
      </c>
      <c r="J11" s="3">
        <v>30</v>
      </c>
      <c r="K11" s="3">
        <v>30</v>
      </c>
      <c r="L11" s="3">
        <v>30</v>
      </c>
      <c r="M11" s="3">
        <v>30</v>
      </c>
      <c r="N11" s="3">
        <v>30</v>
      </c>
      <c r="O11" s="3">
        <v>30</v>
      </c>
    </row>
    <row r="12" spans="1:15" s="3" customFormat="1" ht="13" x14ac:dyDescent="0.3">
      <c r="A12" s="6" t="s">
        <v>28</v>
      </c>
      <c r="B12" s="5" t="s">
        <v>29</v>
      </c>
      <c r="C12" s="5" t="s">
        <v>30</v>
      </c>
      <c r="D12" s="5">
        <f>D11*48</f>
        <v>1440</v>
      </c>
      <c r="E12" s="5">
        <f t="shared" ref="E12:O12" si="0">E11*48</f>
        <v>1440</v>
      </c>
      <c r="F12" s="5">
        <f t="shared" si="0"/>
        <v>1440</v>
      </c>
      <c r="G12" s="5">
        <f t="shared" si="0"/>
        <v>1440</v>
      </c>
      <c r="H12" s="5">
        <f t="shared" si="0"/>
        <v>1440</v>
      </c>
      <c r="I12" s="5">
        <f t="shared" si="0"/>
        <v>1440</v>
      </c>
      <c r="J12" s="5">
        <f t="shared" si="0"/>
        <v>1440</v>
      </c>
      <c r="K12" s="5">
        <f t="shared" si="0"/>
        <v>1440</v>
      </c>
      <c r="L12" s="5">
        <f t="shared" si="0"/>
        <v>1440</v>
      </c>
      <c r="M12" s="5">
        <f t="shared" si="0"/>
        <v>1440</v>
      </c>
      <c r="N12" s="5">
        <f t="shared" si="0"/>
        <v>1440</v>
      </c>
      <c r="O12" s="5">
        <f t="shared" si="0"/>
        <v>1440</v>
      </c>
    </row>
    <row r="13" spans="1:15" x14ac:dyDescent="0.35"/>
    <row r="14" spans="1:15" x14ac:dyDescent="0.35">
      <c r="A14" s="42" t="s">
        <v>83</v>
      </c>
      <c r="B14" s="42" t="s">
        <v>84</v>
      </c>
      <c r="C14" s="42"/>
      <c r="D14" s="69">
        <v>14</v>
      </c>
      <c r="E14" s="42" t="s">
        <v>85</v>
      </c>
      <c r="F14" s="42" t="s">
        <v>85</v>
      </c>
      <c r="G14" s="42" t="s">
        <v>85</v>
      </c>
      <c r="H14" s="42" t="s">
        <v>85</v>
      </c>
      <c r="I14" s="42" t="s">
        <v>85</v>
      </c>
      <c r="J14" s="42" t="s">
        <v>85</v>
      </c>
      <c r="K14" s="42" t="s">
        <v>85</v>
      </c>
      <c r="L14" s="42" t="s">
        <v>85</v>
      </c>
      <c r="M14" s="42" t="s">
        <v>85</v>
      </c>
      <c r="N14" s="42" t="s">
        <v>85</v>
      </c>
      <c r="O14" s="42" t="s">
        <v>85</v>
      </c>
    </row>
    <row r="15" spans="1:15" x14ac:dyDescent="0.35"/>
    <row r="16" spans="1:15" x14ac:dyDescent="0.35">
      <c r="A16" s="42" t="s">
        <v>86</v>
      </c>
      <c r="B16" s="42" t="s">
        <v>87</v>
      </c>
      <c r="C16" s="42"/>
      <c r="D16" s="43">
        <f>C7/D11*D14</f>
        <v>1400000</v>
      </c>
      <c r="E16" s="44">
        <v>0</v>
      </c>
      <c r="F16" s="44">
        <v>0</v>
      </c>
      <c r="G16" s="44">
        <v>0</v>
      </c>
      <c r="H16" s="44">
        <v>0</v>
      </c>
      <c r="I16" s="44">
        <v>0</v>
      </c>
      <c r="J16" s="44">
        <v>0</v>
      </c>
      <c r="K16" s="44">
        <v>0</v>
      </c>
      <c r="L16" s="44">
        <v>0</v>
      </c>
      <c r="M16" s="44">
        <v>0</v>
      </c>
      <c r="N16" s="44">
        <v>0</v>
      </c>
      <c r="O16" s="44">
        <v>0</v>
      </c>
    </row>
    <row r="17" spans="1:16" x14ac:dyDescent="0.35"/>
    <row r="18" spans="1:16" x14ac:dyDescent="0.35">
      <c r="A18" s="42" t="s">
        <v>82</v>
      </c>
      <c r="B18" s="42" t="s">
        <v>88</v>
      </c>
      <c r="C18" s="42"/>
      <c r="D18" s="43">
        <f>C8*14</f>
        <v>980000</v>
      </c>
      <c r="E18" s="44">
        <v>0</v>
      </c>
      <c r="F18" s="44">
        <v>0</v>
      </c>
      <c r="G18" s="44">
        <v>0</v>
      </c>
      <c r="H18" s="44">
        <v>0</v>
      </c>
      <c r="I18" s="44">
        <v>0</v>
      </c>
      <c r="J18" s="44">
        <v>0</v>
      </c>
      <c r="K18" s="44">
        <v>0</v>
      </c>
      <c r="L18" s="44">
        <v>0</v>
      </c>
      <c r="M18" s="44">
        <v>0</v>
      </c>
      <c r="N18" s="44">
        <v>0</v>
      </c>
      <c r="O18" s="44">
        <v>0</v>
      </c>
      <c r="P18" s="41"/>
    </row>
    <row r="19" spans="1:16" x14ac:dyDescent="0.35"/>
    <row r="20" spans="1:16" x14ac:dyDescent="0.35">
      <c r="A20" s="42" t="s">
        <v>89</v>
      </c>
      <c r="B20" s="42" t="s">
        <v>90</v>
      </c>
      <c r="C20" s="42"/>
      <c r="D20" s="43">
        <f>MIN(D16,D18)</f>
        <v>980000</v>
      </c>
      <c r="E20" s="44">
        <v>0</v>
      </c>
      <c r="F20" s="44">
        <v>0</v>
      </c>
      <c r="G20" s="44">
        <v>0</v>
      </c>
      <c r="H20" s="44">
        <v>0</v>
      </c>
      <c r="I20" s="44">
        <v>0</v>
      </c>
      <c r="J20" s="44">
        <v>0</v>
      </c>
      <c r="K20" s="44">
        <v>0</v>
      </c>
      <c r="L20" s="44">
        <v>0</v>
      </c>
      <c r="M20" s="44">
        <v>0</v>
      </c>
      <c r="N20" s="44">
        <v>0</v>
      </c>
      <c r="O20" s="44">
        <v>0</v>
      </c>
    </row>
    <row r="21" spans="1:16" x14ac:dyDescent="0.35"/>
    <row r="22" spans="1:16" x14ac:dyDescent="0.35"/>
    <row r="23" spans="1:16" x14ac:dyDescent="0.35"/>
    <row r="24" spans="1:16" x14ac:dyDescent="0.35"/>
    <row r="25" spans="1:16" x14ac:dyDescent="0.35"/>
    <row r="26" spans="1:16" x14ac:dyDescent="0.35"/>
    <row r="27" spans="1:16" x14ac:dyDescent="0.35"/>
    <row r="28" spans="1:16" x14ac:dyDescent="0.35"/>
    <row r="29" spans="1:16" x14ac:dyDescent="0.35">
      <c r="E29" t="s">
        <v>21</v>
      </c>
    </row>
    <row r="30" spans="1:16" x14ac:dyDescent="0.35"/>
  </sheetData>
  <sheetProtection algorithmName="SHA-512" hashValue="+uY+DSkYUvfFOok/n1ZnqnN9P9ywiwJd1SLwlNMwscHp0qciUId7HKgnIeCWy3WFt6vg7mohno8U9UHfnyPwfQ==" saltValue="SbZ3zIw/6tTd+7gMsug/f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955E-D13B-4E3F-8E7B-12EFEA1856B8}">
  <dimension ref="A1:V36"/>
  <sheetViews>
    <sheetView tabSelected="1" workbookViewId="0">
      <pane xSplit="2" ySplit="7" topLeftCell="C8" activePane="bottomRight" state="frozen"/>
      <selection pane="topRight" activeCell="C1" sqref="C1"/>
      <selection pane="bottomLeft" activeCell="A8" sqref="A8"/>
      <selection pane="bottomRight" activeCell="B17" sqref="B17"/>
    </sheetView>
  </sheetViews>
  <sheetFormatPr defaultColWidth="0" defaultRowHeight="14.5" zeroHeight="1" x14ac:dyDescent="0.35"/>
  <cols>
    <col min="1" max="1" width="23.26953125" bestFit="1" customWidth="1"/>
    <col min="2" max="2" width="31.1796875" bestFit="1" customWidth="1"/>
    <col min="3" max="3" width="10.7265625" customWidth="1"/>
    <col min="4" max="8" width="9" bestFit="1" customWidth="1"/>
    <col min="9" max="15" width="8.54296875" bestFit="1" customWidth="1"/>
    <col min="16" max="22" width="8.7265625" customWidth="1"/>
    <col min="23" max="16384" width="8.7265625" hidden="1"/>
  </cols>
  <sheetData>
    <row r="1" spans="1:22" x14ac:dyDescent="0.35">
      <c r="A1" s="84" t="s">
        <v>22</v>
      </c>
      <c r="B1" s="85" t="s">
        <v>1</v>
      </c>
      <c r="C1" s="84" t="s">
        <v>0</v>
      </c>
      <c r="D1" s="60"/>
      <c r="E1" s="60"/>
      <c r="F1" s="60"/>
      <c r="G1" s="60"/>
      <c r="H1" s="60"/>
      <c r="I1" s="60"/>
      <c r="J1" s="60"/>
      <c r="K1" s="60"/>
      <c r="L1" s="60"/>
      <c r="M1" s="60"/>
      <c r="N1" s="60"/>
      <c r="O1" s="60"/>
      <c r="P1" s="60"/>
      <c r="Q1" s="60"/>
      <c r="R1" s="60"/>
      <c r="S1" s="60"/>
      <c r="T1" s="60"/>
      <c r="U1" s="60"/>
      <c r="V1" s="60"/>
    </row>
    <row r="2" spans="1:22" x14ac:dyDescent="0.35">
      <c r="A2" s="86" t="s">
        <v>91</v>
      </c>
      <c r="B2" s="87" t="s">
        <v>92</v>
      </c>
      <c r="C2" s="79">
        <v>200</v>
      </c>
      <c r="D2" s="60"/>
      <c r="E2" s="60"/>
      <c r="F2" s="60"/>
      <c r="G2" s="60"/>
      <c r="H2" s="60"/>
      <c r="I2" s="60"/>
      <c r="J2" s="60"/>
      <c r="K2" s="60"/>
      <c r="L2" s="60"/>
      <c r="M2" s="60"/>
      <c r="N2" s="60"/>
      <c r="O2" s="60"/>
      <c r="P2" s="60"/>
      <c r="Q2" s="60"/>
      <c r="R2" s="60"/>
      <c r="S2" s="60"/>
      <c r="T2" s="60"/>
      <c r="U2" s="60"/>
      <c r="V2" s="60"/>
    </row>
    <row r="3" spans="1:22" x14ac:dyDescent="0.35">
      <c r="A3" s="88" t="s">
        <v>16</v>
      </c>
      <c r="B3" s="89" t="s">
        <v>14</v>
      </c>
      <c r="C3" s="80">
        <v>1000</v>
      </c>
      <c r="D3" s="60"/>
      <c r="E3" s="60"/>
      <c r="F3" s="60"/>
      <c r="G3" s="60"/>
      <c r="H3" s="60"/>
      <c r="I3" s="60"/>
      <c r="J3" s="60"/>
      <c r="K3" s="60"/>
      <c r="L3" s="60"/>
      <c r="M3" s="60"/>
      <c r="N3" s="60"/>
      <c r="O3" s="60"/>
      <c r="P3" s="60"/>
      <c r="Q3" s="60"/>
      <c r="R3" s="60"/>
      <c r="S3" s="60"/>
      <c r="T3" s="60"/>
      <c r="U3" s="60"/>
      <c r="V3" s="60"/>
    </row>
    <row r="4" spans="1:22" x14ac:dyDescent="0.35">
      <c r="A4" s="90" t="s">
        <v>13</v>
      </c>
      <c r="B4" s="91" t="s">
        <v>14</v>
      </c>
      <c r="C4" s="92">
        <v>0</v>
      </c>
      <c r="D4" s="60"/>
      <c r="E4" s="60"/>
      <c r="F4" s="60"/>
      <c r="G4" s="60"/>
      <c r="H4" s="60"/>
      <c r="I4" s="60"/>
      <c r="J4" s="60"/>
      <c r="K4" s="60"/>
      <c r="L4" s="60"/>
      <c r="M4" s="60"/>
      <c r="N4" s="60"/>
      <c r="O4" s="60"/>
      <c r="P4" s="60"/>
      <c r="Q4" s="60"/>
      <c r="R4" s="60"/>
      <c r="S4" s="60"/>
      <c r="T4" s="60"/>
      <c r="U4" s="60"/>
      <c r="V4" s="60"/>
    </row>
    <row r="5" spans="1:22" x14ac:dyDescent="0.35">
      <c r="A5" s="60"/>
      <c r="B5" s="60"/>
      <c r="C5" s="60"/>
      <c r="D5" s="60"/>
      <c r="E5" s="60"/>
      <c r="F5" s="60"/>
      <c r="G5" s="60"/>
      <c r="H5" s="60"/>
      <c r="I5" s="60"/>
      <c r="J5" s="60"/>
      <c r="K5" s="60"/>
      <c r="L5" s="60"/>
      <c r="M5" s="60"/>
      <c r="N5" s="60"/>
      <c r="O5" s="60"/>
      <c r="P5" s="60"/>
      <c r="Q5" s="60"/>
      <c r="R5" s="60"/>
      <c r="S5" s="60"/>
      <c r="T5" s="60"/>
      <c r="U5" s="60"/>
      <c r="V5" s="60"/>
    </row>
    <row r="6" spans="1:22" s="3" customFormat="1" ht="13" x14ac:dyDescent="0.3">
      <c r="A6" s="93"/>
      <c r="B6" s="93"/>
      <c r="C6" s="94" t="s">
        <v>20</v>
      </c>
      <c r="D6" s="95">
        <v>1</v>
      </c>
      <c r="E6" s="96">
        <v>2</v>
      </c>
      <c r="F6" s="96">
        <v>3</v>
      </c>
      <c r="G6" s="96">
        <v>4</v>
      </c>
      <c r="H6" s="96">
        <v>5</v>
      </c>
      <c r="I6" s="96">
        <v>6</v>
      </c>
      <c r="J6" s="96">
        <v>7</v>
      </c>
      <c r="K6" s="96">
        <v>8</v>
      </c>
      <c r="L6" s="96">
        <v>9</v>
      </c>
      <c r="M6" s="96">
        <v>10</v>
      </c>
      <c r="N6" s="96">
        <v>11</v>
      </c>
      <c r="O6" s="97">
        <v>12</v>
      </c>
      <c r="P6" s="93"/>
      <c r="Q6" s="93"/>
      <c r="R6" s="93"/>
      <c r="S6" s="93"/>
      <c r="T6" s="93"/>
      <c r="U6" s="93"/>
      <c r="V6" s="93"/>
    </row>
    <row r="7" spans="1:22" s="3" customFormat="1" ht="13" x14ac:dyDescent="0.3">
      <c r="A7" s="98" t="s">
        <v>28</v>
      </c>
      <c r="B7" s="99" t="s">
        <v>29</v>
      </c>
      <c r="C7" s="100" t="s">
        <v>113</v>
      </c>
      <c r="D7" s="101">
        <v>1440</v>
      </c>
      <c r="E7" s="101">
        <v>1440</v>
      </c>
      <c r="F7" s="101">
        <v>1440</v>
      </c>
      <c r="G7" s="101">
        <v>1440</v>
      </c>
      <c r="H7" s="101">
        <v>1440</v>
      </c>
      <c r="I7" s="101">
        <v>1440</v>
      </c>
      <c r="J7" s="101">
        <v>1440</v>
      </c>
      <c r="K7" s="101">
        <v>1440</v>
      </c>
      <c r="L7" s="101">
        <v>1440</v>
      </c>
      <c r="M7" s="101">
        <v>1440</v>
      </c>
      <c r="N7" s="101">
        <v>1440</v>
      </c>
      <c r="O7" s="122">
        <v>1440</v>
      </c>
      <c r="P7" s="93"/>
      <c r="Q7" s="93"/>
      <c r="R7" s="93"/>
      <c r="S7" s="93"/>
      <c r="T7" s="93"/>
      <c r="U7" s="93"/>
      <c r="V7" s="93"/>
    </row>
    <row r="8" spans="1:22" x14ac:dyDescent="0.35">
      <c r="A8" s="60"/>
      <c r="B8" s="60"/>
      <c r="C8" s="60"/>
      <c r="D8" s="60"/>
      <c r="E8" s="60"/>
      <c r="F8" s="60"/>
      <c r="G8" s="60"/>
      <c r="H8" s="60"/>
      <c r="I8" s="60"/>
      <c r="J8" s="60"/>
      <c r="K8" s="60"/>
      <c r="L8" s="60"/>
      <c r="M8" s="60"/>
      <c r="N8" s="60"/>
      <c r="O8" s="60"/>
      <c r="P8" s="60"/>
      <c r="Q8" s="60"/>
      <c r="R8" s="60"/>
      <c r="S8" s="60"/>
      <c r="T8" s="60"/>
      <c r="U8" s="60"/>
      <c r="V8" s="60"/>
    </row>
    <row r="9" spans="1:22" ht="43.5" x14ac:dyDescent="0.35">
      <c r="A9" s="102" t="s">
        <v>93</v>
      </c>
      <c r="B9" s="103" t="s">
        <v>94</v>
      </c>
      <c r="C9" s="104"/>
      <c r="D9" s="81">
        <v>720</v>
      </c>
      <c r="E9" s="81">
        <v>700</v>
      </c>
      <c r="F9" s="81">
        <v>700</v>
      </c>
      <c r="G9" s="81">
        <v>700</v>
      </c>
      <c r="H9" s="81">
        <v>700</v>
      </c>
      <c r="I9" s="81">
        <v>700</v>
      </c>
      <c r="J9" s="81">
        <v>720</v>
      </c>
      <c r="K9" s="81">
        <v>720</v>
      </c>
      <c r="L9" s="81">
        <v>720</v>
      </c>
      <c r="M9" s="81">
        <v>720</v>
      </c>
      <c r="N9" s="81">
        <v>720</v>
      </c>
      <c r="O9" s="82">
        <v>720</v>
      </c>
      <c r="P9" s="60"/>
      <c r="Q9" s="60"/>
      <c r="R9" s="60"/>
      <c r="S9" s="60"/>
      <c r="T9" s="60"/>
      <c r="U9" s="60"/>
      <c r="V9" s="60"/>
    </row>
    <row r="10" spans="1:22" x14ac:dyDescent="0.35">
      <c r="A10" s="105"/>
      <c r="B10" s="60"/>
      <c r="C10" s="60"/>
      <c r="D10" s="60"/>
      <c r="E10" s="60"/>
      <c r="F10" s="60"/>
      <c r="G10" s="60"/>
      <c r="H10" s="60"/>
      <c r="I10" s="60"/>
      <c r="J10" s="60"/>
      <c r="K10" s="60"/>
      <c r="L10" s="60"/>
      <c r="M10" s="60"/>
      <c r="N10" s="60"/>
      <c r="O10" s="106"/>
      <c r="P10" s="60"/>
      <c r="Q10" s="60"/>
      <c r="R10" s="60"/>
      <c r="S10" s="60"/>
      <c r="T10" s="60"/>
      <c r="U10" s="60"/>
      <c r="V10" s="60"/>
    </row>
    <row r="11" spans="1:22" x14ac:dyDescent="0.35">
      <c r="A11" s="105"/>
      <c r="B11" s="63" t="s">
        <v>31</v>
      </c>
      <c r="C11" s="60"/>
      <c r="D11" s="83">
        <v>900</v>
      </c>
      <c r="E11" s="83">
        <v>800</v>
      </c>
      <c r="F11" s="83">
        <v>800</v>
      </c>
      <c r="G11" s="83">
        <v>1000</v>
      </c>
      <c r="H11" s="83">
        <v>500</v>
      </c>
      <c r="I11" s="83">
        <v>500</v>
      </c>
      <c r="J11" s="83">
        <v>500</v>
      </c>
      <c r="K11" s="83">
        <v>500</v>
      </c>
      <c r="L11" s="83">
        <v>500</v>
      </c>
      <c r="M11" s="83">
        <v>500</v>
      </c>
      <c r="N11" s="83">
        <v>500</v>
      </c>
      <c r="O11" s="83">
        <v>500</v>
      </c>
      <c r="P11" s="60"/>
      <c r="Q11" s="60"/>
      <c r="R11" s="60"/>
      <c r="S11" s="60"/>
      <c r="T11" s="60"/>
      <c r="U11" s="60"/>
      <c r="V11" s="60"/>
    </row>
    <row r="12" spans="1:22" x14ac:dyDescent="0.35">
      <c r="A12" s="105"/>
      <c r="B12" s="63"/>
      <c r="C12" s="60"/>
      <c r="D12" s="60"/>
      <c r="E12" s="60"/>
      <c r="F12" s="60"/>
      <c r="G12" s="60"/>
      <c r="H12" s="60"/>
      <c r="I12" s="60"/>
      <c r="J12" s="60"/>
      <c r="K12" s="60"/>
      <c r="L12" s="60"/>
      <c r="M12" s="60"/>
      <c r="N12" s="60"/>
      <c r="O12" s="106"/>
      <c r="P12" s="60"/>
      <c r="Q12" s="60"/>
      <c r="R12" s="60"/>
      <c r="S12" s="60"/>
      <c r="T12" s="60"/>
      <c r="U12" s="60"/>
      <c r="V12" s="60"/>
    </row>
    <row r="13" spans="1:22" x14ac:dyDescent="0.35">
      <c r="A13" s="105"/>
      <c r="B13" s="63" t="s">
        <v>16</v>
      </c>
      <c r="C13" s="60"/>
      <c r="D13" s="107">
        <f>$C$3</f>
        <v>1000</v>
      </c>
      <c r="E13" s="107">
        <f t="shared" ref="E13:O13" si="0">$C$3</f>
        <v>1000</v>
      </c>
      <c r="F13" s="107">
        <f t="shared" si="0"/>
        <v>1000</v>
      </c>
      <c r="G13" s="107">
        <f t="shared" si="0"/>
        <v>1000</v>
      </c>
      <c r="H13" s="107">
        <f t="shared" si="0"/>
        <v>1000</v>
      </c>
      <c r="I13" s="107">
        <f t="shared" si="0"/>
        <v>1000</v>
      </c>
      <c r="J13" s="107">
        <f t="shared" si="0"/>
        <v>1000</v>
      </c>
      <c r="K13" s="107">
        <f t="shared" si="0"/>
        <v>1000</v>
      </c>
      <c r="L13" s="107">
        <f t="shared" si="0"/>
        <v>1000</v>
      </c>
      <c r="M13" s="107">
        <f t="shared" si="0"/>
        <v>1000</v>
      </c>
      <c r="N13" s="107">
        <f t="shared" si="0"/>
        <v>1000</v>
      </c>
      <c r="O13" s="108">
        <f t="shared" si="0"/>
        <v>1000</v>
      </c>
      <c r="P13" s="60"/>
      <c r="Q13" s="60"/>
      <c r="R13" s="60"/>
      <c r="S13" s="60"/>
      <c r="T13" s="60"/>
      <c r="U13" s="60"/>
      <c r="V13" s="60"/>
    </row>
    <row r="14" spans="1:22" x14ac:dyDescent="0.35">
      <c r="A14" s="105"/>
      <c r="B14" s="60"/>
      <c r="C14" s="60"/>
      <c r="D14" s="60"/>
      <c r="E14" s="60"/>
      <c r="F14" s="60"/>
      <c r="G14" s="60"/>
      <c r="H14" s="60"/>
      <c r="I14" s="60"/>
      <c r="J14" s="60"/>
      <c r="K14" s="60"/>
      <c r="L14" s="60"/>
      <c r="M14" s="60"/>
      <c r="N14" s="60"/>
      <c r="O14" s="106"/>
      <c r="P14" s="60"/>
      <c r="Q14" s="60"/>
      <c r="R14" s="60"/>
      <c r="S14" s="60"/>
      <c r="T14" s="60"/>
      <c r="U14" s="60"/>
      <c r="V14" s="60"/>
    </row>
    <row r="15" spans="1:22" ht="43.5" x14ac:dyDescent="0.35">
      <c r="A15" s="109" t="s">
        <v>95</v>
      </c>
      <c r="B15" s="110" t="s">
        <v>96</v>
      </c>
      <c r="C15" s="111"/>
      <c r="D15" s="111">
        <f>D11/D13</f>
        <v>0.9</v>
      </c>
      <c r="E15" s="111">
        <f t="shared" ref="E15:O15" si="1">E11/E13</f>
        <v>0.8</v>
      </c>
      <c r="F15" s="111">
        <f t="shared" si="1"/>
        <v>0.8</v>
      </c>
      <c r="G15" s="111">
        <f t="shared" si="1"/>
        <v>1</v>
      </c>
      <c r="H15" s="111">
        <f t="shared" si="1"/>
        <v>0.5</v>
      </c>
      <c r="I15" s="111">
        <f t="shared" si="1"/>
        <v>0.5</v>
      </c>
      <c r="J15" s="111">
        <f t="shared" si="1"/>
        <v>0.5</v>
      </c>
      <c r="K15" s="111">
        <f t="shared" si="1"/>
        <v>0.5</v>
      </c>
      <c r="L15" s="111">
        <f t="shared" si="1"/>
        <v>0.5</v>
      </c>
      <c r="M15" s="111">
        <f t="shared" si="1"/>
        <v>0.5</v>
      </c>
      <c r="N15" s="111">
        <f t="shared" si="1"/>
        <v>0.5</v>
      </c>
      <c r="O15" s="112">
        <f t="shared" si="1"/>
        <v>0.5</v>
      </c>
      <c r="P15" s="60"/>
      <c r="Q15" s="60"/>
      <c r="R15" s="60"/>
      <c r="S15" s="60"/>
      <c r="T15" s="60"/>
      <c r="U15" s="60"/>
      <c r="V15" s="60"/>
    </row>
    <row r="16" spans="1:22" x14ac:dyDescent="0.35">
      <c r="A16" s="60"/>
      <c r="B16" s="60"/>
      <c r="C16" s="60"/>
      <c r="D16" s="60"/>
      <c r="E16" s="60"/>
      <c r="F16" s="60"/>
      <c r="G16" s="60"/>
      <c r="H16" s="60"/>
      <c r="I16" s="60"/>
      <c r="J16" s="60"/>
      <c r="K16" s="60"/>
      <c r="L16" s="60"/>
      <c r="M16" s="60"/>
      <c r="N16" s="60"/>
      <c r="O16" s="60"/>
      <c r="P16" s="60"/>
      <c r="Q16" s="60"/>
      <c r="R16" s="60"/>
      <c r="S16" s="60"/>
      <c r="T16" s="60"/>
      <c r="U16" s="60"/>
      <c r="V16" s="60"/>
    </row>
    <row r="17" spans="1:22" ht="43.5" x14ac:dyDescent="0.35">
      <c r="A17" s="102" t="s">
        <v>97</v>
      </c>
      <c r="B17" s="103" t="s">
        <v>98</v>
      </c>
      <c r="C17" s="104"/>
      <c r="D17" s="113">
        <v>0</v>
      </c>
      <c r="E17" s="113">
        <v>0</v>
      </c>
      <c r="F17" s="113">
        <v>0</v>
      </c>
      <c r="G17" s="113">
        <v>0</v>
      </c>
      <c r="H17" s="113">
        <v>0</v>
      </c>
      <c r="I17" s="113">
        <v>0</v>
      </c>
      <c r="J17" s="113">
        <v>0</v>
      </c>
      <c r="K17" s="113">
        <v>0</v>
      </c>
      <c r="L17" s="113">
        <v>0</v>
      </c>
      <c r="M17" s="113">
        <v>0</v>
      </c>
      <c r="N17" s="113">
        <v>0</v>
      </c>
      <c r="O17" s="114">
        <v>0</v>
      </c>
      <c r="P17" s="60"/>
      <c r="Q17" s="60"/>
      <c r="R17" s="60"/>
      <c r="S17" s="60"/>
      <c r="T17" s="60"/>
      <c r="U17" s="60"/>
      <c r="V17" s="60"/>
    </row>
    <row r="18" spans="1:22" x14ac:dyDescent="0.35">
      <c r="A18" s="105"/>
      <c r="B18" s="64"/>
      <c r="C18" s="60"/>
      <c r="D18" s="60"/>
      <c r="E18" s="60"/>
      <c r="F18" s="60"/>
      <c r="G18" s="60"/>
      <c r="H18" s="60"/>
      <c r="I18" s="60"/>
      <c r="J18" s="60"/>
      <c r="K18" s="60"/>
      <c r="L18" s="60"/>
      <c r="M18" s="60"/>
      <c r="N18" s="60"/>
      <c r="O18" s="106"/>
      <c r="P18" s="60"/>
      <c r="Q18" s="60"/>
      <c r="R18" s="60"/>
      <c r="S18" s="60"/>
      <c r="T18" s="60"/>
      <c r="U18" s="60"/>
      <c r="V18" s="60"/>
    </row>
    <row r="19" spans="1:22" x14ac:dyDescent="0.35">
      <c r="A19" s="105"/>
      <c r="B19" s="63" t="s">
        <v>39</v>
      </c>
      <c r="C19" s="60"/>
      <c r="D19" s="115">
        <v>0</v>
      </c>
      <c r="E19" s="115">
        <v>0</v>
      </c>
      <c r="F19" s="115">
        <v>0</v>
      </c>
      <c r="G19" s="115">
        <v>0</v>
      </c>
      <c r="H19" s="115">
        <v>0</v>
      </c>
      <c r="I19" s="115">
        <v>0</v>
      </c>
      <c r="J19" s="115">
        <v>0</v>
      </c>
      <c r="K19" s="115">
        <v>0</v>
      </c>
      <c r="L19" s="115">
        <v>0</v>
      </c>
      <c r="M19" s="115">
        <v>0</v>
      </c>
      <c r="N19" s="115">
        <v>0</v>
      </c>
      <c r="O19" s="116">
        <v>0</v>
      </c>
      <c r="P19" s="60"/>
      <c r="Q19" s="60"/>
      <c r="R19" s="60"/>
      <c r="S19" s="60"/>
      <c r="T19" s="60"/>
      <c r="U19" s="60"/>
      <c r="V19" s="60"/>
    </row>
    <row r="20" spans="1:22" x14ac:dyDescent="0.35">
      <c r="A20" s="105"/>
      <c r="B20" s="117"/>
      <c r="C20" s="60"/>
      <c r="D20" s="60"/>
      <c r="E20" s="60"/>
      <c r="F20" s="60"/>
      <c r="G20" s="60"/>
      <c r="H20" s="60"/>
      <c r="I20" s="60"/>
      <c r="J20" s="60"/>
      <c r="K20" s="60"/>
      <c r="L20" s="60"/>
      <c r="M20" s="60"/>
      <c r="N20" s="60"/>
      <c r="O20" s="106"/>
      <c r="P20" s="60"/>
      <c r="Q20" s="60"/>
      <c r="R20" s="60"/>
      <c r="S20" s="60"/>
      <c r="T20" s="60"/>
      <c r="U20" s="60"/>
      <c r="V20" s="60"/>
    </row>
    <row r="21" spans="1:22" x14ac:dyDescent="0.35">
      <c r="A21" s="105"/>
      <c r="B21" s="63" t="s">
        <v>13</v>
      </c>
      <c r="C21" s="60"/>
      <c r="D21" s="107">
        <f>$C$4</f>
        <v>0</v>
      </c>
      <c r="E21" s="107">
        <f t="shared" ref="E21:O21" si="2">$C$4</f>
        <v>0</v>
      </c>
      <c r="F21" s="107">
        <f t="shared" si="2"/>
        <v>0</v>
      </c>
      <c r="G21" s="107">
        <f t="shared" si="2"/>
        <v>0</v>
      </c>
      <c r="H21" s="107">
        <f t="shared" si="2"/>
        <v>0</v>
      </c>
      <c r="I21" s="107">
        <f t="shared" si="2"/>
        <v>0</v>
      </c>
      <c r="J21" s="107">
        <f t="shared" si="2"/>
        <v>0</v>
      </c>
      <c r="K21" s="107">
        <f t="shared" si="2"/>
        <v>0</v>
      </c>
      <c r="L21" s="107">
        <f t="shared" si="2"/>
        <v>0</v>
      </c>
      <c r="M21" s="107">
        <f t="shared" si="2"/>
        <v>0</v>
      </c>
      <c r="N21" s="107">
        <f t="shared" si="2"/>
        <v>0</v>
      </c>
      <c r="O21" s="108">
        <f t="shared" si="2"/>
        <v>0</v>
      </c>
      <c r="P21" s="60"/>
      <c r="Q21" s="60"/>
      <c r="R21" s="60"/>
      <c r="S21" s="60"/>
      <c r="T21" s="60"/>
      <c r="U21" s="60"/>
      <c r="V21" s="60"/>
    </row>
    <row r="22" spans="1:22" x14ac:dyDescent="0.35">
      <c r="A22" s="105"/>
      <c r="B22" s="64"/>
      <c r="C22" s="60"/>
      <c r="D22" s="60"/>
      <c r="E22" s="60"/>
      <c r="F22" s="60"/>
      <c r="G22" s="60"/>
      <c r="H22" s="60"/>
      <c r="I22" s="60"/>
      <c r="J22" s="60"/>
      <c r="K22" s="60"/>
      <c r="L22" s="60"/>
      <c r="M22" s="60"/>
      <c r="N22" s="60"/>
      <c r="O22" s="106"/>
      <c r="P22" s="60"/>
      <c r="Q22" s="60"/>
      <c r="R22" s="60"/>
      <c r="S22" s="60"/>
      <c r="T22" s="60"/>
      <c r="U22" s="60"/>
      <c r="V22" s="60"/>
    </row>
    <row r="23" spans="1:22" ht="43.5" x14ac:dyDescent="0.35">
      <c r="A23" s="109" t="s">
        <v>99</v>
      </c>
      <c r="B23" s="110" t="s">
        <v>100</v>
      </c>
      <c r="C23" s="111"/>
      <c r="D23" s="111">
        <f>IFERROR(D19/D21,0)</f>
        <v>0</v>
      </c>
      <c r="E23" s="111">
        <f t="shared" ref="E23:O23" si="3">IFERROR(E19/E21,0)</f>
        <v>0</v>
      </c>
      <c r="F23" s="111">
        <f t="shared" si="3"/>
        <v>0</v>
      </c>
      <c r="G23" s="111">
        <f t="shared" si="3"/>
        <v>0</v>
      </c>
      <c r="H23" s="111">
        <f t="shared" si="3"/>
        <v>0</v>
      </c>
      <c r="I23" s="111">
        <f t="shared" si="3"/>
        <v>0</v>
      </c>
      <c r="J23" s="111">
        <f t="shared" si="3"/>
        <v>0</v>
      </c>
      <c r="K23" s="111">
        <f t="shared" si="3"/>
        <v>0</v>
      </c>
      <c r="L23" s="111">
        <f t="shared" si="3"/>
        <v>0</v>
      </c>
      <c r="M23" s="111">
        <f t="shared" si="3"/>
        <v>0</v>
      </c>
      <c r="N23" s="111">
        <f t="shared" si="3"/>
        <v>0</v>
      </c>
      <c r="O23" s="112">
        <f t="shared" si="3"/>
        <v>0</v>
      </c>
      <c r="P23" s="60"/>
      <c r="Q23" s="60"/>
      <c r="R23" s="60"/>
      <c r="S23" s="60"/>
      <c r="T23" s="60"/>
      <c r="U23" s="60"/>
      <c r="V23" s="60"/>
    </row>
    <row r="24" spans="1:22" x14ac:dyDescent="0.35">
      <c r="A24" s="60"/>
      <c r="B24" s="60"/>
      <c r="C24" s="60"/>
      <c r="D24" s="60"/>
      <c r="E24" s="60"/>
      <c r="F24" s="60"/>
      <c r="G24" s="60"/>
      <c r="H24" s="60"/>
      <c r="I24" s="60"/>
      <c r="J24" s="60"/>
      <c r="K24" s="60"/>
      <c r="L24" s="60"/>
      <c r="M24" s="60"/>
      <c r="N24" s="60"/>
      <c r="O24" s="60"/>
      <c r="P24" s="60"/>
      <c r="Q24" s="60"/>
      <c r="R24" s="60"/>
      <c r="S24" s="60"/>
      <c r="T24" s="60"/>
      <c r="U24" s="60"/>
      <c r="V24" s="60"/>
    </row>
    <row r="25" spans="1:22" x14ac:dyDescent="0.35">
      <c r="A25" s="102" t="s">
        <v>101</v>
      </c>
      <c r="B25" s="104" t="s">
        <v>102</v>
      </c>
      <c r="C25" s="104"/>
      <c r="D25" s="104">
        <f>$C$2</f>
        <v>200</v>
      </c>
      <c r="E25" s="104">
        <f t="shared" ref="E25:O25" si="4">$C$2</f>
        <v>200</v>
      </c>
      <c r="F25" s="104">
        <f t="shared" si="4"/>
        <v>200</v>
      </c>
      <c r="G25" s="104">
        <f t="shared" si="4"/>
        <v>200</v>
      </c>
      <c r="H25" s="104">
        <f t="shared" si="4"/>
        <v>200</v>
      </c>
      <c r="I25" s="104">
        <f t="shared" si="4"/>
        <v>200</v>
      </c>
      <c r="J25" s="104">
        <f t="shared" si="4"/>
        <v>200</v>
      </c>
      <c r="K25" s="104">
        <f t="shared" si="4"/>
        <v>200</v>
      </c>
      <c r="L25" s="104">
        <f t="shared" si="4"/>
        <v>200</v>
      </c>
      <c r="M25" s="104">
        <f t="shared" si="4"/>
        <v>200</v>
      </c>
      <c r="N25" s="104">
        <f t="shared" si="4"/>
        <v>200</v>
      </c>
      <c r="O25" s="118">
        <f t="shared" si="4"/>
        <v>200</v>
      </c>
      <c r="P25" s="60"/>
      <c r="Q25" s="60"/>
      <c r="R25" s="60"/>
      <c r="S25" s="60"/>
      <c r="T25" s="60"/>
      <c r="U25" s="60"/>
      <c r="V25" s="60"/>
    </row>
    <row r="26" spans="1:22" x14ac:dyDescent="0.35">
      <c r="A26" s="105"/>
      <c r="B26" s="119"/>
      <c r="C26" s="119"/>
      <c r="D26" s="119"/>
      <c r="E26" s="119"/>
      <c r="F26" s="119"/>
      <c r="G26" s="119"/>
      <c r="H26" s="119"/>
      <c r="I26" s="119"/>
      <c r="J26" s="119"/>
      <c r="K26" s="119"/>
      <c r="L26" s="119"/>
      <c r="M26" s="119"/>
      <c r="N26" s="119"/>
      <c r="O26" s="106"/>
      <c r="P26" s="60"/>
      <c r="Q26" s="60"/>
      <c r="R26" s="60"/>
      <c r="S26" s="60"/>
      <c r="T26" s="60"/>
      <c r="U26" s="60"/>
      <c r="V26" s="60"/>
    </row>
    <row r="27" spans="1:22" ht="43.5" x14ac:dyDescent="0.35">
      <c r="A27" s="109" t="s">
        <v>46</v>
      </c>
      <c r="B27" s="110" t="s">
        <v>103</v>
      </c>
      <c r="C27" s="111"/>
      <c r="D27" s="111">
        <f>COUNTIF(($C$3:$C$4),"&gt;0")</f>
        <v>1</v>
      </c>
      <c r="E27" s="111">
        <f t="shared" ref="E27:O27" si="5">COUNTIF(($C$3:$C$4),"&gt;0")</f>
        <v>1</v>
      </c>
      <c r="F27" s="111">
        <f t="shared" si="5"/>
        <v>1</v>
      </c>
      <c r="G27" s="111">
        <f t="shared" si="5"/>
        <v>1</v>
      </c>
      <c r="H27" s="111">
        <f t="shared" si="5"/>
        <v>1</v>
      </c>
      <c r="I27" s="111">
        <f t="shared" si="5"/>
        <v>1</v>
      </c>
      <c r="J27" s="111">
        <f t="shared" si="5"/>
        <v>1</v>
      </c>
      <c r="K27" s="111">
        <f t="shared" si="5"/>
        <v>1</v>
      </c>
      <c r="L27" s="111">
        <f t="shared" si="5"/>
        <v>1</v>
      </c>
      <c r="M27" s="111">
        <f t="shared" si="5"/>
        <v>1</v>
      </c>
      <c r="N27" s="111">
        <f t="shared" si="5"/>
        <v>1</v>
      </c>
      <c r="O27" s="112">
        <f t="shared" si="5"/>
        <v>1</v>
      </c>
      <c r="P27" s="60"/>
      <c r="Q27" s="60"/>
      <c r="R27" s="60"/>
      <c r="S27" s="60"/>
      <c r="T27" s="60"/>
      <c r="U27" s="60"/>
      <c r="V27" s="60"/>
    </row>
    <row r="28" spans="1:22" x14ac:dyDescent="0.35">
      <c r="A28" s="60"/>
      <c r="B28" s="60"/>
      <c r="C28" s="60"/>
      <c r="D28" s="60"/>
      <c r="E28" s="60"/>
      <c r="F28" s="60"/>
      <c r="G28" s="60"/>
      <c r="H28" s="60"/>
      <c r="I28" s="60"/>
      <c r="J28" s="60"/>
      <c r="K28" s="60"/>
      <c r="L28" s="60"/>
      <c r="M28" s="60"/>
      <c r="N28" s="60"/>
      <c r="O28" s="60"/>
      <c r="P28" s="60"/>
      <c r="Q28" s="60"/>
      <c r="R28" s="60"/>
      <c r="S28" s="60"/>
      <c r="T28" s="60"/>
      <c r="U28" s="60"/>
      <c r="V28" s="60"/>
    </row>
    <row r="29" spans="1:22" ht="15" thickBot="1" x14ac:dyDescent="0.4">
      <c r="A29" s="120" t="s">
        <v>104</v>
      </c>
      <c r="B29" s="120" t="s">
        <v>105</v>
      </c>
      <c r="C29" s="120"/>
      <c r="D29" s="121">
        <f xml:space="preserve"> (((D9*D15) + (D17*D23))/ D27)*(D25/2)</f>
        <v>64800</v>
      </c>
      <c r="E29" s="121">
        <f t="shared" ref="E29:O29" si="6" xml:space="preserve"> (((E9*E15) + (E17*E23))/ E27)*(E25/2)</f>
        <v>56000</v>
      </c>
      <c r="F29" s="121">
        <f t="shared" si="6"/>
        <v>56000</v>
      </c>
      <c r="G29" s="121">
        <f t="shared" si="6"/>
        <v>70000</v>
      </c>
      <c r="H29" s="121">
        <f t="shared" si="6"/>
        <v>35000</v>
      </c>
      <c r="I29" s="121">
        <f t="shared" si="6"/>
        <v>35000</v>
      </c>
      <c r="J29" s="121">
        <f t="shared" si="6"/>
        <v>36000</v>
      </c>
      <c r="K29" s="121">
        <f t="shared" si="6"/>
        <v>36000</v>
      </c>
      <c r="L29" s="121">
        <f t="shared" si="6"/>
        <v>36000</v>
      </c>
      <c r="M29" s="121">
        <f t="shared" si="6"/>
        <v>36000</v>
      </c>
      <c r="N29" s="121">
        <f t="shared" si="6"/>
        <v>36000</v>
      </c>
      <c r="O29" s="121">
        <f t="shared" si="6"/>
        <v>36000</v>
      </c>
      <c r="P29" s="60"/>
      <c r="Q29" s="60"/>
      <c r="R29" s="60"/>
      <c r="S29" s="60"/>
      <c r="T29" s="60"/>
      <c r="U29" s="60"/>
      <c r="V29" s="60"/>
    </row>
    <row r="30" spans="1:22" ht="15" thickTop="1" x14ac:dyDescent="0.35">
      <c r="A30" s="60"/>
      <c r="B30" s="60"/>
      <c r="C30" s="60"/>
      <c r="D30" s="60"/>
      <c r="E30" s="60"/>
      <c r="F30" s="60"/>
      <c r="G30" s="60"/>
      <c r="H30" s="60"/>
      <c r="I30" s="60"/>
      <c r="J30" s="60"/>
      <c r="K30" s="60"/>
      <c r="L30" s="60"/>
      <c r="M30" s="60"/>
      <c r="N30" s="60"/>
      <c r="O30" s="60"/>
      <c r="P30" s="60"/>
      <c r="Q30" s="60"/>
      <c r="R30" s="60"/>
      <c r="S30" s="60"/>
      <c r="T30" s="60"/>
      <c r="U30" s="60"/>
      <c r="V30" s="60"/>
    </row>
    <row r="31" spans="1:22" x14ac:dyDescent="0.35">
      <c r="A31" s="60"/>
      <c r="B31" s="60"/>
      <c r="C31" s="60"/>
      <c r="D31" s="60"/>
      <c r="E31" s="60"/>
      <c r="F31" s="60"/>
      <c r="G31" s="60"/>
      <c r="H31" s="60"/>
      <c r="I31" s="60"/>
      <c r="J31" s="60"/>
      <c r="K31" s="60"/>
      <c r="L31" s="60"/>
      <c r="M31" s="60"/>
      <c r="N31" s="60"/>
      <c r="O31" s="60"/>
      <c r="P31" s="60"/>
      <c r="Q31" s="60"/>
      <c r="R31" s="60"/>
      <c r="S31" s="60"/>
      <c r="T31" s="60"/>
      <c r="U31" s="60"/>
      <c r="V31" s="60"/>
    </row>
    <row r="32" spans="1:22" x14ac:dyDescent="0.35">
      <c r="A32" s="60"/>
      <c r="B32" s="60"/>
      <c r="C32" s="60"/>
      <c r="D32" s="60"/>
      <c r="E32" s="60"/>
      <c r="F32" s="60"/>
      <c r="G32" s="60"/>
      <c r="H32" s="60"/>
      <c r="I32" s="60"/>
      <c r="J32" s="60"/>
      <c r="K32" s="60"/>
      <c r="L32" s="60"/>
      <c r="M32" s="60"/>
      <c r="N32" s="60"/>
      <c r="O32" s="60"/>
      <c r="P32" s="60"/>
      <c r="Q32" s="60"/>
      <c r="R32" s="60"/>
      <c r="S32" s="60"/>
      <c r="T32" s="60"/>
      <c r="U32" s="60"/>
      <c r="V32" s="60"/>
    </row>
    <row r="33" spans="1:22" x14ac:dyDescent="0.35">
      <c r="A33" s="60"/>
      <c r="B33" s="60"/>
      <c r="C33" s="60"/>
      <c r="D33" s="60"/>
      <c r="E33" s="60"/>
      <c r="F33" s="60"/>
      <c r="G33" s="60"/>
      <c r="H33" s="60"/>
      <c r="I33" s="60"/>
      <c r="J33" s="60"/>
      <c r="K33" s="60"/>
      <c r="L33" s="60"/>
      <c r="M33" s="60"/>
      <c r="N33" s="60"/>
      <c r="O33" s="60"/>
      <c r="P33" s="60"/>
      <c r="Q33" s="60"/>
      <c r="R33" s="60"/>
      <c r="S33" s="60"/>
      <c r="T33" s="60"/>
      <c r="U33" s="60"/>
      <c r="V33" s="60"/>
    </row>
    <row r="34" spans="1:22" x14ac:dyDescent="0.35">
      <c r="A34" s="60"/>
      <c r="B34" s="60"/>
      <c r="C34" s="60"/>
      <c r="D34" s="60"/>
      <c r="E34" s="60"/>
      <c r="F34" s="60"/>
      <c r="G34" s="60"/>
      <c r="H34" s="60"/>
      <c r="I34" s="60"/>
      <c r="J34" s="60"/>
      <c r="K34" s="60"/>
      <c r="L34" s="60"/>
      <c r="M34" s="60"/>
      <c r="N34" s="60"/>
      <c r="O34" s="60"/>
      <c r="P34" s="60"/>
      <c r="Q34" s="60"/>
      <c r="R34" s="60"/>
      <c r="S34" s="60"/>
      <c r="T34" s="60"/>
      <c r="U34" s="60"/>
      <c r="V34" s="60"/>
    </row>
    <row r="35" spans="1:22" x14ac:dyDescent="0.35">
      <c r="A35" s="60"/>
      <c r="B35" s="60"/>
      <c r="C35" s="60"/>
      <c r="D35" s="60"/>
      <c r="E35" s="60"/>
      <c r="F35" s="60"/>
      <c r="G35" s="60"/>
      <c r="H35" s="60"/>
      <c r="I35" s="60"/>
      <c r="J35" s="60"/>
      <c r="K35" s="60"/>
      <c r="L35" s="60"/>
      <c r="M35" s="60"/>
      <c r="N35" s="60"/>
      <c r="O35" s="60"/>
      <c r="P35" s="60"/>
      <c r="Q35" s="60"/>
      <c r="R35" s="60"/>
      <c r="S35" s="60"/>
      <c r="T35" s="60"/>
      <c r="U35" s="60"/>
      <c r="V35" s="60"/>
    </row>
    <row r="36" spans="1:22" x14ac:dyDescent="0.35">
      <c r="A36" s="60"/>
      <c r="B36" s="60"/>
      <c r="C36" s="60"/>
      <c r="D36" s="60"/>
      <c r="E36" s="60"/>
      <c r="F36" s="60"/>
      <c r="G36" s="60"/>
      <c r="H36" s="60"/>
      <c r="I36" s="60"/>
      <c r="J36" s="60"/>
      <c r="K36" s="60"/>
      <c r="L36" s="60"/>
      <c r="M36" s="60"/>
      <c r="N36" s="60"/>
      <c r="O36" s="60"/>
      <c r="P36" s="60"/>
      <c r="Q36" s="60"/>
      <c r="R36" s="60"/>
      <c r="S36" s="60"/>
      <c r="T36" s="60"/>
      <c r="U36" s="60"/>
      <c r="V36" s="60"/>
    </row>
  </sheetData>
  <sheetProtection algorithmName="SHA-512" hashValue="UlJ0N5KS3JC/BZueRuZ8ySuLPKLb+G0UZHdOV8QJ+igzH55yA9E9zN9VL6ygDSAf2Tfj17I63aRXKmTDkGSm5Q==" saltValue="RdZx75Ewu7xoRkBzQuZWB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F40D-4720-4165-80BC-D64E3FB922D3}">
  <dimension ref="A1:M10"/>
  <sheetViews>
    <sheetView workbookViewId="0">
      <pane ySplit="6" topLeftCell="A7" activePane="bottomLeft" state="frozen"/>
      <selection pane="bottomLeft" activeCell="D23" sqref="D23"/>
    </sheetView>
  </sheetViews>
  <sheetFormatPr defaultRowHeight="14.5" x14ac:dyDescent="0.35"/>
  <cols>
    <col min="1" max="1" width="21.08984375" customWidth="1"/>
    <col min="2" max="2" width="15.90625" bestFit="1" customWidth="1"/>
    <col min="3" max="3" width="25.6328125" bestFit="1" customWidth="1"/>
    <col min="4" max="4" width="18.9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90625" bestFit="1" customWidth="1"/>
    <col min="11" max="11" width="13.453125" bestFit="1" customWidth="1"/>
    <col min="12" max="12" width="9.36328125" bestFit="1" customWidth="1"/>
  </cols>
  <sheetData>
    <row r="1" spans="1:13" ht="21" x14ac:dyDescent="0.5">
      <c r="A1" s="57" t="s">
        <v>120</v>
      </c>
    </row>
    <row r="2" spans="1:13" x14ac:dyDescent="0.35">
      <c r="A2" s="1" t="s">
        <v>121</v>
      </c>
      <c r="B2" s="58">
        <v>45201.413611111115</v>
      </c>
    </row>
    <row r="3" spans="1:13" x14ac:dyDescent="0.35">
      <c r="A3" s="1" t="s">
        <v>122</v>
      </c>
      <c r="B3" t="s">
        <v>132</v>
      </c>
    </row>
    <row r="4" spans="1:13" ht="18.5" x14ac:dyDescent="0.45">
      <c r="A4" s="1" t="s">
        <v>133</v>
      </c>
      <c r="B4" s="123" t="b">
        <v>1</v>
      </c>
    </row>
    <row r="5" spans="1:13" x14ac:dyDescent="0.35">
      <c r="B5" s="1"/>
      <c r="C5" s="1"/>
      <c r="D5" s="1"/>
      <c r="E5" s="1"/>
      <c r="F5" s="1"/>
      <c r="G5" s="1"/>
      <c r="H5" s="1"/>
      <c r="I5" s="1"/>
      <c r="J5" s="59" t="s">
        <v>129</v>
      </c>
      <c r="K5" s="1"/>
      <c r="L5" s="1"/>
      <c r="M5" s="1"/>
    </row>
    <row r="6" spans="1:13" x14ac:dyDescent="0.35">
      <c r="B6" s="1" t="s">
        <v>123</v>
      </c>
      <c r="C6" s="1" t="s">
        <v>124</v>
      </c>
      <c r="D6" s="1" t="s">
        <v>125</v>
      </c>
      <c r="E6" s="1" t="s">
        <v>126</v>
      </c>
      <c r="F6" s="1" t="s">
        <v>127</v>
      </c>
      <c r="G6" s="1"/>
      <c r="H6" s="1" t="s">
        <v>128</v>
      </c>
      <c r="I6" s="1"/>
      <c r="J6" s="1" t="s">
        <v>123</v>
      </c>
      <c r="K6" s="1" t="s">
        <v>130</v>
      </c>
      <c r="L6" s="1" t="s">
        <v>131</v>
      </c>
      <c r="M6" s="1"/>
    </row>
    <row r="7" spans="1:13" x14ac:dyDescent="0.35">
      <c r="B7" s="56" t="s">
        <v>116</v>
      </c>
      <c r="C7">
        <v>0</v>
      </c>
      <c r="D7" t="s">
        <v>115</v>
      </c>
      <c r="E7">
        <v>0</v>
      </c>
      <c r="F7" t="s">
        <v>114</v>
      </c>
    </row>
    <row r="8" spans="1:13" x14ac:dyDescent="0.35">
      <c r="B8" s="56" t="s">
        <v>117</v>
      </c>
      <c r="C8">
        <v>0</v>
      </c>
      <c r="D8" t="s">
        <v>115</v>
      </c>
      <c r="E8">
        <v>0</v>
      </c>
      <c r="F8" t="s">
        <v>114</v>
      </c>
    </row>
    <row r="9" spans="1:13" x14ac:dyDescent="0.35">
      <c r="B9" s="56" t="s">
        <v>118</v>
      </c>
      <c r="C9">
        <v>0</v>
      </c>
      <c r="D9" t="s">
        <v>115</v>
      </c>
      <c r="E9">
        <v>0</v>
      </c>
      <c r="F9" t="s">
        <v>114</v>
      </c>
    </row>
    <row r="10" spans="1:13" x14ac:dyDescent="0.35">
      <c r="B10" s="56" t="s">
        <v>119</v>
      </c>
      <c r="C10">
        <v>0</v>
      </c>
      <c r="D10" t="s">
        <v>115</v>
      </c>
      <c r="E10">
        <v>0</v>
      </c>
      <c r="F10" t="s">
        <v>114</v>
      </c>
    </row>
  </sheetData>
  <hyperlinks>
    <hyperlink ref="B7" location="'Intro'!A1" display="Intro" xr:uid="{F126F090-298C-4095-B190-FC76FB50A720}"/>
    <hyperlink ref="B8" location="'Availability'!A1" display="Availability" xr:uid="{173DEF74-2D9F-4FBF-BD6C-CED65CD7DAC3}"/>
    <hyperlink ref="B9" location="'LAD'!A1" display="LAD" xr:uid="{4E04BBA6-E8C8-4C53-9F39-FA737C72EBC9}"/>
    <hyperlink ref="B10" location="'Utilisation'!A1" display="Utilisation" xr:uid="{C815F68B-4406-4FA2-BA3D-A8405F2DD883}"/>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1" ma:contentTypeDescription="Create a new document." ma:contentTypeScope="" ma:versionID="ac0dd6ef891b38bd3f67fba38455906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9776125f3f62f48db860efc6acac528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76F0EA-D9D8-4DE3-8185-DA74B9601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AFB279-2584-44E8-819E-03B6204EAD70}">
  <ds:schemaRefs>
    <ds:schemaRef ds:uri="http://schemas.microsoft.com/office/2006/metadata/properties"/>
    <ds:schemaRef ds:uri="http://schemas.microsoft.com/office/infopath/2007/PartnerControls"/>
    <ds:schemaRef ds:uri="28344a50-20ee-46b1-93e0-1faae7350029"/>
    <ds:schemaRef ds:uri="cadce026-d35b-4a62-a2ee-1436bb44fb55"/>
  </ds:schemaRefs>
</ds:datastoreItem>
</file>

<file path=customXml/itemProps3.xml><?xml version="1.0" encoding="utf-8"?>
<ds:datastoreItem xmlns:ds="http://schemas.openxmlformats.org/officeDocument/2006/customXml" ds:itemID="{88E00D94-4019-4B81-895C-A04209DA43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Availability</vt:lpstr>
      <vt:lpstr>LAD</vt:lpstr>
      <vt:lpstr>Utilisation</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Alex Millar</cp:lastModifiedBy>
  <cp:revision/>
  <dcterms:created xsi:type="dcterms:W3CDTF">2020-06-22T09:00:09Z</dcterms:created>
  <dcterms:modified xsi:type="dcterms:W3CDTF">2023-10-03T13:24:23Z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