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codeName="ThisWorkbook"/>
  <mc:AlternateContent xmlns:mc="http://schemas.openxmlformats.org/markup-compatibility/2006">
    <mc:Choice Requires="x15">
      <x15ac:absPath xmlns:x15ac="http://schemas.microsoft.com/office/spreadsheetml/2010/11/ac" url="https://nationalgridplc.sharepoint.com/sites/GRP-INT-UK-Finance-Controllership-Electricity-System-Operator/Shared Documents/Regulatory Finance/RRP/RRP2021-22/RFPR/30.08.22 RFPR Submission Files for Review/Website Publication/"/>
    </mc:Choice>
  </mc:AlternateContent>
  <xr:revisionPtr revIDLastSave="583" documentId="8_{53B4805F-CFB1-43D6-B3C9-285A173C0735}" xr6:coauthVersionLast="47" xr6:coauthVersionMax="47" xr10:uidLastSave="{947D4D58-7999-4E22-8BD6-3A6196465F63}"/>
  <workbookProtection workbookAlgorithmName="SHA-512" workbookHashValue="leViz1La53oMxGyFwgSr6vmrb0G9VPaYQbCdUCT6lk+96VE8VOcsB3R32OAR1xaEFGN2+VeVVbRm4Zfu2yvKvg==" workbookSaltValue="nTmUiK9PCtg5NkcmcO1DWQ==" workbookSpinCount="100000" lockStructure="1"/>
  <bookViews>
    <workbookView xWindow="28680" yWindow="-120" windowWidth="29040" windowHeight="1584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r:id="rId9"/>
    <sheet name="R5a - Financing input" sheetId="30" state="hidden" r:id="rId10"/>
    <sheet name="R6 - Net Debt" sheetId="27" r:id="rId11"/>
    <sheet name="R6a - Net Debt input" sheetId="31" state="hidden" r:id="rId12"/>
    <sheet name="R7 - RAV" sheetId="10" r:id="rId13"/>
    <sheet name="R8 - Tax" sheetId="29" r:id="rId14"/>
    <sheet name="R8a - Tax Reconciliation" sheetId="35" state="hidden" r:id="rId15"/>
    <sheet name="R9 - Corporate Governance" sheetId="11"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log'!$A$1:$D$60</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Profit'!$A$1:$J$62</definedName>
    <definedName name="_xlnm.Print_Area" localSheetId="6">'R3 - Totex - Reconciliation'!$A$1:$J$101</definedName>
    <definedName name="_xlnm.Print_Area" localSheetId="7">'R4 - Incentives and Other Rev'!$A$1:$I$32</definedName>
    <definedName name="_xlnm.Print_Area" localSheetId="8">'R5 - Financing'!$A$1:$I$83</definedName>
    <definedName name="_xlnm.Print_Area" localSheetId="9">'R5a - Financing input'!$A$4:$AK$560</definedName>
    <definedName name="_xlnm.Print_Area" localSheetId="10">'R6 - Net Debt'!$A$1:$I$53</definedName>
    <definedName name="_xlnm.Print_Area" localSheetId="11">'R6a - Net Debt input'!$A$4:$AI$344</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Governance'!$A$1:$I$18</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19" l="1"/>
  <c r="D35" i="11"/>
  <c r="F58" i="11"/>
  <c r="E58" i="11"/>
  <c r="D58" i="11"/>
  <c r="M420" i="30"/>
  <c r="N420" i="30"/>
  <c r="O420" i="30"/>
  <c r="P420" i="30"/>
  <c r="Q420" i="30"/>
  <c r="R420" i="30"/>
  <c r="S420" i="30"/>
  <c r="T420" i="30"/>
  <c r="U420" i="30"/>
  <c r="V420" i="30"/>
  <c r="M421" i="30"/>
  <c r="N421" i="30"/>
  <c r="O421" i="30"/>
  <c r="P421" i="30"/>
  <c r="Q421" i="30"/>
  <c r="R421" i="30"/>
  <c r="S421" i="30"/>
  <c r="T421" i="30"/>
  <c r="U421" i="30"/>
  <c r="V421" i="30"/>
  <c r="M422" i="30"/>
  <c r="N422" i="30"/>
  <c r="O422" i="30"/>
  <c r="P422" i="30"/>
  <c r="Q422" i="30"/>
  <c r="R422" i="30"/>
  <c r="S422" i="30"/>
  <c r="T422" i="30"/>
  <c r="U422" i="30"/>
  <c r="V422" i="30"/>
  <c r="M423" i="30"/>
  <c r="N423" i="30"/>
  <c r="O423" i="30"/>
  <c r="P423" i="30"/>
  <c r="Q423" i="30"/>
  <c r="R423" i="30"/>
  <c r="S423" i="30"/>
  <c r="T423" i="30"/>
  <c r="U423" i="30"/>
  <c r="V423" i="30"/>
  <c r="C375" i="30"/>
  <c r="C376" i="30"/>
  <c r="D51" i="30" l="1"/>
  <c r="E51" i="30"/>
  <c r="F51" i="30"/>
  <c r="G51" i="30"/>
  <c r="H51" i="30"/>
  <c r="I51" i="30"/>
  <c r="C51" i="30"/>
  <c r="C52" i="30"/>
  <c r="E52" i="30" l="1"/>
  <c r="F52" i="30"/>
  <c r="G52" i="30"/>
  <c r="D149" i="2" l="1"/>
  <c r="D178" i="2" l="1"/>
  <c r="D122" i="2"/>
  <c r="E37" i="10" l="1"/>
  <c r="B23" i="17" l="1"/>
  <c r="F21" i="29" l="1"/>
  <c r="G21" i="29"/>
  <c r="H21" i="29"/>
  <c r="I21" i="29"/>
  <c r="E21" i="29"/>
  <c r="I92" i="35"/>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F65" i="4" l="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26" i="10"/>
  <c r="I26" i="10"/>
  <c r="H26" i="10"/>
  <c r="G26" i="10"/>
  <c r="E26" i="10"/>
  <c r="F191" i="28"/>
  <c r="F190" i="28"/>
  <c r="F79" i="28"/>
  <c r="H59" i="2"/>
  <c r="G59" i="2"/>
  <c r="F59" i="2"/>
  <c r="E59" i="2"/>
  <c r="D59" i="2"/>
  <c r="J58" i="2"/>
  <c r="J57" i="2"/>
  <c r="H30" i="2"/>
  <c r="G30" i="2"/>
  <c r="F30" i="2"/>
  <c r="E30" i="2"/>
  <c r="D30" i="2"/>
  <c r="J29" i="2"/>
  <c r="J28" i="2"/>
  <c r="D55" i="5"/>
  <c r="F101" i="4"/>
  <c r="G101" i="4"/>
  <c r="H101" i="4"/>
  <c r="I101" i="4"/>
  <c r="E101" i="4"/>
  <c r="D7" i="2"/>
  <c r="D23" i="35" l="1"/>
  <c r="J59" i="2"/>
  <c r="J30" i="2"/>
  <c r="B5" i="35"/>
  <c r="D32" i="35" l="1"/>
  <c r="K23" i="35"/>
  <c r="G58" i="11"/>
  <c r="H58" i="11"/>
  <c r="D45" i="35" l="1"/>
  <c r="K32" i="35"/>
  <c r="E25" i="28"/>
  <c r="D27" i="28"/>
  <c r="E55" i="5"/>
  <c r="F55" i="5"/>
  <c r="G55" i="5"/>
  <c r="H55" i="5"/>
  <c r="D48" i="5"/>
  <c r="E41" i="5"/>
  <c r="F41" i="5"/>
  <c r="G41" i="5"/>
  <c r="H41" i="5"/>
  <c r="D41" i="5"/>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25" i="2" l="1"/>
  <c r="F25" i="2"/>
  <c r="G25" i="2"/>
  <c r="H25" i="2"/>
  <c r="F23" i="10" l="1"/>
  <c r="G23" i="10"/>
  <c r="H23" i="10"/>
  <c r="I23" i="10"/>
  <c r="E23" i="10"/>
  <c r="F20" i="10"/>
  <c r="G20" i="10"/>
  <c r="H20" i="10"/>
  <c r="I20" i="10"/>
  <c r="E20" i="10"/>
  <c r="E143" i="2" l="1"/>
  <c r="F143" i="2"/>
  <c r="G143" i="2"/>
  <c r="H143" i="2"/>
  <c r="E134" i="2"/>
  <c r="F74" i="4" s="1"/>
  <c r="F134" i="2"/>
  <c r="G74" i="4" s="1"/>
  <c r="G134" i="2"/>
  <c r="G144" i="2" s="1"/>
  <c r="H134" i="2"/>
  <c r="H144" i="2" s="1"/>
  <c r="D134" i="2"/>
  <c r="D143" i="2"/>
  <c r="D144" i="2" l="1"/>
  <c r="F144" i="2"/>
  <c r="I74" i="4"/>
  <c r="E74" i="4"/>
  <c r="E144" i="2"/>
  <c r="H74" i="4"/>
  <c r="F88" i="4" l="1"/>
  <c r="F90" i="4" s="1"/>
  <c r="G88" i="4"/>
  <c r="G90" i="4" s="1"/>
  <c r="H88" i="4"/>
  <c r="H90" i="4" s="1"/>
  <c r="I88" i="4"/>
  <c r="I90" i="4" s="1"/>
  <c r="C43" i="19" l="1"/>
  <c r="C42" i="19"/>
  <c r="C40" i="19"/>
  <c r="C39" i="19"/>
  <c r="C37" i="19"/>
  <c r="C36" i="19"/>
  <c r="C34"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88" i="4"/>
  <c r="E90" i="4" s="1"/>
  <c r="D62" i="11" l="1"/>
  <c r="M500"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0" i="17"/>
  <c r="C46" i="28"/>
  <c r="D46" i="28" s="1"/>
  <c r="E46" i="28" s="1"/>
  <c r="F46" i="28" s="1"/>
  <c r="O79" i="28" s="1"/>
  <c r="E27" i="28"/>
  <c r="P54" i="28"/>
  <c r="H67" i="5"/>
  <c r="G67" i="5"/>
  <c r="F67" i="5"/>
  <c r="E67" i="5"/>
  <c r="D67" i="5"/>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7" i="28"/>
  <c r="L17" i="28" s="1"/>
  <c r="M17" i="28" s="1"/>
  <c r="N17" i="28" s="1"/>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2" i="11"/>
  <c r="F62" i="11"/>
  <c r="G62" i="11"/>
  <c r="H62"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3" i="11"/>
  <c r="E122" i="2"/>
  <c r="F122" i="2"/>
  <c r="G122" i="2"/>
  <c r="H122" i="2"/>
  <c r="F184" i="28"/>
  <c r="F183" i="28"/>
  <c r="A3" i="13"/>
  <c r="D60" i="19"/>
  <c r="D62" i="19" s="1"/>
  <c r="E60" i="19"/>
  <c r="E62" i="19" s="1"/>
  <c r="F60" i="19"/>
  <c r="F62" i="19" s="1"/>
  <c r="G60" i="19"/>
  <c r="G62" i="19" s="1"/>
  <c r="H60" i="19"/>
  <c r="H62" i="19" s="1"/>
  <c r="D67" i="19"/>
  <c r="E67" i="19"/>
  <c r="F67" i="19"/>
  <c r="G67" i="19"/>
  <c r="H67" i="19"/>
  <c r="G47" i="11"/>
  <c r="G66" i="11" s="1"/>
  <c r="H47" i="11"/>
  <c r="H66" i="11" s="1"/>
  <c r="D47" i="11"/>
  <c r="D66" i="11" s="1"/>
  <c r="E35" i="11"/>
  <c r="E47" i="11" s="1"/>
  <c r="E66" i="11" s="1"/>
  <c r="F35" i="11"/>
  <c r="F47" i="11" s="1"/>
  <c r="F66" i="11" s="1"/>
  <c r="G35" i="11"/>
  <c r="H35" i="11"/>
  <c r="E43" i="11"/>
  <c r="F43" i="11"/>
  <c r="G43" i="11"/>
  <c r="H43" i="11"/>
  <c r="D43"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D15" i="2"/>
  <c r="E285" i="30"/>
  <c r="D285" i="30"/>
  <c r="C285" i="30"/>
  <c r="E269" i="30"/>
  <c r="D269" i="30"/>
  <c r="C269" i="30"/>
  <c r="E284" i="30"/>
  <c r="D284" i="30"/>
  <c r="C284" i="30"/>
  <c r="E283" i="30"/>
  <c r="D283" i="30"/>
  <c r="C283" i="30"/>
  <c r="E282" i="30"/>
  <c r="D282" i="30"/>
  <c r="C282" i="30"/>
  <c r="E281" i="30"/>
  <c r="D281" i="30"/>
  <c r="C281" i="30"/>
  <c r="E280" i="30"/>
  <c r="D280" i="30"/>
  <c r="C280" i="30"/>
  <c r="E279" i="30"/>
  <c r="D279" i="30"/>
  <c r="C279" i="30"/>
  <c r="E278" i="30"/>
  <c r="D278" i="30"/>
  <c r="C278" i="30"/>
  <c r="E277" i="30"/>
  <c r="D277" i="30"/>
  <c r="C277" i="30"/>
  <c r="E276" i="30"/>
  <c r="D276" i="30"/>
  <c r="E268" i="30"/>
  <c r="E267" i="30"/>
  <c r="E266" i="30"/>
  <c r="E265" i="30"/>
  <c r="E264" i="30"/>
  <c r="E263" i="30"/>
  <c r="E262" i="30"/>
  <c r="E261" i="30"/>
  <c r="E260" i="30"/>
  <c r="D268" i="30"/>
  <c r="C268" i="30"/>
  <c r="D267" i="30"/>
  <c r="C267" i="30"/>
  <c r="D266" i="30"/>
  <c r="C266" i="30"/>
  <c r="D265" i="30"/>
  <c r="C265" i="30"/>
  <c r="D264" i="30"/>
  <c r="C264" i="30"/>
  <c r="D263" i="30"/>
  <c r="C263" i="30"/>
  <c r="D262" i="30"/>
  <c r="C262" i="30"/>
  <c r="D261" i="30"/>
  <c r="C261" i="30"/>
  <c r="D260" i="30"/>
  <c r="I65" i="30"/>
  <c r="I86" i="30"/>
  <c r="H65" i="30"/>
  <c r="H86" i="30"/>
  <c r="G65" i="30"/>
  <c r="G86" i="30"/>
  <c r="F65" i="30"/>
  <c r="F86" i="30"/>
  <c r="E65" i="30"/>
  <c r="E86" i="30"/>
  <c r="D65" i="30"/>
  <c r="D86" i="30"/>
  <c r="C65" i="30"/>
  <c r="C86" i="30"/>
  <c r="I64" i="30"/>
  <c r="I85" i="30"/>
  <c r="H64" i="30"/>
  <c r="H85" i="30"/>
  <c r="G64" i="30"/>
  <c r="G85" i="30"/>
  <c r="F64" i="30"/>
  <c r="F85" i="30"/>
  <c r="E64" i="30"/>
  <c r="E85" i="30"/>
  <c r="D64" i="30"/>
  <c r="D85" i="30"/>
  <c r="C64" i="30"/>
  <c r="C85" i="30"/>
  <c r="I63" i="30"/>
  <c r="I84" i="30"/>
  <c r="H63" i="30"/>
  <c r="H84" i="30"/>
  <c r="G63" i="30"/>
  <c r="G84" i="30"/>
  <c r="F63" i="30"/>
  <c r="F84" i="30"/>
  <c r="E63" i="30"/>
  <c r="E84" i="30"/>
  <c r="D63" i="30"/>
  <c r="D84" i="30"/>
  <c r="C63" i="30"/>
  <c r="C84" i="30"/>
  <c r="I62" i="30"/>
  <c r="I83" i="30"/>
  <c r="H62" i="30"/>
  <c r="H83" i="30"/>
  <c r="G62" i="30"/>
  <c r="G83" i="30"/>
  <c r="F62" i="30"/>
  <c r="F83" i="30"/>
  <c r="E62" i="30"/>
  <c r="E83" i="30"/>
  <c r="D62" i="30"/>
  <c r="D83" i="30"/>
  <c r="C62" i="30"/>
  <c r="C83" i="30"/>
  <c r="I61" i="30"/>
  <c r="I82" i="30"/>
  <c r="H61" i="30"/>
  <c r="H82" i="30"/>
  <c r="G61" i="30"/>
  <c r="G82" i="30"/>
  <c r="F61" i="30"/>
  <c r="F82" i="30"/>
  <c r="E61" i="30"/>
  <c r="E82" i="30"/>
  <c r="D61" i="30"/>
  <c r="D82" i="30"/>
  <c r="C61" i="30"/>
  <c r="C82" i="30"/>
  <c r="I60" i="30"/>
  <c r="I81" i="30"/>
  <c r="H60" i="30"/>
  <c r="H81" i="30"/>
  <c r="G60" i="30"/>
  <c r="G81" i="30"/>
  <c r="F60" i="30"/>
  <c r="F81" i="30"/>
  <c r="E60" i="30"/>
  <c r="E81" i="30"/>
  <c r="D60" i="30"/>
  <c r="D81" i="30"/>
  <c r="C60" i="30"/>
  <c r="C81" i="30"/>
  <c r="I59" i="30"/>
  <c r="I80" i="30"/>
  <c r="H59" i="30"/>
  <c r="H80" i="30"/>
  <c r="G59" i="30"/>
  <c r="G80" i="30"/>
  <c r="F59" i="30"/>
  <c r="F80" i="30"/>
  <c r="E59" i="30"/>
  <c r="E80" i="30"/>
  <c r="D59" i="30"/>
  <c r="D80" i="30"/>
  <c r="C59" i="30"/>
  <c r="C80" i="30"/>
  <c r="I58" i="30"/>
  <c r="I79" i="30"/>
  <c r="H58" i="30"/>
  <c r="H79" i="30"/>
  <c r="G58" i="30"/>
  <c r="G79" i="30"/>
  <c r="F58" i="30"/>
  <c r="F79" i="30"/>
  <c r="E58" i="30"/>
  <c r="E79" i="30"/>
  <c r="D58" i="30"/>
  <c r="D79" i="30"/>
  <c r="C58" i="30"/>
  <c r="C79" i="30"/>
  <c r="I57" i="30"/>
  <c r="I78" i="30"/>
  <c r="H57" i="30"/>
  <c r="H78" i="30"/>
  <c r="G57" i="30"/>
  <c r="G78" i="30"/>
  <c r="F57" i="30"/>
  <c r="F78" i="30"/>
  <c r="E57" i="30"/>
  <c r="E78" i="30"/>
  <c r="D57" i="30"/>
  <c r="D78" i="30"/>
  <c r="C57" i="30"/>
  <c r="C78" i="30"/>
  <c r="I56" i="30"/>
  <c r="I77" i="30"/>
  <c r="H56" i="30"/>
  <c r="H77" i="30"/>
  <c r="G56" i="30"/>
  <c r="G77" i="30"/>
  <c r="F56" i="30"/>
  <c r="F77" i="30"/>
  <c r="E56" i="30"/>
  <c r="E77" i="30"/>
  <c r="D56" i="30"/>
  <c r="D77" i="30"/>
  <c r="C56" i="30"/>
  <c r="C77" i="30"/>
  <c r="I55" i="30"/>
  <c r="I76" i="30"/>
  <c r="H55" i="30"/>
  <c r="H76" i="30"/>
  <c r="G55" i="30"/>
  <c r="G76" i="30"/>
  <c r="F55" i="30"/>
  <c r="F76" i="30"/>
  <c r="E55" i="30"/>
  <c r="E76" i="30"/>
  <c r="D55" i="30"/>
  <c r="D76" i="30"/>
  <c r="C55" i="30"/>
  <c r="C76" i="30"/>
  <c r="I54" i="30"/>
  <c r="I75" i="30"/>
  <c r="H54" i="30"/>
  <c r="H75" i="30"/>
  <c r="G54" i="30"/>
  <c r="G75" i="30"/>
  <c r="F54" i="30"/>
  <c r="F75" i="30"/>
  <c r="E54" i="30"/>
  <c r="E75" i="30"/>
  <c r="D54" i="30"/>
  <c r="D75" i="30"/>
  <c r="C54" i="30"/>
  <c r="C75" i="30"/>
  <c r="I53" i="30"/>
  <c r="I74" i="30"/>
  <c r="H53" i="30"/>
  <c r="H74" i="30"/>
  <c r="G53" i="30"/>
  <c r="G74" i="30"/>
  <c r="F53" i="30"/>
  <c r="F74" i="30"/>
  <c r="E53" i="30"/>
  <c r="E74" i="30"/>
  <c r="D53" i="30"/>
  <c r="D74" i="30"/>
  <c r="C53" i="30"/>
  <c r="C74" i="30"/>
  <c r="I52" i="30"/>
  <c r="I73" i="30"/>
  <c r="H52" i="30"/>
  <c r="H73" i="30"/>
  <c r="G73" i="30"/>
  <c r="F73" i="30"/>
  <c r="E73" i="30"/>
  <c r="D52" i="30"/>
  <c r="D73" i="30"/>
  <c r="C73" i="30"/>
  <c r="I72" i="30"/>
  <c r="H72" i="30"/>
  <c r="G72" i="30"/>
  <c r="F72" i="30"/>
  <c r="E72" i="30"/>
  <c r="D72" i="30"/>
  <c r="B30" i="1"/>
  <c r="T20" i="31"/>
  <c r="D11" i="27" s="1"/>
  <c r="E9" i="27" s="1"/>
  <c r="J48" i="17"/>
  <c r="D40" i="19"/>
  <c r="D39" i="19"/>
  <c r="H23" i="19"/>
  <c r="G23" i="19"/>
  <c r="F23" i="19"/>
  <c r="E23" i="19"/>
  <c r="D23" i="19"/>
  <c r="H16" i="11"/>
  <c r="G16" i="11"/>
  <c r="F16" i="11"/>
  <c r="E16" i="11"/>
  <c r="D16" i="11"/>
  <c r="I18" i="29"/>
  <c r="H18" i="29"/>
  <c r="G18" i="29"/>
  <c r="F18" i="29"/>
  <c r="E18" i="29"/>
  <c r="E17" i="10"/>
  <c r="AC340" i="31"/>
  <c r="AC341" i="31"/>
  <c r="AB340" i="31"/>
  <c r="AB341" i="31"/>
  <c r="AA340" i="31"/>
  <c r="AA341" i="31"/>
  <c r="Z340" i="31"/>
  <c r="Z341" i="31"/>
  <c r="Y340" i="31"/>
  <c r="Y341" i="31"/>
  <c r="X340" i="31"/>
  <c r="X341" i="31"/>
  <c r="W340" i="31"/>
  <c r="W341" i="31"/>
  <c r="V340" i="31"/>
  <c r="V341" i="31"/>
  <c r="U340" i="31"/>
  <c r="U341" i="31"/>
  <c r="T340" i="31"/>
  <c r="T341" i="31"/>
  <c r="AC334" i="31"/>
  <c r="AC335" i="31"/>
  <c r="AB334" i="31"/>
  <c r="AB335" i="31"/>
  <c r="AA334" i="31"/>
  <c r="AA335" i="31"/>
  <c r="Z334" i="31"/>
  <c r="Z335" i="31"/>
  <c r="Y334" i="31"/>
  <c r="Y335" i="31"/>
  <c r="X334" i="31"/>
  <c r="X335" i="31"/>
  <c r="W334" i="31"/>
  <c r="W335" i="31"/>
  <c r="V334" i="31"/>
  <c r="V335" i="31"/>
  <c r="U334" i="31"/>
  <c r="U335" i="31"/>
  <c r="T334" i="31"/>
  <c r="T335" i="31"/>
  <c r="AC328" i="31"/>
  <c r="AC329" i="31"/>
  <c r="AB328" i="31"/>
  <c r="AB329" i="31"/>
  <c r="AA328" i="31"/>
  <c r="AA329" i="31"/>
  <c r="Z328" i="31"/>
  <c r="Z329" i="31"/>
  <c r="Y328" i="31"/>
  <c r="Y329" i="31"/>
  <c r="X328" i="31"/>
  <c r="X329" i="31"/>
  <c r="W328" i="31"/>
  <c r="W329" i="31"/>
  <c r="V328" i="31"/>
  <c r="V329" i="31"/>
  <c r="U328" i="31"/>
  <c r="U329" i="31"/>
  <c r="T328" i="31"/>
  <c r="T329" i="31"/>
  <c r="AC320" i="31"/>
  <c r="AC321" i="31"/>
  <c r="AB320" i="31"/>
  <c r="AB321" i="31"/>
  <c r="AA320" i="31"/>
  <c r="AA321" i="31"/>
  <c r="Z320" i="31"/>
  <c r="Z321" i="31"/>
  <c r="Y320" i="31"/>
  <c r="Y321" i="31"/>
  <c r="X320" i="31"/>
  <c r="X321" i="31"/>
  <c r="W320" i="31"/>
  <c r="W321" i="31"/>
  <c r="V320" i="31"/>
  <c r="V321" i="31"/>
  <c r="U320" i="31"/>
  <c r="U321" i="31"/>
  <c r="T320" i="31"/>
  <c r="T321" i="31"/>
  <c r="AC310" i="31"/>
  <c r="AB310" i="31"/>
  <c r="AA310" i="31"/>
  <c r="Z310" i="31"/>
  <c r="Y310" i="31"/>
  <c r="X310" i="31"/>
  <c r="W310" i="31"/>
  <c r="V310" i="31"/>
  <c r="U310" i="31"/>
  <c r="T310" i="31"/>
  <c r="AC260" i="31"/>
  <c r="AB260" i="31"/>
  <c r="AA260" i="31"/>
  <c r="Z260" i="31"/>
  <c r="Y260" i="31"/>
  <c r="X260" i="31"/>
  <c r="H23" i="27"/>
  <c r="W260" i="31"/>
  <c r="G23" i="27"/>
  <c r="V260" i="31"/>
  <c r="F23" i="27"/>
  <c r="U260" i="31"/>
  <c r="E23" i="27"/>
  <c r="T260" i="31"/>
  <c r="D23" i="27"/>
  <c r="AC244" i="31"/>
  <c r="AB244" i="31"/>
  <c r="AA244" i="31"/>
  <c r="Z244" i="31"/>
  <c r="Y244" i="31"/>
  <c r="X244" i="31"/>
  <c r="W244" i="31"/>
  <c r="G22" i="27"/>
  <c r="V244" i="31"/>
  <c r="F22" i="27"/>
  <c r="U244" i="31"/>
  <c r="E22" i="27"/>
  <c r="T244" i="31"/>
  <c r="D22" i="27"/>
  <c r="AC228" i="31"/>
  <c r="AB228" i="31"/>
  <c r="AA228" i="31"/>
  <c r="Z228" i="31"/>
  <c r="Y228" i="31"/>
  <c r="X228" i="31"/>
  <c r="H21" i="27"/>
  <c r="W228" i="31"/>
  <c r="G21" i="27"/>
  <c r="V228" i="31"/>
  <c r="F21" i="27"/>
  <c r="U228" i="31"/>
  <c r="E21" i="27"/>
  <c r="T228" i="31"/>
  <c r="D21" i="27"/>
  <c r="AC210" i="31"/>
  <c r="AB210" i="31"/>
  <c r="AA210" i="31"/>
  <c r="Z210" i="31"/>
  <c r="Y210" i="31"/>
  <c r="X210" i="31"/>
  <c r="H20" i="27"/>
  <c r="W210" i="31"/>
  <c r="G20" i="27"/>
  <c r="V210" i="31"/>
  <c r="F20" i="27"/>
  <c r="U210" i="31"/>
  <c r="E20" i="27"/>
  <c r="T210" i="31"/>
  <c r="D20" i="27"/>
  <c r="AC187" i="31"/>
  <c r="AB187" i="31"/>
  <c r="AA187" i="31"/>
  <c r="Z187" i="31"/>
  <c r="Y187" i="31"/>
  <c r="X187" i="31"/>
  <c r="H19" i="27"/>
  <c r="W187" i="31"/>
  <c r="G19" i="27"/>
  <c r="V187" i="31"/>
  <c r="F19" i="27"/>
  <c r="U187" i="31"/>
  <c r="E19" i="27"/>
  <c r="T187" i="31"/>
  <c r="D19" i="27"/>
  <c r="AC160" i="31"/>
  <c r="AB160" i="31"/>
  <c r="AA160" i="31"/>
  <c r="Z160" i="31"/>
  <c r="Y160" i="31"/>
  <c r="X160" i="31"/>
  <c r="H18" i="27"/>
  <c r="W160" i="31"/>
  <c r="G18" i="27"/>
  <c r="V160" i="31"/>
  <c r="F18" i="27"/>
  <c r="U160" i="31"/>
  <c r="E18" i="27"/>
  <c r="T160" i="31"/>
  <c r="D18" i="27"/>
  <c r="AC132" i="31"/>
  <c r="AB132" i="31"/>
  <c r="AA132" i="31"/>
  <c r="Z132" i="31"/>
  <c r="Y132" i="31"/>
  <c r="X132" i="31"/>
  <c r="H17" i="27"/>
  <c r="W132" i="31"/>
  <c r="G17" i="27"/>
  <c r="V132" i="31"/>
  <c r="F17" i="27"/>
  <c r="U132" i="31"/>
  <c r="E17" i="27"/>
  <c r="T132" i="31"/>
  <c r="D17" i="27"/>
  <c r="AC116" i="31"/>
  <c r="AB116" i="31"/>
  <c r="AA116" i="31"/>
  <c r="Z116" i="31"/>
  <c r="Y116" i="31"/>
  <c r="X116" i="31"/>
  <c r="H16" i="27"/>
  <c r="W116" i="31"/>
  <c r="G16" i="27"/>
  <c r="V116" i="31"/>
  <c r="U116" i="31"/>
  <c r="E16" i="27"/>
  <c r="T116" i="31"/>
  <c r="D16" i="27"/>
  <c r="AC100" i="31"/>
  <c r="AB100" i="31"/>
  <c r="AA100" i="31"/>
  <c r="Z100" i="31"/>
  <c r="Y100" i="31"/>
  <c r="X100" i="31"/>
  <c r="H15" i="27"/>
  <c r="W100" i="31"/>
  <c r="V100" i="31"/>
  <c r="F15" i="27"/>
  <c r="U100" i="31"/>
  <c r="E15" i="27"/>
  <c r="T100" i="31"/>
  <c r="AC85" i="31"/>
  <c r="AB85" i="31"/>
  <c r="AA85" i="31"/>
  <c r="Z85" i="31"/>
  <c r="Y85" i="31"/>
  <c r="X85" i="31"/>
  <c r="H14" i="27"/>
  <c r="W85" i="31"/>
  <c r="G14" i="27"/>
  <c r="V85" i="31"/>
  <c r="F14" i="27"/>
  <c r="U85" i="31"/>
  <c r="E14" i="27"/>
  <c r="T85" i="31"/>
  <c r="D14" i="27" s="1"/>
  <c r="AC70" i="31"/>
  <c r="AB70" i="31"/>
  <c r="AA70" i="31"/>
  <c r="Z70" i="31"/>
  <c r="Y70" i="31"/>
  <c r="X70" i="31"/>
  <c r="H13" i="27" s="1"/>
  <c r="W70" i="31"/>
  <c r="G13" i="27" s="1"/>
  <c r="V70" i="31"/>
  <c r="F13" i="27" s="1"/>
  <c r="U70" i="31"/>
  <c r="E13" i="27" s="1"/>
  <c r="T70" i="31"/>
  <c r="D13" i="27" s="1"/>
  <c r="AC55" i="31"/>
  <c r="AB55" i="31"/>
  <c r="AA55" i="31"/>
  <c r="Z55" i="31"/>
  <c r="Y55" i="31"/>
  <c r="X55" i="31"/>
  <c r="H12" i="27" s="1"/>
  <c r="W55" i="31"/>
  <c r="G12" i="27"/>
  <c r="V55" i="31"/>
  <c r="F12" i="27"/>
  <c r="U55" i="31"/>
  <c r="E12" i="27" s="1"/>
  <c r="T55" i="31"/>
  <c r="D12" i="27" s="1"/>
  <c r="AC20" i="31"/>
  <c r="AB20" i="31"/>
  <c r="AA20" i="31"/>
  <c r="Z20" i="31"/>
  <c r="Y20" i="31"/>
  <c r="X20" i="31"/>
  <c r="H11" i="27"/>
  <c r="W20" i="31"/>
  <c r="G11" i="27"/>
  <c r="H9" i="27"/>
  <c r="V20" i="31"/>
  <c r="F11" i="27"/>
  <c r="G9" i="27"/>
  <c r="U20" i="31"/>
  <c r="E11" i="27"/>
  <c r="H52" i="27"/>
  <c r="H53" i="27"/>
  <c r="G52" i="27"/>
  <c r="G53" i="27"/>
  <c r="F52" i="27"/>
  <c r="F53" i="27"/>
  <c r="E52" i="27"/>
  <c r="E53" i="27"/>
  <c r="D52" i="27"/>
  <c r="D53" i="27"/>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H22" i="27"/>
  <c r="F16" i="27"/>
  <c r="G15" i="27"/>
  <c r="D15" i="27"/>
  <c r="V544" i="30"/>
  <c r="U544" i="30"/>
  <c r="T544" i="30"/>
  <c r="S544" i="30"/>
  <c r="R544" i="30"/>
  <c r="Q544" i="30"/>
  <c r="P544" i="30"/>
  <c r="O544" i="30"/>
  <c r="N544" i="30"/>
  <c r="M544" i="30"/>
  <c r="V500" i="30"/>
  <c r="U500" i="30"/>
  <c r="T500" i="30"/>
  <c r="S500" i="30"/>
  <c r="R500" i="30"/>
  <c r="Q500" i="30"/>
  <c r="P500" i="30"/>
  <c r="O500" i="30"/>
  <c r="N500" i="30"/>
  <c r="V489" i="30"/>
  <c r="V496" i="30"/>
  <c r="U489" i="30"/>
  <c r="U496" i="30"/>
  <c r="T489" i="30"/>
  <c r="T496" i="30"/>
  <c r="S489" i="30"/>
  <c r="S496" i="30"/>
  <c r="R489" i="30"/>
  <c r="R496" i="30"/>
  <c r="Q489" i="30"/>
  <c r="Q496" i="30"/>
  <c r="P489" i="30"/>
  <c r="P496" i="30"/>
  <c r="O489" i="30"/>
  <c r="O496" i="30"/>
  <c r="N489" i="30"/>
  <c r="N496" i="30"/>
  <c r="M489" i="30"/>
  <c r="M496" i="30"/>
  <c r="V466" i="30"/>
  <c r="U466" i="30"/>
  <c r="T466" i="30"/>
  <c r="S466" i="30"/>
  <c r="R466" i="30"/>
  <c r="Q466" i="30"/>
  <c r="P466" i="30"/>
  <c r="O466" i="30"/>
  <c r="N466" i="30"/>
  <c r="M466" i="30"/>
  <c r="X451" i="30"/>
  <c r="X452" i="30"/>
  <c r="X457" i="30"/>
  <c r="X461" i="30"/>
  <c r="X422" i="30"/>
  <c r="X421" i="30"/>
  <c r="X420" i="30"/>
  <c r="V413" i="30"/>
  <c r="U413" i="30"/>
  <c r="T413" i="30"/>
  <c r="S413" i="30"/>
  <c r="R413" i="30"/>
  <c r="Q413" i="30"/>
  <c r="P413" i="30"/>
  <c r="O413" i="30"/>
  <c r="N413" i="30"/>
  <c r="M413" i="30"/>
  <c r="I411" i="30"/>
  <c r="H411" i="30"/>
  <c r="G411" i="30"/>
  <c r="F411" i="30"/>
  <c r="E411" i="30"/>
  <c r="D411" i="30"/>
  <c r="C411" i="30"/>
  <c r="I410" i="30"/>
  <c r="H410" i="30"/>
  <c r="G410" i="30"/>
  <c r="F410" i="30"/>
  <c r="E410" i="30"/>
  <c r="D410" i="30"/>
  <c r="C410" i="30"/>
  <c r="I409" i="30"/>
  <c r="H409" i="30"/>
  <c r="G409" i="30"/>
  <c r="F409" i="30"/>
  <c r="E409" i="30"/>
  <c r="D409" i="30"/>
  <c r="C409" i="30"/>
  <c r="I408" i="30"/>
  <c r="H408" i="30"/>
  <c r="G408" i="30"/>
  <c r="F408" i="30"/>
  <c r="E408" i="30"/>
  <c r="D408" i="30"/>
  <c r="C408" i="30"/>
  <c r="V403" i="30"/>
  <c r="U403" i="30"/>
  <c r="T403" i="30"/>
  <c r="S403" i="30"/>
  <c r="R403" i="30"/>
  <c r="Q403" i="30"/>
  <c r="P403" i="30"/>
  <c r="O403" i="30"/>
  <c r="N403" i="30"/>
  <c r="M403" i="30"/>
  <c r="I401" i="30"/>
  <c r="H401" i="30"/>
  <c r="G401" i="30"/>
  <c r="F401" i="30"/>
  <c r="E401" i="30"/>
  <c r="D401" i="30"/>
  <c r="C401" i="30"/>
  <c r="I400" i="30"/>
  <c r="H400" i="30"/>
  <c r="G400" i="30"/>
  <c r="F400" i="30"/>
  <c r="E400" i="30"/>
  <c r="D400" i="30"/>
  <c r="C400" i="30"/>
  <c r="I399" i="30"/>
  <c r="H399" i="30"/>
  <c r="G399" i="30"/>
  <c r="F399" i="30"/>
  <c r="E399" i="30"/>
  <c r="D399" i="30"/>
  <c r="C399" i="30"/>
  <c r="C398" i="30"/>
  <c r="V391" i="30"/>
  <c r="U391" i="30"/>
  <c r="T391" i="30"/>
  <c r="S391" i="30"/>
  <c r="S515" i="30" s="1"/>
  <c r="R391" i="30"/>
  <c r="Q391" i="30"/>
  <c r="P391" i="30"/>
  <c r="O391" i="30"/>
  <c r="N391" i="30"/>
  <c r="M391" i="30"/>
  <c r="I389" i="30"/>
  <c r="H389" i="30"/>
  <c r="G389" i="30"/>
  <c r="F389" i="30"/>
  <c r="E389" i="30"/>
  <c r="D389" i="30"/>
  <c r="C389" i="30"/>
  <c r="I388" i="30"/>
  <c r="H388" i="30"/>
  <c r="G388" i="30"/>
  <c r="F388" i="30"/>
  <c r="E388" i="30"/>
  <c r="D388" i="30"/>
  <c r="C388" i="30"/>
  <c r="V380" i="30"/>
  <c r="U380" i="30"/>
  <c r="T380" i="30"/>
  <c r="S380" i="30"/>
  <c r="R380" i="30"/>
  <c r="Q380" i="30"/>
  <c r="P380" i="30"/>
  <c r="O380" i="30"/>
  <c r="N380" i="30"/>
  <c r="M380" i="30"/>
  <c r="C379" i="30"/>
  <c r="C378" i="30"/>
  <c r="C377" i="30"/>
  <c r="V368" i="30"/>
  <c r="U368" i="30"/>
  <c r="T368" i="30"/>
  <c r="S368" i="30"/>
  <c r="R368" i="30"/>
  <c r="Q368" i="30"/>
  <c r="P368" i="30"/>
  <c r="O368" i="30"/>
  <c r="N368" i="30"/>
  <c r="M368" i="30"/>
  <c r="I366" i="30"/>
  <c r="H366" i="30"/>
  <c r="G366" i="30"/>
  <c r="F366" i="30"/>
  <c r="E366" i="30"/>
  <c r="D366" i="30"/>
  <c r="C366" i="30"/>
  <c r="I365" i="30"/>
  <c r="H365" i="30"/>
  <c r="G365" i="30"/>
  <c r="F365" i="30"/>
  <c r="E365" i="30"/>
  <c r="D365" i="30"/>
  <c r="C365" i="30"/>
  <c r="I364" i="30"/>
  <c r="H364" i="30"/>
  <c r="G364" i="30"/>
  <c r="F364" i="30"/>
  <c r="E364" i="30"/>
  <c r="D364" i="30"/>
  <c r="C364" i="30"/>
  <c r="I363" i="30"/>
  <c r="H363" i="30"/>
  <c r="G363" i="30"/>
  <c r="F363" i="30"/>
  <c r="E363" i="30"/>
  <c r="D363" i="30"/>
  <c r="C363" i="30"/>
  <c r="V357" i="30"/>
  <c r="U357" i="30"/>
  <c r="T357" i="30"/>
  <c r="S357" i="30"/>
  <c r="R357" i="30"/>
  <c r="Q357" i="30"/>
  <c r="P357" i="30"/>
  <c r="O357" i="30"/>
  <c r="N357" i="30"/>
  <c r="M357" i="30"/>
  <c r="E355" i="30"/>
  <c r="D355" i="30"/>
  <c r="C355" i="30"/>
  <c r="E354" i="30"/>
  <c r="D354" i="30"/>
  <c r="C354" i="30"/>
  <c r="E353" i="30"/>
  <c r="D353" i="30"/>
  <c r="C353" i="30"/>
  <c r="E352" i="30"/>
  <c r="D352" i="30"/>
  <c r="C352" i="30"/>
  <c r="V344" i="30"/>
  <c r="U344" i="30"/>
  <c r="T344" i="30"/>
  <c r="S344" i="30"/>
  <c r="R344" i="30"/>
  <c r="Q344" i="30"/>
  <c r="P344" i="30"/>
  <c r="O344" i="30"/>
  <c r="N344" i="30"/>
  <c r="M344" i="30"/>
  <c r="I342" i="30"/>
  <c r="H342" i="30"/>
  <c r="G342" i="30"/>
  <c r="F342" i="30"/>
  <c r="E342" i="30"/>
  <c r="D342" i="30"/>
  <c r="C342" i="30"/>
  <c r="I341" i="30"/>
  <c r="H341" i="30"/>
  <c r="G341" i="30"/>
  <c r="F341" i="30"/>
  <c r="E341" i="30"/>
  <c r="D341" i="30"/>
  <c r="C341" i="30"/>
  <c r="I340" i="30"/>
  <c r="H340" i="30"/>
  <c r="G340" i="30"/>
  <c r="F340" i="30"/>
  <c r="E340" i="30"/>
  <c r="D340" i="30"/>
  <c r="C340" i="30"/>
  <c r="I339" i="30"/>
  <c r="H339" i="30"/>
  <c r="G339" i="30"/>
  <c r="F339" i="30"/>
  <c r="E339" i="30"/>
  <c r="D339" i="30"/>
  <c r="C339" i="30"/>
  <c r="V333" i="30"/>
  <c r="U333" i="30"/>
  <c r="T333" i="30"/>
  <c r="S333" i="30"/>
  <c r="R333" i="30"/>
  <c r="Q333" i="30"/>
  <c r="P333" i="30"/>
  <c r="O333" i="30"/>
  <c r="N333" i="30"/>
  <c r="M333" i="30"/>
  <c r="E331" i="30"/>
  <c r="D331" i="30"/>
  <c r="C331" i="30"/>
  <c r="E330" i="30"/>
  <c r="D330" i="30"/>
  <c r="C330" i="30"/>
  <c r="E329" i="30"/>
  <c r="D329" i="30"/>
  <c r="C329" i="30"/>
  <c r="E328" i="30"/>
  <c r="D328" i="30"/>
  <c r="C328" i="30"/>
  <c r="V320" i="30"/>
  <c r="U320" i="30"/>
  <c r="T320" i="30"/>
  <c r="S320" i="30"/>
  <c r="R320" i="30"/>
  <c r="Q320" i="30"/>
  <c r="P320" i="30"/>
  <c r="O320" i="30"/>
  <c r="N320" i="30"/>
  <c r="M320" i="30"/>
  <c r="I318" i="30"/>
  <c r="H318" i="30"/>
  <c r="G318" i="30"/>
  <c r="F318" i="30"/>
  <c r="E318" i="30"/>
  <c r="D318" i="30"/>
  <c r="C318" i="30"/>
  <c r="I317" i="30"/>
  <c r="H317" i="30"/>
  <c r="G317" i="30"/>
  <c r="F317" i="30"/>
  <c r="E317" i="30"/>
  <c r="D317" i="30"/>
  <c r="C317" i="30"/>
  <c r="I316" i="30"/>
  <c r="H316" i="30"/>
  <c r="G316" i="30"/>
  <c r="F316" i="30"/>
  <c r="E316" i="30"/>
  <c r="D316" i="30"/>
  <c r="C316" i="30"/>
  <c r="I315" i="30"/>
  <c r="H315" i="30"/>
  <c r="G315" i="30"/>
  <c r="F315" i="30"/>
  <c r="E315" i="30"/>
  <c r="D315" i="30"/>
  <c r="C315" i="30"/>
  <c r="I314" i="30"/>
  <c r="H314" i="30"/>
  <c r="G314" i="30"/>
  <c r="F314" i="30"/>
  <c r="E314" i="30"/>
  <c r="D314" i="30"/>
  <c r="C314" i="30"/>
  <c r="I313" i="30"/>
  <c r="H313" i="30"/>
  <c r="G313" i="30"/>
  <c r="F313" i="30"/>
  <c r="E313" i="30"/>
  <c r="D313" i="30"/>
  <c r="C313" i="30"/>
  <c r="I312" i="30"/>
  <c r="H312" i="30"/>
  <c r="G312" i="30"/>
  <c r="F312" i="30"/>
  <c r="E312" i="30"/>
  <c r="D312" i="30"/>
  <c r="C312" i="30"/>
  <c r="I311" i="30"/>
  <c r="H311" i="30"/>
  <c r="G311" i="30"/>
  <c r="F311" i="30"/>
  <c r="E311" i="30"/>
  <c r="D311" i="30"/>
  <c r="C311" i="30"/>
  <c r="I310" i="30"/>
  <c r="H310" i="30"/>
  <c r="G310" i="30"/>
  <c r="F310" i="30"/>
  <c r="E310" i="30"/>
  <c r="D310" i="30"/>
  <c r="C310" i="30"/>
  <c r="V304" i="30"/>
  <c r="U304" i="30"/>
  <c r="T304" i="30"/>
  <c r="S304" i="30"/>
  <c r="R304" i="30"/>
  <c r="Q304" i="30"/>
  <c r="P304" i="30"/>
  <c r="O304" i="30"/>
  <c r="N304" i="30"/>
  <c r="M304" i="30"/>
  <c r="E302" i="30"/>
  <c r="D302" i="30"/>
  <c r="C302" i="30"/>
  <c r="E301" i="30"/>
  <c r="D301" i="30"/>
  <c r="C301" i="30"/>
  <c r="E300" i="30"/>
  <c r="D300" i="30"/>
  <c r="C300" i="30"/>
  <c r="E299" i="30"/>
  <c r="D299" i="30"/>
  <c r="C299" i="30"/>
  <c r="E298" i="30"/>
  <c r="D298" i="30"/>
  <c r="C298" i="30"/>
  <c r="E297" i="30"/>
  <c r="D297" i="30"/>
  <c r="C297" i="30"/>
  <c r="E296" i="30"/>
  <c r="D296" i="30"/>
  <c r="C296" i="30"/>
  <c r="E295" i="30"/>
  <c r="D295" i="30"/>
  <c r="C295" i="30"/>
  <c r="E294" i="30"/>
  <c r="D294" i="30"/>
  <c r="C294" i="30"/>
  <c r="V286" i="30"/>
  <c r="U286" i="30"/>
  <c r="T286" i="30"/>
  <c r="S286" i="30"/>
  <c r="R286" i="30"/>
  <c r="Q286" i="30"/>
  <c r="P286" i="30"/>
  <c r="O286" i="30"/>
  <c r="N286" i="30"/>
  <c r="M286" i="30"/>
  <c r="C276" i="30"/>
  <c r="V270" i="30"/>
  <c r="U270" i="30"/>
  <c r="T270" i="30"/>
  <c r="S270" i="30"/>
  <c r="R270" i="30"/>
  <c r="Q270" i="30"/>
  <c r="P270" i="30"/>
  <c r="O270" i="30"/>
  <c r="N270" i="30"/>
  <c r="M270" i="30"/>
  <c r="C260" i="30"/>
  <c r="V252" i="30"/>
  <c r="U252" i="30"/>
  <c r="T252" i="30"/>
  <c r="S252" i="30"/>
  <c r="R252" i="30"/>
  <c r="Q252" i="30"/>
  <c r="P252" i="30"/>
  <c r="O252" i="30"/>
  <c r="N252" i="30"/>
  <c r="M252" i="30"/>
  <c r="E250" i="30"/>
  <c r="D250" i="30"/>
  <c r="C250" i="30"/>
  <c r="E249" i="30"/>
  <c r="D249" i="30"/>
  <c r="C249" i="30"/>
  <c r="E248" i="30"/>
  <c r="D248" i="30"/>
  <c r="C248" i="30"/>
  <c r="E247" i="30"/>
  <c r="D247" i="30"/>
  <c r="C247" i="30"/>
  <c r="E246" i="30"/>
  <c r="D246" i="30"/>
  <c r="C246" i="30"/>
  <c r="E245" i="30"/>
  <c r="D245" i="30"/>
  <c r="C245" i="30"/>
  <c r="E244" i="30"/>
  <c r="D244" i="30"/>
  <c r="C244" i="30"/>
  <c r="E243" i="30"/>
  <c r="D243" i="30"/>
  <c r="C243" i="30"/>
  <c r="E242" i="30"/>
  <c r="D242" i="30"/>
  <c r="C242" i="30"/>
  <c r="V236" i="30"/>
  <c r="U236" i="30"/>
  <c r="T236" i="30"/>
  <c r="S236" i="30"/>
  <c r="R236" i="30"/>
  <c r="Q236" i="30"/>
  <c r="P236" i="30"/>
  <c r="O236" i="30"/>
  <c r="N236" i="30"/>
  <c r="M236" i="30"/>
  <c r="E234" i="30"/>
  <c r="D234" i="30"/>
  <c r="C234" i="30"/>
  <c r="E233" i="30"/>
  <c r="D233" i="30"/>
  <c r="C233" i="30"/>
  <c r="E232" i="30"/>
  <c r="D232" i="30"/>
  <c r="C232" i="30"/>
  <c r="E231" i="30"/>
  <c r="D231" i="30"/>
  <c r="C231" i="30"/>
  <c r="E230" i="30"/>
  <c r="D230" i="30"/>
  <c r="C230" i="30"/>
  <c r="E229" i="30"/>
  <c r="D229" i="30"/>
  <c r="C229" i="30"/>
  <c r="E228" i="30"/>
  <c r="D228" i="30"/>
  <c r="C228" i="30"/>
  <c r="E227" i="30"/>
  <c r="D227" i="30"/>
  <c r="C227" i="30"/>
  <c r="E226" i="30"/>
  <c r="D226" i="30"/>
  <c r="C226" i="30"/>
  <c r="V218" i="30"/>
  <c r="U218" i="30"/>
  <c r="T218" i="30"/>
  <c r="S218" i="30"/>
  <c r="R218" i="30"/>
  <c r="Q218" i="30"/>
  <c r="P218" i="30"/>
  <c r="O218" i="30"/>
  <c r="N218" i="30"/>
  <c r="M218" i="30"/>
  <c r="C217" i="30"/>
  <c r="C216" i="30"/>
  <c r="C215" i="30"/>
  <c r="C214" i="30"/>
  <c r="C213" i="30"/>
  <c r="C212" i="30"/>
  <c r="C211" i="30"/>
  <c r="C210" i="30"/>
  <c r="C209" i="30"/>
  <c r="V203" i="30"/>
  <c r="U203" i="30"/>
  <c r="T203" i="30"/>
  <c r="S203" i="30"/>
  <c r="R203" i="30"/>
  <c r="Q203" i="30"/>
  <c r="P203" i="30"/>
  <c r="O203" i="30"/>
  <c r="N203" i="30"/>
  <c r="M203" i="30"/>
  <c r="C202" i="30"/>
  <c r="C201" i="30"/>
  <c r="C200" i="30"/>
  <c r="C199" i="30"/>
  <c r="C198" i="30"/>
  <c r="C197" i="30"/>
  <c r="C196" i="30"/>
  <c r="C195" i="30"/>
  <c r="C194" i="30"/>
  <c r="V186" i="30"/>
  <c r="U186" i="30"/>
  <c r="T186" i="30"/>
  <c r="S186" i="30"/>
  <c r="R186" i="30"/>
  <c r="Q186" i="30"/>
  <c r="P186" i="30"/>
  <c r="O186" i="30"/>
  <c r="N186" i="30"/>
  <c r="M186" i="30"/>
  <c r="C185" i="30"/>
  <c r="C184" i="30"/>
  <c r="C183" i="30"/>
  <c r="C182" i="30"/>
  <c r="C181" i="30"/>
  <c r="C180" i="30"/>
  <c r="C179" i="30"/>
  <c r="C178" i="30"/>
  <c r="C177" i="30"/>
  <c r="V171" i="30"/>
  <c r="U171" i="30"/>
  <c r="T171" i="30"/>
  <c r="S171" i="30"/>
  <c r="R171" i="30"/>
  <c r="Q171" i="30"/>
  <c r="P171" i="30"/>
  <c r="O171" i="30"/>
  <c r="N171" i="30"/>
  <c r="M171" i="30"/>
  <c r="C170" i="30"/>
  <c r="C169" i="30"/>
  <c r="C168" i="30"/>
  <c r="C167" i="30"/>
  <c r="C166" i="30"/>
  <c r="C165" i="30"/>
  <c r="C164" i="30"/>
  <c r="C163" i="30"/>
  <c r="C162" i="30"/>
  <c r="V153" i="30"/>
  <c r="V529" i="30"/>
  <c r="V530" i="30" s="1"/>
  <c r="V535" i="30" s="1"/>
  <c r="V539" i="30" s="1"/>
  <c r="U153" i="30"/>
  <c r="U529" i="30" s="1"/>
  <c r="U530" i="30" s="1"/>
  <c r="U535" i="30" s="1"/>
  <c r="U539" i="30" s="1"/>
  <c r="T153" i="30"/>
  <c r="T529" i="30" s="1"/>
  <c r="T530" i="30" s="1"/>
  <c r="T535" i="30" s="1"/>
  <c r="T539" i="30" s="1"/>
  <c r="S153" i="30"/>
  <c r="S529" i="30" s="1"/>
  <c r="S530" i="30" s="1"/>
  <c r="S535" i="30" s="1"/>
  <c r="S539" i="30" s="1"/>
  <c r="R153" i="30"/>
  <c r="R529" i="30" s="1"/>
  <c r="R530" i="30" s="1"/>
  <c r="R535" i="30" s="1"/>
  <c r="R539" i="30" s="1"/>
  <c r="Q153" i="30"/>
  <c r="Q529" i="30" s="1"/>
  <c r="Q530" i="30" s="1"/>
  <c r="Q535" i="30" s="1"/>
  <c r="Q539" i="30" s="1"/>
  <c r="P153" i="30"/>
  <c r="P529" i="30" s="1"/>
  <c r="P530" i="30" s="1"/>
  <c r="P535" i="30" s="1"/>
  <c r="P539" i="30" s="1"/>
  <c r="O153" i="30"/>
  <c r="O529" i="30"/>
  <c r="O530" i="30"/>
  <c r="O535" i="30" s="1"/>
  <c r="O539" i="30" s="1"/>
  <c r="N153" i="30"/>
  <c r="N529" i="30" s="1"/>
  <c r="N530" i="30" s="1"/>
  <c r="N535" i="30" s="1"/>
  <c r="N539" i="30" s="1"/>
  <c r="M153" i="30"/>
  <c r="M529" i="30" s="1"/>
  <c r="M530" i="30" s="1"/>
  <c r="M535" i="30" s="1"/>
  <c r="M539" i="30" s="1"/>
  <c r="V138" i="30"/>
  <c r="V451" i="30" s="1"/>
  <c r="V452" i="30" s="1"/>
  <c r="V457" i="30" s="1"/>
  <c r="V461" i="30" s="1"/>
  <c r="U138" i="30"/>
  <c r="U451" i="30" s="1"/>
  <c r="U452" i="30" s="1"/>
  <c r="U457" i="30" s="1"/>
  <c r="U461" i="30" s="1"/>
  <c r="T138" i="30"/>
  <c r="T451" i="30" s="1"/>
  <c r="T452" i="30" s="1"/>
  <c r="T457" i="30" s="1"/>
  <c r="T461" i="30" s="1"/>
  <c r="S138" i="30"/>
  <c r="S451" i="30"/>
  <c r="S452" i="30" s="1"/>
  <c r="S457" i="30" s="1"/>
  <c r="S461" i="30" s="1"/>
  <c r="R138" i="30"/>
  <c r="R451" i="30"/>
  <c r="R452" i="30"/>
  <c r="R457" i="30" s="1"/>
  <c r="R461" i="30" s="1"/>
  <c r="Q138" i="30"/>
  <c r="Q451" i="30" s="1"/>
  <c r="Q452" i="30" s="1"/>
  <c r="Q457" i="30" s="1"/>
  <c r="Q461" i="30" s="1"/>
  <c r="P138" i="30"/>
  <c r="P451" i="30" s="1"/>
  <c r="P452" i="30" s="1"/>
  <c r="P457" i="30" s="1"/>
  <c r="P461" i="30" s="1"/>
  <c r="O138" i="30"/>
  <c r="O451" i="30" s="1"/>
  <c r="O452" i="30" s="1"/>
  <c r="O457" i="30" s="1"/>
  <c r="O461" i="30" s="1"/>
  <c r="N138" i="30"/>
  <c r="N451" i="30" s="1"/>
  <c r="N452" i="30" s="1"/>
  <c r="N457" i="30" s="1"/>
  <c r="N461" i="30" s="1"/>
  <c r="M138" i="30"/>
  <c r="M451" i="30" s="1"/>
  <c r="M452" i="30" s="1"/>
  <c r="M457" i="30" s="1"/>
  <c r="M461" i="30" s="1"/>
  <c r="I137" i="30"/>
  <c r="I152" i="30"/>
  <c r="H137" i="30"/>
  <c r="H152" i="30"/>
  <c r="G137" i="30"/>
  <c r="G152" i="30"/>
  <c r="F137" i="30"/>
  <c r="F152" i="30"/>
  <c r="E137" i="30"/>
  <c r="E152" i="30"/>
  <c r="D137" i="30"/>
  <c r="D152" i="30"/>
  <c r="C137" i="30"/>
  <c r="C152" i="30"/>
  <c r="I136" i="30"/>
  <c r="I151" i="30"/>
  <c r="H136" i="30"/>
  <c r="H151" i="30"/>
  <c r="G136" i="30"/>
  <c r="G151" i="30"/>
  <c r="F136" i="30"/>
  <c r="F151" i="30"/>
  <c r="E136" i="30"/>
  <c r="E151" i="30"/>
  <c r="D136" i="30"/>
  <c r="D151" i="30"/>
  <c r="C136" i="30"/>
  <c r="C151" i="30"/>
  <c r="I135" i="30"/>
  <c r="I150" i="30"/>
  <c r="H135" i="30"/>
  <c r="H150" i="30"/>
  <c r="G135" i="30"/>
  <c r="G150" i="30"/>
  <c r="F135" i="30"/>
  <c r="F150" i="30"/>
  <c r="E135" i="30"/>
  <c r="E150" i="30"/>
  <c r="D135" i="30"/>
  <c r="D150" i="30"/>
  <c r="C135" i="30"/>
  <c r="C150" i="30"/>
  <c r="I134" i="30"/>
  <c r="I149" i="30"/>
  <c r="H134" i="30"/>
  <c r="H149" i="30"/>
  <c r="G134" i="30"/>
  <c r="G149" i="30"/>
  <c r="F134" i="30"/>
  <c r="F149" i="30"/>
  <c r="E134" i="30"/>
  <c r="E149" i="30"/>
  <c r="D134" i="30"/>
  <c r="D149" i="30"/>
  <c r="C134" i="30"/>
  <c r="C149" i="30"/>
  <c r="I133" i="30"/>
  <c r="I148" i="30"/>
  <c r="H133" i="30"/>
  <c r="H148" i="30"/>
  <c r="G133" i="30"/>
  <c r="G148" i="30"/>
  <c r="F133" i="30"/>
  <c r="F148" i="30"/>
  <c r="E133" i="30"/>
  <c r="E148" i="30"/>
  <c r="D133" i="30"/>
  <c r="D148" i="30"/>
  <c r="C133" i="30"/>
  <c r="C148" i="30"/>
  <c r="I132" i="30"/>
  <c r="I147" i="30"/>
  <c r="H132" i="30"/>
  <c r="H147" i="30"/>
  <c r="G132" i="30"/>
  <c r="G147" i="30"/>
  <c r="F132" i="30"/>
  <c r="F147" i="30"/>
  <c r="E132" i="30"/>
  <c r="E147" i="30"/>
  <c r="D132" i="30"/>
  <c r="D147" i="30"/>
  <c r="C132" i="30"/>
  <c r="C147" i="30"/>
  <c r="I131" i="30"/>
  <c r="I146" i="30"/>
  <c r="H131" i="30"/>
  <c r="H146" i="30"/>
  <c r="G131" i="30"/>
  <c r="G146" i="30"/>
  <c r="F131" i="30"/>
  <c r="F146" i="30"/>
  <c r="E131" i="30"/>
  <c r="E146" i="30"/>
  <c r="D131" i="30"/>
  <c r="D146" i="30"/>
  <c r="C131" i="30"/>
  <c r="C146" i="30"/>
  <c r="I130" i="30"/>
  <c r="I145" i="30"/>
  <c r="H130" i="30"/>
  <c r="H145" i="30"/>
  <c r="G130" i="30"/>
  <c r="G145" i="30"/>
  <c r="F130" i="30"/>
  <c r="F145" i="30"/>
  <c r="E130" i="30"/>
  <c r="E145" i="30"/>
  <c r="D130" i="30"/>
  <c r="D145" i="30"/>
  <c r="C130" i="30"/>
  <c r="C145" i="30"/>
  <c r="I129" i="30"/>
  <c r="I144" i="30" s="1"/>
  <c r="H129" i="30"/>
  <c r="H144" i="30" s="1"/>
  <c r="G129" i="30"/>
  <c r="G144" i="30"/>
  <c r="F129" i="30"/>
  <c r="F144" i="30" s="1"/>
  <c r="E129" i="30"/>
  <c r="E144" i="30" s="1"/>
  <c r="D129" i="30"/>
  <c r="D144" i="30"/>
  <c r="C129" i="30"/>
  <c r="C144" i="30" s="1"/>
  <c r="I128" i="30"/>
  <c r="I143" i="30"/>
  <c r="H128" i="30"/>
  <c r="H143" i="30"/>
  <c r="G128" i="30"/>
  <c r="G143" i="30"/>
  <c r="F128" i="30"/>
  <c r="F143" i="30"/>
  <c r="E128" i="30"/>
  <c r="E143" i="30"/>
  <c r="D128" i="30"/>
  <c r="D143" i="30"/>
  <c r="C128" i="30"/>
  <c r="C143" i="30"/>
  <c r="I127" i="30"/>
  <c r="I142" i="30"/>
  <c r="H127" i="30"/>
  <c r="H142" i="30"/>
  <c r="G127" i="30"/>
  <c r="G142" i="30"/>
  <c r="F127" i="30"/>
  <c r="F142" i="30"/>
  <c r="E127" i="30"/>
  <c r="E142" i="30"/>
  <c r="D127" i="30"/>
  <c r="D142" i="30"/>
  <c r="C127" i="30"/>
  <c r="C142" i="30"/>
  <c r="V120" i="30"/>
  <c r="V514" i="30" s="1"/>
  <c r="U120" i="30"/>
  <c r="U514" i="30"/>
  <c r="T120" i="30"/>
  <c r="T514" i="30" s="1"/>
  <c r="S120" i="30"/>
  <c r="S514" i="30" s="1"/>
  <c r="R120" i="30"/>
  <c r="R514" i="30" s="1"/>
  <c r="Q120" i="30"/>
  <c r="Q514" i="30" s="1"/>
  <c r="P120" i="30"/>
  <c r="P514" i="30" s="1"/>
  <c r="O120" i="30"/>
  <c r="O514" i="30" s="1"/>
  <c r="N120" i="30"/>
  <c r="N514" i="30" s="1"/>
  <c r="M120" i="30"/>
  <c r="M514" i="30" s="1"/>
  <c r="V105" i="30"/>
  <c r="U105" i="30"/>
  <c r="T105" i="30"/>
  <c r="S105" i="30"/>
  <c r="R105" i="30"/>
  <c r="Q105" i="30"/>
  <c r="P105" i="30"/>
  <c r="O105" i="30"/>
  <c r="N105" i="30"/>
  <c r="M105" i="30"/>
  <c r="I104" i="30"/>
  <c r="I119" i="30"/>
  <c r="H104" i="30"/>
  <c r="H119" i="30"/>
  <c r="G104" i="30"/>
  <c r="G119" i="30"/>
  <c r="F104" i="30"/>
  <c r="F119" i="30"/>
  <c r="E104" i="30"/>
  <c r="E119" i="30"/>
  <c r="D104" i="30"/>
  <c r="D119" i="30"/>
  <c r="C104" i="30"/>
  <c r="C119" i="30"/>
  <c r="I103" i="30"/>
  <c r="I118" i="30"/>
  <c r="H103" i="30"/>
  <c r="H118" i="30"/>
  <c r="G103" i="30"/>
  <c r="G118" i="30"/>
  <c r="F103" i="30"/>
  <c r="F118" i="30"/>
  <c r="E103" i="30"/>
  <c r="E118" i="30"/>
  <c r="D103" i="30"/>
  <c r="D118" i="30"/>
  <c r="C103" i="30"/>
  <c r="C118" i="30"/>
  <c r="I102" i="30"/>
  <c r="I117" i="30"/>
  <c r="H102" i="30"/>
  <c r="H117" i="30"/>
  <c r="G102" i="30"/>
  <c r="G117" i="30"/>
  <c r="F102" i="30"/>
  <c r="F117" i="30"/>
  <c r="E102" i="30"/>
  <c r="E117" i="30"/>
  <c r="D102" i="30"/>
  <c r="D117" i="30"/>
  <c r="C102" i="30"/>
  <c r="C117" i="30"/>
  <c r="I101" i="30"/>
  <c r="I116" i="30"/>
  <c r="H101" i="30"/>
  <c r="H116" i="30"/>
  <c r="G101" i="30"/>
  <c r="G116" i="30"/>
  <c r="F101" i="30"/>
  <c r="F116" i="30"/>
  <c r="E101" i="30"/>
  <c r="E116" i="30"/>
  <c r="D101" i="30"/>
  <c r="D116" i="30"/>
  <c r="C101" i="30"/>
  <c r="C116" i="30"/>
  <c r="I100" i="30"/>
  <c r="I115" i="30"/>
  <c r="H100" i="30"/>
  <c r="H115" i="30"/>
  <c r="G100" i="30"/>
  <c r="G115" i="30"/>
  <c r="F100" i="30"/>
  <c r="F115" i="30"/>
  <c r="E100" i="30"/>
  <c r="E115" i="30"/>
  <c r="D100" i="30"/>
  <c r="D115" i="30"/>
  <c r="C100" i="30"/>
  <c r="C115" i="30"/>
  <c r="I99" i="30"/>
  <c r="I114" i="30"/>
  <c r="H99" i="30"/>
  <c r="H114" i="30"/>
  <c r="G99" i="30"/>
  <c r="G114" i="30"/>
  <c r="F99" i="30"/>
  <c r="F114" i="30"/>
  <c r="E99" i="30"/>
  <c r="E114" i="30"/>
  <c r="D99" i="30"/>
  <c r="D114" i="30"/>
  <c r="C99" i="30"/>
  <c r="C114" i="30"/>
  <c r="I98" i="30"/>
  <c r="I113" i="30"/>
  <c r="H98" i="30"/>
  <c r="H113" i="30"/>
  <c r="G98" i="30"/>
  <c r="G113" i="30"/>
  <c r="F98" i="30"/>
  <c r="F113" i="30"/>
  <c r="E98" i="30"/>
  <c r="E113" i="30"/>
  <c r="D98" i="30"/>
  <c r="D113" i="30"/>
  <c r="C98" i="30"/>
  <c r="C113" i="30"/>
  <c r="I97" i="30"/>
  <c r="I112" i="30"/>
  <c r="H97" i="30"/>
  <c r="H112" i="30"/>
  <c r="G97" i="30"/>
  <c r="G112" i="30"/>
  <c r="F97" i="30"/>
  <c r="F112" i="30"/>
  <c r="E97" i="30"/>
  <c r="E112" i="30"/>
  <c r="D97" i="30"/>
  <c r="D112" i="30"/>
  <c r="C97" i="30"/>
  <c r="C112" i="30"/>
  <c r="I96" i="30"/>
  <c r="I111" i="30" s="1"/>
  <c r="H96" i="30"/>
  <c r="H111" i="30" s="1"/>
  <c r="G96" i="30"/>
  <c r="G111" i="30"/>
  <c r="F96" i="30"/>
  <c r="F111" i="30" s="1"/>
  <c r="E96" i="30"/>
  <c r="E111" i="30" s="1"/>
  <c r="D96" i="30"/>
  <c r="D111" i="30" s="1"/>
  <c r="C96" i="30"/>
  <c r="C111" i="30" s="1"/>
  <c r="I95" i="30"/>
  <c r="I110" i="30"/>
  <c r="H95" i="30"/>
  <c r="H110" i="30"/>
  <c r="G95" i="30"/>
  <c r="G110" i="30"/>
  <c r="F95" i="30"/>
  <c r="F110" i="30"/>
  <c r="E95" i="30"/>
  <c r="E110" i="30"/>
  <c r="D95" i="30"/>
  <c r="D110" i="30"/>
  <c r="C95" i="30"/>
  <c r="C110" i="30"/>
  <c r="I94" i="30"/>
  <c r="I109" i="30"/>
  <c r="H94" i="30"/>
  <c r="H109" i="30"/>
  <c r="G94" i="30"/>
  <c r="G109" i="30"/>
  <c r="F94" i="30"/>
  <c r="F109" i="30"/>
  <c r="E94" i="30"/>
  <c r="E109" i="30"/>
  <c r="D94" i="30"/>
  <c r="D109" i="30"/>
  <c r="C94" i="30"/>
  <c r="C109" i="30"/>
  <c r="V87" i="30"/>
  <c r="V513" i="30"/>
  <c r="U87" i="30"/>
  <c r="U513" i="30"/>
  <c r="T87" i="30"/>
  <c r="T513" i="30"/>
  <c r="S87" i="30"/>
  <c r="S513" i="30"/>
  <c r="R87" i="30"/>
  <c r="R513" i="30"/>
  <c r="Q87" i="30"/>
  <c r="Q513" i="30"/>
  <c r="P87" i="30"/>
  <c r="P513" i="30"/>
  <c r="O87" i="30"/>
  <c r="O513" i="30"/>
  <c r="N87" i="30"/>
  <c r="N513" i="30"/>
  <c r="M87" i="30"/>
  <c r="M513" i="30" s="1"/>
  <c r="V66" i="30"/>
  <c r="U66" i="30"/>
  <c r="T66" i="30"/>
  <c r="S66" i="30"/>
  <c r="R66" i="30"/>
  <c r="Q66" i="30"/>
  <c r="P66" i="30"/>
  <c r="O66" i="30"/>
  <c r="N66" i="30"/>
  <c r="M66" i="30"/>
  <c r="C72" i="30"/>
  <c r="I50" i="30"/>
  <c r="I71" i="30"/>
  <c r="H50" i="30"/>
  <c r="H71" i="30"/>
  <c r="G50" i="30"/>
  <c r="G71" i="30"/>
  <c r="F50" i="30"/>
  <c r="F71" i="30"/>
  <c r="E50" i="30"/>
  <c r="E71" i="30"/>
  <c r="D50" i="30"/>
  <c r="D71" i="30"/>
  <c r="C50" i="30"/>
  <c r="C71" i="30"/>
  <c r="I49" i="30"/>
  <c r="I70" i="30"/>
  <c r="H49" i="30"/>
  <c r="H70" i="30"/>
  <c r="G49" i="30"/>
  <c r="G70" i="30"/>
  <c r="F49" i="30"/>
  <c r="F70" i="30"/>
  <c r="E49" i="30"/>
  <c r="E70" i="30"/>
  <c r="D49" i="30"/>
  <c r="D70" i="30"/>
  <c r="C49" i="30"/>
  <c r="C70" i="30"/>
  <c r="V43" i="30"/>
  <c r="V512" i="30"/>
  <c r="U43" i="30"/>
  <c r="U512" i="30"/>
  <c r="T43" i="30"/>
  <c r="T512" i="30"/>
  <c r="S43" i="30"/>
  <c r="S512" i="30"/>
  <c r="R43" i="30"/>
  <c r="R512" i="30"/>
  <c r="Q43" i="30"/>
  <c r="Q512" i="30"/>
  <c r="P43" i="30"/>
  <c r="P512" i="30"/>
  <c r="O43" i="30"/>
  <c r="O512" i="30"/>
  <c r="N43" i="30"/>
  <c r="N512" i="30"/>
  <c r="M43" i="30"/>
  <c r="M512" i="30"/>
  <c r="V28" i="30"/>
  <c r="U28" i="30"/>
  <c r="T28" i="30"/>
  <c r="S28" i="30"/>
  <c r="R28" i="30"/>
  <c r="Q28" i="30"/>
  <c r="P28" i="30"/>
  <c r="O28" i="30"/>
  <c r="N28" i="30"/>
  <c r="M28" i="30"/>
  <c r="I27" i="30"/>
  <c r="I42" i="30"/>
  <c r="H27" i="30"/>
  <c r="H42" i="30"/>
  <c r="G27" i="30"/>
  <c r="G42" i="30"/>
  <c r="F27" i="30"/>
  <c r="F42" i="30"/>
  <c r="E27" i="30"/>
  <c r="E42" i="30"/>
  <c r="D27" i="30"/>
  <c r="D42" i="30"/>
  <c r="C27" i="30"/>
  <c r="C42" i="30"/>
  <c r="I26" i="30"/>
  <c r="I41" i="30"/>
  <c r="H26" i="30"/>
  <c r="H41" i="30"/>
  <c r="G26" i="30"/>
  <c r="G41" i="30"/>
  <c r="F26" i="30"/>
  <c r="F41" i="30"/>
  <c r="E26" i="30"/>
  <c r="E41" i="30"/>
  <c r="D26" i="30"/>
  <c r="D41" i="30"/>
  <c r="C26" i="30"/>
  <c r="C41" i="30"/>
  <c r="I25" i="30"/>
  <c r="I40" i="30"/>
  <c r="H25" i="30"/>
  <c r="H40" i="30"/>
  <c r="G25" i="30"/>
  <c r="G40" i="30"/>
  <c r="F25" i="30"/>
  <c r="F40" i="30"/>
  <c r="E25" i="30"/>
  <c r="E40" i="30"/>
  <c r="D25" i="30"/>
  <c r="D40" i="30"/>
  <c r="C25" i="30"/>
  <c r="C40" i="30"/>
  <c r="I24" i="30"/>
  <c r="I39" i="30"/>
  <c r="H24" i="30"/>
  <c r="H39" i="30"/>
  <c r="G24" i="30"/>
  <c r="G39" i="30"/>
  <c r="F24" i="30"/>
  <c r="F39" i="30"/>
  <c r="E24" i="30"/>
  <c r="E39" i="30"/>
  <c r="D24" i="30"/>
  <c r="D39" i="30"/>
  <c r="C24" i="30"/>
  <c r="C39" i="30"/>
  <c r="I23" i="30"/>
  <c r="I38" i="30"/>
  <c r="H23" i="30"/>
  <c r="H38" i="30"/>
  <c r="G23" i="30"/>
  <c r="G38" i="30"/>
  <c r="F23" i="30"/>
  <c r="F38" i="30"/>
  <c r="E23" i="30"/>
  <c r="E38" i="30"/>
  <c r="D23" i="30"/>
  <c r="D38" i="30"/>
  <c r="C23" i="30"/>
  <c r="C38" i="30"/>
  <c r="I22" i="30"/>
  <c r="I37" i="30"/>
  <c r="H22" i="30"/>
  <c r="H37" i="30"/>
  <c r="G22" i="30"/>
  <c r="G37" i="30"/>
  <c r="F22" i="30"/>
  <c r="F37" i="30"/>
  <c r="E22" i="30"/>
  <c r="E37" i="30"/>
  <c r="D22" i="30"/>
  <c r="D37" i="30"/>
  <c r="C22" i="30"/>
  <c r="C37" i="30"/>
  <c r="I21" i="30"/>
  <c r="I36" i="30"/>
  <c r="H21" i="30"/>
  <c r="H36" i="30"/>
  <c r="G21" i="30"/>
  <c r="G36" i="30"/>
  <c r="F21" i="30"/>
  <c r="F36" i="30"/>
  <c r="E21" i="30"/>
  <c r="E36" i="30"/>
  <c r="D21" i="30"/>
  <c r="D36" i="30"/>
  <c r="C21" i="30"/>
  <c r="C36" i="30"/>
  <c r="I20" i="30"/>
  <c r="I35" i="30"/>
  <c r="H20" i="30"/>
  <c r="H35" i="30"/>
  <c r="G20" i="30"/>
  <c r="G35" i="30"/>
  <c r="F20" i="30"/>
  <c r="F35" i="30"/>
  <c r="E20" i="30"/>
  <c r="E35" i="30"/>
  <c r="D20" i="30"/>
  <c r="D35" i="30"/>
  <c r="C20" i="30"/>
  <c r="C35" i="30"/>
  <c r="I19" i="30"/>
  <c r="I34" i="30"/>
  <c r="H19" i="30"/>
  <c r="H34" i="30"/>
  <c r="G19" i="30"/>
  <c r="G34" i="30"/>
  <c r="F19" i="30"/>
  <c r="F34" i="30"/>
  <c r="E19" i="30"/>
  <c r="E34" i="30"/>
  <c r="D19" i="30"/>
  <c r="D34" i="30"/>
  <c r="C19" i="30"/>
  <c r="C34" i="30"/>
  <c r="I18" i="30"/>
  <c r="I33" i="30"/>
  <c r="H18" i="30"/>
  <c r="H33" i="30"/>
  <c r="G18" i="30"/>
  <c r="G33" i="30"/>
  <c r="F18" i="30"/>
  <c r="F33" i="30"/>
  <c r="E18" i="30"/>
  <c r="E33" i="30"/>
  <c r="D18" i="30"/>
  <c r="D33" i="30"/>
  <c r="C18" i="30"/>
  <c r="C33" i="30"/>
  <c r="I17" i="30"/>
  <c r="I32" i="30"/>
  <c r="H17" i="30"/>
  <c r="H32" i="30"/>
  <c r="G17" i="30"/>
  <c r="G32" i="30"/>
  <c r="F17" i="30"/>
  <c r="F32" i="30"/>
  <c r="E17" i="30"/>
  <c r="E32" i="30"/>
  <c r="D17" i="30"/>
  <c r="D32" i="30"/>
  <c r="C17" i="30"/>
  <c r="C32" i="30"/>
  <c r="H54" i="17"/>
  <c r="G54" i="17"/>
  <c r="F54" i="17"/>
  <c r="E54" i="17"/>
  <c r="D54" i="17"/>
  <c r="J54" i="17" s="1"/>
  <c r="B54" i="17"/>
  <c r="H53" i="17"/>
  <c r="G53" i="17"/>
  <c r="F53" i="17"/>
  <c r="E53" i="17"/>
  <c r="D53" i="17"/>
  <c r="J53" i="17" s="1"/>
  <c r="B53" i="17"/>
  <c r="H52" i="17"/>
  <c r="J52" i="17" s="1"/>
  <c r="G52" i="17"/>
  <c r="F52" i="17"/>
  <c r="E52" i="17"/>
  <c r="D52" i="17"/>
  <c r="B52" i="17"/>
  <c r="H51" i="17"/>
  <c r="G51" i="17"/>
  <c r="F51" i="17"/>
  <c r="J51" i="17" s="1"/>
  <c r="E51" i="17"/>
  <c r="D51" i="17"/>
  <c r="B51" i="17"/>
  <c r="H50" i="17"/>
  <c r="G50" i="17"/>
  <c r="F50" i="17"/>
  <c r="E50" i="17"/>
  <c r="D50" i="17"/>
  <c r="J50" i="17" s="1"/>
  <c r="B50" i="17"/>
  <c r="H49" i="17"/>
  <c r="G49" i="17"/>
  <c r="F49" i="17"/>
  <c r="E49" i="17"/>
  <c r="D49" i="17"/>
  <c r="J49" i="17" s="1"/>
  <c r="B49" i="17"/>
  <c r="F47" i="17"/>
  <c r="F56" i="17" s="1"/>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44" i="2"/>
  <c r="G44" i="2"/>
  <c r="F44" i="2"/>
  <c r="E44" i="2"/>
  <c r="D44" i="2"/>
  <c r="J43" i="2"/>
  <c r="J42" i="2"/>
  <c r="H15" i="2"/>
  <c r="G15" i="2"/>
  <c r="F15" i="2"/>
  <c r="E15" i="2"/>
  <c r="J14" i="2"/>
  <c r="J13" i="2"/>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47" i="17"/>
  <c r="N515" i="30"/>
  <c r="F9" i="27"/>
  <c r="H47" i="17"/>
  <c r="H56" i="17" s="1"/>
  <c r="T515" i="30"/>
  <c r="G47" i="17"/>
  <c r="G56" i="17" s="1"/>
  <c r="U515" i="30"/>
  <c r="E47" i="17"/>
  <c r="J47" i="17" s="1"/>
  <c r="O515" i="30"/>
  <c r="P515" i="30"/>
  <c r="Q515" i="30"/>
  <c r="R515" i="30"/>
  <c r="M515" i="30"/>
  <c r="V515" i="30"/>
  <c r="AB269" i="31"/>
  <c r="AB289" i="31" s="1"/>
  <c r="AB306" i="31" s="1"/>
  <c r="U503" i="30" s="1"/>
  <c r="AC269" i="31"/>
  <c r="AC289" i="31" s="1"/>
  <c r="AC306" i="31" s="1"/>
  <c r="V503" i="30" s="1"/>
  <c r="V269" i="31"/>
  <c r="V289" i="31" s="1"/>
  <c r="V306" i="31" s="1"/>
  <c r="O503" i="30" s="1"/>
  <c r="AA269" i="31"/>
  <c r="AA289" i="31" s="1"/>
  <c r="AA306" i="31" s="1"/>
  <c r="T503" i="30" s="1"/>
  <c r="X429" i="30"/>
  <c r="X445" i="30"/>
  <c r="X460" i="30"/>
  <c r="X462" i="30"/>
  <c r="D6" i="17"/>
  <c r="D5" i="17" s="1"/>
  <c r="M9" i="30"/>
  <c r="M8" i="30"/>
  <c r="D6" i="19"/>
  <c r="T9" i="31"/>
  <c r="D6" i="2"/>
  <c r="D5" i="2" s="1"/>
  <c r="D6" i="11"/>
  <c r="D5" i="11" s="1"/>
  <c r="D6" i="27"/>
  <c r="D5" i="27" s="1"/>
  <c r="E6" i="10"/>
  <c r="E5" i="10" s="1"/>
  <c r="D5" i="19"/>
  <c r="E6" i="19"/>
  <c r="E5" i="19" s="1"/>
  <c r="N9" i="30"/>
  <c r="N8" i="30" s="1"/>
  <c r="T8" i="31"/>
  <c r="U9" i="31"/>
  <c r="V9" i="31" s="1"/>
  <c r="E6" i="27"/>
  <c r="F6" i="27" s="1"/>
  <c r="B21" i="1"/>
  <c r="F6" i="19"/>
  <c r="F5" i="19" s="1"/>
  <c r="O9" i="30"/>
  <c r="O8" i="30" s="1"/>
  <c r="F20" i="4"/>
  <c r="G20" i="4"/>
  <c r="H20" i="4"/>
  <c r="I20" i="4"/>
  <c r="G24" i="27" l="1"/>
  <c r="G43" i="27" s="1"/>
  <c r="G45" i="27" s="1"/>
  <c r="G49" i="27" s="1"/>
  <c r="H48" i="27" s="1"/>
  <c r="H24" i="27"/>
  <c r="H43" i="27" s="1"/>
  <c r="Y269" i="31"/>
  <c r="Y289" i="31" s="1"/>
  <c r="Y306" i="31" s="1"/>
  <c r="R503" i="30" s="1"/>
  <c r="Z269" i="31"/>
  <c r="Z289" i="31" s="1"/>
  <c r="Z306" i="31" s="1"/>
  <c r="S503" i="30" s="1"/>
  <c r="F24" i="27"/>
  <c r="F43" i="27" s="1"/>
  <c r="F46" i="27" s="1"/>
  <c r="E24" i="27"/>
  <c r="E43" i="27" s="1"/>
  <c r="E45" i="27" s="1"/>
  <c r="E49" i="27" s="1"/>
  <c r="F48" i="27" s="1"/>
  <c r="X269" i="31"/>
  <c r="X289" i="31" s="1"/>
  <c r="X306" i="31" s="1"/>
  <c r="Q503" i="30" s="1"/>
  <c r="P517" i="30"/>
  <c r="P522" i="30" s="1"/>
  <c r="P538" i="30" s="1"/>
  <c r="P540" i="30" s="1"/>
  <c r="V517" i="30"/>
  <c r="V522" i="30" s="1"/>
  <c r="V538" i="30" s="1"/>
  <c r="V540" i="30" s="1"/>
  <c r="U517" i="30"/>
  <c r="U522" i="30" s="1"/>
  <c r="U538" i="30" s="1"/>
  <c r="T517" i="30"/>
  <c r="T522" i="30" s="1"/>
  <c r="T538" i="30" s="1"/>
  <c r="T540" i="30" s="1"/>
  <c r="S517" i="30"/>
  <c r="S522" i="30" s="1"/>
  <c r="S538" i="30" s="1"/>
  <c r="S540" i="30" s="1"/>
  <c r="R517" i="30"/>
  <c r="R522" i="30" s="1"/>
  <c r="R538" i="30" s="1"/>
  <c r="R540" i="30" s="1"/>
  <c r="Q517" i="30"/>
  <c r="Q522" i="30" s="1"/>
  <c r="Q538" i="30" s="1"/>
  <c r="Q540" i="30" s="1"/>
  <c r="O517" i="30"/>
  <c r="O522" i="30" s="1"/>
  <c r="O538" i="30" s="1"/>
  <c r="O540" i="30" s="1"/>
  <c r="N517" i="30"/>
  <c r="N522" i="30" s="1"/>
  <c r="N538" i="30" s="1"/>
  <c r="N540" i="30" s="1"/>
  <c r="P429" i="30"/>
  <c r="P445" i="30" s="1"/>
  <c r="P460" i="30" s="1"/>
  <c r="V429" i="30"/>
  <c r="V445" i="30" s="1"/>
  <c r="V460" i="30" s="1"/>
  <c r="V462" i="30" s="1"/>
  <c r="V469" i="30" s="1"/>
  <c r="V487" i="30" s="1"/>
  <c r="V504" i="30" s="1"/>
  <c r="U429" i="30"/>
  <c r="U445" i="30" s="1"/>
  <c r="U460" i="30" s="1"/>
  <c r="U462" i="30" s="1"/>
  <c r="U469" i="30" s="1"/>
  <c r="U487" i="30" s="1"/>
  <c r="U504" i="30" s="1"/>
  <c r="T429" i="30"/>
  <c r="T445" i="30" s="1"/>
  <c r="T460" i="30" s="1"/>
  <c r="T462" i="30" s="1"/>
  <c r="T469" i="30" s="1"/>
  <c r="T487" i="30" s="1"/>
  <c r="T504" i="30" s="1"/>
  <c r="S429" i="30"/>
  <c r="S445" i="30" s="1"/>
  <c r="S460" i="30" s="1"/>
  <c r="S462" i="30" s="1"/>
  <c r="S469" i="30" s="1"/>
  <c r="S487" i="30" s="1"/>
  <c r="S504" i="30" s="1"/>
  <c r="R429" i="30"/>
  <c r="R445" i="30" s="1"/>
  <c r="R460" i="30" s="1"/>
  <c r="R462" i="30" s="1"/>
  <c r="R469" i="30" s="1"/>
  <c r="R487" i="30" s="1"/>
  <c r="R504" i="30" s="1"/>
  <c r="Q429" i="30"/>
  <c r="Q445" i="30" s="1"/>
  <c r="Q460" i="30" s="1"/>
  <c r="Q462" i="30" s="1"/>
  <c r="O429" i="30"/>
  <c r="O445" i="30" s="1"/>
  <c r="O460" i="30" s="1"/>
  <c r="O462" i="30" s="1"/>
  <c r="N429" i="30"/>
  <c r="N445" i="30" s="1"/>
  <c r="N460" i="30" s="1"/>
  <c r="N462" i="30" s="1"/>
  <c r="U540" i="30"/>
  <c r="P462" i="30"/>
  <c r="G9" i="17" s="1"/>
  <c r="H95" i="4" s="1"/>
  <c r="W269" i="31"/>
  <c r="W289" i="31" s="1"/>
  <c r="W306" i="31" s="1"/>
  <c r="P503" i="30" s="1"/>
  <c r="U269" i="31"/>
  <c r="U289" i="31" s="1"/>
  <c r="U306" i="31" s="1"/>
  <c r="N503" i="30" s="1"/>
  <c r="E77" i="4"/>
  <c r="E71" i="4"/>
  <c r="E80" i="4" s="1"/>
  <c r="E92" i="4" s="1"/>
  <c r="M517" i="30"/>
  <c r="M522" i="30" s="1"/>
  <c r="M538" i="30" s="1"/>
  <c r="M540" i="30" s="1"/>
  <c r="M429" i="30"/>
  <c r="M445" i="30" s="1"/>
  <c r="M460" i="30" s="1"/>
  <c r="M462" i="30" s="1"/>
  <c r="D9" i="17" s="1"/>
  <c r="H45" i="27"/>
  <c r="H49" i="27" s="1"/>
  <c r="D24" i="27"/>
  <c r="D43" i="27" s="1"/>
  <c r="D45" i="27" s="1"/>
  <c r="D49" i="27" s="1"/>
  <c r="D55" i="27" s="1"/>
  <c r="T269" i="31"/>
  <c r="T289" i="31" s="1"/>
  <c r="T306" i="31" s="1"/>
  <c r="M503" i="30" s="1"/>
  <c r="E24" i="10"/>
  <c r="E41" i="10" s="1"/>
  <c r="G67" i="35"/>
  <c r="G25" i="35"/>
  <c r="G17" i="35"/>
  <c r="G66" i="35"/>
  <c r="G16" i="35"/>
  <c r="G91" i="35"/>
  <c r="G56" i="35"/>
  <c r="G19" i="35"/>
  <c r="G87" i="35"/>
  <c r="G65" i="35"/>
  <c r="G88" i="35"/>
  <c r="G26" i="35"/>
  <c r="G90" i="35"/>
  <c r="G18" i="35"/>
  <c r="G89" i="35"/>
  <c r="G20" i="35"/>
  <c r="C99" i="35"/>
  <c r="E191" i="28"/>
  <c r="J54" i="28"/>
  <c r="J73" i="28" s="1"/>
  <c r="I79" i="28"/>
  <c r="Q54" i="28"/>
  <c r="P79" i="28"/>
  <c r="E19" i="2"/>
  <c r="C9" i="28"/>
  <c r="C30" i="2" s="1"/>
  <c r="I57" i="2"/>
  <c r="I59" i="2"/>
  <c r="I58" i="2"/>
  <c r="I28" i="2"/>
  <c r="I29" i="2"/>
  <c r="I30" i="2"/>
  <c r="H71" i="4"/>
  <c r="H77" i="4"/>
  <c r="H81" i="4" s="1"/>
  <c r="I71" i="4"/>
  <c r="I80" i="4" s="1"/>
  <c r="I92" i="4" s="1"/>
  <c r="I77" i="4"/>
  <c r="I81" i="4" s="1"/>
  <c r="G71" i="4"/>
  <c r="G80" i="4" s="1"/>
  <c r="G92" i="4" s="1"/>
  <c r="G77" i="4"/>
  <c r="G81" i="4" s="1"/>
  <c r="F71" i="4"/>
  <c r="F77" i="4"/>
  <c r="F81" i="4" s="1"/>
  <c r="E5" i="27"/>
  <c r="E30" i="10"/>
  <c r="D26" i="28"/>
  <c r="D28" i="28"/>
  <c r="E6" i="5"/>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F6" i="4"/>
  <c r="H123" i="2"/>
  <c r="H146" i="2" s="1"/>
  <c r="H180" i="2" s="1"/>
  <c r="F77" i="2"/>
  <c r="F123" i="2"/>
  <c r="E123" i="2"/>
  <c r="D56" i="17"/>
  <c r="E56" i="17"/>
  <c r="E4" i="29"/>
  <c r="G46" i="11"/>
  <c r="G65" i="11" s="1"/>
  <c r="D46" i="11"/>
  <c r="D65" i="11" s="1"/>
  <c r="F46" i="11"/>
  <c r="F65" i="11" s="1"/>
  <c r="E46" i="11"/>
  <c r="E65" i="11" s="1"/>
  <c r="H46" i="11"/>
  <c r="H65" i="11" s="1"/>
  <c r="B20" i="1"/>
  <c r="I81" i="2"/>
  <c r="I82" i="2"/>
  <c r="I83" i="2"/>
  <c r="I25" i="2"/>
  <c r="I54" i="2"/>
  <c r="I53" i="2"/>
  <c r="I52" i="2"/>
  <c r="H20" i="2"/>
  <c r="H37" i="2" s="1"/>
  <c r="I24" i="2"/>
  <c r="I23" i="2"/>
  <c r="J44" i="2"/>
  <c r="F19" i="2"/>
  <c r="H78" i="2"/>
  <c r="G78" i="2"/>
  <c r="E78" i="2"/>
  <c r="J15" i="2"/>
  <c r="J73" i="2"/>
  <c r="D123" i="2"/>
  <c r="D146" i="2" s="1"/>
  <c r="D180" i="2" s="1"/>
  <c r="G20" i="2"/>
  <c r="G37" i="2" s="1"/>
  <c r="E20" i="2"/>
  <c r="E37" i="2" s="1"/>
  <c r="G123" i="2"/>
  <c r="F78" i="2"/>
  <c r="H49" i="2"/>
  <c r="H66" i="2" s="1"/>
  <c r="F49" i="2"/>
  <c r="F6" i="29"/>
  <c r="F5" i="29" s="1"/>
  <c r="D49" i="2"/>
  <c r="D48" i="2"/>
  <c r="D77" i="2"/>
  <c r="F6" i="10"/>
  <c r="G6" i="10" s="1"/>
  <c r="H6" i="10" s="1"/>
  <c r="P9" i="30"/>
  <c r="P8" i="30" s="1"/>
  <c r="F5" i="27"/>
  <c r="G6" i="27"/>
  <c r="E6" i="17"/>
  <c r="E6" i="2"/>
  <c r="E6" i="11"/>
  <c r="E51" i="19"/>
  <c r="G6" i="19"/>
  <c r="V8" i="31"/>
  <c r="W9" i="31"/>
  <c r="U8" i="31"/>
  <c r="E24" i="28"/>
  <c r="E65" i="4"/>
  <c r="E5" i="4"/>
  <c r="Q9" i="30"/>
  <c r="G52" i="19"/>
  <c r="F25" i="28"/>
  <c r="F6" i="5"/>
  <c r="E104" i="2"/>
  <c r="E103" i="2" s="1"/>
  <c r="E150"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J82" i="28"/>
  <c r="H77" i="28"/>
  <c r="I78" i="28"/>
  <c r="I70" i="28"/>
  <c r="J81" i="28"/>
  <c r="G35" i="28"/>
  <c r="H35" i="28" s="1"/>
  <c r="I35" i="28" s="1"/>
  <c r="J35" i="28" s="1"/>
  <c r="H76" i="28"/>
  <c r="I77" i="28"/>
  <c r="J66" i="28"/>
  <c r="J71" i="28"/>
  <c r="H75" i="28"/>
  <c r="I76" i="28"/>
  <c r="J78" i="28"/>
  <c r="H73" i="28"/>
  <c r="J76" i="28"/>
  <c r="H83" i="28"/>
  <c r="H74" i="28"/>
  <c r="I69" i="28"/>
  <c r="I75" i="28"/>
  <c r="J77" i="28"/>
  <c r="H82" i="28"/>
  <c r="I83" i="28"/>
  <c r="H81" i="28"/>
  <c r="H72" i="28"/>
  <c r="I82" i="28"/>
  <c r="I73" i="28"/>
  <c r="J69" i="28"/>
  <c r="H80" i="28"/>
  <c r="H71" i="28"/>
  <c r="I81" i="28"/>
  <c r="I72" i="28"/>
  <c r="J61" i="28"/>
  <c r="J74" i="28"/>
  <c r="I74" i="28"/>
  <c r="J55" i="28"/>
  <c r="H63" i="17"/>
  <c r="H57" i="4"/>
  <c r="H59" i="4" s="1"/>
  <c r="F57" i="4"/>
  <c r="F59" i="4" s="1"/>
  <c r="I57" i="4"/>
  <c r="I59" i="4" s="1"/>
  <c r="G57" i="4"/>
  <c r="G59" i="4" s="1"/>
  <c r="B48" i="1"/>
  <c r="G19" i="2"/>
  <c r="G36" i="2" s="1"/>
  <c r="H77" i="2"/>
  <c r="E123" i="28"/>
  <c r="F123" i="28" s="1"/>
  <c r="E127" i="28"/>
  <c r="F127" i="28" s="1"/>
  <c r="D20" i="2"/>
  <c r="H19" i="2"/>
  <c r="H36" i="2" s="1"/>
  <c r="E77" i="2"/>
  <c r="D78" i="2"/>
  <c r="H48" i="2"/>
  <c r="D63" i="17"/>
  <c r="D19" i="2"/>
  <c r="G63" i="17"/>
  <c r="I36" i="10"/>
  <c r="H36" i="10"/>
  <c r="F48" i="2"/>
  <c r="E126" i="28"/>
  <c r="F126" i="28" s="1"/>
  <c r="E190" i="28"/>
  <c r="E187" i="28"/>
  <c r="E63" i="17"/>
  <c r="F36" i="10"/>
  <c r="F20" i="2"/>
  <c r="F37" i="2" s="1"/>
  <c r="G49" i="2"/>
  <c r="G66" i="2" s="1"/>
  <c r="G48" i="2"/>
  <c r="F26" i="28"/>
  <c r="I26" i="28"/>
  <c r="E184" i="28"/>
  <c r="B120" i="28"/>
  <c r="E26" i="28"/>
  <c r="H26" i="28"/>
  <c r="E183" i="28"/>
  <c r="K26" i="28"/>
  <c r="G26" i="28"/>
  <c r="E189" i="28"/>
  <c r="E129" i="28"/>
  <c r="F129" i="28" s="1"/>
  <c r="J26" i="28"/>
  <c r="E128" i="28"/>
  <c r="F128" i="28" s="1"/>
  <c r="E186" i="28"/>
  <c r="E188" i="28"/>
  <c r="E124" i="28"/>
  <c r="F124" i="28" s="1"/>
  <c r="E125" i="28"/>
  <c r="F125" i="28" s="1"/>
  <c r="E185" i="28"/>
  <c r="E49" i="2"/>
  <c r="E48" i="2"/>
  <c r="G43" i="29"/>
  <c r="D66" i="27"/>
  <c r="E36" i="10"/>
  <c r="G59" i="27"/>
  <c r="E59" i="27"/>
  <c r="G66" i="27"/>
  <c r="E66" i="27"/>
  <c r="F66" i="27"/>
  <c r="B3" i="30"/>
  <c r="H59" i="27"/>
  <c r="I43" i="29"/>
  <c r="H66" i="27"/>
  <c r="E43" i="29"/>
  <c r="F63" i="17"/>
  <c r="H46" i="27" l="1"/>
  <c r="F45" i="27"/>
  <c r="F49" i="27" s="1"/>
  <c r="G48" i="27" s="1"/>
  <c r="G46" i="27"/>
  <c r="P469" i="30"/>
  <c r="P487" i="30" s="1"/>
  <c r="P504" i="30" s="1"/>
  <c r="H9" i="17"/>
  <c r="I95" i="4" s="1"/>
  <c r="Q469" i="30"/>
  <c r="Q487" i="30" s="1"/>
  <c r="Q504" i="30" s="1"/>
  <c r="O469" i="30"/>
  <c r="O487" i="30" s="1"/>
  <c r="O504" i="30" s="1"/>
  <c r="F9" i="17"/>
  <c r="N469" i="30"/>
  <c r="N487" i="30" s="1"/>
  <c r="N504" i="30" s="1"/>
  <c r="E9" i="17"/>
  <c r="G29" i="17"/>
  <c r="H96" i="4" s="1"/>
  <c r="H97" i="4" s="1"/>
  <c r="E46" i="27"/>
  <c r="H29" i="17"/>
  <c r="E78" i="4"/>
  <c r="H55" i="27"/>
  <c r="F15" i="10"/>
  <c r="F17" i="10" s="1"/>
  <c r="F24" i="10" s="1"/>
  <c r="F41" i="10" s="1"/>
  <c r="E39" i="10"/>
  <c r="E43" i="10" s="1"/>
  <c r="E32" i="10"/>
  <c r="E27" i="10"/>
  <c r="D150" i="2"/>
  <c r="E48" i="27"/>
  <c r="E55" i="27" s="1"/>
  <c r="E95" i="4"/>
  <c r="E105" i="4" s="1"/>
  <c r="D29" i="17"/>
  <c r="D31" i="17" s="1"/>
  <c r="M469" i="30"/>
  <c r="M487" i="30" s="1"/>
  <c r="M504" i="30" s="1"/>
  <c r="G55" i="27"/>
  <c r="F55" i="27"/>
  <c r="D46" i="27"/>
  <c r="F36" i="2"/>
  <c r="E36" i="2"/>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49" i="2"/>
  <c r="H78" i="4"/>
  <c r="F78" i="4"/>
  <c r="I78" i="4"/>
  <c r="H90" i="2"/>
  <c r="H97" i="2" s="1"/>
  <c r="H66" i="1" s="1"/>
  <c r="H80" i="4"/>
  <c r="H92" i="4" s="1"/>
  <c r="G78" i="4"/>
  <c r="F80" i="4"/>
  <c r="F92" i="4" s="1"/>
  <c r="J56" i="17"/>
  <c r="C6" i="28"/>
  <c r="E90" i="2"/>
  <c r="E98" i="35"/>
  <c r="E99" i="35" s="1"/>
  <c r="D98" i="35"/>
  <c r="D99" i="35" s="1"/>
  <c r="F5" i="4"/>
  <c r="G6" i="4"/>
  <c r="G5" i="4" s="1"/>
  <c r="E66" i="2"/>
  <c r="D36" i="2"/>
  <c r="F90" i="2"/>
  <c r="G90" i="2"/>
  <c r="G97" i="2" s="1"/>
  <c r="G66" i="1" s="1"/>
  <c r="D37" i="2"/>
  <c r="I37" i="2" s="1"/>
  <c r="E76" i="1"/>
  <c r="D76" i="1"/>
  <c r="G6" i="1"/>
  <c r="E5" i="1"/>
  <c r="E5" i="5"/>
  <c r="E74" i="1"/>
  <c r="D90" i="2"/>
  <c r="I90" i="2" s="1"/>
  <c r="D89" i="2"/>
  <c r="I89" i="2" s="1"/>
  <c r="E89" i="2"/>
  <c r="F89" i="2"/>
  <c r="G89" i="2"/>
  <c r="H89" i="2"/>
  <c r="J86" i="2"/>
  <c r="F66" i="2"/>
  <c r="J85" i="2"/>
  <c r="J33" i="2"/>
  <c r="F65" i="2"/>
  <c r="E65" i="2"/>
  <c r="H65" i="2"/>
  <c r="G65" i="2"/>
  <c r="G67" i="2" s="1"/>
  <c r="D66" i="2"/>
  <c r="J62" i="2"/>
  <c r="D65" i="2"/>
  <c r="J61" i="2"/>
  <c r="J32" i="2"/>
  <c r="F28" i="28"/>
  <c r="F27" i="28"/>
  <c r="G146" i="2"/>
  <c r="G180" i="2" s="1"/>
  <c r="F146" i="2"/>
  <c r="F180" i="2" s="1"/>
  <c r="E146" i="2"/>
  <c r="E180" i="2" s="1"/>
  <c r="E38" i="2"/>
  <c r="G6" i="29"/>
  <c r="G5" i="29" s="1"/>
  <c r="F4" i="29"/>
  <c r="F5" i="10"/>
  <c r="F27" i="10" s="1"/>
  <c r="G5" i="10"/>
  <c r="G27" i="10" s="1"/>
  <c r="E5" i="2"/>
  <c r="F6" i="2"/>
  <c r="E5" i="17"/>
  <c r="F6" i="17"/>
  <c r="G5" i="27"/>
  <c r="H6" i="27"/>
  <c r="H5" i="27" s="1"/>
  <c r="E5" i="11"/>
  <c r="F6" i="11"/>
  <c r="G6" i="5"/>
  <c r="G5" i="19"/>
  <c r="H6" i="19"/>
  <c r="H5" i="19" s="1"/>
  <c r="F104" i="2"/>
  <c r="F24" i="28"/>
  <c r="G25" i="28"/>
  <c r="F5" i="5"/>
  <c r="H52" i="19"/>
  <c r="H51" i="19" s="1"/>
  <c r="G51" i="19"/>
  <c r="Q8" i="30"/>
  <c r="R9" i="30"/>
  <c r="H5" i="10"/>
  <c r="H27" i="10" s="1"/>
  <c r="I6" i="10"/>
  <c r="E34" i="10"/>
  <c r="E35" i="10"/>
  <c r="W8" i="31"/>
  <c r="X9" i="31"/>
  <c r="J77" i="2"/>
  <c r="J19" i="2"/>
  <c r="G34" i="10"/>
  <c r="F35" i="10"/>
  <c r="I46" i="28"/>
  <c r="J46" i="28" s="1"/>
  <c r="H6" i="1"/>
  <c r="H5" i="1" s="1"/>
  <c r="G5" i="1"/>
  <c r="K56" i="28"/>
  <c r="B125" i="28"/>
  <c r="B15" i="5" s="1"/>
  <c r="B69" i="1" s="1"/>
  <c r="B128" i="28"/>
  <c r="B18" i="5" s="1"/>
  <c r="B72" i="1" s="1"/>
  <c r="B126" i="28"/>
  <c r="B16" i="5" s="1"/>
  <c r="B70" i="1" s="1"/>
  <c r="B127" i="28"/>
  <c r="B17" i="5" s="1"/>
  <c r="B71" i="1" s="1"/>
  <c r="B129" i="28"/>
  <c r="B19" i="5" s="1"/>
  <c r="B73" i="1" s="1"/>
  <c r="B124" i="28"/>
  <c r="B14" i="5" s="1"/>
  <c r="B68" i="1" s="1"/>
  <c r="J78" i="2"/>
  <c r="J20" i="2"/>
  <c r="H15" i="4"/>
  <c r="H18" i="4" s="1"/>
  <c r="D75" i="1"/>
  <c r="D74" i="1"/>
  <c r="E15" i="4"/>
  <c r="B130" i="28"/>
  <c r="J49" i="2"/>
  <c r="G15" i="4"/>
  <c r="G18" i="4" s="1"/>
  <c r="F36" i="29"/>
  <c r="F15" i="4"/>
  <c r="F18" i="4" s="1"/>
  <c r="E18" i="19"/>
  <c r="E181" i="2"/>
  <c r="E42" i="17"/>
  <c r="E54" i="19"/>
  <c r="E82" i="1" s="1"/>
  <c r="J48" i="2"/>
  <c r="I15" i="4"/>
  <c r="I18" i="4" s="1"/>
  <c r="F32" i="10" l="1"/>
  <c r="E18" i="4"/>
  <c r="E24" i="4" s="1"/>
  <c r="G31" i="17"/>
  <c r="G34" i="17" s="1"/>
  <c r="G95" i="4"/>
  <c r="G105" i="4" s="1"/>
  <c r="F29" i="17"/>
  <c r="F95" i="4"/>
  <c r="E29" i="17"/>
  <c r="E96" i="4"/>
  <c r="E97" i="4" s="1"/>
  <c r="H31" i="17"/>
  <c r="H34" i="17" s="1"/>
  <c r="I96" i="4"/>
  <c r="I97" i="4" s="1"/>
  <c r="E38" i="17"/>
  <c r="D34" i="17"/>
  <c r="G15" i="10"/>
  <c r="G17" i="10" s="1"/>
  <c r="G24" i="10" s="1"/>
  <c r="G41" i="10" s="1"/>
  <c r="K99" i="35"/>
  <c r="H6" i="4"/>
  <c r="H5" i="4" s="1"/>
  <c r="G65"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49" i="2"/>
  <c r="H91" i="2"/>
  <c r="E97" i="2"/>
  <c r="E66" i="1" s="1"/>
  <c r="J36" i="2"/>
  <c r="I36" i="2"/>
  <c r="E91" i="2"/>
  <c r="F96" i="2"/>
  <c r="F97" i="2"/>
  <c r="F66" i="1" s="1"/>
  <c r="H96" i="2"/>
  <c r="H98" i="2" s="1"/>
  <c r="D38" i="2"/>
  <c r="I38" i="2" s="1"/>
  <c r="F91" i="2"/>
  <c r="D97" i="2"/>
  <c r="G91" i="2"/>
  <c r="B63" i="5"/>
  <c r="B78" i="1" s="1"/>
  <c r="B62" i="5"/>
  <c r="B77" i="1" s="1"/>
  <c r="B81" i="1"/>
  <c r="B65" i="5"/>
  <c r="B80" i="1" s="1"/>
  <c r="J37" i="2"/>
  <c r="B64" i="5"/>
  <c r="B79" i="1" s="1"/>
  <c r="J90" i="2"/>
  <c r="D91" i="2"/>
  <c r="I91" i="2" s="1"/>
  <c r="D96" i="2"/>
  <c r="I96" i="2" s="1"/>
  <c r="F76" i="1"/>
  <c r="I65" i="2"/>
  <c r="I6" i="4"/>
  <c r="I5" i="4" s="1"/>
  <c r="H65" i="4"/>
  <c r="B19" i="1"/>
  <c r="B46" i="1"/>
  <c r="J66" i="2"/>
  <c r="I66" i="2"/>
  <c r="D67" i="2"/>
  <c r="G28" i="28"/>
  <c r="G27" i="28"/>
  <c r="F38" i="17" s="1"/>
  <c r="H105" i="4"/>
  <c r="F93" i="4"/>
  <c r="I5" i="10"/>
  <c r="I27" i="10" s="1"/>
  <c r="I105" i="4"/>
  <c r="J65" i="2"/>
  <c r="F67" i="2"/>
  <c r="E96" i="2"/>
  <c r="G96" i="2"/>
  <c r="E67" i="2"/>
  <c r="H67" i="2"/>
  <c r="G5" i="5"/>
  <c r="H38" i="2"/>
  <c r="D64" i="27"/>
  <c r="J89" i="2"/>
  <c r="G38" i="2"/>
  <c r="F38" i="2"/>
  <c r="G4" i="29"/>
  <c r="H6" i="29"/>
  <c r="H5" i="29" s="1"/>
  <c r="G36" i="29"/>
  <c r="F5" i="2"/>
  <c r="G6" i="2"/>
  <c r="F5" i="17"/>
  <c r="G6" i="17"/>
  <c r="J71" i="1"/>
  <c r="F5" i="11"/>
  <c r="G6" i="11"/>
  <c r="J72" i="1"/>
  <c r="H6" i="5"/>
  <c r="F181" i="2"/>
  <c r="G104" i="2"/>
  <c r="F103" i="2"/>
  <c r="F150" i="2" s="1"/>
  <c r="F74" i="1"/>
  <c r="E182" i="2"/>
  <c r="G24" i="28"/>
  <c r="H25" i="28"/>
  <c r="F18" i="19"/>
  <c r="F42" i="17"/>
  <c r="F57" i="17" s="1"/>
  <c r="F54" i="19"/>
  <c r="F82" i="1" s="1"/>
  <c r="Y9" i="31"/>
  <c r="X8" i="31"/>
  <c r="S9" i="30"/>
  <c r="R8" i="30"/>
  <c r="B42" i="1"/>
  <c r="B16" i="1"/>
  <c r="E57" i="17"/>
  <c r="E57" i="27"/>
  <c r="D57" i="27"/>
  <c r="D56" i="27" s="1"/>
  <c r="E20" i="4" l="1"/>
  <c r="E68" i="4"/>
  <c r="E81" i="4" s="1"/>
  <c r="E57" i="4"/>
  <c r="E59" i="4" s="1"/>
  <c r="F31" i="17"/>
  <c r="F34" i="17" s="1"/>
  <c r="G96" i="4"/>
  <c r="G97" i="4" s="1"/>
  <c r="F96" i="4"/>
  <c r="F97" i="4" s="1"/>
  <c r="E31" i="17"/>
  <c r="E34" i="17" s="1"/>
  <c r="F105" i="4"/>
  <c r="F40" i="10"/>
  <c r="F44" i="10" s="1"/>
  <c r="H15" i="10"/>
  <c r="H17" i="10" s="1"/>
  <c r="H24" i="10" s="1"/>
  <c r="H41" i="10" s="1"/>
  <c r="G32" i="10"/>
  <c r="F57" i="27" s="1"/>
  <c r="H34" i="10"/>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E98" i="2"/>
  <c r="G149" i="2"/>
  <c r="B26" i="1"/>
  <c r="B53" i="1"/>
  <c r="B23" i="1"/>
  <c r="B50" i="1"/>
  <c r="B24" i="1"/>
  <c r="B51" i="1"/>
  <c r="B27" i="1"/>
  <c r="B54" i="1"/>
  <c r="B52" i="1"/>
  <c r="B25" i="1"/>
  <c r="F98" i="2"/>
  <c r="J97" i="2"/>
  <c r="I65" i="4"/>
  <c r="D66" i="1"/>
  <c r="J66" i="1" s="1"/>
  <c r="I97" i="2"/>
  <c r="J91" i="2"/>
  <c r="D98" i="2"/>
  <c r="I98" i="2" s="1"/>
  <c r="G76" i="1"/>
  <c r="J67" i="2"/>
  <c r="I67" i="2"/>
  <c r="H28" i="28"/>
  <c r="H27" i="28"/>
  <c r="G38" i="17" s="1"/>
  <c r="G40" i="17" s="1"/>
  <c r="G93" i="4"/>
  <c r="J96" i="2"/>
  <c r="G98" i="2"/>
  <c r="J38" i="2"/>
  <c r="I6" i="29"/>
  <c r="I5" i="29" s="1"/>
  <c r="H4" i="29"/>
  <c r="H5" i="5"/>
  <c r="E40" i="10"/>
  <c r="D90" i="1" s="1"/>
  <c r="D77" i="17"/>
  <c r="D58" i="27"/>
  <c r="D63" i="27" s="1"/>
  <c r="F39" i="10"/>
  <c r="F43" i="10" s="1"/>
  <c r="E77" i="17" s="1"/>
  <c r="E64" i="27"/>
  <c r="G18" i="19"/>
  <c r="H6" i="17"/>
  <c r="G5" i="17"/>
  <c r="I54" i="17"/>
  <c r="G74" i="1"/>
  <c r="G5" i="2"/>
  <c r="H6" i="2"/>
  <c r="I72" i="2" s="1"/>
  <c r="H6" i="11"/>
  <c r="H5" i="11" s="1"/>
  <c r="G5" i="11"/>
  <c r="I56" i="17"/>
  <c r="G103" i="2"/>
  <c r="G150" i="2" s="1"/>
  <c r="H104" i="2"/>
  <c r="G181" i="2"/>
  <c r="H36" i="29"/>
  <c r="T9" i="30"/>
  <c r="S8" i="30"/>
  <c r="F182" i="2"/>
  <c r="Z9" i="31"/>
  <c r="Y8" i="31"/>
  <c r="I25" i="28"/>
  <c r="G42" i="17"/>
  <c r="G57" i="17" s="1"/>
  <c r="H24" i="28"/>
  <c r="G54" i="19"/>
  <c r="G82" i="1" s="1"/>
  <c r="E90" i="1"/>
  <c r="B43" i="1"/>
  <c r="B15" i="1"/>
  <c r="J69" i="1"/>
  <c r="J81" i="1"/>
  <c r="J78" i="1"/>
  <c r="F31" i="29"/>
  <c r="F34" i="29" s="1"/>
  <c r="F38" i="29" s="1"/>
  <c r="B44" i="1"/>
  <c r="B17" i="1"/>
  <c r="B45" i="1"/>
  <c r="B18" i="1"/>
  <c r="J74" i="1"/>
  <c r="K75" i="1"/>
  <c r="J75" i="1"/>
  <c r="E58" i="27"/>
  <c r="E56" i="27"/>
  <c r="B41" i="1"/>
  <c r="B14" i="1"/>
  <c r="J70" i="1"/>
  <c r="J73" i="1"/>
  <c r="F40" i="17" l="1"/>
  <c r="E40" i="17"/>
  <c r="H32" i="10"/>
  <c r="G57" i="27" s="1"/>
  <c r="G56" i="27" s="1"/>
  <c r="G39" i="10"/>
  <c r="G43" i="10" s="1"/>
  <c r="F77" i="17" s="1"/>
  <c r="I15" i="10"/>
  <c r="I17" i="10" s="1"/>
  <c r="I24" i="10" s="1"/>
  <c r="I41" i="10" s="1"/>
  <c r="F56" i="27"/>
  <c r="F58" i="27"/>
  <c r="F60" i="27" s="1"/>
  <c r="J25" i="1"/>
  <c r="J27" i="1"/>
  <c r="J24" i="1"/>
  <c r="J23" i="1"/>
  <c r="J26" i="1"/>
  <c r="J22" i="1"/>
  <c r="G40" i="10"/>
  <c r="F64" i="27"/>
  <c r="I34" i="10"/>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H39" i="10" s="1"/>
  <c r="H43" i="10" s="1"/>
  <c r="G77" i="17" s="1"/>
  <c r="T61" i="28"/>
  <c r="T57" i="28"/>
  <c r="T64" i="28"/>
  <c r="T67" i="28"/>
  <c r="D27" i="1"/>
  <c r="D22" i="1"/>
  <c r="E14" i="1"/>
  <c r="E27" i="1"/>
  <c r="J17" i="1"/>
  <c r="J20" i="1"/>
  <c r="K66" i="1"/>
  <c r="J98" i="2"/>
  <c r="H76" i="1"/>
  <c r="I28" i="28"/>
  <c r="I27" i="28"/>
  <c r="H38" i="17" s="1"/>
  <c r="H40" i="17" s="1"/>
  <c r="F102" i="4"/>
  <c r="F103" i="4" s="1"/>
  <c r="H93" i="4"/>
  <c r="D26" i="1"/>
  <c r="D16" i="1"/>
  <c r="D17" i="1"/>
  <c r="J21" i="1"/>
  <c r="J18" i="1"/>
  <c r="D21" i="1"/>
  <c r="D12" i="1"/>
  <c r="D23" i="1"/>
  <c r="J19" i="1"/>
  <c r="J12" i="1"/>
  <c r="D15" i="1"/>
  <c r="D19" i="1"/>
  <c r="J15" i="1"/>
  <c r="D18" i="1"/>
  <c r="D20" i="1"/>
  <c r="H42" i="17"/>
  <c r="H57" i="17" s="1"/>
  <c r="I4" i="29"/>
  <c r="J16" i="1"/>
  <c r="K78" i="1"/>
  <c r="E44" i="10"/>
  <c r="D65" i="1" s="1"/>
  <c r="D11" i="1" s="1"/>
  <c r="D62" i="27"/>
  <c r="D65" i="27" s="1"/>
  <c r="I36" i="29"/>
  <c r="E20" i="1"/>
  <c r="I49" i="2"/>
  <c r="H5" i="2"/>
  <c r="I43" i="2"/>
  <c r="I77" i="2"/>
  <c r="I14" i="2"/>
  <c r="I20" i="2"/>
  <c r="I13" i="2"/>
  <c r="I42" i="2"/>
  <c r="I71" i="2"/>
  <c r="I73" i="2" s="1"/>
  <c r="I19" i="2"/>
  <c r="H5" i="17"/>
  <c r="I50" i="17"/>
  <c r="I48" i="17"/>
  <c r="I49" i="17"/>
  <c r="I47" i="17"/>
  <c r="I51" i="17"/>
  <c r="I52" i="17"/>
  <c r="I53" i="17"/>
  <c r="I48" i="2"/>
  <c r="I78" i="2"/>
  <c r="H103" i="2"/>
  <c r="H150" i="2" s="1"/>
  <c r="H181" i="2"/>
  <c r="G182" i="2"/>
  <c r="U9" i="30"/>
  <c r="T8" i="30"/>
  <c r="G66" i="17"/>
  <c r="G44" i="17"/>
  <c r="Z8" i="31"/>
  <c r="AA9" i="31"/>
  <c r="I24" i="28"/>
  <c r="J25" i="28"/>
  <c r="H18" i="19"/>
  <c r="H54" i="19"/>
  <c r="H82" i="1" s="1"/>
  <c r="H74" i="1"/>
  <c r="E22" i="1"/>
  <c r="G44" i="10"/>
  <c r="F90" i="1"/>
  <c r="F27" i="1" s="1"/>
  <c r="E13" i="1"/>
  <c r="E25" i="1"/>
  <c r="E24" i="1"/>
  <c r="E21" i="1"/>
  <c r="E16" i="1"/>
  <c r="E23" i="1"/>
  <c r="E26" i="1"/>
  <c r="E12" i="1"/>
  <c r="E17" i="1"/>
  <c r="E28" i="1"/>
  <c r="E18" i="1"/>
  <c r="E19" i="1"/>
  <c r="E65" i="1"/>
  <c r="E11" i="1" s="1"/>
  <c r="F45" i="10"/>
  <c r="D25" i="1"/>
  <c r="E31" i="29"/>
  <c r="E34" i="29" s="1"/>
  <c r="J79" i="1"/>
  <c r="D24" i="1"/>
  <c r="J80" i="1"/>
  <c r="E60" i="27"/>
  <c r="F44" i="29"/>
  <c r="E62" i="27"/>
  <c r="E65" i="27" s="1"/>
  <c r="E63" i="27"/>
  <c r="E91" i="1" s="1"/>
  <c r="D60" i="27"/>
  <c r="E44" i="29"/>
  <c r="D91" i="1"/>
  <c r="F63" i="27" l="1"/>
  <c r="F91" i="1" s="1"/>
  <c r="F66" i="17"/>
  <c r="F44" i="17"/>
  <c r="F83" i="17" s="1"/>
  <c r="G64" i="29" s="1"/>
  <c r="G65" i="29" s="1"/>
  <c r="E66" i="17"/>
  <c r="E44" i="17"/>
  <c r="E83" i="17" s="1"/>
  <c r="F64" i="29" s="1"/>
  <c r="F65" i="29" s="1"/>
  <c r="I32" i="10"/>
  <c r="H57" i="27" s="1"/>
  <c r="H58" i="27" s="1"/>
  <c r="G58" i="27"/>
  <c r="H44" i="29" s="1"/>
  <c r="F62" i="27"/>
  <c r="F65" i="27" s="1"/>
  <c r="F67" i="27" s="1"/>
  <c r="G44" i="29"/>
  <c r="J51" i="1"/>
  <c r="J53" i="1"/>
  <c r="J54" i="1"/>
  <c r="J52" i="1"/>
  <c r="J50" i="1"/>
  <c r="J49" i="1"/>
  <c r="G83" i="17"/>
  <c r="H40" i="10"/>
  <c r="G90" i="1" s="1"/>
  <c r="G21" i="1" s="1"/>
  <c r="G64" i="27"/>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3" i="1"/>
  <c r="D50" i="1"/>
  <c r="D54" i="1"/>
  <c r="E54" i="1"/>
  <c r="E53" i="1"/>
  <c r="F54" i="1"/>
  <c r="F53" i="1"/>
  <c r="F42" i="1"/>
  <c r="D54" i="19"/>
  <c r="D82" i="1" s="1"/>
  <c r="D182" i="2"/>
  <c r="J28" i="28"/>
  <c r="J27" i="28"/>
  <c r="F58" i="29"/>
  <c r="F46" i="29"/>
  <c r="I93" i="4"/>
  <c r="E102" i="4"/>
  <c r="E103" i="4" s="1"/>
  <c r="J11" i="1"/>
  <c r="J65" i="1"/>
  <c r="E45" i="10"/>
  <c r="H31" i="29"/>
  <c r="H34" i="29" s="1"/>
  <c r="H38" i="29" s="1"/>
  <c r="F43" i="1"/>
  <c r="I15" i="2"/>
  <c r="F44" i="1"/>
  <c r="F50" i="1"/>
  <c r="F40" i="1"/>
  <c r="F46" i="1"/>
  <c r="F39" i="1"/>
  <c r="F41" i="1"/>
  <c r="F48" i="1"/>
  <c r="F55" i="1"/>
  <c r="F47" i="1"/>
  <c r="F45" i="1"/>
  <c r="G20" i="1"/>
  <c r="I44" i="2"/>
  <c r="G22" i="1"/>
  <c r="G12" i="1"/>
  <c r="J24" i="28"/>
  <c r="K25" i="28"/>
  <c r="H66" i="17"/>
  <c r="H44" i="17"/>
  <c r="H182" i="2"/>
  <c r="F25" i="1"/>
  <c r="F24" i="1"/>
  <c r="AB9" i="31"/>
  <c r="AA8" i="31"/>
  <c r="G31" i="29"/>
  <c r="G34" i="29" s="1"/>
  <c r="G38" i="29" s="1"/>
  <c r="V9" i="30"/>
  <c r="V8" i="30" s="1"/>
  <c r="U8" i="30"/>
  <c r="F26" i="1"/>
  <c r="G15" i="1"/>
  <c r="F65" i="1"/>
  <c r="G45" i="10"/>
  <c r="F16" i="1"/>
  <c r="F28" i="1"/>
  <c r="F15" i="1"/>
  <c r="F13" i="1"/>
  <c r="F17" i="1"/>
  <c r="F23" i="1"/>
  <c r="F21" i="1"/>
  <c r="F19" i="1"/>
  <c r="F12" i="1"/>
  <c r="F14" i="1"/>
  <c r="F18" i="1"/>
  <c r="F20" i="1"/>
  <c r="J77" i="1"/>
  <c r="D13" i="1"/>
  <c r="J13" i="1"/>
  <c r="J67" i="1"/>
  <c r="J68" i="1"/>
  <c r="D14" i="1"/>
  <c r="J14" i="1"/>
  <c r="E15" i="1"/>
  <c r="E29" i="1" s="1"/>
  <c r="E83" i="1"/>
  <c r="K69" i="1"/>
  <c r="E51" i="1"/>
  <c r="E49" i="1"/>
  <c r="E50" i="1"/>
  <c r="E42" i="1"/>
  <c r="E52" i="1"/>
  <c r="E48" i="1"/>
  <c r="E43" i="1"/>
  <c r="E46" i="1"/>
  <c r="E44" i="1"/>
  <c r="E45" i="1"/>
  <c r="E39" i="1"/>
  <c r="E40" i="1"/>
  <c r="E38" i="1"/>
  <c r="E55" i="1"/>
  <c r="E41" i="1"/>
  <c r="E47" i="1"/>
  <c r="E64" i="17"/>
  <c r="E67" i="27"/>
  <c r="D52" i="1"/>
  <c r="D51" i="1"/>
  <c r="D45" i="1"/>
  <c r="J45" i="1"/>
  <c r="D49" i="1"/>
  <c r="J44" i="1"/>
  <c r="D44" i="1"/>
  <c r="D42" i="1"/>
  <c r="J42" i="1"/>
  <c r="D39" i="1"/>
  <c r="J39" i="1"/>
  <c r="D41" i="1"/>
  <c r="J41" i="1"/>
  <c r="D38" i="1"/>
  <c r="J48" i="1"/>
  <c r="D43" i="1"/>
  <c r="D46" i="1"/>
  <c r="D47" i="1"/>
  <c r="J38" i="1"/>
  <c r="J43" i="1"/>
  <c r="J40" i="1"/>
  <c r="J47" i="1"/>
  <c r="D48" i="1"/>
  <c r="J46" i="1"/>
  <c r="D40" i="1"/>
  <c r="D64" i="17"/>
  <c r="D67" i="27"/>
  <c r="G60" i="27" l="1"/>
  <c r="G63" i="27"/>
  <c r="G91" i="1" s="1"/>
  <c r="G51" i="1" s="1"/>
  <c r="F64" i="17"/>
  <c r="F71" i="17" s="1"/>
  <c r="H64" i="29"/>
  <c r="H65" i="29" s="1"/>
  <c r="G26" i="1"/>
  <c r="G28" i="1"/>
  <c r="H56" i="27"/>
  <c r="G62" i="27"/>
  <c r="G65" i="27" s="1"/>
  <c r="G64" i="17" s="1"/>
  <c r="G71" i="17" s="1"/>
  <c r="J28" i="1"/>
  <c r="J55" i="1"/>
  <c r="J56" i="1" s="1"/>
  <c r="G27" i="1"/>
  <c r="G25" i="1"/>
  <c r="G24" i="1"/>
  <c r="G23" i="1"/>
  <c r="H44" i="10"/>
  <c r="G65" i="1" s="1"/>
  <c r="G11" i="1" s="1"/>
  <c r="I37" i="10"/>
  <c r="D42" i="17"/>
  <c r="D57" i="17" s="1"/>
  <c r="J57" i="17" s="1"/>
  <c r="H149" i="2"/>
  <c r="G54" i="1"/>
  <c r="D83" i="1"/>
  <c r="K82" i="1"/>
  <c r="D55" i="1"/>
  <c r="D56" i="1" s="1"/>
  <c r="D18" i="19"/>
  <c r="J82" i="1"/>
  <c r="J83" i="1" s="1"/>
  <c r="D28" i="1"/>
  <c r="D29" i="1" s="1"/>
  <c r="D38" i="17"/>
  <c r="D40" i="17" s="1"/>
  <c r="E36" i="29"/>
  <c r="E38" i="29" s="1"/>
  <c r="E58" i="29" s="1"/>
  <c r="I31" i="29"/>
  <c r="I34" i="29" s="1"/>
  <c r="I38" i="29" s="1"/>
  <c r="K28" i="28"/>
  <c r="K27" i="28"/>
  <c r="G102" i="4"/>
  <c r="G103" i="4" s="1"/>
  <c r="H102" i="4"/>
  <c r="H103" i="4" s="1"/>
  <c r="G55" i="1"/>
  <c r="G48" i="1"/>
  <c r="G52" i="1"/>
  <c r="K81" i="1"/>
  <c r="F83" i="1"/>
  <c r="AB8" i="31"/>
  <c r="AC9" i="31"/>
  <c r="AC8" i="31" s="1"/>
  <c r="K24" i="28"/>
  <c r="K80" i="1"/>
  <c r="F52" i="1"/>
  <c r="I44" i="29"/>
  <c r="H60" i="27"/>
  <c r="F51" i="1"/>
  <c r="K79" i="1"/>
  <c r="F67" i="17"/>
  <c r="F68" i="17" s="1"/>
  <c r="F70" i="17" s="1"/>
  <c r="F11" i="1"/>
  <c r="F38" i="1"/>
  <c r="K73" i="1"/>
  <c r="G19" i="1"/>
  <c r="G18" i="1"/>
  <c r="K72" i="1"/>
  <c r="G45" i="1"/>
  <c r="G16" i="1"/>
  <c r="K70" i="1"/>
  <c r="G43" i="1"/>
  <c r="G17" i="1"/>
  <c r="K71" i="1"/>
  <c r="G44" i="1"/>
  <c r="E56" i="1"/>
  <c r="E67" i="17"/>
  <c r="E68" i="17" s="1"/>
  <c r="E70" i="17" s="1"/>
  <c r="E71" i="17"/>
  <c r="G50" i="1" l="1"/>
  <c r="G49" i="1"/>
  <c r="G47" i="1"/>
  <c r="G46" i="1"/>
  <c r="G42" i="1"/>
  <c r="G40" i="1"/>
  <c r="G39" i="1"/>
  <c r="G53" i="1"/>
  <c r="G67" i="27"/>
  <c r="G67" i="17"/>
  <c r="G68" i="17" s="1"/>
  <c r="G70" i="17" s="1"/>
  <c r="G85" i="17" s="1"/>
  <c r="H66" i="29" s="1"/>
  <c r="D71" i="17"/>
  <c r="H45" i="10"/>
  <c r="G38" i="1"/>
  <c r="I57" i="17"/>
  <c r="I40" i="10"/>
  <c r="H64" i="27"/>
  <c r="I39" i="10"/>
  <c r="I43" i="10" s="1"/>
  <c r="J29" i="1"/>
  <c r="D66" i="17"/>
  <c r="D67" i="17" s="1"/>
  <c r="D68" i="17" s="1"/>
  <c r="D70" i="17" s="1"/>
  <c r="D44" i="17"/>
  <c r="K67" i="1"/>
  <c r="G13" i="1"/>
  <c r="G58" i="29"/>
  <c r="H58" i="29"/>
  <c r="I102" i="4"/>
  <c r="I103" i="4" s="1"/>
  <c r="F85" i="17"/>
  <c r="E85" i="17"/>
  <c r="H46" i="29"/>
  <c r="G46" i="29"/>
  <c r="K74" i="1"/>
  <c r="F49" i="1"/>
  <c r="F56" i="1" s="1"/>
  <c r="F22" i="1"/>
  <c r="F29" i="1" s="1"/>
  <c r="K77" i="1"/>
  <c r="G14" i="1"/>
  <c r="G41" i="1"/>
  <c r="G83" i="1"/>
  <c r="K68" i="1"/>
  <c r="I71" i="17"/>
  <c r="D85" i="17" l="1"/>
  <c r="E66" i="29" s="1"/>
  <c r="E67" i="29" s="1"/>
  <c r="D84" i="1" s="1"/>
  <c r="D83" i="17"/>
  <c r="E64" i="29" s="1"/>
  <c r="J44" i="17"/>
  <c r="G56" i="1"/>
  <c r="F66" i="29"/>
  <c r="F67" i="29" s="1"/>
  <c r="F68" i="29" s="1"/>
  <c r="G66" i="29"/>
  <c r="G67" i="29" s="1"/>
  <c r="G68" i="29" s="1"/>
  <c r="H67" i="29"/>
  <c r="H68" i="29" s="1"/>
  <c r="G87" i="17"/>
  <c r="I70" i="17"/>
  <c r="H77" i="17"/>
  <c r="H83" i="17" s="1"/>
  <c r="H62" i="27"/>
  <c r="H65" i="27" s="1"/>
  <c r="H63" i="27"/>
  <c r="H91" i="1" s="1"/>
  <c r="H90" i="1"/>
  <c r="I44" i="10"/>
  <c r="H65" i="1" s="1"/>
  <c r="I44" i="17"/>
  <c r="G29" i="1"/>
  <c r="I46" i="29"/>
  <c r="I58" i="29"/>
  <c r="F87" i="17"/>
  <c r="E87" i="17"/>
  <c r="I85" i="17" l="1"/>
  <c r="D87" i="17"/>
  <c r="F47" i="29"/>
  <c r="F48" i="29" s="1"/>
  <c r="F50" i="29" s="1"/>
  <c r="F60" i="29" s="1"/>
  <c r="F62" i="29" s="1"/>
  <c r="E87" i="1" s="1"/>
  <c r="I64" i="29"/>
  <c r="I65" i="29" s="1"/>
  <c r="G47" i="29"/>
  <c r="G48" i="29" s="1"/>
  <c r="G50" i="29" s="1"/>
  <c r="G60" i="29" s="1"/>
  <c r="F86" i="1" s="1"/>
  <c r="F31" i="1" s="1"/>
  <c r="G85" i="1"/>
  <c r="G84" i="1"/>
  <c r="G30" i="1" s="1"/>
  <c r="H47" i="29"/>
  <c r="H48" i="29" s="1"/>
  <c r="H50" i="29" s="1"/>
  <c r="H60" i="29" s="1"/>
  <c r="G86" i="1" s="1"/>
  <c r="G31" i="1" s="1"/>
  <c r="K49" i="1"/>
  <c r="K50" i="1"/>
  <c r="K54" i="1"/>
  <c r="K53" i="1"/>
  <c r="K52" i="1"/>
  <c r="K51" i="1"/>
  <c r="K55" i="1"/>
  <c r="K26" i="1"/>
  <c r="K24" i="1"/>
  <c r="K25" i="1"/>
  <c r="K23" i="1"/>
  <c r="K27" i="1"/>
  <c r="K22" i="1"/>
  <c r="K28" i="1"/>
  <c r="H11" i="1"/>
  <c r="K11" i="1"/>
  <c r="H83" i="1"/>
  <c r="K65" i="1"/>
  <c r="K83" i="1" s="1"/>
  <c r="H38" i="1"/>
  <c r="K38" i="1"/>
  <c r="H44" i="1"/>
  <c r="H41" i="1"/>
  <c r="H45" i="1"/>
  <c r="H55" i="1"/>
  <c r="H42" i="1"/>
  <c r="K40" i="1"/>
  <c r="K45" i="1"/>
  <c r="H46" i="1"/>
  <c r="K41" i="1"/>
  <c r="K42" i="1"/>
  <c r="K48" i="1"/>
  <c r="H47" i="1"/>
  <c r="K47" i="1"/>
  <c r="H49" i="1"/>
  <c r="H48" i="1"/>
  <c r="H53" i="1"/>
  <c r="H40" i="1"/>
  <c r="K44" i="1"/>
  <c r="H54" i="1"/>
  <c r="H52" i="1"/>
  <c r="H51" i="1"/>
  <c r="K46" i="1"/>
  <c r="H43" i="1"/>
  <c r="H39" i="1"/>
  <c r="K39" i="1"/>
  <c r="K43" i="1"/>
  <c r="H50" i="1"/>
  <c r="H27" i="1"/>
  <c r="H16" i="1"/>
  <c r="H15" i="1"/>
  <c r="H26" i="1"/>
  <c r="H24" i="1"/>
  <c r="H18" i="1"/>
  <c r="H21" i="1"/>
  <c r="H25" i="1"/>
  <c r="H17" i="1"/>
  <c r="H12" i="1"/>
  <c r="K12" i="1"/>
  <c r="H13" i="1"/>
  <c r="K15" i="1"/>
  <c r="H19" i="1"/>
  <c r="H22" i="1"/>
  <c r="H28" i="1"/>
  <c r="K21" i="1"/>
  <c r="H23" i="1"/>
  <c r="K17" i="1"/>
  <c r="K19" i="1"/>
  <c r="K18" i="1"/>
  <c r="K16" i="1"/>
  <c r="H14" i="1"/>
  <c r="K14" i="1"/>
  <c r="H20" i="1"/>
  <c r="K13" i="1"/>
  <c r="K20" i="1"/>
  <c r="H67" i="27"/>
  <c r="H64" i="17"/>
  <c r="I45" i="10"/>
  <c r="F84" i="1"/>
  <c r="F30" i="1" s="1"/>
  <c r="F85" i="1"/>
  <c r="I83" i="17"/>
  <c r="J83" i="17"/>
  <c r="E85" i="1"/>
  <c r="E84" i="1"/>
  <c r="E30" i="1" s="1"/>
  <c r="G88" i="1"/>
  <c r="I87" i="17"/>
  <c r="D30" i="1"/>
  <c r="J84" i="1"/>
  <c r="J30" i="1"/>
  <c r="E86" i="1" l="1"/>
  <c r="E31" i="1" s="1"/>
  <c r="E32" i="1" s="1"/>
  <c r="G62" i="29"/>
  <c r="F87" i="1" s="1"/>
  <c r="F58" i="1" s="1"/>
  <c r="G32" i="1"/>
  <c r="H62" i="29"/>
  <c r="G87" i="1" s="1"/>
  <c r="G58" i="1" s="1"/>
  <c r="G57" i="1"/>
  <c r="H29" i="1"/>
  <c r="K56" i="1"/>
  <c r="H56" i="1"/>
  <c r="H71" i="17"/>
  <c r="J71" i="17" s="1"/>
  <c r="H67" i="17"/>
  <c r="H68" i="17" s="1"/>
  <c r="H70" i="17" s="1"/>
  <c r="J70" i="17" s="1"/>
  <c r="K29" i="1"/>
  <c r="F57" i="1"/>
  <c r="F32" i="1"/>
  <c r="F88" i="1"/>
  <c r="E88" i="1"/>
  <c r="E65" i="29"/>
  <c r="E68" i="29" s="1"/>
  <c r="D85" i="1" s="1"/>
  <c r="D57" i="1" s="1"/>
  <c r="E47" i="29"/>
  <c r="E57" i="1"/>
  <c r="E58" i="1" l="1"/>
  <c r="E59" i="1" s="1"/>
  <c r="G59" i="1"/>
  <c r="J57" i="1"/>
  <c r="H85" i="17"/>
  <c r="F59" i="1"/>
  <c r="J85" i="1"/>
  <c r="I66" i="29" l="1"/>
  <c r="I67" i="29" s="1"/>
  <c r="I68" i="29" s="1"/>
  <c r="J85" i="17"/>
  <c r="H87" i="17"/>
  <c r="E93" i="4"/>
  <c r="E106" i="4" s="1"/>
  <c r="H106" i="4"/>
  <c r="H107" i="4" s="1"/>
  <c r="I106" i="4"/>
  <c r="I107" i="4" s="1"/>
  <c r="F106" i="4"/>
  <c r="F107" i="4" s="1"/>
  <c r="H85" i="1" l="1"/>
  <c r="K85" i="1" s="1"/>
  <c r="J87" i="17"/>
  <c r="H84" i="1"/>
  <c r="K30" i="1" s="1"/>
  <c r="I47" i="29"/>
  <c r="I48" i="29" s="1"/>
  <c r="I50" i="29" s="1"/>
  <c r="I60" i="29" s="1"/>
  <c r="H86" i="1" s="1"/>
  <c r="H31" i="1" s="1"/>
  <c r="H88" i="1"/>
  <c r="G106" i="4"/>
  <c r="G107" i="4" s="1"/>
  <c r="K57" i="1" l="1"/>
  <c r="K84" i="1"/>
  <c r="H30" i="1"/>
  <c r="H32" i="1" s="1"/>
  <c r="H57" i="1"/>
  <c r="I62" i="29"/>
  <c r="H87" i="1" s="1"/>
  <c r="H58" i="1" s="1"/>
  <c r="E46" i="29"/>
  <c r="E48" i="29" s="1"/>
  <c r="E50" i="29" s="1"/>
  <c r="E60" i="29" s="1"/>
  <c r="D86" i="1" s="1"/>
  <c r="H59" i="1" l="1"/>
  <c r="E62" i="29"/>
  <c r="D87" i="1" s="1"/>
  <c r="D58" i="1" s="1"/>
  <c r="D59" i="1" s="1"/>
  <c r="D31" i="1"/>
  <c r="D32" i="1" s="1"/>
  <c r="J31" i="1"/>
  <c r="J32" i="1" s="1"/>
  <c r="K86" i="1"/>
  <c r="J86" i="1"/>
  <c r="K31" i="1"/>
  <c r="K32" i="1" s="1"/>
  <c r="E107" i="4"/>
  <c r="D88" i="1" l="1"/>
  <c r="J87" i="1"/>
  <c r="J88" i="1" s="1"/>
  <c r="K58" i="1"/>
  <c r="K59" i="1" s="1"/>
  <c r="K87" i="1"/>
  <c r="K88" i="1" s="1"/>
  <c r="J58" i="1"/>
  <c r="J59" i="1" s="1"/>
</calcChain>
</file>

<file path=xl/sharedStrings.xml><?xml version="1.0" encoding="utf-8"?>
<sst xmlns="http://schemas.openxmlformats.org/spreadsheetml/2006/main" count="3125" uniqueCount="1055">
  <si>
    <t>Regulatory Financial Performance Report</t>
  </si>
  <si>
    <t xml:space="preserve">                           </t>
  </si>
  <si>
    <t>RIIO-2 start date (enter 2022 for 2021-22)</t>
  </si>
  <si>
    <t>Licensee</t>
  </si>
  <si>
    <t>ESO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</si>
  <si>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</si>
  <si>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</si>
  <si>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</si>
  <si>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</si>
  <si>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</si>
  <si>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</si>
  <si>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</si>
  <si>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</si>
  <si>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</si>
  <si>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</si>
  <si>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</si>
  <si>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</si>
  <si>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</si>
  <si>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</si>
  <si>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</si>
  <si>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</si>
  <si>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</si>
  <si>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</si>
  <si>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</si>
  <si>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</si>
  <si>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</si>
  <si>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</si>
  <si>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</si>
  <si>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</si>
  <si>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</si>
  <si>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</si>
  <si>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</si>
  <si>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</si>
  <si>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</si>
  <si>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</si>
  <si>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</si>
  <si>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</si>
  <si>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</si>
  <si>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</si>
  <si>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</si>
  <si>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</si>
  <si>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</si>
  <si>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</si>
  <si>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</si>
  <si>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</si>
  <si>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</si>
  <si>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</si>
  <si>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</si>
  <si>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</si>
  <si>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</si>
  <si>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</si>
  <si>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</si>
  <si>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</si>
  <si>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</si>
  <si>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</si>
  <si>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</si>
  <si>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</si>
  <si>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</si>
  <si>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</si>
  <si>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</si>
  <si>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</si>
  <si>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</si>
  <si>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</si>
  <si>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</si>
  <si>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</si>
  <si>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</si>
  <si>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</si>
  <si>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</si>
  <si>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</si>
  <si>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</si>
  <si>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</si>
  <si>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</si>
  <si>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</si>
  <si>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</si>
  <si>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</si>
  <si>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</si>
  <si>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</si>
  <si>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</si>
  <si>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</si>
  <si>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</si>
  <si>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</si>
  <si>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</si>
  <si>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</si>
  <si>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</si>
  <si>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(SO)</t>
  </si>
  <si>
    <t>NGGT (TO+SO)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</si>
  <si>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</si>
  <si>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</si>
  <si>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</si>
  <si>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</si>
  <si>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</si>
  <si>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</si>
  <si>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</si>
  <si>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</si>
  <si>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</si>
  <si>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</si>
  <si>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</si>
  <si>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</si>
  <si>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</si>
  <si>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</si>
  <si>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</si>
  <si>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</si>
  <si>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</si>
  <si>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</si>
  <si>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</si>
  <si>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</si>
  <si>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</si>
  <si>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</si>
  <si>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</si>
  <si>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</si>
  <si>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</si>
  <si>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</si>
  <si>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</si>
  <si>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</si>
  <si>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</si>
  <si>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</si>
  <si>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</si>
  <si>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</si>
  <si>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</si>
  <si>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</si>
  <si>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</si>
  <si>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</si>
  <si>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</si>
  <si>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</si>
  <si>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</si>
  <si>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</si>
  <si>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</si>
  <si>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</si>
  <si>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Intercompany</t>
  </si>
  <si>
    <t>RCF (Revolving Credit Facility)</t>
  </si>
  <si>
    <t>Reference rate</t>
  </si>
  <si>
    <t>Not applicable</t>
  </si>
  <si>
    <t>LIBOR 3 month</t>
  </si>
  <si>
    <t>LIBOR 6 month</t>
  </si>
  <si>
    <t>EURIBOR 3 month</t>
  </si>
  <si>
    <t>BOE base rate</t>
  </si>
  <si>
    <t>RPI 12 month</t>
  </si>
  <si>
    <t>CPI 12 month</t>
  </si>
  <si>
    <t>1 day GBP SONIA</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</si>
  <si>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</si>
  <si>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</si>
  <si>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</si>
  <si>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</si>
  <si>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</si>
  <si>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</si>
  <si>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</si>
  <si>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</si>
  <si>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</si>
  <si>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</si>
  <si>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</si>
  <si>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</si>
  <si>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</si>
  <si>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</si>
  <si>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</si>
  <si>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</si>
  <si>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</si>
  <si>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</si>
  <si>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</si>
  <si>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</si>
  <si>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</si>
  <si>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</si>
  <si>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</si>
  <si>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</si>
  <si>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</si>
  <si>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</si>
  <si>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</si>
  <si>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</si>
  <si>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</si>
  <si>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</si>
  <si>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</si>
  <si>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</si>
  <si>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</si>
  <si>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</si>
  <si>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</si>
  <si>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</si>
  <si>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</si>
  <si>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</si>
  <si>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</si>
  <si>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</si>
  <si>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</si>
  <si>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</si>
  <si>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</si>
  <si>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</si>
  <si>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</si>
  <si>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</si>
  <si>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</si>
  <si>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</si>
  <si>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</si>
  <si>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</si>
  <si>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</si>
  <si>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</si>
  <si>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</si>
  <si>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</si>
  <si>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V2.0</t>
  </si>
  <si>
    <t>R2 - row 24 (RRt)</t>
  </si>
  <si>
    <t>Changed the description to add "per latest PCFM" for more clarity. Guidace document has also been amended.</t>
  </si>
  <si>
    <t>R8 - Row 21</t>
  </si>
  <si>
    <t>Corrected cell references in formula</t>
  </si>
  <si>
    <t>R3 - row 116, 121, 133, 142</t>
  </si>
  <si>
    <t>Changed the description to '[Input description, add additional rows as required]'</t>
  </si>
  <si>
    <t>R3 - Rows 36 and 37</t>
  </si>
  <si>
    <t xml:space="preserve">Copied and rolled-over D36:D37 formula into future years </t>
  </si>
  <si>
    <t xml:space="preserve">R1 - J22:K28 and J49:K55 </t>
  </si>
  <si>
    <t>Corrected cell references in formula for 'cumulative' and RIIO-2 period'</t>
  </si>
  <si>
    <t>Data</t>
  </si>
  <si>
    <t>Update to loan type drop down list selection to include "Intercompany" in row 271</t>
  </si>
  <si>
    <t>Update to reference rate drop down list selection to include "1 day GBP SONIA" in row 281</t>
  </si>
  <si>
    <t>Update to loan type drop down list selection to include "RCF (Revolving Credit Facility)" in row 272</t>
  </si>
  <si>
    <t>Updates to columns F,G,H,I,J  in row 16,17 and 19 in Combined RPI-CPIH price index table to latest PCFM Annual Inflation Rates</t>
  </si>
  <si>
    <t>In Row 103 the formula calculating the difference between the tax per stat accounts and the tax per regulated business is currently a sum. The correct formula should deduct from one another therefore the formula for E103 has been amended to = E101-E102 and rolled over to future years</t>
  </si>
  <si>
    <t xml:space="preserve">Formula correction in cell D178 from "0" to "=SUM(D153:D177)" as agreed with Stephanie Fernandes </t>
  </si>
  <si>
    <t>Formula correction in cell D180 from "=D146-D176" to "=D146-D178" as agreed with Stephanie Fernandes</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</si>
  <si>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</si>
  <si>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</si>
  <si>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</si>
  <si>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</si>
  <si>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</si>
  <si>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</si>
  <si>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</si>
  <si>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</si>
  <si>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</si>
  <si>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</si>
  <si>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</si>
  <si>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</si>
  <si>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</si>
  <si>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</si>
  <si>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</si>
  <si>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</si>
  <si>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</si>
  <si>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</si>
  <si>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</si>
  <si>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</si>
  <si>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</si>
  <si>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</si>
  <si>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</si>
  <si>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</si>
  <si>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</si>
  <si>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</si>
  <si>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</si>
  <si>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</si>
  <si>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</si>
  <si>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</si>
  <si>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</si>
  <si>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</si>
  <si>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</si>
  <si>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</si>
  <si>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</si>
  <si>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</si>
  <si>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</si>
  <si>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</si>
  <si>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</si>
  <si>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</si>
  <si>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</si>
  <si>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</si>
  <si>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</si>
  <si>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</si>
  <si>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</si>
  <si>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</si>
  <si>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</si>
  <si>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 (per latest PCFM)</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</si>
  <si>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</si>
  <si>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</si>
  <si>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</si>
  <si>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</si>
  <si>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</si>
  <si>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</si>
  <si>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</si>
  <si>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</si>
  <si>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</si>
  <si>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</si>
  <si>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</si>
  <si>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</si>
  <si>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</si>
  <si>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External BSUoS</t>
  </si>
  <si>
    <t>TNUoS</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</si>
  <si>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</si>
  <si>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</si>
  <si>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</si>
  <si>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</si>
  <si>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</si>
  <si>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</si>
  <si>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</si>
  <si>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Collected Regulated Network Revenue</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</si>
  <si>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</si>
  <si>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</si>
  <si>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</si>
  <si>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</si>
  <si>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</si>
  <si>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</si>
  <si>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</si>
  <si>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</si>
  <si>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</si>
  <si>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</si>
  <si>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</si>
  <si>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</si>
  <si>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</si>
  <si>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</si>
  <si>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</si>
  <si>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</si>
  <si>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</si>
  <si>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</si>
  <si>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</si>
  <si>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</si>
  <si>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</si>
  <si>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</si>
  <si>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</si>
  <si>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</si>
  <si>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</si>
  <si>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 xml:space="preserve">In Row 103 the formula calculating the difference between the tax per stat accounts and the tax per regulated business was previously a sum. </t>
  </si>
  <si>
    <t>The correct formula should deduct from one another therefore the formula for E103 has been amended to = E101-E102 and rolled over to future years</t>
  </si>
  <si>
    <t xml:space="preserve">In row 78 the check cell is returning an error.  We do not believe that the error checking formula is correct.  The sum of rows 71 to 75 is equal to the regulatory opex </t>
  </si>
  <si>
    <t>calculated in row 77, which is what we believe the formula in row 78 is testing. </t>
  </si>
  <si>
    <t>R3 - Totex &amp; Reconciliation</t>
  </si>
  <si>
    <t>Totex per the latest PCFM</t>
  </si>
  <si>
    <t>In this section, rows 13-99 do not apply to ESO</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</si>
  <si>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</si>
  <si>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</si>
  <si>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</si>
  <si>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</si>
  <si>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</si>
  <si>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</si>
  <si>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</si>
  <si>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</si>
  <si>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[Cross Price Control]</t>
  </si>
  <si>
    <t>[other Enduring Value adjustment]</t>
  </si>
  <si>
    <t>Total enduring value adjustments</t>
  </si>
  <si>
    <t>Enduring Value adjustments (UIOLI)</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</si>
  <si>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</si>
  <si>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</si>
  <si>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</si>
  <si>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</si>
  <si>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</si>
  <si>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</si>
  <si>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</si>
  <si>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</si>
  <si>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</si>
  <si>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</si>
  <si>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</si>
  <si>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</si>
  <si>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</si>
  <si>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</si>
  <si>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</si>
  <si>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</si>
  <si>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</si>
  <si>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</si>
  <si>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</si>
  <si>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</si>
  <si>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</si>
  <si>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</si>
  <si>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</si>
  <si>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</si>
  <si>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</si>
  <si>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</si>
  <si>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</si>
  <si>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Balancing costs</t>
  </si>
  <si>
    <t>License Fees</t>
  </si>
  <si>
    <t>Cross Border Trading</t>
  </si>
  <si>
    <t>TNUoS bad debt</t>
  </si>
  <si>
    <t>Other and roundings</t>
  </si>
  <si>
    <t xml:space="preserve">Total </t>
  </si>
  <si>
    <t>Capex Reconciling Adjustments</t>
  </si>
  <si>
    <t>Ofgem directed adjustment for Depreciation &amp; Amortisation</t>
  </si>
  <si>
    <t>Total Reconciling Items</t>
  </si>
  <si>
    <t>Total Net costs after non-price control allocations</t>
  </si>
  <si>
    <t>Total Costs per latest RRP submission(all sectors except ESO)*</t>
  </si>
  <si>
    <t>licensee to provide cell reference to new RRP</t>
  </si>
  <si>
    <t>Total Costs per latest RRP submission (ESO)*</t>
  </si>
  <si>
    <t>Total Costs per latest RRP submission</t>
  </si>
  <si>
    <t>check</t>
  </si>
  <si>
    <t>Reconciling Items to Totex</t>
  </si>
  <si>
    <t>Pension Deficit costs</t>
  </si>
  <si>
    <t>BSUoS bad debt</t>
  </si>
  <si>
    <t>Innovation costs</t>
  </si>
  <si>
    <t>Network rates</t>
  </si>
  <si>
    <t>IFRS16 adjustment</t>
  </si>
  <si>
    <t>Provision movements</t>
  </si>
  <si>
    <t>R&amp;D tax credit</t>
  </si>
  <si>
    <t>Innovation unfunded totex</t>
  </si>
  <si>
    <t>IAS19 adjustment</t>
  </si>
  <si>
    <t>Right of Use Asset additions</t>
  </si>
  <si>
    <t>Total reconciling items not recognised in totex</t>
  </si>
  <si>
    <t>Reconciled Totex</t>
  </si>
  <si>
    <t>PCFM/ RRP reported Totex</t>
  </si>
  <si>
    <t>for ESO only, this row should be inputted directly from the PCFM</t>
  </si>
  <si>
    <t>*Licensee to provide a cell reference to the latest submitted RRP file from where the value is taken and note it in supporting comments/ narrative section below.</t>
  </si>
  <si>
    <t>Costs after non-price control allocations are costs relating to ESO PCFM i.e. exclude external balancing costs and TNUoS related costs.</t>
  </si>
  <si>
    <t>There is no specific cell(s) in the ESO RRP that equal or sum to the amount in cell D146 so we have left cell D148 blank.</t>
  </si>
  <si>
    <t>Erroneous check for ESO in Cell D182 as ESO are not required to complete rows 13-99</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</si>
  <si>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</si>
  <si>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</si>
  <si>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</si>
  <si>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</si>
  <si>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</si>
  <si>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</si>
  <si>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</si>
  <si>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</si>
  <si>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</si>
  <si>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Does not apply to NGGT SO</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</si>
  <si>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</si>
  <si>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</si>
  <si>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</si>
  <si>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</si>
  <si>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</si>
  <si>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</si>
  <si>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</si>
  <si>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</si>
  <si>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</si>
  <si>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</si>
  <si>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</si>
  <si>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</si>
  <si>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</si>
  <si>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(ONLY APPLIES TO NGGT - SO)</t>
  </si>
  <si>
    <t>NOTE: Section below excludes ORA (i), (ii) and (iii) which have already been included as part of "Innovation"  section above.</t>
  </si>
  <si>
    <t>Incentives per latest PCFM company-specific Input Sheet</t>
  </si>
  <si>
    <t>Reconciliation with Statutory Accounts</t>
  </si>
  <si>
    <t>2. IFRS 16 Right of Use Lease Liability</t>
  </si>
  <si>
    <t>3. Interest income relating to RCF (inc TNUoS)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</si>
  <si>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</si>
  <si>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</si>
  <si>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</si>
  <si>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</si>
  <si>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</si>
  <si>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</si>
  <si>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</si>
  <si>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</si>
  <si>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</si>
  <si>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</si>
  <si>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</si>
  <si>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</si>
  <si>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</si>
  <si>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</si>
  <si>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</si>
  <si>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</si>
  <si>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</si>
  <si>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</si>
  <si>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</si>
  <si>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</si>
  <si>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</si>
  <si>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</si>
  <si>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</si>
  <si>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</si>
  <si>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</si>
  <si>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</si>
  <si>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</si>
  <si>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</si>
  <si>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</si>
  <si>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</si>
  <si>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</si>
  <si>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</si>
  <si>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</si>
  <si>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</si>
  <si>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</si>
  <si>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</si>
  <si>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</si>
  <si>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</si>
  <si>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</si>
  <si>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</si>
  <si>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</si>
  <si>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</si>
  <si>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</si>
  <si>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</si>
  <si>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</si>
  <si>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</si>
  <si>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</si>
  <si>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</si>
  <si>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</si>
  <si>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</si>
  <si>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</si>
  <si>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</si>
  <si>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</si>
  <si>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</si>
  <si>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</si>
  <si>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</si>
  <si>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</si>
  <si>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</si>
  <si>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</si>
  <si>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</si>
  <si>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</si>
  <si>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</si>
  <si>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</si>
  <si>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</si>
  <si>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</si>
  <si>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</si>
  <si>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</si>
  <si>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</si>
  <si>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</si>
  <si>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</si>
  <si>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</si>
  <si>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</si>
  <si>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</si>
  <si>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</si>
  <si>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</si>
  <si>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</si>
  <si>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</si>
  <si>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</si>
  <si>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</si>
  <si>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</si>
  <si>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</si>
  <si>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</si>
  <si>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</si>
  <si>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</si>
  <si>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</si>
  <si>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</si>
  <si>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</si>
  <si>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</si>
  <si>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</si>
  <si>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</si>
  <si>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</si>
  <si>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</si>
  <si>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</si>
  <si>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</si>
  <si>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</si>
  <si>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</si>
  <si>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</si>
  <si>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</si>
  <si>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</si>
  <si>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</si>
  <si>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</si>
  <si>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</si>
  <si>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</si>
  <si>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</si>
  <si>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</si>
  <si>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</si>
  <si>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</si>
  <si>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</si>
  <si>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</si>
  <si>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</si>
  <si>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</si>
  <si>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</si>
  <si>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</si>
  <si>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</si>
  <si>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</si>
  <si>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</si>
  <si>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</si>
  <si>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</si>
  <si>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</si>
  <si>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</si>
  <si>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</si>
  <si>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</si>
  <si>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</si>
  <si>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</si>
  <si>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</si>
  <si>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</si>
  <si>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</si>
  <si>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</si>
  <si>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</si>
  <si>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</si>
  <si>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</si>
  <si>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</si>
  <si>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</si>
  <si>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</si>
  <si>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</si>
  <si>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</si>
  <si>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</si>
  <si>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</si>
  <si>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</si>
  <si>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</si>
  <si>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</si>
  <si>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</si>
  <si>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</si>
  <si>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</si>
  <si>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</si>
  <si>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</si>
  <si>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</si>
  <si>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</si>
  <si>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</si>
  <si>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</si>
  <si>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</si>
  <si>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</si>
  <si>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</si>
  <si>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</si>
  <si>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</si>
  <si>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</si>
  <si>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</si>
  <si>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</si>
  <si>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</si>
  <si>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</si>
  <si>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</si>
  <si>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</si>
  <si>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</si>
  <si>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</si>
  <si>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</si>
  <si>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</si>
  <si>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</si>
  <si>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</si>
  <si>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</si>
  <si>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</si>
  <si>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</si>
  <si>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</si>
  <si>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</si>
  <si>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</si>
  <si>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</si>
  <si>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</si>
  <si>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</si>
  <si>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</si>
  <si>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</si>
  <si>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</si>
  <si>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</si>
  <si>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</si>
  <si>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</si>
  <si>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</si>
  <si>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</si>
  <si>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</si>
  <si>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</si>
  <si>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</si>
  <si>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</si>
  <si>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</si>
  <si>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</si>
  <si>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</si>
  <si>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</si>
  <si>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</si>
  <si>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</si>
  <si>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</si>
  <si>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</si>
  <si>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</si>
  <si>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</si>
  <si>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</si>
  <si>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</si>
  <si>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</si>
  <si>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</si>
  <si>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</si>
  <si>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</si>
  <si>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</si>
  <si>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</si>
  <si>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</si>
  <si>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</si>
  <si>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</si>
  <si>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</si>
  <si>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</si>
  <si>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</si>
  <si>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</si>
  <si>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</si>
  <si>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</si>
  <si>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</si>
  <si>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</si>
  <si>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</si>
  <si>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</si>
  <si>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</si>
  <si>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</si>
  <si>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</si>
  <si>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</si>
  <si>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</si>
  <si>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</si>
  <si>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</si>
  <si>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</si>
  <si>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</si>
  <si>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</si>
  <si>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</si>
  <si>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</si>
  <si>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</si>
  <si>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</si>
  <si>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</si>
  <si>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</si>
  <si>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</si>
  <si>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</si>
  <si>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</si>
  <si>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</si>
  <si>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</si>
  <si>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</si>
  <si>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</si>
  <si>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</si>
  <si>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</si>
  <si>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</si>
  <si>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</si>
  <si>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</si>
  <si>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</si>
  <si>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</si>
  <si>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</si>
  <si>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</si>
  <si>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</si>
  <si>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</si>
  <si>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</si>
  <si>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</si>
  <si>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</si>
  <si>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</si>
  <si>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</si>
  <si>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</si>
  <si>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</si>
  <si>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</si>
  <si>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</si>
  <si>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</si>
  <si>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</si>
  <si>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</si>
  <si>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</si>
  <si>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</si>
  <si>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</si>
  <si>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</si>
  <si>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</si>
  <si>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</si>
  <si>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</si>
  <si>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</si>
  <si>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</si>
  <si>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</si>
  <si>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</si>
  <si>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</si>
  <si>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</si>
  <si>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</si>
  <si>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</si>
  <si>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</si>
  <si>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</si>
  <si>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</si>
  <si>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</si>
  <si>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</si>
  <si>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</si>
  <si>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</si>
  <si>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</si>
  <si>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</si>
  <si>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</si>
  <si>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</si>
  <si>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</si>
  <si>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</si>
  <si>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</si>
  <si>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</si>
  <si>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</si>
  <si>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</si>
  <si>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</si>
  <si>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</si>
  <si>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</si>
  <si>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</si>
  <si>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</si>
  <si>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</si>
  <si>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</si>
  <si>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</si>
  <si>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</si>
  <si>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</si>
  <si>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</si>
  <si>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</si>
  <si>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</si>
  <si>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</si>
  <si>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</si>
  <si>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</si>
  <si>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</si>
  <si>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</si>
  <si>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</si>
  <si>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</si>
  <si>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</si>
  <si>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</si>
  <si>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</si>
  <si>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</si>
  <si>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</si>
  <si>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</si>
  <si>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</si>
  <si>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</si>
  <si>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</si>
  <si>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</si>
  <si>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</si>
  <si>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</si>
  <si>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</si>
  <si>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</si>
  <si>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Finance Leases</t>
  </si>
  <si>
    <t>RCF's</t>
  </si>
  <si>
    <t>B2.X</t>
  </si>
  <si>
    <t>Total B.</t>
  </si>
  <si>
    <t>Analysis of loans from other group companies (+ve)</t>
  </si>
  <si>
    <t>Identifier (if applicable</t>
  </si>
  <si>
    <t>Max loan</t>
  </si>
  <si>
    <t>N/A</t>
  </si>
  <si>
    <t>National Grid plc</t>
  </si>
  <si>
    <t>CX</t>
  </si>
  <si>
    <t>Total C.</t>
  </si>
  <si>
    <t>Analysis of loans to other group companies (-ve)</t>
  </si>
  <si>
    <t>On Demand</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</si>
  <si>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</si>
  <si>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</si>
  <si>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</si>
  <si>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</si>
  <si>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</si>
  <si>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</si>
  <si>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</si>
  <si>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</si>
  <si>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</si>
  <si>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</si>
  <si>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</si>
  <si>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</si>
  <si>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</si>
  <si>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</si>
  <si>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</si>
  <si>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</si>
  <si>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</si>
  <si>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</si>
  <si>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</si>
  <si>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</si>
  <si>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</si>
  <si>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</si>
  <si>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</si>
  <si>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</si>
  <si>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</si>
  <si>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</si>
  <si>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</si>
  <si>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</si>
  <si>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WCF Facility Fees</t>
  </si>
  <si>
    <t>Bank Fees</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</si>
  <si>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</si>
  <si>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</si>
  <si>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</si>
  <si>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</si>
  <si>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</si>
  <si>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</si>
  <si>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</si>
  <si>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1. Cash Relating to TNUoS</t>
  </si>
  <si>
    <t>2. Lease Liability</t>
  </si>
  <si>
    <t>3. Interest Accrual</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</si>
  <si>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</si>
  <si>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</si>
  <si>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</si>
  <si>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</si>
  <si>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</si>
  <si>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</si>
  <si>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</si>
  <si>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</si>
  <si>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</si>
  <si>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</si>
  <si>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</si>
  <si>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</si>
  <si>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</si>
  <si>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</si>
  <si>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</si>
  <si>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</si>
  <si>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</si>
  <si>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</si>
  <si>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</si>
  <si>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</si>
  <si>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</si>
  <si>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</si>
  <si>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</si>
  <si>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</si>
  <si>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</si>
  <si>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</si>
  <si>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</si>
  <si>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</si>
  <si>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</si>
  <si>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</si>
  <si>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</si>
  <si>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</si>
  <si>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</si>
  <si>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</si>
  <si>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</si>
  <si>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</si>
  <si>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</si>
  <si>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</si>
  <si>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</si>
  <si>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</si>
  <si>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</si>
  <si>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</si>
  <si>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</si>
  <si>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</si>
  <si>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</si>
  <si>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</si>
  <si>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</si>
  <si>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</si>
  <si>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</si>
  <si>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</si>
  <si>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</si>
  <si>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</si>
  <si>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must match with worksheet R8a</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</si>
  <si>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</si>
  <si>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</si>
  <si>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</si>
  <si>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</si>
  <si>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</si>
  <si>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</si>
  <si>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</si>
  <si>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</si>
  <si>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</si>
  <si>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</si>
  <si>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</si>
  <si>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</si>
  <si>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</si>
  <si>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</si>
  <si>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</si>
  <si>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</si>
  <si>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</si>
  <si>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</si>
  <si>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</si>
  <si>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</si>
  <si>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</si>
  <si>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</si>
  <si>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</si>
  <si>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</si>
  <si>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</si>
  <si>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changed to calculation</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</si>
  <si>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</si>
  <si>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</si>
  <si>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</si>
  <si>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</si>
  <si>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</si>
  <si>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</si>
  <si>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</si>
  <si>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</si>
  <si>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</si>
  <si>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</si>
  <si>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</si>
  <si>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</si>
  <si>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</si>
  <si>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</si>
  <si>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</si>
  <si>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</si>
  <si>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</si>
  <si>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</si>
  <si>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</si>
  <si>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</si>
  <si>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</si>
  <si>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</si>
  <si>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</si>
  <si>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</si>
  <si>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</si>
  <si>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</si>
  <si>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</si>
  <si>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</si>
  <si>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</si>
  <si>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</si>
  <si>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</si>
  <si>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</si>
  <si>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</si>
  <si>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</si>
  <si>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</si>
  <si>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</si>
  <si>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</si>
  <si>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</si>
  <si>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</si>
  <si>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</si>
  <si>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</si>
  <si>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</si>
  <si>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</si>
  <si>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</si>
  <si>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</si>
  <si>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</si>
  <si>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</si>
  <si>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</si>
  <si>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</si>
  <si>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</si>
  <si>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</si>
  <si>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</si>
  <si>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</si>
  <si>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</si>
  <si>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</si>
  <si>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</si>
  <si>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</si>
  <si>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</si>
  <si>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</si>
  <si>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</si>
  <si>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</si>
  <si>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</si>
  <si>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</si>
  <si>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</si>
  <si>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</si>
  <si>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</si>
  <si>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</si>
  <si>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</si>
  <si>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</si>
  <si>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</si>
  <si>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</si>
  <si>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</si>
  <si>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</si>
  <si>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</si>
  <si>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</si>
  <si>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</si>
  <si>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</si>
  <si>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</si>
  <si>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</si>
  <si>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</si>
  <si>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</si>
  <si>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</si>
  <si>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</si>
  <si>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</si>
  <si>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</si>
  <si>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</si>
  <si>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</si>
  <si>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</si>
  <si>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</si>
  <si>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</si>
  <si>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</si>
  <si>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</si>
  <si>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</si>
  <si>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</si>
  <si>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</si>
  <si>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</si>
  <si>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Fintan Slye</t>
  </si>
  <si>
    <t>Kayte O'Neill</t>
  </si>
  <si>
    <t>Gregg Smith</t>
  </si>
  <si>
    <t>Fixed Pay</t>
  </si>
  <si>
    <t>Salary</t>
  </si>
  <si>
    <t>Bonus</t>
  </si>
  <si>
    <t>Benefits</t>
  </si>
  <si>
    <t>Other cash benefits</t>
  </si>
  <si>
    <t>Non-cash 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</si>
  <si>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</si>
  <si>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</si>
  <si>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</si>
  <si>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</si>
  <si>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</si>
  <si>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</si>
  <si>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</si>
  <si>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</si>
  <si>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</si>
  <si>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</si>
  <si>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</si>
  <si>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</si>
  <si>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</si>
  <si>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</si>
  <si>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</si>
  <si>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</si>
  <si>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</si>
  <si>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</si>
  <si>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</si>
  <si>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</si>
  <si>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</si>
  <si>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</si>
  <si>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</si>
  <si>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</si>
  <si>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</si>
  <si>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</si>
  <si>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</si>
  <si>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</si>
  <si>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</si>
  <si>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</si>
  <si>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</si>
  <si>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</si>
  <si>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NGESO have not declared any Shares/Options and dividends paid, as National Grid’s group structure means that Directors do not hold shares at a Licensee level.</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</si>
  <si>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</si>
  <si>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</si>
  <si>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</si>
  <si>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</si>
  <si>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</si>
  <si>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</si>
  <si>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</si>
  <si>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</si>
  <si>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</si>
  <si>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</si>
  <si>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</si>
  <si>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</si>
  <si>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</si>
  <si>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</si>
  <si>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</si>
  <si>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</si>
  <si>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</si>
  <si>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</si>
  <si>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</si>
  <si>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</si>
  <si>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</si>
  <si>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</si>
  <si>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</si>
  <si>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</si>
  <si>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</si>
  <si>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</si>
  <si>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</si>
  <si>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</si>
  <si>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</si>
  <si>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t>
  </si>
  <si>
    <t>Facility fees</t>
  </si>
  <si>
    <t>Bank fees</t>
  </si>
  <si>
    <t>5. Net interest charged to and from customers for cash received that is higher or lower than invoiced</t>
  </si>
  <si>
    <t>1. Capitalised Interest</t>
  </si>
  <si>
    <t>4. WCF facility fees</t>
  </si>
  <si>
    <t>7. Bank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</si>
</sst>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_);[Red]\(&quot;$&quot;#,##0\)"/>
    <numFmt numFmtId="165" formatCode="&quot;$&quot;#,##0.00_);[Red]\(&quot;$&quot;#,##0.00\)"/>
    <numFmt numFmtId="166" formatCode="_(&quot;$&quot;* #,##0_);_(&quot;$&quot;* \(#,##0\);_(&quot;$&quot;* &quot;-&quot;_);_(@_)"/>
    <numFmt numFmtId="167" formatCode="_(&quot;$&quot;* #,##0.00_);_(&quot;$&quot;* \(#,##0.00\);_(&quot;$&quot;* &quot;-&quot;??_);_(@_)"/>
    <numFmt numFmtId="168" formatCode="_-* #,##0.0_-;\-* #,##0.0_-;_-* &quot;-&quot;??_-;_-@_-"/>
    <numFmt numFmtId="169" formatCode="_-* #,##0.00\ _D_M_-;\-* #,##0.00\ _D_M_-;_-* &quot;-&quot;??\ _D_M_-;_-@_-"/>
    <numFmt numFmtId="170" formatCode="#,##0.00;[Red]\-#,##0.00;\-"/>
    <numFmt numFmtId="171" formatCode="#,##0.0_);\(#,##0.0\);\-_)"/>
    <numFmt numFmtId="172" formatCode="#,##0.0;[Red]\-#,##0.0;\-"/>
    <numFmt numFmtId="173" formatCode="0.0%"/>
    <numFmt numFmtId="174" formatCode="#,##0.0;[Red]\(#,##0.0\)"/>
    <numFmt numFmtId="175" formatCode="_(* #,##0.0_);_(* \(#,##0.0\);_(* &quot;-&quot;??_);_(@_)"/>
    <numFmt numFmtId="176" formatCode="0.0"/>
    <numFmt numFmtId="177" formatCode="[$-809]d\ mmmm\ yyyy;@"/>
    <numFmt numFmtId="178" formatCode="dd/mm/yyyy;@"/>
    <numFmt numFmtId="179" formatCode="_-* #,##0.000_-;\-* #,##0.000_-;_-* &quot;-&quot;??_-;_-@_-"/>
    <numFmt numFmtId="180" formatCode="_-* #,##0.0000_-;\-* #,##0.0000_-;_-* &quot;-&quot;??_-;_-@_-"/>
    <numFmt numFmtId="181" formatCode="0.000"/>
    <numFmt numFmtId="182" formatCode="#,##0.000"/>
    <numFmt numFmtId="183" formatCode="[$$-409]#,##0.00"/>
    <numFmt numFmtId="184" formatCode="#,##0.0\ ;\(#,##0.0\)"/>
    <numFmt numFmtId="185" formatCode="#,##0_);[Red]\(#,##0\);&quot;-&quot;"/>
    <numFmt numFmtId="186" formatCode="mmmm\ d\,\ yyyy"/>
    <numFmt numFmtId="187" formatCode="_(&quot;$&quot;#,##0_)&quot;millions&quot;;\(&quot;$&quot;#,##0\)&quot; millions&quot;"/>
    <numFmt numFmtId="188" formatCode="&quot;$&quot;#,##0.00_)\ \ \ ;\(&quot;$&quot;#,##0.00\)\ \ \ "/>
    <numFmt numFmtId="189" formatCode="&quot;$&quot;#,##0.00&quot;*&quot;\ \ ;\(&quot;$&quot;#,##0.00\)&quot;*&quot;\ \ "/>
    <numFmt numFmtId="190" formatCode="&quot;$&quot;#,##0.00\A_)\ ;\(&quot;$&quot;#,##0.00\A\)\ \ "/>
    <numFmt numFmtId="191" formatCode="&quot;$&quot;@\ "/>
    <numFmt numFmtId="192" formatCode="_-[$€-2]* #,##0.00_-;\-[$€-2]* #,##0.00_-;_-[$€-2]* &quot;-&quot;??_-"/>
    <numFmt numFmtId="193" formatCode="000\-00\-0000\ "/>
    <numFmt numFmtId="194" formatCode="_(* #,##0_);_(* \(#,##0\);_(* &quot;0&quot;_);_(@_)"/>
    <numFmt numFmtId="195" formatCode="#,##0.0_);\(#,##0.0\)"/>
    <numFmt numFmtId="196" formatCode="&quot;$&quot;_(#,##0.00_);&quot;$&quot;\(#,##0.00\)"/>
    <numFmt numFmtId="197" formatCode="_-&quot;$&quot;* #,##0.0_-;\-&quot;$&quot;* #,##0.0_-;_-&quot;$&quot;* &quot;-&quot;??_-;_-@_-"/>
    <numFmt numFmtId="198" formatCode="#,##0_);\(#,##0\);&quot;-  &quot;;&quot; &quot;@&quot; &quot;"/>
    <numFmt numFmtId="199" formatCode="#,##0.0_)\x;\(#,##0.0\)\x"/>
    <numFmt numFmtId="200" formatCode="&quot;$&quot;#,##0"/>
    <numFmt numFmtId="201" formatCode="#,##0.0_)_x;\(#,##0.0\)_x"/>
    <numFmt numFmtId="202" formatCode="_(&quot;$&quot;* #,##0_);_(&quot;$&quot;* \(#,##0\);_(&quot;$&quot;* &quot;-&quot;??_);_(@_)"/>
    <numFmt numFmtId="203" formatCode="0.0_)\%;\(0.0\)\%"/>
    <numFmt numFmtId="204" formatCode="#,##0.0_)_%;\(#,##0.0\)_%"/>
    <numFmt numFmtId="205" formatCode="_(&quot;$&quot;* #,##0.0_);_(&quot;$&quot;* \(#,##0.0\);_(&quot;$&quot;* &quot;-&quot;?_);_(@_)"/>
    <numFmt numFmtId="206" formatCode="#,##0.0_);[Red]\(#,##0.0\)"/>
    <numFmt numFmtId="207" formatCode="_-&quot;£&quot;* #,##0.0_-;_-&quot;£&quot;* \(#,##0.0\)"/>
    <numFmt numFmtId="208" formatCode="\£\ #,##0_);[Red]\(\£\ #,##0\)"/>
    <numFmt numFmtId="209" formatCode="#,##0.00;[Red]\(#,##0.00\);\-"/>
    <numFmt numFmtId="210" formatCode="\¥\ #,##0_);[Red]\(\¥\ #,##0\)"/>
    <numFmt numFmtId="211" formatCode="_-\€* #,##0.0_-;_-\€* \(#,##0.0\)"/>
    <numFmt numFmtId="212" formatCode="#,##0;\(#,##0\)"/>
    <numFmt numFmtId="213" formatCode="0;[Red]\(0\);\-"/>
    <numFmt numFmtId="214" formatCode="#,##0;[Red]\(#,##0\);\-"/>
    <numFmt numFmtId="215" formatCode="#,##0,_);[Red]\(#,##0,\)"/>
    <numFmt numFmtId="216" formatCode="0.0;\(0.0\);\-"/>
    <numFmt numFmtId="217" formatCode="0.00;\(0.00\);\-"/>
    <numFmt numFmtId="218" formatCode="0.00;[Red]\(0.00\);\-"/>
    <numFmt numFmtId="219" formatCode="0.000;\(0.000\);\-"/>
    <numFmt numFmtId="220" formatCode="0\A"/>
    <numFmt numFmtId="221" formatCode="m\-d\-yy"/>
    <numFmt numFmtId="222" formatCode="0.0_)"/>
    <numFmt numFmtId="223" formatCode="_ &quot;R&quot;\ * #,##0_ ;_ &quot;R&quot;\ * \-#,##0_ ;_ &quot;R&quot;\ * &quot;-&quot;_ ;_ @_ "/>
    <numFmt numFmtId="224" formatCode="0.00\ "/>
    <numFmt numFmtId="225" formatCode="#,##0.0,,,&quot;bn&quot;"/>
    <numFmt numFmtId="226" formatCode="0.0%_);[Red]\(0.0%\)"/>
    <numFmt numFmtId="227" formatCode="0.0%;\(0.0\)%"/>
    <numFmt numFmtId="228" formatCode="0&quot; bp&quot;"/>
    <numFmt numFmtId="229" formatCode="_(* #,##0.0_);_(* \(#,##0.0\);_(* &quot;-&quot;?_);@_)"/>
    <numFmt numFmtId="230" formatCode="\•\ \ @"/>
    <numFmt numFmtId="231" formatCode="#,##0_);[Red]\(#,##0\);&quot;-&quot;_);[Blue]&quot;Error-&quot;@"/>
    <numFmt numFmtId="232" formatCode="#,##0.0_);[Red]\(#,##0.0\);&quot;-&quot;_);[Blue]&quot;Error-&quot;@"/>
    <numFmt numFmtId="233" formatCode="#,##0.00_);[Red]\(#,##0.00\);&quot;-&quot;_);[Blue]&quot;Error-&quot;@"/>
    <numFmt numFmtId="234" formatCode="&quot;£&quot;* #,##0_);[Red]&quot;£&quot;* \(#,##0\);&quot;£&quot;* &quot;-&quot;_);[Blue]&quot;Error-&quot;@"/>
    <numFmt numFmtId="235" formatCode="&quot;£&quot;* #,##0.0_);[Red]&quot;£&quot;* \(#,##0.0\);&quot;£&quot;* &quot;-&quot;_);[Blue]&quot;Error-&quot;@"/>
    <numFmt numFmtId="236" formatCode="&quot;£&quot;* #,##0.00_);[Red]&quot;£&quot;* \(#,##0.00\);&quot;£&quot;* &quot;-&quot;_);[Blue]&quot;Error-&quot;@"/>
    <numFmt numFmtId="237" formatCode="dd\ mmm\ yyyy_)"/>
    <numFmt numFmtId="238" formatCode="dd/mm/yy_)"/>
    <numFmt numFmtId="239" formatCode="0%_);[Red]\-0%_);0%_);[Blue]&quot;Error-&quot;@"/>
    <numFmt numFmtId="240" formatCode="0.0%_);[Red]\-0.0%_);0.0%_);[Blue]&quot;Error-&quot;@"/>
    <numFmt numFmtId="241" formatCode="0.00%_);[Red]\-0.00%_);0.00%_);[Blue]&quot;Error-&quot;@"/>
    <numFmt numFmtId="242" formatCode="_-* #,##0_-;* \(#,##0\)_-;_-@_-"/>
    <numFmt numFmtId="243" formatCode="0.000_)"/>
    <numFmt numFmtId="244" formatCode="#,##0.000;[Red]\(#,##0.000\);\-"/>
    <numFmt numFmtId="245" formatCode="#,##0_%_);\(#,##0\)_%;**;@_%_)"/>
    <numFmt numFmtId="246" formatCode="#,##0.000_ ;\-#,##0.000\ "/>
    <numFmt numFmtId="247" formatCode="\$#,##0.0,,,&quot;bn&quot;"/>
    <numFmt numFmtId="248" formatCode="0.0_x_)_);&quot;NM&quot;_x_)_);0.0_x_)_);@_%_)"/>
    <numFmt numFmtId="249" formatCode="0.0\ \x;\(0.0\ \x\)"/>
    <numFmt numFmtId="250" formatCode="0.0_ ;\(0.0\)_ \ "/>
    <numFmt numFmtId="251" formatCode="#,##0.0_);\(#,##0.0\);&quot;--&quot;_)"/>
    <numFmt numFmtId="252" formatCode="#,##0.00_);\(#,##0.00\);&quot;--&quot;_)"/>
    <numFmt numFmtId="253" formatCode="General_)"/>
    <numFmt numFmtId="254" formatCode="#,##0.0"/>
    <numFmt numFmtId="255" formatCode="m/d"/>
    <numFmt numFmtId="256" formatCode="0.0\ \ \x\ ;\(0.0\)\ \ \x\ "/>
    <numFmt numFmtId="257" formatCode="@\ \ \ \ \ "/>
    <numFmt numFmtId="258" formatCode="\ \ _•\–\ \ \ \ @"/>
    <numFmt numFmtId="259" formatCode="000"/>
    <numFmt numFmtId="260" formatCode="#,##0.00;[Red]\(#,##0.00\)"/>
    <numFmt numFmtId="261" formatCode="d\-mmm\-yyyy"/>
    <numFmt numFmtId="262" formatCode="&quot;$&quot;#,##0.0;[Red]&quot;$&quot;#,##0.0"/>
    <numFmt numFmtId="263" formatCode="dd/mmm/yyyy_);;&quot;-  &quot;;&quot; &quot;@"/>
    <numFmt numFmtId="264" formatCode="dd/mmm/yyyy_);;&quot;-  &quot;;&quot; &quot;@&quot; &quot;"/>
    <numFmt numFmtId="265" formatCode="dd/mmm/yy_);;&quot;-  &quot;;&quot; &quot;@"/>
    <numFmt numFmtId="266" formatCode="dd/mmm/yy_);;&quot;-  &quot;;&quot; &quot;@&quot; &quot;"/>
    <numFmt numFmtId="267" formatCode="0.00,,;[Red]\(0.00,,\);\-"/>
    <numFmt numFmtId="268" formatCode="_(* #,##0_);_(* \(#,##0\);_(* &quot;&quot;\ \-\ &quot;&quot;_);_(@_)"/>
    <numFmt numFmtId="269" formatCode="_-* #,##0\ _D_M_-;\-* #,##0\ _D_M_-;_-* &quot;-&quot;\ _D_M_-;_-@_-"/>
    <numFmt numFmtId="270" formatCode="#,##0.00_)\ \ \ \ \ ;\(#,##0.00\)\ \ \ \ \ "/>
    <numFmt numFmtId="271" formatCode="&quot;$&quot;#,##0.00_)\ \ \ \ \ ;\(&quot;$&quot;#,##0.00\)\ \ \ \ \ "/>
    <numFmt numFmtId="272" formatCode="&quot;$&quot;#,##0.00\A\ \ \ \ ;\(&quot;$&quot;#,##0.00\A\)\ \ \ \ "/>
    <numFmt numFmtId="273" formatCode="&quot;$&quot;#,##0.00&quot;E&quot;\ \ \ \ ;\(&quot;$&quot;#,##0.00&quot;E&quot;\)\ \ \ \ "/>
    <numFmt numFmtId="274" formatCode="#,##0.00\A\ \ \ \ ;\(#,##0.00\A\)\ \ \ \ "/>
    <numFmt numFmtId="275" formatCode="#,##0.00&quot;E&quot;\ \ \ \ ;\(#,##0.00&quot;E&quot;\)\ \ \ \ "/>
    <numFmt numFmtId="276" formatCode="\€#,##0.0,,,&quot;bn&quot;"/>
    <numFmt numFmtId="277" formatCode="\€#,##0.0,,&quot;m&quot;"/>
    <numFmt numFmtId="278" formatCode="\€#,##0.0,&quot;k&quot;"/>
    <numFmt numFmtId="279" formatCode="[Magenta]&quot;Err&quot;;[Magenta]&quot;Err&quot;;[Blue]&quot;OK&quot;"/>
    <numFmt numFmtId="280" formatCode="[Blue]&quot;,&quot;;;[Red]&quot;/&quot;"/>
    <numFmt numFmtId="281" formatCode="General\ &quot;.&quot;"/>
    <numFmt numFmtId="282" formatCode="#,##0_);[Red]\(#,##0\);\-_)"/>
    <numFmt numFmtId="283" formatCode="0.0_)%;\(0.0%\);0.0_)%"/>
    <numFmt numFmtId="284" formatCode="#,##0_);\(#,##0\);\-_)"/>
    <numFmt numFmtId="285" formatCode="0.0_)%;[Red]\(0.0%\);0.0_)%"/>
    <numFmt numFmtId="286" formatCode="[Red][&gt;1]&quot;&gt;100 %&quot;;[Red]\(0.0%\);0.0_)%"/>
    <numFmt numFmtId="287" formatCode="#,##0.0000_);\(#,##0.0000\);&quot;-  &quot;;&quot; &quot;@"/>
    <numFmt numFmtId="288" formatCode="#,##0.0000_);\(#,##0.0000\);&quot;-  &quot;;&quot; &quot;@&quot; &quot;"/>
    <numFmt numFmtId="289" formatCode="0%\ \ \ \ \ \ \ "/>
    <numFmt numFmtId="290" formatCode="\£#,##0.00"/>
    <numFmt numFmtId="291" formatCode="\£#,##0.0,,,&quot;bn&quot;"/>
    <numFmt numFmtId="292" formatCode="\£#,##0.0,,&quot;m&quot;"/>
    <numFmt numFmtId="293" formatCode="\£#,##0.0,&quot;k&quot;"/>
    <numFmt numFmtId="294" formatCode="0.00%;\(0.00%\)"/>
    <numFmt numFmtId="295" formatCode="0.00_)"/>
    <numFmt numFmtId="296" formatCode="\ ;\ ;"/>
    <numFmt numFmtId="297" formatCode="_-* #,##0_-;\-* #,##0_-;_-* &quot;-&quot;??_-;_-@_-"/>
    <numFmt numFmtId="298" formatCode="#,##0.0;\(#,##0.0\);\-"/>
    <numFmt numFmtId="299" formatCode="&quot;$&quot;#,##0\ &quot;MM&quot;;\(&quot;$&quot;#,##0.00\ &quot;MM&quot;\)"/>
    <numFmt numFmtId="300" formatCode="_(&quot;$&quot;* #,##0_)\ &quot;millions&quot;;_(&quot;$&quot;* \(#,##0\)&quot; millions&quot;"/>
    <numFmt numFmtId="301" formatCode="#,##0.0,,&quot;m&quot;"/>
    <numFmt numFmtId="302" formatCode="#,##0\ &quot;MM&quot;"/>
    <numFmt numFmtId="303" formatCode="&quot;Cr$&quot;#,##0_);[Red]\(&quot;Cr$&quot;#,##0\)"/>
    <numFmt numFmtId="304" formatCode="&quot;Cr$&quot;#,##0.00_);[Red]\(&quot;Cr$&quot;#,##0.00\)"/>
    <numFmt numFmtId="305" formatCode="mmm\-yyyy"/>
    <numFmt numFmtId="306" formatCode="0.0\x"/>
    <numFmt numFmtId="307" formatCode="0.0\ \x"/>
    <numFmt numFmtId="308" formatCode="0%_);\(0%\);0%_);@_%_)"/>
    <numFmt numFmtId="309" formatCode="[Blue]#,##0;[Red]\(#,##0\);\-"/>
    <numFmt numFmtId="310" formatCode="[Blue]#,##0.0;[Red]\(#,##0.0\);\-"/>
    <numFmt numFmtId="311" formatCode="[Blue]#,##0.00;[Red]\(#,##0.00\);\-"/>
    <numFmt numFmtId="312" formatCode="[Blue]#,##0.000;[Red]\(#,##0.000\);\-"/>
    <numFmt numFmtId="313" formatCode="#,##0_);\-#,##0_);\-_)"/>
    <numFmt numFmtId="314" formatCode="#,##0.00_);\-#,##0.00_);\-_)"/>
    <numFmt numFmtId="315" formatCode="#,##0.0;[Red]\(#,##0.0\);\-"/>
    <numFmt numFmtId="316" formatCode="#,##0_ ;[Red]\(#,##0\);\-\ "/>
    <numFmt numFmtId="317" formatCode="#,##0;[Red]\(#,##0\)"/>
    <numFmt numFmtId="318" formatCode="0.0\ \ \ \ \ \ "/>
    <numFmt numFmtId="319" formatCode="0.0%\ \ \ \ \ "/>
    <numFmt numFmtId="320" formatCode="0.00%;[Red]\(0.00%\);\-"/>
    <numFmt numFmtId="321" formatCode="_-* #,##0.00%_-;* \(#,##0.00\)%_-;_-@_-"/>
    <numFmt numFmtId="322" formatCode="0.0\ \x\ ;\(0.0\)\ \x\ "/>
    <numFmt numFmtId="323" formatCode="0.0%;\(0.0%\);\-"/>
    <numFmt numFmtId="324" formatCode="0.00%;\(0.00%\);\-"/>
    <numFmt numFmtId="325" formatCode="#,##0.0%_);\(#,##0.0%\);&quot;--&quot;\%_)"/>
    <numFmt numFmtId="326" formatCode="#,##0.00%_);\(#,##0.00%\);&quot;--&quot;\%_)"/>
    <numFmt numFmtId="327" formatCode="0.000000"/>
    <numFmt numFmtId="328" formatCode="0;\-0;;@"/>
    <numFmt numFmtId="329" formatCode="&quot;$&quot;#\-##/##"/>
    <numFmt numFmtId="330" formatCode="0.00\ \ \ \ "/>
    <numFmt numFmtId="331" formatCode="#,##0.0,;\(#,##0.0,\)"/>
    <numFmt numFmtId="332" formatCode="&quot;$&quot;@"/>
    <numFmt numFmtId="333" formatCode="#,##0.00;[Red]#,##0.00;\-"/>
    <numFmt numFmtId="334" formatCode="#,##0.0_);[Red]\(#,##0.0\);\-"/>
    <numFmt numFmtId="335" formatCode="#,##0.0_);\-#,##0.0_);\-_)"/>
    <numFmt numFmtId="336" formatCode="_(* #,##0.00%_);_(* \(#,##0.00%\);_(* #,##0.00%_);_(@_)"/>
    <numFmt numFmtId="337" formatCode="#,###,##0,&quot;k&quot;"/>
    <numFmt numFmtId="338" formatCode="0____"/>
    <numFmt numFmtId="339" formatCode="_ * #,##0.0_);_ * \(#,##0.0\)"/>
    <numFmt numFmtId="340" formatCode="0.00\ ;\-0.00\ ;&quot;- &quot;"/>
    <numFmt numFmtId="341" formatCode="\$#,##0.0,,&quot;m&quot;"/>
    <numFmt numFmtId="342" formatCode="\$#,##0.0,&quot;k&quot;"/>
    <numFmt numFmtId="343" formatCode="dd\ mmm\ yyyy"/>
    <numFmt numFmtId="344" formatCode="#,##0_);[Red]\(#,##0\);\-"/>
    <numFmt numFmtId="345" formatCode="_(* #,##0.000_);_(* \(#,##0.000\);_(* &quot;-&quot;??_);_(@_)"/>
    <numFmt numFmtId="346" formatCode="[$-F800]dddd\,\ mmmm\ dd\,\ yyyy"/>
    <numFmt numFmtId="347" formatCode="0.00000000%"/>
    <numFmt numFmtId="348" formatCode="_-* #,##0.0_-;\-* #,##0.0_-;_-* &quot;-&quot;?_-;_-@_-"/>
    <numFmt numFmtId="349" formatCode="&quot;£&quot;#,##0.0"/>
    <numFmt numFmtId="350" formatCode="0.00000"/>
    <numFmt numFmtId="351" formatCode="#,##0.0;\-#,##0.0;\-;@"/>
  </numFmts>
  <fonts count="30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sz val="10"/>
      <color theme="4" tint="-0.249977111117893"/>
      <name val="Verdana"/>
      <family val="2"/>
    </font>
    <font>
      <i/>
      <sz val="10"/>
      <color theme="4" tint="-0.249977111117893"/>
      <name val="Verdana"/>
      <family val="2"/>
    </font>
  </fonts>
  <fills count="140">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
      <patternFill patternType="solid">
        <fgColor rgb="FFFFFF00"/>
        <bgColor indexed="64"/>
      </patternFill>
    </fill>
  </fills>
  <borders count="19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right style="thin">
        <color indexed="64"/>
      </right>
      <top style="thin">
        <color indexed="64"/>
      </top>
      <bottom style="thin">
        <color indexed="64"/>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dotted">
        <color indexed="64"/>
      </left>
      <right style="thin">
        <color theme="0" tint="-0.499984740745262"/>
      </right>
      <top style="thin">
        <color indexed="64"/>
      </top>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right style="thin">
        <color theme="0" tint="-0.499984740745262"/>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0.499984740745262"/>
      </right>
      <top style="thin">
        <color indexed="64"/>
      </top>
      <bottom/>
      <diagonal/>
    </border>
    <border>
      <left style="thin">
        <color indexed="64"/>
      </left>
      <right/>
      <top/>
      <bottom style="thin">
        <color rgb="FF000000"/>
      </bottom>
      <diagonal/>
    </border>
  </borders>
  <cellStyleXfs count="51697">
    <xf numFmtId="0" fontId="0" fillId="0" borderId="0"/>
    <xf numFmtId="43" fontId="7" fillId="0" borderId="0" applyFont="0" applyFill="0" applyBorder="0" applyAlignment="0" applyProtection="0"/>
    <xf numFmtId="43" fontId="9" fillId="0" borderId="0" applyFont="0" applyFill="0" applyBorder="0" applyAlignment="0" applyProtection="0"/>
    <xf numFmtId="0" fontId="9" fillId="0" borderId="0"/>
    <xf numFmtId="0" fontId="12" fillId="0" borderId="0"/>
    <xf numFmtId="0" fontId="9" fillId="0" borderId="0"/>
    <xf numFmtId="169"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70" fontId="7" fillId="3" borderId="6">
      <alignment vertical="center"/>
      <protection locked="0"/>
    </xf>
    <xf numFmtId="170"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70" fontId="7" fillId="3" borderId="6">
      <alignment vertical="center"/>
      <protection locked="0"/>
    </xf>
    <xf numFmtId="0" fontId="34" fillId="0" borderId="0" applyNumberFormat="0" applyFill="0" applyBorder="0" applyAlignment="0" applyProtection="0"/>
    <xf numFmtId="0" fontId="25" fillId="0" borderId="0"/>
    <xf numFmtId="171" fontId="37" fillId="48" borderId="0" applyBorder="0">
      <alignment vertical="center"/>
    </xf>
    <xf numFmtId="43" fontId="7" fillId="0" borderId="0" applyFont="0" applyFill="0" applyBorder="0" applyAlignment="0" applyProtection="0"/>
    <xf numFmtId="171"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3" fontId="9" fillId="0" borderId="0">
      <alignment vertical="top"/>
    </xf>
    <xf numFmtId="183" fontId="9" fillId="0" borderId="0">
      <alignment vertical="top"/>
    </xf>
    <xf numFmtId="184" fontId="43" fillId="0" borderId="0"/>
    <xf numFmtId="185" fontId="9" fillId="0" borderId="0"/>
    <xf numFmtId="185" fontId="9" fillId="0" borderId="0"/>
    <xf numFmtId="185" fontId="9" fillId="0" borderId="0"/>
    <xf numFmtId="185" fontId="9" fillId="0" borderId="0"/>
    <xf numFmtId="185" fontId="9" fillId="0" borderId="0"/>
    <xf numFmtId="183" fontId="44" fillId="0" borderId="0"/>
    <xf numFmtId="184" fontId="43" fillId="0" borderId="0"/>
    <xf numFmtId="185" fontId="9" fillId="0" borderId="0"/>
    <xf numFmtId="185" fontId="9" fillId="0" borderId="0"/>
    <xf numFmtId="185" fontId="9" fillId="0" borderId="0"/>
    <xf numFmtId="185" fontId="9" fillId="0" borderId="0"/>
    <xf numFmtId="185" fontId="9" fillId="0" borderId="0"/>
    <xf numFmtId="186" fontId="45" fillId="0" borderId="0" applyFont="0" applyFill="0" applyBorder="0" applyAlignment="0" applyProtection="0">
      <protection locked="0"/>
    </xf>
    <xf numFmtId="187" fontId="44" fillId="0" borderId="0">
      <alignment horizontal="right"/>
    </xf>
    <xf numFmtId="188" fontId="44" fillId="46" borderId="0"/>
    <xf numFmtId="189" fontId="44" fillId="46" borderId="0"/>
    <xf numFmtId="190" fontId="44" fillId="46" borderId="0"/>
    <xf numFmtId="191" fontId="44" fillId="46" borderId="0">
      <alignment horizontal="right"/>
    </xf>
    <xf numFmtId="0" fontId="12" fillId="0" borderId="0"/>
    <xf numFmtId="177" fontId="12" fillId="0" borderId="0"/>
    <xf numFmtId="177"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3" fontId="9" fillId="0" borderId="0"/>
    <xf numFmtId="0" fontId="9" fillId="0" borderId="0"/>
    <xf numFmtId="183" fontId="12" fillId="0" borderId="0"/>
    <xf numFmtId="183" fontId="9" fillId="0" borderId="0"/>
    <xf numFmtId="183" fontId="9" fillId="0" borderId="0"/>
    <xf numFmtId="183"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3" fontId="12"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3"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3" fontId="9" fillId="0" borderId="0" applyBorder="0"/>
    <xf numFmtId="183" fontId="46" fillId="0" borderId="0" applyNumberFormat="0" applyFont="0" applyFill="0" applyBorder="0" applyAlignment="0" applyProtection="0"/>
    <xf numFmtId="41" fontId="9" fillId="0" borderId="0" applyFont="0" applyFill="0" applyBorder="0" applyAlignment="0" applyProtection="0"/>
    <xf numFmtId="183" fontId="41" fillId="0" borderId="0" applyNumberFormat="0" applyFill="0" applyBorder="0" applyAlignment="0" applyProtection="0">
      <alignment vertical="top"/>
      <protection locked="0"/>
    </xf>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3"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3" fontId="48" fillId="0" borderId="0"/>
    <xf numFmtId="183" fontId="9" fillId="0" borderId="0" applyFont="0" applyFill="0" applyBorder="0" applyAlignment="0" applyProtection="0"/>
    <xf numFmtId="183" fontId="48" fillId="0" borderId="0"/>
    <xf numFmtId="183"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3" fontId="9" fillId="0" borderId="0"/>
    <xf numFmtId="183" fontId="9" fillId="0" borderId="0"/>
    <xf numFmtId="18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5" fontId="9" fillId="0" borderId="0" applyFont="0" applyFill="0" applyBorder="0" applyAlignment="0" applyProtection="0"/>
    <xf numFmtId="183" fontId="43" fillId="0" borderId="0" applyFont="0" applyFill="0" applyBorder="0" applyAlignment="0" applyProtection="0"/>
    <xf numFmtId="195" fontId="9" fillId="0" borderId="0" applyFont="0" applyFill="0" applyBorder="0" applyAlignment="0" applyProtection="0"/>
    <xf numFmtId="183" fontId="9" fillId="0" borderId="0"/>
    <xf numFmtId="183" fontId="9" fillId="0" borderId="0"/>
    <xf numFmtId="0" fontId="9" fillId="0" borderId="0"/>
    <xf numFmtId="183"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6" fontId="9" fillId="0" borderId="0" applyFont="0" applyFill="0" applyBorder="0" applyAlignment="0" applyProtection="0"/>
    <xf numFmtId="183" fontId="43" fillId="0" borderId="0" applyFont="0" applyFill="0" applyBorder="0" applyAlignment="0" applyProtection="0"/>
    <xf numFmtId="197"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39" fontId="9" fillId="0" borderId="0" applyFont="0" applyFill="0" applyBorder="0" applyAlignment="0" applyProtection="0"/>
    <xf numFmtId="183" fontId="43" fillId="0" borderId="0" applyFont="0" applyFill="0" applyBorder="0" applyAlignment="0" applyProtection="0"/>
    <xf numFmtId="39" fontId="9" fillId="0" borderId="0" applyFont="0" applyFill="0" applyBorder="0" applyAlignment="0" applyProtection="0"/>
    <xf numFmtId="183"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3" fontId="48" fillId="0" borderId="0"/>
    <xf numFmtId="183" fontId="41" fillId="0" borderId="0"/>
    <xf numFmtId="183" fontId="41" fillId="0" borderId="0"/>
    <xf numFmtId="38" fontId="49" fillId="0" borderId="0" applyAlignment="0" applyProtection="0"/>
    <xf numFmtId="38" fontId="49" fillId="0" borderId="0" applyFont="0" applyBorder="0" applyAlignment="0" applyProtection="0"/>
    <xf numFmtId="198"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3" fontId="48" fillId="0" borderId="0"/>
    <xf numFmtId="18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3"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198"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9" fillId="0" borderId="0"/>
    <xf numFmtId="183" fontId="48" fillId="0" borderId="0"/>
    <xf numFmtId="199" fontId="9" fillId="0" borderId="0" applyFont="0" applyFill="0" applyBorder="0" applyAlignment="0" applyProtection="0"/>
    <xf numFmtId="183" fontId="43" fillId="0" borderId="0" applyFont="0" applyFill="0" applyBorder="0" applyAlignment="0" applyProtection="0"/>
    <xf numFmtId="20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201" fontId="9" fillId="0" borderId="0" applyFont="0" applyFill="0" applyBorder="0" applyAlignment="0" applyProtection="0"/>
    <xf numFmtId="183" fontId="43" fillId="0" borderId="0" applyFont="0" applyFill="0" applyBorder="0" applyAlignment="0" applyProtection="0"/>
    <xf numFmtId="202" fontId="9" fillId="0" borderId="0" applyFont="0" applyFill="0" applyBorder="0" applyAlignment="0" applyProtection="0"/>
    <xf numFmtId="201"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183" fontId="48" fillId="0" borderId="0"/>
    <xf numFmtId="183" fontId="48" fillId="0" borderId="0"/>
    <xf numFmtId="183" fontId="9" fillId="0" borderId="0"/>
    <xf numFmtId="0" fontId="9" fillId="0" borderId="0" applyFont="0" applyFill="0" applyBorder="0" applyAlignment="0" applyProtection="0"/>
    <xf numFmtId="183" fontId="48" fillId="0" borderId="0"/>
    <xf numFmtId="38" fontId="40" fillId="0" borderId="0" applyAlignment="0" applyProtection="0"/>
    <xf numFmtId="183" fontId="9" fillId="0" borderId="0"/>
    <xf numFmtId="183" fontId="9" fillId="0" borderId="0"/>
    <xf numFmtId="38" fontId="49" fillId="0" borderId="0" applyFont="0" applyFill="0" applyBorder="0" applyAlignment="0" applyProtection="0"/>
    <xf numFmtId="38" fontId="49" fillId="0" borderId="0" applyFont="0" applyFill="0" applyBorder="0" applyAlignment="0" applyProtection="0"/>
    <xf numFmtId="203" fontId="9" fillId="0" borderId="0" applyFont="0" applyFill="0" applyBorder="0" applyAlignment="0" applyProtection="0"/>
    <xf numFmtId="183" fontId="43" fillId="0" borderId="0" applyFont="0" applyFill="0" applyBorder="0" applyAlignment="0" applyProtection="0"/>
    <xf numFmtId="179" fontId="9" fillId="0" borderId="0" applyFont="0" applyFill="0" applyBorder="0" applyAlignment="0" applyProtection="0"/>
    <xf numFmtId="203" fontId="9" fillId="0" borderId="0" applyFont="0" applyFill="0" applyBorder="0" applyAlignment="0" applyProtection="0"/>
    <xf numFmtId="179" fontId="9" fillId="0" borderId="0" applyFont="0" applyFill="0" applyBorder="0" applyAlignment="0" applyProtection="0"/>
    <xf numFmtId="204" fontId="9" fillId="0" borderId="0" applyFont="0" applyFill="0" applyBorder="0" applyAlignment="0" applyProtection="0"/>
    <xf numFmtId="183" fontId="43" fillId="0" borderId="0" applyFont="0" applyFill="0" applyBorder="0" applyAlignment="0" applyProtection="0"/>
    <xf numFmtId="205"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183" fontId="50" fillId="0" borderId="0"/>
    <xf numFmtId="183" fontId="50" fillId="0" borderId="0"/>
    <xf numFmtId="183" fontId="50" fillId="0" borderId="0"/>
    <xf numFmtId="183"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3"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3"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3" fontId="51" fillId="0" borderId="0" applyNumberFormat="0" applyFill="0" applyBorder="0" applyProtection="0">
      <alignment horizontal="left"/>
    </xf>
    <xf numFmtId="183"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3" fontId="50" fillId="0" borderId="0"/>
    <xf numFmtId="183" fontId="50" fillId="0" borderId="0"/>
    <xf numFmtId="206" fontId="53" fillId="0" borderId="0"/>
    <xf numFmtId="183" fontId="41" fillId="0" borderId="0"/>
    <xf numFmtId="183" fontId="41" fillId="0" borderId="0"/>
    <xf numFmtId="183" fontId="50" fillId="0" borderId="0"/>
    <xf numFmtId="183" fontId="50" fillId="0" borderId="0"/>
    <xf numFmtId="183" fontId="50" fillId="0" borderId="0"/>
    <xf numFmtId="0" fontId="9" fillId="0" borderId="0" applyFont="0" applyFill="0" applyBorder="0" applyAlignment="0" applyProtection="0"/>
    <xf numFmtId="183" fontId="9" fillId="0" borderId="0"/>
    <xf numFmtId="183" fontId="48" fillId="0" borderId="0"/>
    <xf numFmtId="206"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7" fontId="54" fillId="0" borderId="0" applyFont="0" applyFill="0" applyBorder="0" applyAlignment="0" applyProtection="0"/>
    <xf numFmtId="208" fontId="41" fillId="0" borderId="0" applyFont="0" applyFill="0" applyBorder="0" applyAlignment="0" applyProtection="0"/>
    <xf numFmtId="209" fontId="55" fillId="0" borderId="0"/>
    <xf numFmtId="210" fontId="41" fillId="0" borderId="0" applyFont="0" applyFill="0" applyBorder="0" applyAlignment="0" applyProtection="0"/>
    <xf numFmtId="211" fontId="54" fillId="0" borderId="0" applyFont="0" applyFill="0" applyBorder="0" applyAlignment="0" applyProtection="0"/>
    <xf numFmtId="0" fontId="12" fillId="0" borderId="0"/>
    <xf numFmtId="0" fontId="9" fillId="0" borderId="0"/>
    <xf numFmtId="0" fontId="9" fillId="0" borderId="0"/>
    <xf numFmtId="0" fontId="9" fillId="0" borderId="0"/>
    <xf numFmtId="19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3" fontId="9" fillId="0" borderId="0"/>
    <xf numFmtId="212" fontId="9" fillId="0" borderId="0" applyBorder="0"/>
    <xf numFmtId="0" fontId="9" fillId="0" borderId="0"/>
    <xf numFmtId="0" fontId="9" fillId="0" borderId="0"/>
    <xf numFmtId="183" fontId="9" fillId="0" borderId="0" applyBorder="0"/>
    <xf numFmtId="212" fontId="9" fillId="0" borderId="0" applyBorder="0"/>
    <xf numFmtId="206" fontId="53" fillId="0" borderId="0"/>
    <xf numFmtId="213" fontId="55" fillId="0" borderId="0"/>
    <xf numFmtId="213" fontId="56" fillId="0" borderId="0"/>
    <xf numFmtId="214" fontId="55" fillId="0" borderId="0"/>
    <xf numFmtId="215" fontId="45" fillId="0" borderId="0" applyFont="0" applyFill="0" applyBorder="0" applyAlignment="0" applyProtection="0">
      <protection locked="0"/>
    </xf>
    <xf numFmtId="216" fontId="57" fillId="0" borderId="0"/>
    <xf numFmtId="183" fontId="56" fillId="0" borderId="0"/>
    <xf numFmtId="216"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92"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92"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92"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2"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92"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92" fontId="59" fillId="60" borderId="0" applyNumberFormat="0" applyBorder="0" applyAlignment="0" applyProtection="0"/>
    <xf numFmtId="217" fontId="55" fillId="0" borderId="0"/>
    <xf numFmtId="218" fontId="56" fillId="0" borderId="0"/>
    <xf numFmtId="217" fontId="60" fillId="0" borderId="0"/>
    <xf numFmtId="0" fontId="9" fillId="0" borderId="0"/>
    <xf numFmtId="0" fontId="9" fillId="0" borderId="0"/>
    <xf numFmtId="219"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2"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92"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92"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2"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2"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92"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92"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92"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92"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2"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2"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92"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92"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92"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92"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2"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2"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92" fontId="62" fillId="25" borderId="0" applyNumberFormat="0" applyBorder="0" applyAlignment="0" applyProtection="0"/>
    <xf numFmtId="220" fontId="63" fillId="0" borderId="9">
      <alignment horizontal="centerContinuous"/>
    </xf>
    <xf numFmtId="221" fontId="64" fillId="40" borderId="12">
      <alignment horizontal="center" vertical="center"/>
    </xf>
    <xf numFmtId="212" fontId="45" fillId="0" borderId="0" applyFont="0" applyFill="0" applyBorder="0" applyAlignment="0" applyProtection="0"/>
    <xf numFmtId="183" fontId="45" fillId="0" borderId="0" applyFont="0" applyFill="0" applyBorder="0" applyAlignment="0" applyProtection="0"/>
    <xf numFmtId="206" fontId="65" fillId="0" borderId="0" applyNumberFormat="0" applyFont="0" applyFill="0" applyBorder="0" applyProtection="0">
      <alignment horizontal="center"/>
    </xf>
    <xf numFmtId="222" fontId="66" fillId="0" borderId="0">
      <alignment horizontal="left"/>
    </xf>
    <xf numFmtId="0" fontId="57" fillId="0" borderId="0"/>
    <xf numFmtId="223" fontId="67" fillId="0" borderId="0" applyFont="0" applyFill="0" applyBorder="0" applyAlignment="0" applyProtection="0"/>
    <xf numFmtId="183"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92" fontId="72" fillId="20" borderId="0" applyNumberFormat="0" applyBorder="0" applyAlignment="0" applyProtection="0"/>
    <xf numFmtId="224"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5" fontId="9" fillId="0" borderId="0" applyFont="0" applyFill="0" applyBorder="0" applyAlignment="0" applyProtection="0"/>
    <xf numFmtId="195" fontId="9" fillId="0" borderId="0" applyNumberFormat="0" applyFont="0" applyAlignment="0" applyProtection="0"/>
    <xf numFmtId="183" fontId="75" fillId="77" borderId="0">
      <alignment horizontal="left"/>
    </xf>
    <xf numFmtId="226" fontId="76" fillId="0" borderId="0" applyFill="0" applyBorder="0" applyAlignment="0" applyProtection="0"/>
    <xf numFmtId="2" fontId="77" fillId="50" borderId="11" applyProtection="0">
      <alignment horizontal="left"/>
      <protection locked="0"/>
    </xf>
    <xf numFmtId="183" fontId="64" fillId="40" borderId="0" applyNumberFormat="0" applyFont="0" applyAlignment="0">
      <alignment horizontal="center"/>
    </xf>
    <xf numFmtId="227" fontId="78" fillId="40" borderId="0" applyFont="0" applyFill="0" applyBorder="0" applyAlignment="0" applyProtection="0"/>
    <xf numFmtId="183" fontId="79" fillId="0" borderId="0" applyNumberFormat="0" applyFill="0" applyBorder="0" applyAlignment="0" applyProtection="0"/>
    <xf numFmtId="183" fontId="80" fillId="0" borderId="9" applyNumberFormat="0" applyFill="0" applyAlignment="0" applyProtection="0"/>
    <xf numFmtId="183" fontId="55" fillId="0" borderId="0"/>
    <xf numFmtId="228" fontId="81" fillId="45" borderId="0" applyFont="0" applyFill="0" applyBorder="0" applyAlignment="0" applyProtection="0"/>
    <xf numFmtId="229"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30" fontId="41" fillId="0" borderId="0" applyFont="0" applyFill="0" applyBorder="0" applyAlignment="0" applyProtection="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4" fillId="0" borderId="0"/>
    <xf numFmtId="183" fontId="85" fillId="0" borderId="0"/>
    <xf numFmtId="231" fontId="43" fillId="0" borderId="0"/>
    <xf numFmtId="232" fontId="43" fillId="0" borderId="0"/>
    <xf numFmtId="233" fontId="43" fillId="0" borderId="0"/>
    <xf numFmtId="231" fontId="43" fillId="0" borderId="8"/>
    <xf numFmtId="232" fontId="43" fillId="0" borderId="8"/>
    <xf numFmtId="232" fontId="43" fillId="0" borderId="8"/>
    <xf numFmtId="233" fontId="43" fillId="0" borderId="8"/>
    <xf numFmtId="233" fontId="43" fillId="0" borderId="8"/>
    <xf numFmtId="231" fontId="43" fillId="0" borderId="8"/>
    <xf numFmtId="231" fontId="43" fillId="0" borderId="8"/>
    <xf numFmtId="231" fontId="43" fillId="0" borderId="0"/>
    <xf numFmtId="234" fontId="43" fillId="0" borderId="0"/>
    <xf numFmtId="183" fontId="45" fillId="0" borderId="0" applyFill="0" applyBorder="0" applyAlignment="0"/>
    <xf numFmtId="235" fontId="43" fillId="0" borderId="0"/>
    <xf numFmtId="236" fontId="43" fillId="0" borderId="0"/>
    <xf numFmtId="234" fontId="43" fillId="0" borderId="8"/>
    <xf numFmtId="235" fontId="43" fillId="0" borderId="8"/>
    <xf numFmtId="235" fontId="43" fillId="0" borderId="8"/>
    <xf numFmtId="236" fontId="43" fillId="0" borderId="8"/>
    <xf numFmtId="236" fontId="43" fillId="0" borderId="8"/>
    <xf numFmtId="234" fontId="43" fillId="0" borderId="8"/>
    <xf numFmtId="234" fontId="43" fillId="0" borderId="8"/>
    <xf numFmtId="234" fontId="43" fillId="0" borderId="0"/>
    <xf numFmtId="237" fontId="43" fillId="0" borderId="0">
      <alignment horizontal="right"/>
      <protection locked="0"/>
    </xf>
    <xf numFmtId="238" fontId="43" fillId="0" borderId="0">
      <alignment horizontal="right"/>
      <protection locked="0"/>
    </xf>
    <xf numFmtId="239" fontId="43" fillId="0" borderId="0"/>
    <xf numFmtId="240" fontId="43" fillId="0" borderId="0"/>
    <xf numFmtId="241" fontId="43" fillId="0" borderId="0"/>
    <xf numFmtId="239" fontId="43" fillId="0" borderId="8"/>
    <xf numFmtId="240" fontId="43" fillId="0" borderId="8"/>
    <xf numFmtId="240" fontId="43" fillId="0" borderId="8"/>
    <xf numFmtId="241" fontId="43" fillId="0" borderId="8"/>
    <xf numFmtId="241" fontId="43" fillId="0" borderId="8"/>
    <xf numFmtId="239" fontId="43" fillId="0" borderId="8"/>
    <xf numFmtId="239" fontId="43" fillId="0" borderId="8"/>
    <xf numFmtId="239" fontId="43" fillId="0" borderId="0"/>
    <xf numFmtId="242" fontId="9" fillId="46" borderId="0"/>
    <xf numFmtId="183"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92" fontId="88" fillId="61" borderId="14" applyNumberFormat="0" applyAlignment="0" applyProtection="0"/>
    <xf numFmtId="192"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92"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6" fontId="93" fillId="0" borderId="0" applyBorder="0">
      <alignment horizontal="right"/>
    </xf>
    <xf numFmtId="176" fontId="93" fillId="0" borderId="17" applyAlignment="0">
      <alignment horizontal="right"/>
    </xf>
    <xf numFmtId="243" fontId="41" fillId="0" borderId="0"/>
    <xf numFmtId="243" fontId="41" fillId="0" borderId="0"/>
    <xf numFmtId="243" fontId="41" fillId="0" borderId="0"/>
    <xf numFmtId="243" fontId="41" fillId="0" borderId="0"/>
    <xf numFmtId="243" fontId="41" fillId="0" borderId="0"/>
    <xf numFmtId="243" fontId="41" fillId="0" borderId="0"/>
    <xf numFmtId="243" fontId="41" fillId="0" borderId="0"/>
    <xf numFmtId="243" fontId="41" fillId="0" borderId="0"/>
    <xf numFmtId="38" fontId="9" fillId="0" borderId="0" applyFont="0" applyFill="0" applyBorder="0" applyAlignment="0" applyProtection="0"/>
    <xf numFmtId="206" fontId="45" fillId="0" borderId="0" applyFont="0" applyFill="0" applyBorder="0" applyAlignment="0" applyProtection="0">
      <protection locked="0"/>
    </xf>
    <xf numFmtId="40" fontId="45" fillId="0" borderId="0" applyFont="0" applyFill="0" applyBorder="0" applyAlignment="0" applyProtection="0">
      <protection locked="0"/>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9" fillId="0" borderId="0" applyNumberFormat="0" applyFont="0" applyBorder="0" applyAlignment="0"/>
    <xf numFmtId="209" fontId="55" fillId="0" borderId="0"/>
    <xf numFmtId="244" fontId="57" fillId="0" borderId="0"/>
    <xf numFmtId="183" fontId="94" fillId="0" borderId="0" applyFont="0" applyFill="0" applyBorder="0" applyAlignment="0" applyProtection="0">
      <alignment horizontal="right"/>
    </xf>
    <xf numFmtId="245" fontId="94" fillId="0" borderId="0" applyFont="0" applyFill="0" applyBorder="0" applyAlignment="0" applyProtection="0"/>
    <xf numFmtId="183" fontId="94" fillId="0" borderId="0" applyFont="0" applyFill="0" applyBorder="0" applyAlignment="0" applyProtection="0">
      <alignment horizontal="right"/>
    </xf>
    <xf numFmtId="0"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44" fontId="12" fillId="0" borderId="0" applyFont="0" applyFill="0" applyBorder="0" applyAlignment="0" applyProtection="0"/>
    <xf numFmtId="177" fontId="12" fillId="0" borderId="0" applyFont="0" applyFill="0" applyBorder="0" applyAlignment="0" applyProtection="0"/>
    <xf numFmtId="195" fontId="12" fillId="0" borderId="0" applyFont="0" applyFill="0" applyBorder="0" applyAlignment="0" applyProtection="0"/>
    <xf numFmtId="177"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246" fontId="12" fillId="0" borderId="0" applyFont="0" applyFill="0" applyBorder="0" applyAlignment="0" applyProtection="0"/>
    <xf numFmtId="247" fontId="12" fillId="0" borderId="0" applyFont="0" applyFill="0" applyBorder="0" applyAlignment="0" applyProtection="0"/>
    <xf numFmtId="247" fontId="12" fillId="0" borderId="0" applyFont="0" applyFill="0" applyBorder="0" applyAlignment="0" applyProtection="0"/>
    <xf numFmtId="176" fontId="12" fillId="0" borderId="0" applyFont="0" applyFill="0" applyBorder="0" applyAlignment="0" applyProtection="0"/>
    <xf numFmtId="191"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3"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248"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49" fontId="9"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50" fontId="9" fillId="0" borderId="0" applyFont="0" applyFill="0" applyBorder="0" applyAlignment="0" applyProtection="0"/>
    <xf numFmtId="38" fontId="41" fillId="0" borderId="0" applyFill="0" applyBorder="0" applyProtection="0">
      <alignment horizontal="center"/>
    </xf>
    <xf numFmtId="183" fontId="95" fillId="0" borderId="0">
      <protection locked="0"/>
    </xf>
    <xf numFmtId="251" fontId="9" fillId="0" borderId="0" applyBorder="0"/>
    <xf numFmtId="252" fontId="53" fillId="0" borderId="0" applyBorder="0"/>
    <xf numFmtId="253" fontId="9" fillId="0" borderId="0" applyFill="0" applyBorder="0">
      <alignment horizontal="left"/>
    </xf>
    <xf numFmtId="183" fontId="96" fillId="0" borderId="0" applyNumberFormat="0" applyAlignment="0">
      <alignment horizontal="left"/>
    </xf>
    <xf numFmtId="37" fontId="9" fillId="80" borderId="0" applyFont="0" applyBorder="0" applyAlignment="0" applyProtection="0"/>
    <xf numFmtId="195" fontId="50" fillId="80" borderId="0" applyFont="0" applyBorder="0" applyAlignment="0" applyProtection="0"/>
    <xf numFmtId="39" fontId="50" fillId="80" borderId="0" applyFont="0" applyBorder="0" applyAlignment="0" applyProtection="0"/>
    <xf numFmtId="254" fontId="97" fillId="0" borderId="0"/>
    <xf numFmtId="164" fontId="45" fillId="0" borderId="0" applyFont="0" applyFill="0" applyBorder="0" applyAlignment="0" applyProtection="0">
      <protection locked="0"/>
    </xf>
    <xf numFmtId="165" fontId="45" fillId="0" borderId="0" applyFont="0" applyFill="0" applyBorder="0" applyAlignment="0" applyProtection="0">
      <protection locked="0"/>
    </xf>
    <xf numFmtId="166" fontId="9" fillId="0" borderId="0">
      <alignment horizontal="right"/>
    </xf>
    <xf numFmtId="183" fontId="94" fillId="0" borderId="0" applyFont="0" applyFill="0" applyBorder="0" applyAlignment="0" applyProtection="0">
      <alignment horizontal="right"/>
    </xf>
    <xf numFmtId="44" fontId="28" fillId="0" borderId="0" applyFont="0" applyFill="0" applyBorder="0" applyAlignment="0" applyProtection="0"/>
    <xf numFmtId="255" fontId="9" fillId="0" borderId="0" applyFont="0" applyFill="0" applyBorder="0" applyAlignment="0" applyProtection="0"/>
    <xf numFmtId="183" fontId="94" fillId="0" borderId="0" applyFont="0" applyFill="0" applyBorder="0" applyAlignment="0" applyProtection="0">
      <alignment horizontal="right"/>
    </xf>
    <xf numFmtId="44" fontId="13" fillId="0" borderId="0" applyFont="0" applyFill="0" applyBorder="0" applyAlignment="0" applyProtection="0"/>
    <xf numFmtId="253"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56" fontId="9" fillId="0" borderId="0" applyFont="0" applyFill="0" applyBorder="0" applyAlignment="0" applyProtection="0"/>
    <xf numFmtId="183" fontId="9" fillId="0" borderId="0" applyFont="0" applyFill="0" applyBorder="0" applyAlignment="0" applyProtection="0"/>
    <xf numFmtId="49" fontId="98" fillId="81" borderId="0" applyAlignment="0" applyProtection="0">
      <alignment vertical="center"/>
    </xf>
    <xf numFmtId="257" fontId="44" fillId="46" borderId="11">
      <alignment horizontal="right"/>
    </xf>
    <xf numFmtId="258" fontId="41" fillId="0" borderId="0" applyFont="0" applyFill="0" applyBorder="0" applyAlignment="0" applyProtection="0"/>
    <xf numFmtId="231" fontId="43" fillId="45" borderId="18">
      <protection locked="0"/>
    </xf>
    <xf numFmtId="232" fontId="43" fillId="45" borderId="18">
      <protection locked="0"/>
    </xf>
    <xf numFmtId="233" fontId="43" fillId="45" borderId="18">
      <protection locked="0"/>
    </xf>
    <xf numFmtId="231" fontId="43" fillId="45" borderId="18">
      <protection locked="0"/>
    </xf>
    <xf numFmtId="234" fontId="43" fillId="45" borderId="18">
      <protection locked="0"/>
    </xf>
    <xf numFmtId="235" fontId="43" fillId="45" borderId="18">
      <protection locked="0"/>
    </xf>
    <xf numFmtId="236" fontId="43" fillId="45" borderId="18">
      <protection locked="0"/>
    </xf>
    <xf numFmtId="234" fontId="43" fillId="45" borderId="18">
      <protection locked="0"/>
    </xf>
    <xf numFmtId="237" fontId="43" fillId="37" borderId="18">
      <alignment horizontal="right"/>
      <protection locked="0"/>
    </xf>
    <xf numFmtId="238"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39" fontId="43" fillId="45" borderId="18">
      <protection locked="0"/>
    </xf>
    <xf numFmtId="240" fontId="43" fillId="45" borderId="18">
      <protection locked="0"/>
    </xf>
    <xf numFmtId="241" fontId="43" fillId="45" borderId="18">
      <protection locked="0"/>
    </xf>
    <xf numFmtId="239" fontId="43" fillId="45" borderId="18">
      <protection locked="0"/>
    </xf>
    <xf numFmtId="49" fontId="43" fillId="38" borderId="18">
      <alignment horizontal="left"/>
      <protection locked="0"/>
    </xf>
    <xf numFmtId="259" fontId="43" fillId="45" borderId="18">
      <alignment horizontal="left" indent="1"/>
      <protection locked="0"/>
    </xf>
    <xf numFmtId="260" fontId="9" fillId="45" borderId="19"/>
    <xf numFmtId="260" fontId="9" fillId="45" borderId="19"/>
    <xf numFmtId="260" fontId="9" fillId="45" borderId="19"/>
    <xf numFmtId="260" fontId="9" fillId="45" borderId="19"/>
    <xf numFmtId="260" fontId="9" fillId="45" borderId="19"/>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261" fontId="9" fillId="0" borderId="0" applyFill="0" applyBorder="0"/>
    <xf numFmtId="183" fontId="94" fillId="0" borderId="0" applyFont="0" applyFill="0" applyBorder="0" applyAlignment="0" applyProtection="0"/>
    <xf numFmtId="262" fontId="9" fillId="0" borderId="0" applyFont="0" applyFill="0" applyBorder="0" applyAlignment="0" applyProtection="0"/>
    <xf numFmtId="183" fontId="94" fillId="0" borderId="0" applyFont="0" applyFill="0" applyBorder="0" applyAlignment="0" applyProtection="0"/>
    <xf numFmtId="183" fontId="93" fillId="50" borderId="0">
      <alignment horizontal="left"/>
    </xf>
    <xf numFmtId="261" fontId="9" fillId="0" borderId="0" applyFill="0" applyBorder="0"/>
    <xf numFmtId="14" fontId="9" fillId="0" borderId="0"/>
    <xf numFmtId="263" fontId="9" fillId="0" borderId="0" applyFont="0" applyFill="0" applyBorder="0" applyAlignment="0" applyProtection="0"/>
    <xf numFmtId="264" fontId="9" fillId="0" borderId="0" applyFont="0" applyFill="0" applyBorder="0" applyProtection="0">
      <alignment vertical="top"/>
    </xf>
    <xf numFmtId="264" fontId="9" fillId="0" borderId="0" applyFont="0" applyFill="0" applyBorder="0" applyProtection="0">
      <alignment vertical="top"/>
    </xf>
    <xf numFmtId="264" fontId="9" fillId="0" borderId="0" applyFont="0" applyFill="0" applyBorder="0" applyProtection="0">
      <alignment vertical="top"/>
    </xf>
    <xf numFmtId="265" fontId="9" fillId="0" borderId="0" applyFont="0" applyFill="0" applyBorder="0" applyAlignment="0" applyProtection="0"/>
    <xf numFmtId="264" fontId="9" fillId="0" borderId="0" applyFont="0" applyFill="0" applyBorder="0" applyProtection="0">
      <alignment vertical="top"/>
    </xf>
    <xf numFmtId="265" fontId="9" fillId="0" borderId="0" applyFont="0" applyFill="0" applyBorder="0" applyAlignment="0" applyProtection="0"/>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14" fontId="57" fillId="0" borderId="0">
      <alignment horizontal="right"/>
    </xf>
    <xf numFmtId="209" fontId="57" fillId="0" borderId="0">
      <alignment horizontal="right"/>
      <protection locked="0"/>
    </xf>
    <xf numFmtId="209" fontId="57" fillId="0" borderId="0"/>
    <xf numFmtId="267" fontId="57" fillId="0" borderId="0">
      <alignment horizontal="right"/>
      <protection locked="0"/>
    </xf>
    <xf numFmtId="209" fontId="58" fillId="0" borderId="0"/>
    <xf numFmtId="268" fontId="53" fillId="83" borderId="0" applyAlignment="0" applyProtection="0">
      <alignment horizontal="right"/>
    </xf>
    <xf numFmtId="269" fontId="9" fillId="0" borderId="0" applyFont="0" applyFill="0" applyBorder="0" applyAlignment="0" applyProtection="0"/>
    <xf numFmtId="169" fontId="9" fillId="0" borderId="0" applyFont="0" applyFill="0" applyBorder="0" applyAlignment="0" applyProtection="0"/>
    <xf numFmtId="206" fontId="65" fillId="46" borderId="0" applyNumberFormat="0" applyFont="0" applyBorder="0" applyAlignment="0" applyProtection="0"/>
    <xf numFmtId="165" fontId="41" fillId="0" borderId="0" applyFill="0" applyBorder="0" applyProtection="0">
      <alignment horizontal="center"/>
    </xf>
    <xf numFmtId="164" fontId="41" fillId="0" borderId="0">
      <alignment horizontal="center"/>
    </xf>
    <xf numFmtId="165" fontId="41" fillId="0" borderId="0" applyFill="0" applyBorder="0" applyProtection="0">
      <alignment horizontal="center"/>
    </xf>
    <xf numFmtId="253" fontId="99" fillId="0" borderId="0">
      <alignment horizontal="center"/>
    </xf>
    <xf numFmtId="183" fontId="94" fillId="0" borderId="20" applyNumberFormat="0" applyFont="0" applyFill="0" applyAlignment="0" applyProtection="0"/>
    <xf numFmtId="212" fontId="100" fillId="0" borderId="21"/>
    <xf numFmtId="213" fontId="57" fillId="0" borderId="0"/>
    <xf numFmtId="38" fontId="49" fillId="0" borderId="0" applyFont="0" applyFill="0" applyBorder="0" applyAlignment="0" applyProtection="0"/>
    <xf numFmtId="183" fontId="101" fillId="0" borderId="0" applyFont="0" applyFill="0" applyBorder="0" applyAlignment="0" applyProtection="0"/>
    <xf numFmtId="183" fontId="102" fillId="0" borderId="0" applyNumberFormat="0" applyAlignment="0">
      <alignment horizontal="left"/>
    </xf>
    <xf numFmtId="270" fontId="44" fillId="0" borderId="0"/>
    <xf numFmtId="271" fontId="44" fillId="0" borderId="0"/>
    <xf numFmtId="272" fontId="44" fillId="0" borderId="0"/>
    <xf numFmtId="273" fontId="44" fillId="0" borderId="0"/>
    <xf numFmtId="274" fontId="44" fillId="0" borderId="0"/>
    <xf numFmtId="275" fontId="44" fillId="0" borderId="0"/>
    <xf numFmtId="192" fontId="4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276" fontId="9" fillId="0" borderId="0" applyFont="0" applyFill="0" applyBorder="0" applyAlignment="0" applyProtection="0"/>
    <xf numFmtId="277" fontId="9" fillId="0" borderId="0" applyFont="0" applyFill="0" applyBorder="0" applyAlignment="0" applyProtection="0"/>
    <xf numFmtId="278" fontId="9" fillId="0" borderId="0" applyFont="0" applyFill="0" applyBorder="0" applyAlignment="0" applyProtection="0"/>
    <xf numFmtId="183"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92"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79"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0" fontId="108" fillId="0" borderId="0" applyFill="0" applyBorder="0" applyProtection="0"/>
    <xf numFmtId="281" fontId="19" fillId="61" borderId="2" applyAlignment="0" applyProtection="0"/>
    <xf numFmtId="281" fontId="19" fillId="61" borderId="2" applyAlignment="0" applyProtection="0"/>
    <xf numFmtId="282" fontId="109" fillId="0" borderId="0" applyNumberFormat="0" applyFill="0" applyBorder="0" applyAlignment="0" applyProtection="0"/>
    <xf numFmtId="282" fontId="110" fillId="0" borderId="0" applyNumberFormat="0" applyFill="0" applyBorder="0" applyAlignment="0" applyProtection="0"/>
    <xf numFmtId="15" fontId="106" fillId="45" borderId="18">
      <alignment horizontal="center"/>
      <protection locked="0"/>
    </xf>
    <xf numFmtId="283" fontId="106" fillId="45" borderId="18" applyAlignment="0">
      <protection locked="0"/>
    </xf>
    <xf numFmtId="284" fontId="106" fillId="45" borderId="18" applyAlignment="0">
      <protection locked="0"/>
    </xf>
    <xf numFmtId="284" fontId="18" fillId="0" borderId="0" applyFill="0" applyBorder="0" applyAlignment="0" applyProtection="0"/>
    <xf numFmtId="285" fontId="18" fillId="0" borderId="0" applyFill="0" applyBorder="0" applyAlignment="0" applyProtection="0"/>
    <xf numFmtId="285" fontId="18" fillId="0" borderId="0" applyFill="0" applyBorder="0" applyAlignment="0" applyProtection="0"/>
    <xf numFmtId="286"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41" fontId="9" fillId="0" borderId="0" applyFont="0" applyFill="0" applyBorder="0" applyAlignment="0" applyProtection="0"/>
    <xf numFmtId="43" fontId="9" fillId="0" borderId="0" applyFont="0" applyFill="0" applyBorder="0" applyAlignment="0" applyProtection="0"/>
    <xf numFmtId="287" fontId="9" fillId="0" borderId="0" applyFont="0" applyFill="0" applyBorder="0" applyAlignment="0" applyProtection="0"/>
    <xf numFmtId="288" fontId="9" fillId="0" borderId="0" applyFont="0" applyFill="0" applyBorder="0" applyProtection="0">
      <alignment vertical="top"/>
    </xf>
    <xf numFmtId="288" fontId="9" fillId="0" borderId="0" applyFont="0" applyFill="0" applyBorder="0" applyProtection="0">
      <alignment vertical="top"/>
    </xf>
    <xf numFmtId="288" fontId="9" fillId="0" borderId="0" applyFont="0" applyFill="0" applyBorder="0" applyProtection="0">
      <alignment vertical="top"/>
    </xf>
    <xf numFmtId="288"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3" fontId="95" fillId="0" borderId="0">
      <protection locked="0"/>
    </xf>
    <xf numFmtId="253" fontId="112" fillId="0" borderId="0"/>
    <xf numFmtId="253" fontId="112" fillId="0" borderId="0"/>
    <xf numFmtId="183" fontId="113" fillId="0" borderId="0"/>
    <xf numFmtId="183"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4" fontId="116" fillId="0" borderId="0"/>
    <xf numFmtId="271" fontId="44" fillId="0" borderId="25"/>
    <xf numFmtId="289" fontId="44" fillId="46" borderId="11">
      <alignment horizontal="right"/>
    </xf>
    <xf numFmtId="290" fontId="9" fillId="0" borderId="0" applyFont="0" applyFill="0" applyBorder="0" applyAlignment="0" applyProtection="0"/>
    <xf numFmtId="291" fontId="117" fillId="0" borderId="0" applyFont="0" applyFill="0" applyBorder="0" applyAlignment="0" applyProtection="0"/>
    <xf numFmtId="292" fontId="9" fillId="0" borderId="0" applyFont="0" applyFill="0" applyBorder="0" applyAlignment="0" applyProtection="0"/>
    <xf numFmtId="293"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92"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4" fontId="93" fillId="36" borderId="26" applyNumberFormat="0" applyFont="0" applyAlignment="0"/>
    <xf numFmtId="183" fontId="94" fillId="0" borderId="0" applyFont="0" applyFill="0" applyBorder="0" applyAlignment="0" applyProtection="0">
      <alignment horizontal="right"/>
    </xf>
    <xf numFmtId="183" fontId="121" fillId="0" borderId="0" applyProtection="0">
      <alignment horizontal="right"/>
    </xf>
    <xf numFmtId="183" fontId="78" fillId="0" borderId="27" applyNumberFormat="0" applyAlignment="0" applyProtection="0">
      <alignment horizontal="left" vertical="center"/>
    </xf>
    <xf numFmtId="183"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92"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92"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92"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92" fontId="130" fillId="0" borderId="0" applyNumberFormat="0" applyFill="0" applyBorder="0" applyAlignment="0" applyProtection="0"/>
    <xf numFmtId="183" fontId="41" fillId="0" borderId="0">
      <protection locked="0"/>
    </xf>
    <xf numFmtId="183" fontId="41" fillId="0" borderId="0">
      <protection locked="0"/>
    </xf>
    <xf numFmtId="295" fontId="131" fillId="0" borderId="0">
      <alignment horizontal="right"/>
    </xf>
    <xf numFmtId="296" fontId="61" fillId="0" borderId="0" applyAlignment="0">
      <alignment horizontal="right"/>
      <protection hidden="1"/>
    </xf>
    <xf numFmtId="183" fontId="106" fillId="0" borderId="33" applyNumberFormat="0" applyFill="0" applyAlignment="0" applyProtection="0"/>
    <xf numFmtId="206"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92"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92" fontId="140" fillId="0" borderId="0" applyNumberFormat="0" applyFill="0" applyBorder="0" applyAlignment="0" applyProtection="0">
      <alignment vertical="top"/>
      <protection locked="0"/>
    </xf>
    <xf numFmtId="183"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92" fontId="144" fillId="60" borderId="34" applyNumberFormat="0" applyAlignment="0" applyProtection="0"/>
    <xf numFmtId="192" fontId="144" fillId="60" borderId="34" applyNumberFormat="0" applyAlignment="0" applyProtection="0"/>
    <xf numFmtId="0" fontId="53" fillId="0" borderId="0" applyNumberFormat="0" applyFill="0" applyBorder="0" applyAlignment="0">
      <protection locked="0"/>
    </xf>
    <xf numFmtId="0" fontId="145" fillId="34" borderId="0"/>
    <xf numFmtId="242" fontId="64" fillId="86" borderId="0">
      <protection locked="0"/>
    </xf>
    <xf numFmtId="297"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298" fontId="153" fillId="0" borderId="0" applyFont="0" applyFill="0" applyBorder="0" applyAlignment="0" applyProtection="0"/>
    <xf numFmtId="183" fontId="9" fillId="0" borderId="0" applyNumberFormat="0" applyFont="0" applyFill="0" applyBorder="0" applyProtection="0">
      <alignment horizontal="left" vertical="center"/>
    </xf>
    <xf numFmtId="171" fontId="36" fillId="2" borderId="0"/>
    <xf numFmtId="171" fontId="37" fillId="53" borderId="0"/>
    <xf numFmtId="183"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92" fontId="157" fillId="0" borderId="36" applyNumberFormat="0" applyFill="0" applyAlignment="0" applyProtection="0"/>
    <xf numFmtId="0" fontId="98" fillId="87" borderId="0" applyAlignment="0" applyProtection="0">
      <alignment horizontal="right" vertical="center"/>
    </xf>
    <xf numFmtId="199" fontId="54" fillId="0" borderId="0" applyFont="0" applyFill="0" applyBorder="0" applyAlignment="0" applyProtection="0">
      <alignment horizontal="right"/>
    </xf>
    <xf numFmtId="299"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300"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183" fontId="44" fillId="0" borderId="0">
      <alignment horizontal="right"/>
    </xf>
    <xf numFmtId="40" fontId="158" fillId="0" borderId="0">
      <alignment horizontal="right"/>
    </xf>
    <xf numFmtId="37" fontId="159" fillId="0" borderId="0"/>
    <xf numFmtId="183" fontId="160" fillId="0" borderId="0">
      <alignment vertical="center"/>
    </xf>
    <xf numFmtId="183" fontId="9" fillId="0" borderId="0" applyNumberForma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301" fontId="9" fillId="0" borderId="0" applyFont="0" applyFill="0" applyBorder="0" applyAlignment="0" applyProtection="0"/>
    <xf numFmtId="302" fontId="44" fillId="0" borderId="0">
      <alignment horizontal="right"/>
    </xf>
    <xf numFmtId="183" fontId="161" fillId="0" borderId="17"/>
    <xf numFmtId="303" fontId="49" fillId="0" borderId="0" applyFont="0" applyFill="0" applyBorder="0" applyAlignment="0" applyProtection="0"/>
    <xf numFmtId="304" fontId="4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305" fontId="53" fillId="36" borderId="0">
      <alignment horizontal="center"/>
    </xf>
    <xf numFmtId="306" fontId="41" fillId="0" borderId="0" applyFill="0" applyBorder="0" applyProtection="0">
      <alignment horizontal="center"/>
    </xf>
    <xf numFmtId="307"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08"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92" fontId="164" fillId="18" borderId="0" applyNumberFormat="0" applyBorder="0" applyAlignment="0" applyProtection="0"/>
    <xf numFmtId="37" fontId="165" fillId="0" borderId="0"/>
    <xf numFmtId="295" fontId="166" fillId="0" borderId="0"/>
    <xf numFmtId="309" fontId="45" fillId="0" borderId="0"/>
    <xf numFmtId="309" fontId="45" fillId="0" borderId="9"/>
    <xf numFmtId="309" fontId="45" fillId="0" borderId="37"/>
    <xf numFmtId="309" fontId="45" fillId="0" borderId="0"/>
    <xf numFmtId="310" fontId="57" fillId="0" borderId="0"/>
    <xf numFmtId="311" fontId="57" fillId="0" borderId="0"/>
    <xf numFmtId="312" fontId="57" fillId="0" borderId="0"/>
    <xf numFmtId="313" fontId="53" fillId="0" borderId="0"/>
    <xf numFmtId="314"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9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3"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2"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92"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3"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92"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7" fontId="7" fillId="0" borderId="0"/>
    <xf numFmtId="177" fontId="24" fillId="0" borderId="0"/>
    <xf numFmtId="177" fontId="24" fillId="0" borderId="0"/>
    <xf numFmtId="177" fontId="24" fillId="0" borderId="0"/>
    <xf numFmtId="177" fontId="24" fillId="0" borderId="0"/>
    <xf numFmtId="177" fontId="24" fillId="0" borderId="0"/>
    <xf numFmtId="177" fontId="7" fillId="0" borderId="0"/>
    <xf numFmtId="177" fontId="24" fillId="0" borderId="0"/>
    <xf numFmtId="177" fontId="24" fillId="0" borderId="0"/>
    <xf numFmtId="177" fontId="24" fillId="0" borderId="0"/>
    <xf numFmtId="177" fontId="24" fillId="0" borderId="0"/>
    <xf numFmtId="177" fontId="7" fillId="0" borderId="0"/>
    <xf numFmtId="177" fontId="7" fillId="0" borderId="0"/>
    <xf numFmtId="177" fontId="7" fillId="0" borderId="0"/>
    <xf numFmtId="177" fontId="7" fillId="0" borderId="0"/>
    <xf numFmtId="177" fontId="24" fillId="0" borderId="0"/>
    <xf numFmtId="177" fontId="24" fillId="0" borderId="0"/>
    <xf numFmtId="177" fontId="24" fillId="0" borderId="0"/>
    <xf numFmtId="177" fontId="24" fillId="0" borderId="0"/>
    <xf numFmtId="177" fontId="7" fillId="0" borderId="0"/>
    <xf numFmtId="177" fontId="7" fillId="0" borderId="0"/>
    <xf numFmtId="177" fontId="7" fillId="0" borderId="0"/>
    <xf numFmtId="177" fontId="7" fillId="0" borderId="0"/>
    <xf numFmtId="177" fontId="24" fillId="0" borderId="0"/>
    <xf numFmtId="177" fontId="24" fillId="0" borderId="0"/>
    <xf numFmtId="177"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2"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5" fontId="55" fillId="0" borderId="37"/>
    <xf numFmtId="0" fontId="106" fillId="0" borderId="0" applyFill="0" applyBorder="0">
      <protection locked="0"/>
    </xf>
    <xf numFmtId="183" fontId="9" fillId="0" borderId="0"/>
    <xf numFmtId="183" fontId="168" fillId="0" borderId="0"/>
    <xf numFmtId="183" fontId="169" fillId="0" borderId="0"/>
    <xf numFmtId="183" fontId="170" fillId="0" borderId="0"/>
    <xf numFmtId="183" fontId="171" fillId="0" borderId="0"/>
    <xf numFmtId="183"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92" fontId="9" fillId="34" borderId="38" applyNumberFormat="0" applyFont="0" applyAlignment="0" applyProtection="0"/>
    <xf numFmtId="192" fontId="9" fillId="34" borderId="38" applyNumberFormat="0" applyFont="0" applyAlignment="0" applyProtection="0"/>
    <xf numFmtId="0" fontId="173" fillId="83" borderId="0" applyAlignment="0" applyProtection="0">
      <alignment horizontal="left" vertical="top" wrapText="1"/>
    </xf>
    <xf numFmtId="282" fontId="9" fillId="45" borderId="39" applyFont="0" applyFill="0" applyBorder="0" applyAlignment="0" applyProtection="0">
      <protection locked="0"/>
    </xf>
    <xf numFmtId="37" fontId="9" fillId="0" borderId="0"/>
    <xf numFmtId="316" fontId="40" fillId="50" borderId="40" applyNumberFormat="0">
      <alignment vertical="center"/>
    </xf>
    <xf numFmtId="316" fontId="40" fillId="88" borderId="40" applyNumberFormat="0">
      <alignment vertical="center"/>
    </xf>
    <xf numFmtId="316" fontId="40" fillId="40" borderId="40" applyNumberFormat="0">
      <alignment vertical="center"/>
    </xf>
    <xf numFmtId="316" fontId="40" fillId="38" borderId="40" applyNumberFormat="0">
      <alignment vertical="center"/>
    </xf>
    <xf numFmtId="316" fontId="40" fillId="89" borderId="40" applyNumberFormat="0">
      <alignment vertical="center"/>
    </xf>
    <xf numFmtId="316" fontId="40" fillId="46" borderId="40" applyNumberFormat="0">
      <alignment vertical="center"/>
    </xf>
    <xf numFmtId="316" fontId="40" fillId="90" borderId="40" applyNumberFormat="0">
      <alignment vertical="center"/>
    </xf>
    <xf numFmtId="316" fontId="40" fillId="80" borderId="40" applyNumberFormat="0">
      <alignment vertical="center"/>
    </xf>
    <xf numFmtId="316" fontId="40" fillId="91" borderId="40" applyNumberFormat="0">
      <alignment vertical="center"/>
    </xf>
    <xf numFmtId="316" fontId="40" fillId="92" borderId="40" applyNumberFormat="0">
      <alignment vertical="center"/>
    </xf>
    <xf numFmtId="316" fontId="174" fillId="45" borderId="40">
      <protection locked="0"/>
    </xf>
    <xf numFmtId="316" fontId="174" fillId="37" borderId="40">
      <protection locked="0"/>
    </xf>
    <xf numFmtId="316" fontId="175" fillId="37" borderId="41" applyNumberFormat="0" applyFont="0" applyFill="0" applyAlignment="0" applyProtection="0">
      <protection locked="0"/>
    </xf>
    <xf numFmtId="316"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97" borderId="0">
      <alignment horizontal="right"/>
    </xf>
    <xf numFmtId="0" fontId="179" fillId="0" borderId="0">
      <alignment horizontal="left"/>
    </xf>
    <xf numFmtId="3" fontId="180" fillId="0" borderId="0" applyFill="0" applyBorder="0" applyAlignment="0" applyProtection="0"/>
    <xf numFmtId="183" fontId="181" fillId="12" borderId="43" applyNumberFormat="0" applyBorder="0" applyAlignment="0">
      <alignment horizontal="center"/>
      <protection hidden="1"/>
    </xf>
    <xf numFmtId="183"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92" fontId="185" fillId="61" borderId="44" applyNumberFormat="0" applyAlignment="0" applyProtection="0"/>
    <xf numFmtId="192" fontId="185" fillId="61" borderId="44" applyNumberFormat="0" applyAlignment="0" applyProtection="0"/>
    <xf numFmtId="40" fontId="18" fillId="33" borderId="0">
      <alignment horizontal="right"/>
    </xf>
    <xf numFmtId="183" fontId="186" fillId="98" borderId="0">
      <alignment horizontal="center"/>
    </xf>
    <xf numFmtId="183" fontId="187" fillId="99" borderId="0"/>
    <xf numFmtId="183" fontId="188" fillId="33" borderId="0" applyBorder="0">
      <alignment horizontal="centerContinuous"/>
    </xf>
    <xf numFmtId="183" fontId="189" fillId="99" borderId="0" applyBorder="0">
      <alignment horizontal="centerContinuous"/>
    </xf>
    <xf numFmtId="317" fontId="9" fillId="0" borderId="0"/>
    <xf numFmtId="317" fontId="9" fillId="0" borderId="0"/>
    <xf numFmtId="317" fontId="9" fillId="0" borderId="0"/>
    <xf numFmtId="317" fontId="9" fillId="0" borderId="0"/>
    <xf numFmtId="174" fontId="9" fillId="0" borderId="0"/>
    <xf numFmtId="174" fontId="9" fillId="0" borderId="0"/>
    <xf numFmtId="174" fontId="9" fillId="0" borderId="0"/>
    <xf numFmtId="174" fontId="9" fillId="0" borderId="0"/>
    <xf numFmtId="174" fontId="9" fillId="0" borderId="0"/>
    <xf numFmtId="317" fontId="9" fillId="0" borderId="0"/>
    <xf numFmtId="183" fontId="41" fillId="100" borderId="0" applyNumberFormat="0" applyFont="0" applyBorder="0" applyAlignment="0"/>
    <xf numFmtId="1" fontId="190" fillId="0" borderId="0" applyProtection="0">
      <alignment horizontal="right" vertical="center"/>
    </xf>
    <xf numFmtId="195" fontId="191" fillId="0" borderId="0">
      <alignment horizontal="left"/>
    </xf>
    <xf numFmtId="318" fontId="44" fillId="0" borderId="0"/>
    <xf numFmtId="319" fontId="44" fillId="0" borderId="0"/>
    <xf numFmtId="166" fontId="9" fillId="0" borderId="0" applyFont="0" applyFill="0" applyBorder="0" applyAlignment="0" applyProtection="0"/>
    <xf numFmtId="167" fontId="9" fillId="0" borderId="0" applyFont="0" applyFill="0" applyBorder="0" applyAlignment="0" applyProtection="0"/>
    <xf numFmtId="173"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0"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1" fontId="64" fillId="80" borderId="0" applyBorder="0" applyAlignment="0">
      <protection locked="0"/>
    </xf>
    <xf numFmtId="9" fontId="57" fillId="0" borderId="0"/>
    <xf numFmtId="173" fontId="57" fillId="0" borderId="0"/>
    <xf numFmtId="10" fontId="57" fillId="0" borderId="0"/>
    <xf numFmtId="322" fontId="9" fillId="0" borderId="0" applyFont="0" applyFill="0" applyBorder="0" applyAlignment="0" applyProtection="0"/>
    <xf numFmtId="323" fontId="55" fillId="0" borderId="0"/>
    <xf numFmtId="324" fontId="55" fillId="0" borderId="0"/>
    <xf numFmtId="324" fontId="57" fillId="0" borderId="0"/>
    <xf numFmtId="325" fontId="9" fillId="0" borderId="0" applyBorder="0">
      <alignment horizontal="right"/>
    </xf>
    <xf numFmtId="326" fontId="53" fillId="0" borderId="0" applyBorder="0"/>
    <xf numFmtId="10" fontId="9" fillId="50" borderId="0"/>
    <xf numFmtId="183" fontId="9" fillId="0" borderId="0">
      <protection locked="0"/>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327" fontId="7" fillId="101" borderId="6">
      <alignment vertical="center"/>
    </xf>
    <xf numFmtId="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7" fillId="101"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24" fillId="90" borderId="6">
      <alignment vertical="center"/>
    </xf>
    <xf numFmtId="17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70" fontId="7" fillId="101" borderId="6">
      <alignment vertical="center"/>
    </xf>
    <xf numFmtId="0" fontId="24" fillId="101" borderId="6">
      <alignment vertical="center"/>
    </xf>
    <xf numFmtId="170" fontId="7" fillId="101" borderId="6">
      <alignment vertical="center"/>
    </xf>
    <xf numFmtId="0" fontId="24" fillId="101" borderId="6">
      <alignment vertical="center"/>
    </xf>
    <xf numFmtId="170" fontId="7" fillId="101" borderId="6">
      <alignment vertical="center"/>
    </xf>
    <xf numFmtId="0" fontId="24" fillId="101" borderId="6">
      <alignment vertical="center"/>
    </xf>
    <xf numFmtId="17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4" fontId="7" fillId="101" borderId="6">
      <alignment vertical="center"/>
    </xf>
    <xf numFmtId="17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0" fontId="9" fillId="32" borderId="3" applyNumberFormat="0" applyProtection="0">
      <alignment horizontal="left" vertical="center" indent="1"/>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24" fillId="90"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9" fillId="0" borderId="0" applyNumberFormat="0" applyFont="0" applyFill="0" applyBorder="0" applyAlignment="0" applyProtection="0"/>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101" borderId="6">
      <alignment vertical="center"/>
    </xf>
    <xf numFmtId="174" fontId="7" fillId="101" borderId="6">
      <alignment vertical="center"/>
    </xf>
    <xf numFmtId="174" fontId="24" fillId="101" borderId="6">
      <alignment vertical="center"/>
    </xf>
    <xf numFmtId="174" fontId="7" fillId="101" borderId="6">
      <alignment vertical="center"/>
    </xf>
    <xf numFmtId="174" fontId="24" fillId="101" borderId="6">
      <alignment vertical="center"/>
    </xf>
    <xf numFmtId="174" fontId="7"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0" fontId="24" fillId="90"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4" fontId="24" fillId="101" borderId="6">
      <alignment vertical="center"/>
    </xf>
    <xf numFmtId="170" fontId="7" fillId="101" borderId="6">
      <alignment vertical="center"/>
    </xf>
    <xf numFmtId="174" fontId="24" fillId="101" borderId="6">
      <alignment vertical="center"/>
    </xf>
    <xf numFmtId="170" fontId="7" fillId="101" borderId="6">
      <alignment vertical="center"/>
    </xf>
    <xf numFmtId="174" fontId="24" fillId="101" borderId="6">
      <alignment vertical="center"/>
    </xf>
    <xf numFmtId="170" fontId="7" fillId="101" borderId="6">
      <alignment vertical="center"/>
    </xf>
    <xf numFmtId="174" fontId="24" fillId="101" borderId="6">
      <alignment vertical="center"/>
    </xf>
    <xf numFmtId="170"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4"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4" fontId="24" fillId="90" borderId="6">
      <alignment vertical="center"/>
    </xf>
    <xf numFmtId="170" fontId="7" fillId="101" borderId="6">
      <alignment vertical="center"/>
    </xf>
    <xf numFmtId="174" fontId="24" fillId="90" borderId="6">
      <alignment vertical="center"/>
    </xf>
    <xf numFmtId="170" fontId="7" fillId="101" borderId="6">
      <alignment vertical="center"/>
    </xf>
    <xf numFmtId="170"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24" fillId="90"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24" fillId="90"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9" fillId="0" borderId="0" applyNumberFormat="0" applyFont="0" applyFill="0" applyBorder="0" applyAlignment="0" applyProtection="0"/>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24" fillId="90"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101" borderId="6">
      <alignment vertical="center"/>
    </xf>
    <xf numFmtId="328" fontId="7" fillId="101" borderId="6">
      <alignment vertical="center"/>
    </xf>
    <xf numFmtId="174" fontId="24" fillId="101" borderId="6">
      <alignment vertical="center"/>
    </xf>
    <xf numFmtId="328" fontId="7" fillId="101" borderId="6">
      <alignment vertical="center"/>
    </xf>
    <xf numFmtId="174" fontId="24" fillId="101" borderId="6">
      <alignment vertical="center"/>
    </xf>
    <xf numFmtId="328" fontId="7" fillId="101" borderId="6">
      <alignment vertical="center"/>
    </xf>
    <xf numFmtId="174" fontId="24" fillId="101" borderId="6">
      <alignment vertical="center"/>
    </xf>
    <xf numFmtId="328"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101" borderId="6">
      <alignment vertical="center"/>
    </xf>
    <xf numFmtId="328" fontId="24"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101" borderId="6">
      <alignment vertical="center"/>
    </xf>
    <xf numFmtId="328" fontId="24"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328" fontId="7" fillId="101" borderId="6">
      <alignment vertical="center"/>
    </xf>
    <xf numFmtId="328"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24" fillId="90" borderId="6">
      <alignment vertical="center"/>
    </xf>
    <xf numFmtId="328" fontId="24" fillId="90" borderId="6">
      <alignment vertical="center"/>
    </xf>
    <xf numFmtId="328" fontId="24" fillId="90" borderId="6">
      <alignment vertical="center"/>
    </xf>
    <xf numFmtId="328" fontId="24" fillId="90" borderId="6">
      <alignment vertical="center"/>
    </xf>
    <xf numFmtId="174" fontId="24" fillId="90" borderId="6">
      <alignment vertical="center"/>
    </xf>
    <xf numFmtId="328" fontId="24" fillId="90" borderId="6">
      <alignment vertical="center"/>
    </xf>
    <xf numFmtId="328" fontId="7" fillId="101" borderId="6">
      <alignment vertical="center"/>
    </xf>
    <xf numFmtId="328" fontId="7" fillId="101" borderId="6">
      <alignment vertical="center"/>
    </xf>
    <xf numFmtId="328" fontId="7" fillId="101" borderId="6">
      <alignment vertical="center"/>
    </xf>
    <xf numFmtId="328" fontId="7" fillId="101" borderId="6">
      <alignment vertical="center"/>
    </xf>
    <xf numFmtId="328" fontId="24" fillId="90" borderId="6">
      <alignment vertical="center"/>
    </xf>
    <xf numFmtId="174" fontId="24" fillId="90" borderId="6">
      <alignment vertical="center"/>
    </xf>
    <xf numFmtId="328" fontId="7" fillId="101" borderId="6">
      <alignment vertical="center"/>
    </xf>
    <xf numFmtId="174" fontId="24" fillId="90" borderId="6">
      <alignment vertical="center"/>
    </xf>
    <xf numFmtId="328" fontId="7" fillId="101" borderId="6">
      <alignment vertical="center"/>
    </xf>
    <xf numFmtId="174"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101" borderId="6">
      <alignment vertical="center"/>
    </xf>
    <xf numFmtId="174" fontId="7" fillId="101" borderId="6">
      <alignment vertical="center"/>
    </xf>
    <xf numFmtId="0" fontId="24" fillId="101" borderId="6">
      <alignment vertical="center"/>
    </xf>
    <xf numFmtId="174" fontId="7" fillId="101" borderId="6">
      <alignment vertical="center"/>
    </xf>
    <xf numFmtId="0" fontId="24" fillId="101" borderId="6">
      <alignment vertical="center"/>
    </xf>
    <xf numFmtId="174" fontId="7" fillId="101" borderId="6">
      <alignment vertical="center"/>
    </xf>
    <xf numFmtId="0" fontId="24" fillId="101" borderId="6">
      <alignment vertical="center"/>
    </xf>
    <xf numFmtId="174" fontId="7" fillId="101" borderId="6">
      <alignment vertical="center"/>
    </xf>
    <xf numFmtId="0" fontId="7" fillId="101" borderId="6">
      <alignment vertical="center"/>
    </xf>
    <xf numFmtId="0" fontId="7" fillId="101" borderId="6">
      <alignment vertical="center"/>
    </xf>
    <xf numFmtId="0"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101" borderId="6">
      <alignment vertical="center"/>
    </xf>
    <xf numFmtId="174"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101" borderId="6">
      <alignment vertical="center"/>
    </xf>
    <xf numFmtId="174" fontId="24"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4" fontId="7" fillId="101" borderId="6">
      <alignment vertical="center"/>
    </xf>
    <xf numFmtId="174"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174" fontId="24" fillId="90" borderId="6">
      <alignment vertical="center"/>
    </xf>
    <xf numFmtId="174" fontId="24" fillId="90" borderId="6">
      <alignment vertical="center"/>
    </xf>
    <xf numFmtId="174" fontId="24" fillId="90" borderId="6">
      <alignment vertical="center"/>
    </xf>
    <xf numFmtId="0" fontId="24" fillId="90" borderId="6">
      <alignment vertical="center"/>
    </xf>
    <xf numFmtId="174" fontId="24" fillId="90" borderId="6">
      <alignment vertical="center"/>
    </xf>
    <xf numFmtId="174" fontId="7" fillId="101" borderId="6">
      <alignment vertical="center"/>
    </xf>
    <xf numFmtId="174" fontId="7" fillId="101" borderId="6">
      <alignment vertical="center"/>
    </xf>
    <xf numFmtId="174" fontId="7" fillId="101" borderId="6">
      <alignment vertical="center"/>
    </xf>
    <xf numFmtId="174" fontId="7" fillId="101" borderId="6">
      <alignment vertical="center"/>
    </xf>
    <xf numFmtId="174" fontId="24" fillId="90" borderId="6">
      <alignment vertical="center"/>
    </xf>
    <xf numFmtId="0" fontId="24" fillId="90" borderId="6">
      <alignment vertical="center"/>
    </xf>
    <xf numFmtId="174" fontId="7" fillId="101" borderId="6">
      <alignment vertical="center"/>
    </xf>
    <xf numFmtId="0" fontId="24" fillId="90" borderId="6">
      <alignment vertical="center"/>
    </xf>
    <xf numFmtId="174" fontId="7" fillId="101" borderId="6">
      <alignment vertical="center"/>
    </xf>
    <xf numFmtId="0" fontId="24" fillId="90"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101" borderId="6">
      <alignment vertical="center"/>
    </xf>
    <xf numFmtId="17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101" borderId="6">
      <alignment vertical="center"/>
    </xf>
    <xf numFmtId="170" fontId="24"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7" fillId="101" borderId="6">
      <alignment vertical="center"/>
    </xf>
    <xf numFmtId="170" fontId="24" fillId="90" borderId="6">
      <alignment vertical="center"/>
    </xf>
    <xf numFmtId="170" fontId="24" fillId="90" borderId="6">
      <alignment vertical="center"/>
    </xf>
    <xf numFmtId="170" fontId="24" fillId="90" borderId="6">
      <alignment vertical="center"/>
    </xf>
    <xf numFmtId="17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0" fontId="7" fillId="101" borderId="6">
      <alignment vertical="center"/>
    </xf>
    <xf numFmtId="17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29" fontId="44" fillId="0" borderId="0">
      <alignment horizontal="right"/>
    </xf>
    <xf numFmtId="40" fontId="9" fillId="0" borderId="0"/>
    <xf numFmtId="1" fontId="192" fillId="46" borderId="0">
      <alignment horizontal="center"/>
    </xf>
    <xf numFmtId="183"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3" fontId="193" fillId="0" borderId="17">
      <alignment horizontal="center"/>
    </xf>
    <xf numFmtId="3" fontId="49" fillId="0" borderId="0" applyFont="0" applyFill="0" applyBorder="0" applyAlignment="0" applyProtection="0"/>
    <xf numFmtId="183" fontId="49" fillId="102" borderId="0" applyNumberFormat="0" applyFont="0" applyBorder="0" applyAlignment="0" applyProtection="0"/>
    <xf numFmtId="330" fontId="44" fillId="46" borderId="0"/>
    <xf numFmtId="331" fontId="20" fillId="46" borderId="0" applyFill="0"/>
    <xf numFmtId="183" fontId="194" fillId="0" borderId="0">
      <alignment horizontal="left" indent="7"/>
    </xf>
    <xf numFmtId="183" fontId="20" fillId="0" borderId="0" applyFill="0">
      <alignment horizontal="left" indent="7"/>
    </xf>
    <xf numFmtId="331" fontId="64" fillId="0" borderId="28">
      <alignment horizontal="right"/>
    </xf>
    <xf numFmtId="183" fontId="64" fillId="0" borderId="26" applyNumberFormat="0" applyFont="0" applyBorder="0">
      <alignment horizontal="right"/>
    </xf>
    <xf numFmtId="183" fontId="195" fillId="0" borderId="0" applyFill="0"/>
    <xf numFmtId="183" fontId="64" fillId="0" borderId="0" applyFill="0"/>
    <xf numFmtId="331" fontId="17" fillId="0" borderId="28" applyFill="0"/>
    <xf numFmtId="183" fontId="9" fillId="0" borderId="0" applyNumberFormat="0" applyFont="0" applyBorder="0" applyAlignment="0"/>
    <xf numFmtId="183" fontId="196" fillId="0" borderId="0" applyFill="0">
      <alignment horizontal="left" indent="1"/>
    </xf>
    <xf numFmtId="183" fontId="17" fillId="0" borderId="0">
      <alignment horizontal="left" indent="1"/>
    </xf>
    <xf numFmtId="331" fontId="64" fillId="0" borderId="28" applyFill="0"/>
    <xf numFmtId="183" fontId="9" fillId="0" borderId="0" applyNumberFormat="0" applyFont="0" applyFill="0" applyBorder="0" applyAlignment="0"/>
    <xf numFmtId="183" fontId="195" fillId="0" borderId="0" applyFill="0">
      <alignment horizontal="left" indent="2"/>
    </xf>
    <xf numFmtId="183" fontId="64" fillId="0" borderId="0" applyFill="0">
      <alignment horizontal="left" indent="2"/>
    </xf>
    <xf numFmtId="331" fontId="17" fillId="0" borderId="28" applyFill="0"/>
    <xf numFmtId="183" fontId="9" fillId="0" borderId="0" applyNumberFormat="0" applyFont="0" applyBorder="0" applyAlignment="0"/>
    <xf numFmtId="183" fontId="196" fillId="0" borderId="0">
      <alignment horizontal="left" indent="3"/>
    </xf>
    <xf numFmtId="183" fontId="17" fillId="0" borderId="0" applyFill="0">
      <alignment horizontal="left" indent="3"/>
    </xf>
    <xf numFmtId="331" fontId="64" fillId="0" borderId="28" applyFill="0"/>
    <xf numFmtId="183" fontId="9" fillId="0" borderId="0" applyNumberFormat="0" applyFont="0" applyBorder="0" applyAlignment="0"/>
    <xf numFmtId="183" fontId="195" fillId="0" borderId="0">
      <alignment horizontal="left" indent="4"/>
    </xf>
    <xf numFmtId="183" fontId="64" fillId="0" borderId="0" applyFill="0">
      <alignment horizontal="left" indent="4"/>
    </xf>
    <xf numFmtId="331" fontId="17" fillId="0" borderId="28" applyFill="0"/>
    <xf numFmtId="183" fontId="9" fillId="0" borderId="0" applyNumberFormat="0" applyFont="0" applyBorder="0" applyAlignment="0"/>
    <xf numFmtId="183" fontId="196" fillId="0" borderId="0">
      <alignment horizontal="left" indent="5"/>
    </xf>
    <xf numFmtId="183" fontId="17" fillId="0" borderId="0" applyFill="0">
      <alignment horizontal="left" indent="5"/>
    </xf>
    <xf numFmtId="331" fontId="64" fillId="0" borderId="28" applyFill="0"/>
    <xf numFmtId="183" fontId="9" fillId="0" borderId="0" applyNumberFormat="0" applyFont="0" applyFill="0" applyBorder="0" applyAlignment="0"/>
    <xf numFmtId="183" fontId="64" fillId="0" borderId="0" applyFill="0">
      <alignment horizontal="left" indent="6"/>
    </xf>
    <xf numFmtId="332" fontId="44" fillId="46" borderId="11">
      <alignment horizontal="right"/>
    </xf>
    <xf numFmtId="0" fontId="197" fillId="0" borderId="0"/>
    <xf numFmtId="14" fontId="198" fillId="0" borderId="0" applyNumberFormat="0" applyFill="0" applyBorder="0" applyAlignment="0" applyProtection="0">
      <alignment horizontal="left"/>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24" fillId="0" borderId="0">
      <protection locked="0"/>
    </xf>
    <xf numFmtId="333" fontId="24"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333" fontId="7" fillId="0" borderId="0">
      <protection locked="0"/>
    </xf>
    <xf numFmtId="333" fontId="24" fillId="0" borderId="0">
      <protection locked="0"/>
    </xf>
    <xf numFmtId="333" fontId="7" fillId="0" borderId="0">
      <protection locked="0"/>
    </xf>
    <xf numFmtId="333" fontId="7" fillId="0" borderId="0">
      <protection locked="0"/>
    </xf>
    <xf numFmtId="333" fontId="7" fillId="0" borderId="0">
      <protection locked="0"/>
    </xf>
    <xf numFmtId="333" fontId="24" fillId="0" borderId="0">
      <protection locked="0"/>
    </xf>
    <xf numFmtId="333" fontId="24" fillId="0" borderId="0">
      <protection locked="0"/>
    </xf>
    <xf numFmtId="333" fontId="24" fillId="0" borderId="0">
      <protection locked="0"/>
    </xf>
    <xf numFmtId="333" fontId="24" fillId="0" borderId="0">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33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7" fillId="3" borderId="26">
      <alignment vertical="center"/>
      <protection locked="0"/>
    </xf>
    <xf numFmtId="334" fontId="24" fillId="36"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6"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 borderId="26">
      <alignment vertical="center"/>
      <protection locked="0"/>
    </xf>
    <xf numFmtId="174" fontId="7" fillId="3" borderId="26">
      <alignment vertical="center"/>
      <protection locked="0"/>
    </xf>
    <xf numFmtId="170" fontId="24" fillId="3" borderId="26">
      <alignment vertical="center"/>
      <protection locked="0"/>
    </xf>
    <xf numFmtId="174" fontId="7" fillId="3" borderId="26">
      <alignment vertical="center"/>
      <protection locked="0"/>
    </xf>
    <xf numFmtId="170" fontId="24" fillId="3" borderId="26">
      <alignment vertical="center"/>
      <protection locked="0"/>
    </xf>
    <xf numFmtId="174" fontId="7" fillId="3" borderId="26">
      <alignment vertical="center"/>
      <protection locked="0"/>
    </xf>
    <xf numFmtId="170" fontId="24" fillId="3" borderId="26">
      <alignment vertical="center"/>
      <protection locked="0"/>
    </xf>
    <xf numFmtId="17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 borderId="26">
      <alignment vertical="center"/>
      <protection locked="0"/>
    </xf>
    <xf numFmtId="174" fontId="24"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 borderId="26">
      <alignment vertical="center"/>
      <protection locked="0"/>
    </xf>
    <xf numFmtId="174" fontId="24"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0"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4" fontId="7" fillId="3" borderId="26">
      <alignment vertical="center"/>
      <protection locked="0"/>
    </xf>
    <xf numFmtId="170" fontId="24" fillId="36"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24" fillId="3" borderId="26">
      <alignment vertical="center"/>
      <protection locked="0"/>
    </xf>
    <xf numFmtId="33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170"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334"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0"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 borderId="26">
      <alignment vertical="center"/>
      <protection locked="0"/>
    </xf>
    <xf numFmtId="173" fontId="24"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173" fontId="7" fillId="3" borderId="26">
      <alignment vertical="center"/>
      <protection locked="0"/>
    </xf>
    <xf numFmtId="173"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7" fillId="3" borderId="26">
      <alignment vertical="center"/>
      <protection locked="0"/>
    </xf>
    <xf numFmtId="173" fontId="24" fillId="36"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3" fontId="7" fillId="3" borderId="26">
      <alignment vertical="center"/>
      <protection locked="0"/>
    </xf>
    <xf numFmtId="173"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 borderId="26">
      <alignment vertical="center"/>
      <protection locked="0"/>
    </xf>
    <xf numFmtId="174" fontId="24"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 borderId="26">
      <alignment vertical="center"/>
      <protection locked="0"/>
    </xf>
    <xf numFmtId="174" fontId="24"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24" fillId="36"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7" fillId="3" borderId="26">
      <alignment vertical="center"/>
      <protection locked="0"/>
    </xf>
    <xf numFmtId="174" fontId="24" fillId="36"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0" fontId="9" fillId="0" borderId="0" applyNumberFormat="0" applyFont="0" applyFill="0" applyBorder="0" applyAlignment="0" applyProtection="0"/>
    <xf numFmtId="174" fontId="7" fillId="3" borderId="26">
      <alignment vertical="center"/>
      <protection locked="0"/>
    </xf>
    <xf numFmtId="174" fontId="24" fillId="36" borderId="26">
      <alignment vertical="center"/>
      <protection locked="0"/>
    </xf>
    <xf numFmtId="170"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 borderId="26">
      <alignment vertical="center"/>
      <protection locked="0"/>
    </xf>
    <xf numFmtId="334" fontId="24"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7" fillId="3"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334"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334" fontId="7" fillId="3" borderId="26">
      <alignment vertical="center"/>
      <protection locked="0"/>
    </xf>
    <xf numFmtId="334"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7" fillId="43"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2" fontId="24" fillId="38"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0"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38" borderId="26">
      <alignment vertical="center"/>
    </xf>
    <xf numFmtId="334" fontId="7" fillId="43" borderId="26">
      <alignment vertical="center"/>
    </xf>
    <xf numFmtId="170" fontId="24"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7" fillId="43" borderId="26">
      <alignment vertical="center"/>
    </xf>
    <xf numFmtId="334" fontId="24" fillId="38" borderId="26">
      <alignment vertical="center"/>
    </xf>
    <xf numFmtId="334" fontId="7" fillId="43" borderId="26">
      <alignment vertical="center"/>
    </xf>
    <xf numFmtId="334" fontId="24" fillId="38" borderId="26">
      <alignment vertical="center"/>
    </xf>
    <xf numFmtId="170" fontId="24" fillId="43" borderId="26">
      <alignment vertical="center"/>
    </xf>
    <xf numFmtId="334" fontId="7" fillId="43" borderId="26">
      <alignment vertical="center"/>
    </xf>
    <xf numFmtId="170" fontId="24" fillId="43" borderId="26">
      <alignment vertical="center"/>
    </xf>
    <xf numFmtId="334" fontId="7" fillId="43" borderId="26">
      <alignment vertical="center"/>
    </xf>
    <xf numFmtId="170" fontId="24" fillId="43" borderId="26">
      <alignment vertical="center"/>
    </xf>
    <xf numFmtId="334"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43" borderId="26">
      <alignment vertical="center"/>
    </xf>
    <xf numFmtId="328" fontId="24" fillId="43"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43" borderId="26">
      <alignment vertical="center"/>
    </xf>
    <xf numFmtId="328" fontId="24"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0" fontId="9" fillId="0" borderId="0" applyNumberFormat="0" applyFont="0" applyFill="0" applyBorder="0" applyAlignment="0" applyProtection="0"/>
    <xf numFmtId="328" fontId="7" fillId="43" borderId="26">
      <alignment vertical="center"/>
    </xf>
    <xf numFmtId="328" fontId="24" fillId="38" borderId="26">
      <alignment vertical="center"/>
    </xf>
    <xf numFmtId="328" fontId="7" fillId="43" borderId="26">
      <alignment vertical="center"/>
    </xf>
    <xf numFmtId="328" fontId="24" fillId="38" borderId="26">
      <alignment vertical="center"/>
    </xf>
    <xf numFmtId="328" fontId="7" fillId="43" borderId="26">
      <alignment vertical="center"/>
    </xf>
    <xf numFmtId="328" fontId="24" fillId="38" borderId="26">
      <alignment vertical="center"/>
    </xf>
    <xf numFmtId="328" fontId="7" fillId="43" borderId="26">
      <alignment vertical="center"/>
    </xf>
    <xf numFmtId="328" fontId="24" fillId="38" borderId="26">
      <alignment vertical="center"/>
    </xf>
    <xf numFmtId="328" fontId="7" fillId="43" borderId="26">
      <alignment vertical="center"/>
    </xf>
    <xf numFmtId="328" fontId="24" fillId="38"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328" fontId="24" fillId="38" borderId="26">
      <alignment vertical="center"/>
    </xf>
    <xf numFmtId="0" fontId="9" fillId="0" borderId="0" applyNumberFormat="0" applyFont="0" applyFill="0" applyBorder="0" applyAlignment="0" applyProtection="0"/>
    <xf numFmtId="328" fontId="7" fillId="43" borderId="26">
      <alignment vertical="center"/>
    </xf>
    <xf numFmtId="328"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24" fillId="38" borderId="26">
      <alignment vertical="center"/>
    </xf>
    <xf numFmtId="328" fontId="24" fillId="38" borderId="26">
      <alignment vertical="center"/>
    </xf>
    <xf numFmtId="328" fontId="24" fillId="38" borderId="26">
      <alignment vertical="center"/>
    </xf>
    <xf numFmtId="328" fontId="24" fillId="38" borderId="26">
      <alignment vertical="center"/>
    </xf>
    <xf numFmtId="0" fontId="9" fillId="0" borderId="0" applyNumberFormat="0" applyFont="0" applyFill="0" applyBorder="0" applyAlignment="0" applyProtection="0"/>
    <xf numFmtId="328" fontId="24" fillId="38" borderId="26">
      <alignment vertical="center"/>
    </xf>
    <xf numFmtId="328" fontId="7" fillId="43" borderId="26">
      <alignment vertical="center"/>
    </xf>
    <xf numFmtId="328" fontId="7" fillId="43" borderId="26">
      <alignment vertical="center"/>
    </xf>
    <xf numFmtId="328" fontId="7" fillId="43" borderId="26">
      <alignment vertical="center"/>
    </xf>
    <xf numFmtId="328" fontId="7" fillId="43" borderId="26">
      <alignment vertical="center"/>
    </xf>
    <xf numFmtId="328" fontId="24" fillId="38"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0" fontId="9" fillId="0" borderId="0" applyNumberFormat="0" applyFont="0" applyFill="0" applyBorder="0" applyAlignment="0" applyProtection="0"/>
    <xf numFmtId="328" fontId="7" fillId="43" borderId="26">
      <alignment vertical="center"/>
    </xf>
    <xf numFmtId="328" fontId="24" fillId="38"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38" borderId="26">
      <alignment vertical="center"/>
    </xf>
    <xf numFmtId="334" fontId="7" fillId="43" borderId="26">
      <alignment vertical="center"/>
    </xf>
    <xf numFmtId="174" fontId="24" fillId="43" borderId="26">
      <alignment vertical="center"/>
    </xf>
    <xf numFmtId="334" fontId="7" fillId="43" borderId="26">
      <alignment vertical="center"/>
    </xf>
    <xf numFmtId="174" fontId="24" fillId="43" borderId="26">
      <alignment vertical="center"/>
    </xf>
    <xf numFmtId="334" fontId="7" fillId="43" borderId="26">
      <alignment vertical="center"/>
    </xf>
    <xf numFmtId="174" fontId="24" fillId="43" borderId="26">
      <alignment vertical="center"/>
    </xf>
    <xf numFmtId="334" fontId="7" fillId="43" borderId="26">
      <alignment vertical="center"/>
    </xf>
    <xf numFmtId="174" fontId="24" fillId="43" borderId="26">
      <alignment vertical="center"/>
    </xf>
    <xf numFmtId="33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0" fontId="9" fillId="0" borderId="0" applyNumberFormat="0" applyFont="0" applyFill="0" applyBorder="0" applyAlignment="0" applyProtection="0"/>
    <xf numFmtId="174" fontId="7" fillId="43" borderId="26">
      <alignment vertical="center"/>
    </xf>
    <xf numFmtId="174" fontId="24" fillId="38" borderId="26">
      <alignment vertical="center"/>
    </xf>
    <xf numFmtId="174" fontId="7" fillId="43" borderId="26">
      <alignment vertical="center"/>
    </xf>
    <xf numFmtId="174" fontId="24" fillId="38" borderId="26">
      <alignment vertical="center"/>
    </xf>
    <xf numFmtId="174" fontId="7" fillId="43" borderId="26">
      <alignment vertical="center"/>
    </xf>
    <xf numFmtId="174" fontId="24" fillId="38" borderId="26">
      <alignment vertical="center"/>
    </xf>
    <xf numFmtId="174" fontId="7" fillId="43" borderId="26">
      <alignment vertical="center"/>
    </xf>
    <xf numFmtId="174" fontId="24" fillId="38" borderId="26">
      <alignment vertical="center"/>
    </xf>
    <xf numFmtId="174" fontId="7" fillId="43" borderId="26">
      <alignment vertical="center"/>
    </xf>
    <xf numFmtId="174" fontId="24" fillId="38"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4" fontId="24" fillId="38"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9" fillId="0" borderId="0" applyNumberFormat="0" applyFont="0" applyFill="0" applyBorder="0" applyAlignment="0" applyProtection="0"/>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8" borderId="26">
      <alignment vertical="center"/>
    </xf>
    <xf numFmtId="17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174" fontId="24" fillId="38" borderId="26">
      <alignment vertical="center"/>
    </xf>
    <xf numFmtId="334" fontId="7" fillId="43" borderId="26">
      <alignment vertical="center"/>
    </xf>
    <xf numFmtId="174"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43" borderId="26">
      <alignment vertical="center"/>
    </xf>
    <xf numFmtId="174" fontId="7" fillId="43" borderId="26">
      <alignment vertical="center"/>
    </xf>
    <xf numFmtId="0" fontId="24" fillId="43" borderId="26">
      <alignment vertical="center"/>
    </xf>
    <xf numFmtId="174" fontId="7" fillId="43" borderId="26">
      <alignment vertical="center"/>
    </xf>
    <xf numFmtId="0" fontId="24" fillId="43" borderId="26">
      <alignment vertical="center"/>
    </xf>
    <xf numFmtId="174" fontId="7" fillId="43" borderId="26">
      <alignment vertical="center"/>
    </xf>
    <xf numFmtId="0" fontId="24" fillId="43" borderId="26">
      <alignment vertical="center"/>
    </xf>
    <xf numFmtId="174" fontId="7" fillId="43" borderId="26">
      <alignment vertical="center"/>
    </xf>
    <xf numFmtId="0" fontId="7" fillId="43" borderId="26">
      <alignment vertical="center"/>
    </xf>
    <xf numFmtId="0" fontId="7" fillId="43" borderId="26">
      <alignment vertical="center"/>
    </xf>
    <xf numFmtId="0"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0"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0" fontId="24" fillId="38" borderId="26">
      <alignment vertical="center"/>
    </xf>
    <xf numFmtId="174" fontId="7" fillId="43" borderId="26">
      <alignment vertical="center"/>
    </xf>
    <xf numFmtId="0" fontId="24" fillId="38" borderId="26">
      <alignment vertical="center"/>
    </xf>
    <xf numFmtId="174" fontId="7" fillId="43" borderId="26">
      <alignment vertical="center"/>
    </xf>
    <xf numFmtId="0" fontId="24" fillId="38"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4" fontId="24" fillId="43" borderId="26">
      <alignment vertical="center"/>
    </xf>
    <xf numFmtId="334"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43" borderId="26">
      <alignment vertical="center"/>
    </xf>
    <xf numFmtId="334" fontId="24"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7" fillId="43" borderId="26">
      <alignment vertical="center"/>
    </xf>
    <xf numFmtId="334" fontId="24" fillId="38" borderId="26">
      <alignment vertical="center"/>
    </xf>
    <xf numFmtId="334" fontId="24" fillId="38" borderId="26">
      <alignment vertical="center"/>
    </xf>
    <xf numFmtId="334" fontId="24" fillId="38" borderId="26">
      <alignment vertical="center"/>
    </xf>
    <xf numFmtId="334"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334" fontId="7" fillId="43" borderId="26">
      <alignment vertical="center"/>
    </xf>
    <xf numFmtId="33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24" fillId="38"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0" fontId="9" fillId="0" borderId="0" applyNumberFormat="0" applyFont="0" applyFill="0" applyBorder="0" applyAlignment="0" applyProtection="0"/>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43" borderId="26">
      <alignment vertical="center"/>
    </xf>
    <xf numFmtId="174" fontId="7" fillId="43" borderId="26">
      <alignment vertical="center"/>
    </xf>
    <xf numFmtId="170" fontId="24" fillId="43" borderId="26">
      <alignment vertical="center"/>
    </xf>
    <xf numFmtId="174" fontId="7" fillId="43" borderId="26">
      <alignment vertical="center"/>
    </xf>
    <xf numFmtId="170" fontId="24" fillId="43" borderId="26">
      <alignment vertical="center"/>
    </xf>
    <xf numFmtId="174" fontId="7" fillId="43" borderId="26">
      <alignment vertical="center"/>
    </xf>
    <xf numFmtId="170" fontId="24" fillId="43" borderId="26">
      <alignment vertical="center"/>
    </xf>
    <xf numFmtId="174"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3" borderId="26">
      <alignment vertical="center"/>
    </xf>
    <xf numFmtId="174"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43" borderId="26">
      <alignment vertical="center"/>
    </xf>
    <xf numFmtId="174" fontId="24"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4" fontId="7" fillId="43" borderId="26">
      <alignment vertical="center"/>
    </xf>
    <xf numFmtId="174"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4" fontId="24" fillId="38" borderId="26">
      <alignment vertical="center"/>
    </xf>
    <xf numFmtId="174" fontId="24" fillId="38" borderId="26">
      <alignment vertical="center"/>
    </xf>
    <xf numFmtId="174" fontId="24" fillId="38" borderId="26">
      <alignment vertical="center"/>
    </xf>
    <xf numFmtId="170" fontId="24" fillId="38" borderId="26">
      <alignment vertical="center"/>
    </xf>
    <xf numFmtId="174" fontId="24" fillId="38" borderId="26">
      <alignment vertical="center"/>
    </xf>
    <xf numFmtId="174" fontId="7" fillId="43" borderId="26">
      <alignment vertical="center"/>
    </xf>
    <xf numFmtId="174" fontId="7" fillId="43" borderId="26">
      <alignment vertical="center"/>
    </xf>
    <xf numFmtId="174" fontId="7" fillId="43" borderId="26">
      <alignment vertical="center"/>
    </xf>
    <xf numFmtId="174" fontId="7" fillId="43" borderId="26">
      <alignment vertical="center"/>
    </xf>
    <xf numFmtId="174" fontId="24" fillId="38" borderId="26">
      <alignment vertical="center"/>
    </xf>
    <xf numFmtId="170" fontId="24" fillId="38" borderId="26">
      <alignment vertical="center"/>
    </xf>
    <xf numFmtId="174" fontId="7" fillId="43" borderId="26">
      <alignment vertical="center"/>
    </xf>
    <xf numFmtId="170" fontId="24" fillId="38" borderId="26">
      <alignment vertical="center"/>
    </xf>
    <xf numFmtId="174" fontId="7" fillId="43" borderId="26">
      <alignment vertical="center"/>
    </xf>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24" fillId="38"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3" borderId="26">
      <alignment vertical="center"/>
    </xf>
    <xf numFmtId="170" fontId="24"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38" borderId="26">
      <alignment vertical="center"/>
    </xf>
    <xf numFmtId="170" fontId="24" fillId="43" borderId="26">
      <alignment vertical="center"/>
    </xf>
    <xf numFmtId="170" fontId="24"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170" fontId="7" fillId="43" borderId="26">
      <alignment vertical="center"/>
    </xf>
    <xf numFmtId="17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8" borderId="26">
      <alignment vertical="center"/>
    </xf>
    <xf numFmtId="170" fontId="7" fillId="44"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44" borderId="26">
      <alignment horizontal="right" vertical="center"/>
      <protection locked="0"/>
    </xf>
    <xf numFmtId="328" fontId="7" fillId="44" borderId="26">
      <alignment horizontal="right" vertical="center"/>
      <protection locked="0"/>
    </xf>
    <xf numFmtId="174" fontId="24" fillId="44" borderId="26">
      <alignment horizontal="right" vertical="center"/>
      <protection locked="0"/>
    </xf>
    <xf numFmtId="328" fontId="7" fillId="44" borderId="26">
      <alignment horizontal="right" vertical="center"/>
      <protection locked="0"/>
    </xf>
    <xf numFmtId="174" fontId="24" fillId="44" borderId="26">
      <alignment horizontal="right" vertical="center"/>
      <protection locked="0"/>
    </xf>
    <xf numFmtId="328" fontId="7" fillId="44" borderId="26">
      <alignment horizontal="right" vertical="center"/>
      <protection locked="0"/>
    </xf>
    <xf numFmtId="174" fontId="24" fillId="44" borderId="26">
      <alignment horizontal="right" vertical="center"/>
      <protection locked="0"/>
    </xf>
    <xf numFmtId="328"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24" fillId="44" borderId="26">
      <alignment horizontal="right" vertical="center"/>
      <protection locked="0"/>
    </xf>
    <xf numFmtId="328" fontId="24"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44" borderId="26">
      <alignment horizontal="right" vertical="center"/>
      <protection locked="0"/>
    </xf>
    <xf numFmtId="328" fontId="24"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328" fontId="7" fillId="44" borderId="26">
      <alignment horizontal="right" vertical="center"/>
      <protection locked="0"/>
    </xf>
    <xf numFmtId="328"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328" fontId="24" fillId="39" borderId="26">
      <alignment horizontal="right" vertical="center"/>
      <protection locked="0"/>
    </xf>
    <xf numFmtId="174" fontId="24" fillId="39" borderId="26">
      <alignment horizontal="right" vertical="center"/>
      <protection locked="0"/>
    </xf>
    <xf numFmtId="328" fontId="24" fillId="39"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7" fillId="44" borderId="26">
      <alignment horizontal="right" vertical="center"/>
      <protection locked="0"/>
    </xf>
    <xf numFmtId="328" fontId="24" fillId="39"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328" fontId="7" fillId="44" borderId="26">
      <alignment horizontal="right" vertical="center"/>
      <protection locked="0"/>
    </xf>
    <xf numFmtId="174"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44" borderId="26">
      <alignment horizontal="right" vertical="center"/>
      <protection locked="0"/>
    </xf>
    <xf numFmtId="174" fontId="7" fillId="44" borderId="26">
      <alignment horizontal="right" vertical="center"/>
      <protection locked="0"/>
    </xf>
    <xf numFmtId="0" fontId="24" fillId="44" borderId="26">
      <alignment horizontal="right" vertical="center"/>
      <protection locked="0"/>
    </xf>
    <xf numFmtId="174" fontId="7" fillId="44" borderId="26">
      <alignment horizontal="right" vertical="center"/>
      <protection locked="0"/>
    </xf>
    <xf numFmtId="0" fontId="24" fillId="44" borderId="26">
      <alignment horizontal="right" vertical="center"/>
      <protection locked="0"/>
    </xf>
    <xf numFmtId="174" fontId="7" fillId="44" borderId="26">
      <alignment horizontal="right" vertical="center"/>
      <protection locked="0"/>
    </xf>
    <xf numFmtId="0" fontId="24" fillId="44" borderId="26">
      <alignment horizontal="right" vertical="center"/>
      <protection locked="0"/>
    </xf>
    <xf numFmtId="174"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0"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174"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44" borderId="26">
      <alignment horizontal="right" vertical="center"/>
      <protection locked="0"/>
    </xf>
    <xf numFmtId="174" fontId="7" fillId="44" borderId="26">
      <alignment horizontal="right" vertical="center"/>
      <protection locked="0"/>
    </xf>
    <xf numFmtId="170" fontId="24" fillId="44" borderId="26">
      <alignment horizontal="right" vertical="center"/>
      <protection locked="0"/>
    </xf>
    <xf numFmtId="174" fontId="7" fillId="44" borderId="26">
      <alignment horizontal="right" vertical="center"/>
      <protection locked="0"/>
    </xf>
    <xf numFmtId="170" fontId="24" fillId="44" borderId="26">
      <alignment horizontal="right" vertical="center"/>
      <protection locked="0"/>
    </xf>
    <xf numFmtId="174" fontId="7" fillId="44" borderId="26">
      <alignment horizontal="right" vertical="center"/>
      <protection locked="0"/>
    </xf>
    <xf numFmtId="170" fontId="24" fillId="44" borderId="26">
      <alignment horizontal="right" vertical="center"/>
      <protection locked="0"/>
    </xf>
    <xf numFmtId="174"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44" borderId="26">
      <alignment horizontal="right" vertical="center"/>
      <protection locked="0"/>
    </xf>
    <xf numFmtId="174" fontId="24"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4" fontId="7" fillId="44" borderId="26">
      <alignment horizontal="right" vertical="center"/>
      <protection locked="0"/>
    </xf>
    <xf numFmtId="174"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4" fontId="24" fillId="39" borderId="26">
      <alignment horizontal="right" vertical="center"/>
      <protection locked="0"/>
    </xf>
    <xf numFmtId="170" fontId="24" fillId="39" borderId="26">
      <alignment horizontal="right" vertical="center"/>
      <protection locked="0"/>
    </xf>
    <xf numFmtId="174" fontId="24" fillId="39"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7" fillId="44" borderId="26">
      <alignment horizontal="right" vertical="center"/>
      <protection locked="0"/>
    </xf>
    <xf numFmtId="174" fontId="24" fillId="39"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4"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39" borderId="26">
      <alignment horizontal="right" vertical="center"/>
      <protection locked="0"/>
    </xf>
    <xf numFmtId="170" fontId="24" fillId="44" borderId="26">
      <alignment horizontal="right" vertical="center"/>
      <protection locked="0"/>
    </xf>
    <xf numFmtId="170" fontId="24"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170" fontId="7" fillId="44" borderId="26">
      <alignment horizontal="right" vertical="center"/>
      <protection locked="0"/>
    </xf>
    <xf numFmtId="17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9" borderId="26">
      <alignment horizontal="right" vertical="center"/>
      <protection locked="0"/>
    </xf>
    <xf numFmtId="333" fontId="24" fillId="0" borderId="0">
      <protection locked="0"/>
    </xf>
    <xf numFmtId="335" fontId="199" fillId="0" borderId="0"/>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protection locked="0"/>
    </xf>
    <xf numFmtId="183" fontId="200" fillId="0" borderId="45">
      <protection locked="0"/>
    </xf>
    <xf numFmtId="183" fontId="200" fillId="0" borderId="45">
      <protection locked="0"/>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protection locked="0"/>
    </xf>
    <xf numFmtId="183" fontId="200" fillId="0" borderId="45">
      <protection locked="0"/>
    </xf>
    <xf numFmtId="183" fontId="200" fillId="0" borderId="45">
      <protection locked="0"/>
    </xf>
    <xf numFmtId="195" fontId="200" fillId="0" borderId="0"/>
    <xf numFmtId="183" fontId="200" fillId="0" borderId="45">
      <protection locked="0"/>
    </xf>
    <xf numFmtId="183" fontId="200" fillId="0" borderId="45">
      <protection locked="0"/>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protection locked="0"/>
    </xf>
    <xf numFmtId="195" fontId="200" fillId="0" borderId="0"/>
    <xf numFmtId="183" fontId="200" fillId="0" borderId="0"/>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protection locked="0"/>
    </xf>
    <xf numFmtId="183" fontId="200" fillId="0" borderId="45">
      <protection locked="0"/>
    </xf>
    <xf numFmtId="183" fontId="200" fillId="0" borderId="45">
      <protection locked="0"/>
    </xf>
    <xf numFmtId="183" fontId="200" fillId="0" borderId="45">
      <protection locked="0"/>
    </xf>
    <xf numFmtId="195" fontId="200" fillId="0" borderId="0"/>
    <xf numFmtId="183" fontId="200" fillId="0" borderId="45">
      <protection locked="0"/>
    </xf>
    <xf numFmtId="183" fontId="200" fillId="0" borderId="45">
      <protection locked="0"/>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protection locked="0"/>
    </xf>
    <xf numFmtId="183" fontId="200" fillId="0" borderId="45">
      <protection locked="0"/>
    </xf>
    <xf numFmtId="183" fontId="200" fillId="0" borderId="45">
      <protection locked="0"/>
    </xf>
    <xf numFmtId="183" fontId="200" fillId="0" borderId="45">
      <protection locked="0"/>
    </xf>
    <xf numFmtId="183" fontId="200" fillId="0" borderId="45">
      <protection locked="0"/>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alignment horizontal="centerContinuous"/>
    </xf>
    <xf numFmtId="183" fontId="200" fillId="0" borderId="45">
      <alignment horizontal="centerContinuous"/>
    </xf>
    <xf numFmtId="183" fontId="200" fillId="0" borderId="45">
      <protection locked="0"/>
    </xf>
    <xf numFmtId="183" fontId="200" fillId="0" borderId="45">
      <alignment horizontal="centerContinuous"/>
    </xf>
    <xf numFmtId="183" fontId="200" fillId="0" borderId="45">
      <alignment horizontal="centerContinuous"/>
    </xf>
    <xf numFmtId="183" fontId="200" fillId="0" borderId="45">
      <alignment horizontal="centerContinuous"/>
    </xf>
    <xf numFmtId="195" fontId="200" fillId="0" borderId="0"/>
    <xf numFmtId="183" fontId="200" fillId="0" borderId="45">
      <protection locked="0"/>
    </xf>
    <xf numFmtId="183" fontId="200" fillId="0" borderId="45">
      <protection locked="0"/>
    </xf>
    <xf numFmtId="183"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3"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3" fontId="207" fillId="110" borderId="0"/>
    <xf numFmtId="183" fontId="78" fillId="0" borderId="0"/>
    <xf numFmtId="38" fontId="49" fillId="0" borderId="0" applyFont="0" applyFill="0" applyBorder="0" applyAlignment="0" applyProtection="0"/>
    <xf numFmtId="40" fontId="146" fillId="0" borderId="0" applyFont="0" applyFill="0" applyBorder="0" applyAlignment="0" applyProtection="0"/>
    <xf numFmtId="315" fontId="55" fillId="111" borderId="0" applyFont="0"/>
    <xf numFmtId="183"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3" fontId="49" fillId="0" borderId="0">
      <alignment textRotation="90"/>
    </xf>
    <xf numFmtId="0" fontId="98" fillId="81" borderId="0" applyAlignment="0" applyProtection="0">
      <alignment horizontal="right" vertical="center"/>
    </xf>
    <xf numFmtId="193" fontId="58" fillId="0" borderId="0">
      <alignment vertical="center"/>
    </xf>
    <xf numFmtId="0" fontId="9" fillId="112" borderId="0"/>
    <xf numFmtId="336"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3"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3" fontId="9" fillId="0" borderId="0">
      <alignment vertical="top"/>
    </xf>
    <xf numFmtId="183" fontId="210" fillId="50" borderId="0" applyNumberFormat="0" applyProtection="0">
      <alignment horizontal="center" vertical="center"/>
    </xf>
    <xf numFmtId="4" fontId="18" fillId="50" borderId="0" applyProtection="0">
      <alignment horizontal="center" vertical="center"/>
    </xf>
    <xf numFmtId="183" fontId="211" fillId="50" borderId="0" applyNumberFormat="0" applyProtection="0">
      <alignment horizontal="center" vertical="center"/>
    </xf>
    <xf numFmtId="4" fontId="20" fillId="50" borderId="0" applyProtection="0">
      <alignment horizontal="center" vertical="center"/>
    </xf>
    <xf numFmtId="183" fontId="212" fillId="113" borderId="0" applyNumberFormat="0" applyProtection="0">
      <alignment horizontal="center" vertical="center"/>
    </xf>
    <xf numFmtId="4" fontId="22" fillId="113" borderId="0" applyProtection="0">
      <alignment horizontal="center" vertical="center"/>
    </xf>
    <xf numFmtId="183" fontId="209" fillId="50" borderId="0" applyNumberFormat="0" applyProtection="0">
      <alignment horizontal="center" vertical="center"/>
    </xf>
    <xf numFmtId="4" fontId="213" fillId="50" borderId="0" applyProtection="0">
      <alignment horizontal="center" vertical="center"/>
    </xf>
    <xf numFmtId="183" fontId="214" fillId="114" borderId="0" applyNumberFormat="0" applyProtection="0">
      <alignment horizontal="center" vertical="center"/>
    </xf>
    <xf numFmtId="4" fontId="61" fillId="114" borderId="0" applyProtection="0">
      <alignment horizontal="center" vertical="center"/>
    </xf>
    <xf numFmtId="183" fontId="16" fillId="50" borderId="0" applyNumberFormat="0" applyProtection="0">
      <alignment horizontal="center" vertical="center" wrapText="1"/>
    </xf>
    <xf numFmtId="183" fontId="17" fillId="50" borderId="0" applyNumberFormat="0" applyProtection="0">
      <alignment horizontal="center" vertical="center" wrapText="1"/>
    </xf>
    <xf numFmtId="183" fontId="141" fillId="113" borderId="0" applyNumberFormat="0" applyProtection="0">
      <alignment horizontal="center" vertical="center" wrapText="1"/>
    </xf>
    <xf numFmtId="183" fontId="215" fillId="50" borderId="0" applyNumberFormat="0" applyProtection="0">
      <alignment horizontal="center" vertical="center" wrapText="1"/>
    </xf>
    <xf numFmtId="183" fontId="16" fillId="50" borderId="0" applyNumberFormat="0" applyProtection="0">
      <alignment horizontal="center" vertical="center" wrapText="1"/>
    </xf>
    <xf numFmtId="4" fontId="216" fillId="50" borderId="0" applyProtection="0">
      <alignment horizontal="center" vertical="top" wrapText="1"/>
    </xf>
    <xf numFmtId="183" fontId="17" fillId="50" borderId="0" applyNumberFormat="0" applyProtection="0">
      <alignment horizontal="center" vertical="center" wrapText="1"/>
    </xf>
    <xf numFmtId="4" fontId="217" fillId="50" borderId="0" applyProtection="0">
      <alignment horizontal="center" vertical="top" wrapText="1"/>
    </xf>
    <xf numFmtId="183" fontId="141" fillId="113" borderId="0" applyNumberFormat="0" applyProtection="0">
      <alignment horizontal="center" vertical="center" wrapText="1"/>
    </xf>
    <xf numFmtId="4" fontId="218" fillId="113" borderId="0" applyProtection="0">
      <alignment horizontal="center" vertical="top" wrapText="1"/>
    </xf>
    <xf numFmtId="183" fontId="215" fillId="50" borderId="0" applyNumberFormat="0" applyProtection="0">
      <alignment horizontal="center" vertical="center" wrapText="1"/>
    </xf>
    <xf numFmtId="4" fontId="219" fillId="50" borderId="0" applyProtection="0">
      <alignment horizontal="center" vertical="top" wrapText="1"/>
    </xf>
    <xf numFmtId="183" fontId="187" fillId="114" borderId="0" applyNumberFormat="0" applyProtection="0">
      <alignment horizontal="center" vertical="center" wrapText="1"/>
    </xf>
    <xf numFmtId="4" fontId="220" fillId="114" borderId="0" applyProtection="0">
      <alignment horizontal="center" vertical="top" wrapText="1"/>
    </xf>
    <xf numFmtId="183"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3" fontId="221" fillId="0" borderId="0"/>
    <xf numFmtId="183" fontId="222" fillId="40" borderId="0"/>
    <xf numFmtId="183" fontId="223" fillId="0" borderId="0">
      <alignment horizontal="left" vertical="center"/>
    </xf>
    <xf numFmtId="254" fontId="78" fillId="0" borderId="0"/>
    <xf numFmtId="183" fontId="107" fillId="0" borderId="0"/>
    <xf numFmtId="183"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3" fontId="226" fillId="0" borderId="0" applyBorder="0" applyProtection="0">
      <alignment vertical="center"/>
    </xf>
    <xf numFmtId="183" fontId="226" fillId="0" borderId="9" applyBorder="0" applyProtection="0">
      <alignment horizontal="right" vertical="center"/>
    </xf>
    <xf numFmtId="183" fontId="227" fillId="115" borderId="0" applyBorder="0" applyProtection="0">
      <alignment horizontal="centerContinuous" vertical="center"/>
    </xf>
    <xf numFmtId="183" fontId="227" fillId="114" borderId="9" applyBorder="0" applyProtection="0">
      <alignment horizontal="centerContinuous" vertical="center"/>
    </xf>
    <xf numFmtId="183" fontId="228" fillId="0" borderId="0"/>
    <xf numFmtId="183" fontId="169" fillId="0" borderId="0"/>
    <xf numFmtId="183" fontId="229" fillId="0" borderId="0" applyFill="0" applyBorder="0" applyProtection="0">
      <alignment horizontal="left"/>
    </xf>
    <xf numFmtId="183" fontId="114" fillId="0" borderId="10" applyFill="0" applyBorder="0" applyProtection="0">
      <alignment horizontal="left" vertical="top"/>
    </xf>
    <xf numFmtId="183" fontId="230" fillId="0" borderId="0">
      <alignment horizontal="centerContinuous"/>
    </xf>
    <xf numFmtId="49" fontId="231" fillId="0" borderId="0"/>
    <xf numFmtId="49" fontId="41" fillId="0" borderId="0" applyFont="0" applyFill="0" applyBorder="0" applyAlignment="0" applyProtection="0"/>
    <xf numFmtId="183" fontId="232" fillId="0" borderId="0"/>
    <xf numFmtId="49" fontId="41" fillId="0" borderId="0" applyFont="0" applyFill="0" applyBorder="0" applyAlignment="0" applyProtection="0"/>
    <xf numFmtId="183"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37"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2" fontId="235" fillId="0" borderId="0" applyNumberFormat="0" applyFill="0" applyBorder="0" applyAlignment="0" applyProtection="0"/>
    <xf numFmtId="0" fontId="9" fillId="0" borderId="0" applyNumberFormat="0" applyFont="0" applyFill="0" applyBorder="0" applyAlignment="0" applyProtection="0"/>
    <xf numFmtId="183" fontId="236" fillId="36" borderId="0">
      <alignment horizontal="right"/>
    </xf>
    <xf numFmtId="176" fontId="182" fillId="0" borderId="0"/>
    <xf numFmtId="183" fontId="237" fillId="0" borderId="0"/>
    <xf numFmtId="338" fontId="238" fillId="0" borderId="0"/>
    <xf numFmtId="195" fontId="9" fillId="0" borderId="53" applyNumberFormat="0" applyFont="0" applyFill="0" applyAlignment="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212"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2"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2" fontId="239" fillId="0" borderId="56" applyNumberFormat="0" applyFill="0" applyAlignment="0" applyProtection="0"/>
    <xf numFmtId="192"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3" fontId="92" fillId="0" borderId="58" applyAlignment="0"/>
    <xf numFmtId="314" fontId="92" fillId="0" borderId="58" applyAlignment="0"/>
    <xf numFmtId="176" fontId="51" fillId="0" borderId="58"/>
    <xf numFmtId="339" fontId="54" fillId="0" borderId="0" applyFont="0" applyFill="0" applyBorder="0" applyAlignment="0" applyProtection="0">
      <alignment horizontal="right"/>
    </xf>
    <xf numFmtId="183"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0" fontId="192" fillId="46" borderId="10" applyBorder="0">
      <alignment horizontal="right" vertical="center"/>
      <protection locked="0"/>
    </xf>
    <xf numFmtId="183" fontId="9" fillId="0" borderId="0">
      <alignment vertical="top"/>
    </xf>
    <xf numFmtId="183" fontId="241" fillId="0" borderId="0" applyFont="0" applyFill="0" applyBorder="0" applyAlignment="0" applyProtection="0"/>
    <xf numFmtId="247" fontId="117" fillId="0" borderId="0" applyFont="0" applyFill="0" applyBorder="0" applyAlignment="0" applyProtection="0"/>
    <xf numFmtId="341" fontId="117" fillId="0" borderId="0" applyFont="0" applyFill="0" applyBorder="0" applyAlignment="0" applyProtection="0"/>
    <xf numFmtId="342" fontId="117" fillId="0" borderId="0" applyFont="0" applyFill="0" applyBorder="0" applyAlignment="0" applyProtection="0"/>
    <xf numFmtId="206" fontId="53" fillId="0" borderId="0"/>
    <xf numFmtId="183" fontId="242" fillId="0" borderId="0"/>
    <xf numFmtId="42" fontId="9" fillId="0" borderId="0" applyFont="0" applyFill="0" applyBorder="0" applyAlignment="0" applyProtection="0"/>
    <xf numFmtId="44"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70" fontId="7" fillId="43" borderId="26">
      <alignment vertical="center"/>
    </xf>
    <xf numFmtId="0" fontId="10" fillId="0" borderId="0"/>
    <xf numFmtId="0" fontId="12" fillId="0" borderId="0"/>
    <xf numFmtId="170" fontId="7" fillId="3" borderId="26">
      <alignment vertical="center"/>
      <protection locked="0"/>
    </xf>
    <xf numFmtId="0" fontId="12" fillId="0" borderId="0"/>
    <xf numFmtId="0" fontId="28" fillId="0" borderId="0"/>
    <xf numFmtId="171" fontId="266" fillId="0" borderId="0" applyFill="0" applyBorder="0">
      <alignment vertical="center"/>
    </xf>
    <xf numFmtId="10" fontId="36" fillId="0" borderId="0" applyFont="0" applyFill="0" applyBorder="0" applyAlignment="0" applyProtection="0">
      <alignment vertical="center"/>
    </xf>
    <xf numFmtId="43" fontId="7" fillId="0" borderId="0" applyFont="0" applyFill="0" applyBorder="0" applyAlignment="0" applyProtection="0"/>
    <xf numFmtId="43" fontId="6" fillId="0" borderId="0" applyFont="0" applyFill="0" applyBorder="0" applyAlignment="0" applyProtection="0"/>
    <xf numFmtId="174" fontId="7" fillId="101" borderId="26">
      <alignment vertical="center"/>
    </xf>
    <xf numFmtId="10" fontId="36" fillId="0" borderId="0" applyFont="0" applyFill="0" applyBorder="0" applyAlignment="0" applyProtection="0">
      <alignment vertical="center"/>
    </xf>
    <xf numFmtId="346" fontId="9" fillId="0" borderId="0"/>
    <xf numFmtId="346" fontId="9" fillId="0" borderId="0"/>
    <xf numFmtId="346" fontId="12" fillId="0" borderId="0"/>
    <xf numFmtId="346" fontId="9" fillId="0" borderId="0"/>
    <xf numFmtId="346" fontId="12" fillId="0" borderId="0"/>
    <xf numFmtId="346" fontId="12"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12" fillId="0" borderId="0"/>
    <xf numFmtId="346" fontId="12" fillId="0" borderId="0"/>
    <xf numFmtId="346" fontId="12" fillId="0" borderId="0"/>
    <xf numFmtId="346" fontId="9" fillId="0" borderId="0"/>
    <xf numFmtId="346" fontId="12" fillId="0" borderId="0"/>
    <xf numFmtId="346" fontId="9" fillId="0" borderId="0"/>
    <xf numFmtId="346" fontId="12" fillId="0" borderId="0"/>
    <xf numFmtId="346" fontId="12" fillId="0" borderId="0"/>
    <xf numFmtId="346" fontId="12"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48" fillId="0" borderId="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9" fillId="0" borderId="0" applyFont="0" applyFill="0" applyBorder="0" applyAlignment="0" applyProtection="0"/>
    <xf numFmtId="346" fontId="48" fillId="0" borderId="0"/>
    <xf numFmtId="346" fontId="9" fillId="0" borderId="0" applyFont="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alignment vertical="center"/>
    </xf>
    <xf numFmtId="346" fontId="12" fillId="0" borderId="0"/>
    <xf numFmtId="346" fontId="12" fillId="0" borderId="0"/>
    <xf numFmtId="346" fontId="12" fillId="0" borderId="0"/>
    <xf numFmtId="346" fontId="12" fillId="0" borderId="0"/>
    <xf numFmtId="346" fontId="9" fillId="0" borderId="0">
      <alignment vertical="center"/>
    </xf>
    <xf numFmtId="346" fontId="9" fillId="0" borderId="0">
      <alignment vertical="center"/>
    </xf>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12" fillId="0" borderId="0"/>
    <xf numFmtId="346" fontId="12" fillId="0" borderId="0"/>
    <xf numFmtId="346" fontId="9" fillId="0" borderId="0"/>
    <xf numFmtId="346" fontId="9" fillId="0" borderId="0"/>
    <xf numFmtId="346" fontId="9" fillId="0" borderId="0"/>
    <xf numFmtId="346" fontId="9" fillId="0" borderId="0"/>
    <xf numFmtId="346" fontId="9" fillId="0" borderId="0"/>
    <xf numFmtId="346" fontId="12" fillId="0" borderId="0">
      <alignment vertical="justify"/>
    </xf>
    <xf numFmtId="346" fontId="18" fillId="30" borderId="0" applyNumberFormat="0" applyBorder="0" applyAlignment="0" applyProtection="0"/>
    <xf numFmtId="346" fontId="18" fillId="30" borderId="0" applyNumberFormat="0" applyBorder="0" applyAlignment="0" applyProtection="0"/>
    <xf numFmtId="346" fontId="18" fillId="19" borderId="0" applyNumberFormat="0" applyBorder="0" applyAlignment="0" applyProtection="0"/>
    <xf numFmtId="346" fontId="18" fillId="19" borderId="0" applyNumberFormat="0" applyBorder="0" applyAlignment="0" applyProtection="0"/>
    <xf numFmtId="346" fontId="18" fillId="27" borderId="0" applyNumberFormat="0" applyBorder="0" applyAlignment="0" applyProtection="0"/>
    <xf numFmtId="346" fontId="18" fillId="27" borderId="0" applyNumberFormat="0" applyBorder="0" applyAlignment="0" applyProtection="0"/>
    <xf numFmtId="346" fontId="18" fillId="120" borderId="0" applyNumberFormat="0" applyBorder="0" applyAlignment="0" applyProtection="0"/>
    <xf numFmtId="346" fontId="18" fillId="120" borderId="0" applyNumberFormat="0" applyBorder="0" applyAlignment="0" applyProtection="0"/>
    <xf numFmtId="346" fontId="18" fillId="30" borderId="0" applyNumberFormat="0" applyBorder="0" applyAlignment="0" applyProtection="0"/>
    <xf numFmtId="346" fontId="18" fillId="30" borderId="0" applyNumberFormat="0" applyBorder="0" applyAlignment="0" applyProtection="0"/>
    <xf numFmtId="346" fontId="18" fillId="60" borderId="0" applyNumberFormat="0" applyBorder="0" applyAlignment="0" applyProtection="0"/>
    <xf numFmtId="346" fontId="18" fillId="60" borderId="0" applyNumberFormat="0" applyBorder="0" applyAlignment="0" applyProtection="0"/>
    <xf numFmtId="346" fontId="18" fillId="61" borderId="0" applyNumberFormat="0" applyBorder="0" applyAlignment="0" applyProtection="0"/>
    <xf numFmtId="346" fontId="18" fillId="61" borderId="0" applyNumberFormat="0" applyBorder="0" applyAlignment="0" applyProtection="0"/>
    <xf numFmtId="346" fontId="18" fillId="19" borderId="0" applyNumberFormat="0" applyBorder="0" applyAlignment="0" applyProtection="0"/>
    <xf numFmtId="346" fontId="18" fillId="19" borderId="0" applyNumberFormat="0" applyBorder="0" applyAlignment="0" applyProtection="0"/>
    <xf numFmtId="346" fontId="18" fillId="26" borderId="0" applyNumberFormat="0" applyBorder="0" applyAlignment="0" applyProtection="0"/>
    <xf numFmtId="346" fontId="18" fillId="26" borderId="0" applyNumberFormat="0" applyBorder="0" applyAlignment="0" applyProtection="0"/>
    <xf numFmtId="346" fontId="18" fillId="121" borderId="0" applyNumberFormat="0" applyBorder="0" applyAlignment="0" applyProtection="0"/>
    <xf numFmtId="346" fontId="18" fillId="121" borderId="0" applyNumberFormat="0" applyBorder="0" applyAlignment="0" applyProtection="0"/>
    <xf numFmtId="346" fontId="18" fillId="31" borderId="0" applyNumberFormat="0" applyBorder="0" applyAlignment="0" applyProtection="0"/>
    <xf numFmtId="346" fontId="18" fillId="31" borderId="0" applyNumberFormat="0" applyBorder="0" applyAlignment="0" applyProtection="0"/>
    <xf numFmtId="346" fontId="18" fillId="60" borderId="0" applyNumberFormat="0" applyBorder="0" applyAlignment="0" applyProtection="0"/>
    <xf numFmtId="346" fontId="18" fillId="60" borderId="0" applyNumberFormat="0" applyBorder="0" applyAlignment="0" applyProtection="0"/>
    <xf numFmtId="346" fontId="61" fillId="122" borderId="0" applyNumberFormat="0" applyBorder="0" applyAlignment="0" applyProtection="0"/>
    <xf numFmtId="346" fontId="61" fillId="122" borderId="0" applyNumberFormat="0" applyBorder="0" applyAlignment="0" applyProtection="0"/>
    <xf numFmtId="346" fontId="61" fillId="19" borderId="0" applyNumberFormat="0" applyBorder="0" applyAlignment="0" applyProtection="0"/>
    <xf numFmtId="346" fontId="61" fillId="19" borderId="0" applyNumberFormat="0" applyBorder="0" applyAlignment="0" applyProtection="0"/>
    <xf numFmtId="346" fontId="61" fillId="26" borderId="0" applyNumberFormat="0" applyBorder="0" applyAlignment="0" applyProtection="0"/>
    <xf numFmtId="346" fontId="61" fillId="26" borderId="0" applyNumberFormat="0" applyBorder="0" applyAlignment="0" applyProtection="0"/>
    <xf numFmtId="346" fontId="61" fillId="121" borderId="0" applyNumberFormat="0" applyBorder="0" applyAlignment="0" applyProtection="0"/>
    <xf numFmtId="346" fontId="61" fillId="121" borderId="0" applyNumberFormat="0" applyBorder="0" applyAlignment="0" applyProtection="0"/>
    <xf numFmtId="346" fontId="61" fillId="122" borderId="0" applyNumberFormat="0" applyBorder="0" applyAlignment="0" applyProtection="0"/>
    <xf numFmtId="346" fontId="61" fillId="122" borderId="0" applyNumberFormat="0" applyBorder="0" applyAlignment="0" applyProtection="0"/>
    <xf numFmtId="346" fontId="61" fillId="23" borderId="0" applyNumberFormat="0" applyBorder="0" applyAlignment="0" applyProtection="0"/>
    <xf numFmtId="346" fontId="61" fillId="23" borderId="0" applyNumberFormat="0" applyBorder="0" applyAlignment="0" applyProtection="0"/>
    <xf numFmtId="346" fontId="13" fillId="65" borderId="0" applyNumberFormat="0" applyBorder="0" applyAlignment="0" applyProtection="0"/>
    <xf numFmtId="346" fontId="13" fillId="12" borderId="0" applyNumberFormat="0" applyBorder="0" applyAlignment="0" applyProtection="0"/>
    <xf numFmtId="346" fontId="14" fillId="123" borderId="0" applyNumberFormat="0" applyBorder="0" applyAlignment="0" applyProtection="0"/>
    <xf numFmtId="346" fontId="14" fillId="66" borderId="0" applyNumberFormat="0" applyBorder="0" applyAlignment="0" applyProtection="0"/>
    <xf numFmtId="346" fontId="14" fillId="66" borderId="0" applyNumberFormat="0" applyBorder="0" applyAlignment="0" applyProtection="0"/>
    <xf numFmtId="346" fontId="13" fillId="68" borderId="0" applyNumberFormat="0" applyBorder="0" applyAlignment="0" applyProtection="0"/>
    <xf numFmtId="346" fontId="13" fillId="11" borderId="0" applyNumberFormat="0" applyBorder="0" applyAlignment="0" applyProtection="0"/>
    <xf numFmtId="346" fontId="14" fillId="8" borderId="0" applyNumberFormat="0" applyBorder="0" applyAlignment="0" applyProtection="0"/>
    <xf numFmtId="346" fontId="14" fillId="69" borderId="0" applyNumberFormat="0" applyBorder="0" applyAlignment="0" applyProtection="0"/>
    <xf numFmtId="346" fontId="14" fillId="69" borderId="0" applyNumberFormat="0" applyBorder="0" applyAlignment="0" applyProtection="0"/>
    <xf numFmtId="346" fontId="13" fillId="70" borderId="0" applyNumberFormat="0" applyBorder="0" applyAlignment="0" applyProtection="0"/>
    <xf numFmtId="346" fontId="13" fillId="71" borderId="0" applyNumberFormat="0" applyBorder="0" applyAlignment="0" applyProtection="0"/>
    <xf numFmtId="346" fontId="14" fillId="124" borderId="0" applyNumberFormat="0" applyBorder="0" applyAlignment="0" applyProtection="0"/>
    <xf numFmtId="346" fontId="14" fillId="125" borderId="0" applyNumberFormat="0" applyBorder="0" applyAlignment="0" applyProtection="0"/>
    <xf numFmtId="346" fontId="14" fillId="125" borderId="0" applyNumberFormat="0" applyBorder="0" applyAlignment="0" applyProtection="0"/>
    <xf numFmtId="346" fontId="13" fillId="68" borderId="0" applyNumberFormat="0" applyBorder="0" applyAlignment="0" applyProtection="0"/>
    <xf numFmtId="346" fontId="13" fillId="9" borderId="0" applyNumberFormat="0" applyBorder="0" applyAlignment="0" applyProtection="0"/>
    <xf numFmtId="346" fontId="14" fillId="11" borderId="0" applyNumberFormat="0" applyBorder="0" applyAlignment="0" applyProtection="0"/>
    <xf numFmtId="346" fontId="14" fillId="126" borderId="0" applyNumberFormat="0" applyBorder="0" applyAlignment="0" applyProtection="0"/>
    <xf numFmtId="346" fontId="14" fillId="126" borderId="0" applyNumberFormat="0" applyBorder="0" applyAlignment="0" applyProtection="0"/>
    <xf numFmtId="346" fontId="13" fillId="10" borderId="0" applyNumberFormat="0" applyBorder="0" applyAlignment="0" applyProtection="0"/>
    <xf numFmtId="346" fontId="13" fillId="5" borderId="0" applyNumberFormat="0" applyBorder="0" applyAlignment="0" applyProtection="0"/>
    <xf numFmtId="346" fontId="14" fillId="123" borderId="0" applyNumberFormat="0" applyBorder="0" applyAlignment="0" applyProtection="0"/>
    <xf numFmtId="346" fontId="14" fillId="123" borderId="0" applyNumberFormat="0" applyBorder="0" applyAlignment="0" applyProtection="0"/>
    <xf numFmtId="346" fontId="14" fillId="123" borderId="0" applyNumberFormat="0" applyBorder="0" applyAlignment="0" applyProtection="0"/>
    <xf numFmtId="346" fontId="13" fillId="13" borderId="0" applyNumberFormat="0" applyBorder="0" applyAlignment="0" applyProtection="0"/>
    <xf numFmtId="346" fontId="13" fillId="14" borderId="0" applyNumberFormat="0" applyBorder="0" applyAlignment="0" applyProtection="0"/>
    <xf numFmtId="346" fontId="14" fillId="127" borderId="0" applyNumberFormat="0" applyBorder="0" applyAlignment="0" applyProtection="0"/>
    <xf numFmtId="346" fontId="14" fillId="128" borderId="0" applyNumberFormat="0" applyBorder="0" applyAlignment="0" applyProtection="0"/>
    <xf numFmtId="346" fontId="14" fillId="128" borderId="0" applyNumberFormat="0" applyBorder="0" applyAlignment="0" applyProtection="0"/>
    <xf numFmtId="346" fontId="267" fillId="13" borderId="0" applyNumberFormat="0" applyBorder="0" applyAlignment="0" applyProtection="0"/>
    <xf numFmtId="346" fontId="267" fillId="13" borderId="0" applyNumberFormat="0" applyBorder="0" applyAlignment="0" applyProtection="0"/>
    <xf numFmtId="346" fontId="268" fillId="129" borderId="129" applyNumberFormat="0" applyAlignment="0" applyProtection="0"/>
    <xf numFmtId="346" fontId="268" fillId="129" borderId="129" applyNumberFormat="0" applyAlignment="0" applyProtection="0"/>
    <xf numFmtId="346" fontId="90" fillId="126" borderId="15" applyNumberFormat="0" applyAlignment="0" applyProtection="0"/>
    <xf numFmtId="346" fontId="90" fillId="126" borderId="15" applyNumberFormat="0" applyAlignment="0" applyProtection="0"/>
    <xf numFmtId="37" fontId="64" fillId="0" borderId="89">
      <alignment horizontal="center"/>
    </xf>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346" fontId="9" fillId="0" borderId="0" applyNumberFormat="0" applyFont="0" applyBorder="0" applyAlignment="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46" fontId="15" fillId="130" borderId="0" applyNumberFormat="0" applyBorder="0" applyAlignment="0" applyProtection="0"/>
    <xf numFmtId="346" fontId="15" fillId="131" borderId="0" applyNumberFormat="0" applyBorder="0" applyAlignment="0" applyProtection="0"/>
    <xf numFmtId="346" fontId="15" fillId="17" borderId="0" applyNumberFormat="0" applyBorder="0" applyAlignment="0" applyProtection="0"/>
    <xf numFmtId="346" fontId="49" fillId="0" borderId="0" applyFont="0" applyFill="0" applyBorder="0" applyAlignment="0" applyProtection="0"/>
    <xf numFmtId="346" fontId="269" fillId="0" borderId="0" applyNumberFormat="0" applyFill="0" applyBorder="0" applyAlignment="0" applyProtection="0"/>
    <xf numFmtId="346" fontId="269" fillId="0" borderId="0" applyNumberFormat="0" applyFill="0" applyBorder="0" applyAlignment="0" applyProtection="0"/>
    <xf numFmtId="346" fontId="13" fillId="71" borderId="0" applyNumberFormat="0" applyBorder="0" applyAlignment="0" applyProtection="0"/>
    <xf numFmtId="346" fontId="13" fillId="71" borderId="0" applyNumberForma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9" fillId="61" borderId="0" applyNumberFormat="0" applyFont="0" applyBorder="0" applyAlignment="0" applyProtection="0"/>
    <xf numFmtId="346" fontId="122" fillId="0" borderId="29" applyNumberFormat="0" applyFill="0" applyAlignment="0" applyProtection="0"/>
    <xf numFmtId="346" fontId="122" fillId="0" borderId="29" applyNumberFormat="0" applyFill="0" applyAlignment="0" applyProtection="0"/>
    <xf numFmtId="346" fontId="125" fillId="0" borderId="130" applyNumberFormat="0" applyFill="0" applyAlignment="0" applyProtection="0"/>
    <xf numFmtId="346" fontId="125" fillId="0" borderId="130" applyNumberFormat="0" applyFill="0" applyAlignment="0" applyProtection="0"/>
    <xf numFmtId="346" fontId="128" fillId="0" borderId="131" applyNumberFormat="0" applyFill="0" applyAlignment="0" applyProtection="0"/>
    <xf numFmtId="346" fontId="128" fillId="0" borderId="131" applyNumberFormat="0" applyFill="0" applyAlignment="0" applyProtection="0"/>
    <xf numFmtId="346" fontId="128" fillId="0" borderId="0" applyNumberFormat="0" applyFill="0" applyBorder="0" applyAlignment="0" applyProtection="0"/>
    <xf numFmtId="346" fontId="128" fillId="0" borderId="0" applyNumberFormat="0" applyFill="0" applyBorder="0" applyAlignment="0" applyProtection="0"/>
    <xf numFmtId="346" fontId="142" fillId="14" borderId="129" applyNumberFormat="0" applyAlignment="0" applyProtection="0"/>
    <xf numFmtId="346" fontId="142" fillId="14" borderId="129" applyNumberFormat="0" applyAlignment="0" applyProtection="0"/>
    <xf numFmtId="346" fontId="145" fillId="34" borderId="0"/>
    <xf numFmtId="346" fontId="118" fillId="0" borderId="132" applyNumberFormat="0" applyFill="0" applyAlignment="0" applyProtection="0"/>
    <xf numFmtId="346" fontId="118" fillId="0" borderId="132" applyNumberFormat="0" applyFill="0" applyAlignment="0" applyProtection="0"/>
    <xf numFmtId="346" fontId="118" fillId="14" borderId="0" applyNumberFormat="0" applyBorder="0" applyAlignment="0" applyProtection="0"/>
    <xf numFmtId="346" fontId="118" fillId="14" borderId="0" applyNumberFormat="0" applyBorder="0" applyAlignment="0" applyProtection="0"/>
    <xf numFmtId="346" fontId="24" fillId="0" borderId="0"/>
    <xf numFmtId="346" fontId="24" fillId="0" borderId="0"/>
    <xf numFmtId="346" fontId="24" fillId="0" borderId="0"/>
    <xf numFmtId="346" fontId="24" fillId="0" borderId="0"/>
    <xf numFmtId="346" fontId="24" fillId="0" borderId="0"/>
    <xf numFmtId="346" fontId="9" fillId="0" borderId="0"/>
    <xf numFmtId="346" fontId="9" fillId="0" borderId="0"/>
    <xf numFmtId="346" fontId="9" fillId="0" borderId="0"/>
    <xf numFmtId="346" fontId="9" fillId="0" borderId="0"/>
    <xf numFmtId="0" fontId="7" fillId="0" borderId="0"/>
    <xf numFmtId="346" fontId="13" fillId="0" borderId="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13" fillId="0" borderId="0"/>
    <xf numFmtId="346" fontId="13" fillId="0" borderId="0" applyFill="0" applyBorder="0" applyAlignment="0" applyProtection="0"/>
    <xf numFmtId="346" fontId="9"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13" fillId="0" borderId="0" applyFill="0" applyBorder="0" applyAlignment="0" applyProtection="0"/>
    <xf numFmtId="346" fontId="13" fillId="0" borderId="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9"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9" fillId="0" borderId="0"/>
    <xf numFmtId="346" fontId="9" fillId="0" borderId="0"/>
    <xf numFmtId="346" fontId="9" fillId="0" borderId="0"/>
    <xf numFmtId="346" fontId="9" fillId="0" borderId="0"/>
    <xf numFmtId="346" fontId="9" fillId="0" borderId="0"/>
    <xf numFmtId="346" fontId="9" fillId="0" borderId="0"/>
    <xf numFmtId="346" fontId="9" fillId="0" borderId="0"/>
    <xf numFmtId="346" fontId="7"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9" fillId="0" borderId="0"/>
    <xf numFmtId="346" fontId="9" fillId="0" borderId="0"/>
    <xf numFmtId="346" fontId="9" fillId="0" borderId="0"/>
    <xf numFmtId="346" fontId="28" fillId="0" borderId="0"/>
    <xf numFmtId="346" fontId="6" fillId="0" borderId="0"/>
    <xf numFmtId="346" fontId="9"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6" fillId="0" borderId="0"/>
    <xf numFmtId="346" fontId="9" fillId="0" borderId="0"/>
    <xf numFmtId="346" fontId="9" fillId="0" borderId="0"/>
    <xf numFmtId="346" fontId="9" fillId="0" borderId="0"/>
    <xf numFmtId="346" fontId="9"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6" fillId="0" borderId="0"/>
    <xf numFmtId="346" fontId="6" fillId="0" borderId="0"/>
    <xf numFmtId="346" fontId="6" fillId="0" borderId="0"/>
    <xf numFmtId="346" fontId="6" fillId="0" borderId="0"/>
    <xf numFmtId="346" fontId="6" fillId="0" borderId="0"/>
    <xf numFmtId="346" fontId="6"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6" fillId="0" borderId="0"/>
    <xf numFmtId="346" fontId="6"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9" fillId="0" borderId="0"/>
    <xf numFmtId="346" fontId="13" fillId="0" borderId="0" applyFill="0" applyBorder="0" applyAlignment="0" applyProtection="0"/>
    <xf numFmtId="346" fontId="24"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applyFill="0" applyBorder="0" applyAlignment="0" applyProtection="0"/>
    <xf numFmtId="346" fontId="13" fillId="0" borderId="0"/>
    <xf numFmtId="346" fontId="13" fillId="0" borderId="0"/>
    <xf numFmtId="346" fontId="13" fillId="0" borderId="0"/>
    <xf numFmtId="346" fontId="13" fillId="0" borderId="0"/>
    <xf numFmtId="346" fontId="13" fillId="0" borderId="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applyFill="0" applyBorder="0" applyAlignment="0" applyProtection="0"/>
    <xf numFmtId="346" fontId="13" fillId="0" borderId="0"/>
    <xf numFmtId="346" fontId="13" fillId="0" borderId="0"/>
    <xf numFmtId="346" fontId="12" fillId="0" borderId="0">
      <alignment vertical="top"/>
    </xf>
    <xf numFmtId="346" fontId="106" fillId="0" borderId="0" applyFill="0" applyBorder="0">
      <protection locked="0"/>
    </xf>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27" fontId="24" fillId="90" borderId="26">
      <alignment vertical="center"/>
    </xf>
    <xf numFmtId="170" fontId="24" fillId="90" borderId="26">
      <alignment vertical="center"/>
    </xf>
    <xf numFmtId="170" fontId="24" fillId="90" borderId="26">
      <alignment vertical="center"/>
    </xf>
    <xf numFmtId="346" fontId="24" fillId="90" borderId="26">
      <alignment vertical="center"/>
    </xf>
    <xf numFmtId="346" fontId="24" fillId="90" borderId="26">
      <alignment vertical="center"/>
    </xf>
    <xf numFmtId="346" fontId="24" fillId="90" borderId="26">
      <alignment vertical="center"/>
    </xf>
    <xf numFmtId="346" fontId="24" fillId="90" borderId="26">
      <alignment vertical="center"/>
    </xf>
    <xf numFmtId="174" fontId="24" fillId="90" borderId="26">
      <alignment vertical="center"/>
    </xf>
    <xf numFmtId="174" fontId="24" fillId="90" borderId="26">
      <alignment vertical="center"/>
    </xf>
    <xf numFmtId="327" fontId="24" fillId="90" borderId="26">
      <alignment vertical="center"/>
    </xf>
    <xf numFmtId="346" fontId="197" fillId="0" borderId="0"/>
    <xf numFmtId="346" fontId="24" fillId="36" borderId="26">
      <alignment vertical="center"/>
      <protection locked="0"/>
    </xf>
    <xf numFmtId="346" fontId="24" fillId="36" borderId="26">
      <alignment vertical="center"/>
      <protection locked="0"/>
    </xf>
    <xf numFmtId="346" fontId="24" fillId="36" borderId="26">
      <alignment vertical="center"/>
      <protection locked="0"/>
    </xf>
    <xf numFmtId="346" fontId="24" fillId="36" borderId="26">
      <alignment vertical="center"/>
      <protection locked="0"/>
    </xf>
    <xf numFmtId="327" fontId="24" fillId="38" borderId="26">
      <alignment vertical="center"/>
    </xf>
    <xf numFmtId="346" fontId="24" fillId="38" borderId="26">
      <alignment vertical="center"/>
    </xf>
    <xf numFmtId="346" fontId="24" fillId="38" borderId="26">
      <alignment vertical="center"/>
    </xf>
    <xf numFmtId="346" fontId="24" fillId="38" borderId="26">
      <alignment vertical="center"/>
    </xf>
    <xf numFmtId="346" fontId="24" fillId="38" borderId="26">
      <alignment vertical="center"/>
    </xf>
    <xf numFmtId="346" fontId="24" fillId="39" borderId="26">
      <alignment horizontal="right" vertical="center"/>
      <protection locked="0"/>
    </xf>
    <xf numFmtId="346" fontId="24" fillId="39" borderId="26">
      <alignment horizontal="right" vertical="center"/>
      <protection locked="0"/>
    </xf>
    <xf numFmtId="327" fontId="24" fillId="39" borderId="26">
      <alignment horizontal="right" vertical="center"/>
      <protection locked="0"/>
    </xf>
    <xf numFmtId="327" fontId="24" fillId="39" borderId="26">
      <alignment horizontal="right" vertical="center"/>
      <protection locked="0"/>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9" fillId="30" borderId="134" applyNumberFormat="0" applyProtection="0">
      <alignment horizontal="left" vertical="center"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3" borderId="49" applyNumberFormat="0">
      <protection locked="0"/>
    </xf>
    <xf numFmtId="346" fontId="9" fillId="33" borderId="26"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93" fillId="31" borderId="136" applyBorder="0"/>
    <xf numFmtId="4" fontId="272" fillId="34" borderId="134" applyNumberFormat="0" applyProtection="0">
      <alignment vertical="center"/>
    </xf>
    <xf numFmtId="4" fontId="270" fillId="36" borderId="26"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346" fontId="53" fillId="109" borderId="26"/>
    <xf numFmtId="4" fontId="274" fillId="33" borderId="129" applyNumberFormat="0" applyProtection="0">
      <alignment horizontal="right" vertical="center"/>
    </xf>
    <xf numFmtId="346" fontId="23" fillId="0" borderId="0" applyNumberFormat="0" applyFill="0" applyBorder="0" applyAlignment="0" applyProtection="0"/>
    <xf numFmtId="346" fontId="9" fillId="0" borderId="0" applyFont="0" applyFill="0" applyBorder="0" applyAlignment="0" applyProtection="0"/>
    <xf numFmtId="37" fontId="64" fillId="0" borderId="137" applyNumberFormat="0"/>
    <xf numFmtId="346" fontId="225" fillId="0" borderId="54" applyNumberFormat="0" applyAlignment="0" applyProtection="0"/>
    <xf numFmtId="346" fontId="23" fillId="0" borderId="0" applyNumberFormat="0" applyFill="0" applyBorder="0" applyAlignment="0" applyProtection="0"/>
    <xf numFmtId="346" fontId="23" fillId="0" borderId="0" applyNumberFormat="0" applyFill="0" applyBorder="0" applyAlignment="0" applyProtection="0"/>
    <xf numFmtId="212" fontId="64" fillId="0" borderId="28" applyFill="0"/>
    <xf numFmtId="346" fontId="15" fillId="0" borderId="138" applyNumberFormat="0" applyFill="0" applyAlignment="0" applyProtection="0"/>
    <xf numFmtId="346" fontId="15" fillId="0" borderId="138" applyNumberFormat="0" applyFill="0" applyAlignment="0" applyProtection="0"/>
    <xf numFmtId="346" fontId="275" fillId="0" borderId="0" applyNumberFormat="0" applyFill="0" applyBorder="0" applyAlignment="0" applyProtection="0"/>
    <xf numFmtId="346" fontId="275" fillId="0" borderId="0" applyNumberFormat="0" applyFill="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346" fontId="9" fillId="34" borderId="0" applyNumberFormat="0" applyFon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7" fillId="101" borderId="26">
      <alignment vertical="center"/>
    </xf>
    <xf numFmtId="174" fontId="7" fillId="101" borderId="26">
      <alignment vertical="center"/>
    </xf>
    <xf numFmtId="327" fontId="7" fillId="101" borderId="26">
      <alignment vertical="center"/>
    </xf>
    <xf numFmtId="327" fontId="7" fillId="43" borderId="26">
      <alignment vertical="center"/>
    </xf>
    <xf numFmtId="327"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346" fontId="53" fillId="33" borderId="49" applyNumberFormat="0">
      <protection locked="0"/>
    </xf>
    <xf numFmtId="212" fontId="64" fillId="0" borderId="28" applyFill="0"/>
    <xf numFmtId="0" fontId="12" fillId="0" borderId="0"/>
    <xf numFmtId="0" fontId="12" fillId="0" borderId="0"/>
    <xf numFmtId="43" fontId="7" fillId="0" borderId="0" applyFont="0" applyFill="0" applyBorder="0" applyAlignment="0" applyProtection="0"/>
    <xf numFmtId="0" fontId="12" fillId="0" borderId="0"/>
    <xf numFmtId="346" fontId="53" fillId="30" borderId="134" applyNumberFormat="0" applyProtection="0">
      <alignment horizontal="left" vertical="top"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268" fillId="129" borderId="129" applyNumberFormat="0" applyAlignment="0" applyProtection="0"/>
    <xf numFmtId="346" fontId="268" fillId="129"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28" fillId="0" borderId="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5"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19" borderId="129" applyNumberFormat="0" applyProtection="0">
      <alignment horizontal="right" vertical="center"/>
    </xf>
    <xf numFmtId="346" fontId="53" fillId="61" borderId="129" applyNumberFormat="0" applyProtection="0">
      <alignment horizontal="left" vertical="center" indent="1"/>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9" fillId="30" borderId="134" applyNumberFormat="0" applyProtection="0">
      <alignment horizontal="left" vertical="center"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2" borderId="129" applyNumberFormat="0" applyProtection="0">
      <alignment horizontal="left" vertical="center" indent="1"/>
    </xf>
    <xf numFmtId="346"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346" fontId="9" fillId="30" borderId="134" applyNumberFormat="0" applyProtection="0">
      <alignment horizontal="left" vertical="center"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268" fillId="129" borderId="129" applyNumberFormat="0" applyAlignment="0" applyProtection="0"/>
    <xf numFmtId="346" fontId="268" fillId="129" borderId="129" applyNumberFormat="0" applyAlignment="0" applyProtection="0"/>
    <xf numFmtId="4" fontId="53" fillId="23" borderId="129" applyNumberFormat="0" applyProtection="0">
      <alignment horizontal="right" vertical="center"/>
    </xf>
    <xf numFmtId="4" fontId="53" fillId="24" borderId="129" applyNumberFormat="0" applyProtection="0">
      <alignment horizontal="right" vertical="center"/>
    </xf>
    <xf numFmtId="346" fontId="53" fillId="83" borderId="129" applyNumberFormat="0" applyProtection="0">
      <alignment horizontal="left" vertical="center" indent="1"/>
    </xf>
    <xf numFmtId="212" fontId="64" fillId="0" borderId="28" applyFill="0"/>
    <xf numFmtId="4" fontId="53" fillId="26" borderId="129" applyNumberFormat="0" applyProtection="0">
      <alignment horizontal="right" vertical="center"/>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346" fontId="53" fillId="30" borderId="129" applyNumberFormat="0" applyProtection="0">
      <alignment horizontal="left" vertical="center" indent="1"/>
    </xf>
    <xf numFmtId="346" fontId="268" fillId="129" borderId="129" applyNumberFormat="0" applyAlignment="0" applyProtection="0"/>
    <xf numFmtId="346" fontId="268" fillId="129" borderId="129" applyNumberFormat="0" applyAlignment="0" applyProtection="0"/>
    <xf numFmtId="212"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46" fontId="268" fillId="129" borderId="129" applyNumberFormat="0" applyAlignment="0" applyProtection="0"/>
    <xf numFmtId="346" fontId="268" fillId="129"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28" fillId="0" borderId="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9" fillId="30" borderId="134" applyNumberFormat="0" applyProtection="0">
      <alignment horizontal="left" vertical="center"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212" fontId="64" fillId="0" borderId="28" applyFill="0"/>
    <xf numFmtId="346" fontId="28" fillId="0" borderId="0"/>
    <xf numFmtId="346" fontId="53" fillId="30" borderId="134" applyNumberFormat="0" applyProtection="0">
      <alignment horizontal="left" vertical="top"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268" fillId="129" borderId="129" applyNumberFormat="0" applyAlignment="0" applyProtection="0"/>
    <xf numFmtId="346" fontId="268" fillId="129"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28" fillId="0" borderId="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5"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19" borderId="129" applyNumberFormat="0" applyProtection="0">
      <alignment horizontal="right" vertical="center"/>
    </xf>
    <xf numFmtId="346" fontId="53" fillId="61" borderId="129" applyNumberFormat="0" applyProtection="0">
      <alignment horizontal="left" vertical="center" indent="1"/>
    </xf>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9" fillId="30" borderId="134" applyNumberFormat="0" applyProtection="0">
      <alignment horizontal="left" vertical="center"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2" borderId="129" applyNumberFormat="0" applyProtection="0">
      <alignment horizontal="left" vertical="center" indent="1"/>
    </xf>
    <xf numFmtId="346"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346" fontId="9" fillId="30" borderId="134" applyNumberFormat="0" applyProtection="0">
      <alignment horizontal="left" vertical="center"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268" fillId="129" borderId="129" applyNumberFormat="0" applyAlignment="0" applyProtection="0"/>
    <xf numFmtId="346" fontId="268" fillId="129" borderId="129" applyNumberFormat="0" applyAlignment="0" applyProtection="0"/>
    <xf numFmtId="4" fontId="53" fillId="23" borderId="129" applyNumberFormat="0" applyProtection="0">
      <alignment horizontal="right" vertical="center"/>
    </xf>
    <xf numFmtId="4" fontId="53" fillId="24" borderId="129" applyNumberFormat="0" applyProtection="0">
      <alignment horizontal="right" vertical="center"/>
    </xf>
    <xf numFmtId="346" fontId="53" fillId="83" borderId="129" applyNumberFormat="0" applyProtection="0">
      <alignment horizontal="left" vertical="center" indent="1"/>
    </xf>
    <xf numFmtId="212" fontId="64" fillId="0" borderId="28" applyFill="0"/>
    <xf numFmtId="4" fontId="53" fillId="26" borderId="129" applyNumberFormat="0" applyProtection="0">
      <alignment horizontal="right" vertical="center"/>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3" fillId="31" borderId="136" applyBorder="0"/>
    <xf numFmtId="4" fontId="272" fillId="34" borderId="134" applyNumberFormat="0" applyProtection="0">
      <alignment vertical="center"/>
    </xf>
    <xf numFmtId="4" fontId="272" fillId="61" borderId="134" applyNumberFormat="0" applyProtection="0">
      <alignment horizontal="left" vertical="center" indent="1"/>
    </xf>
    <xf numFmtId="346" fontId="272" fillId="34" borderId="134" applyNumberFormat="0" applyProtection="0">
      <alignment horizontal="left" vertical="top" indent="1"/>
    </xf>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346" fontId="53" fillId="30" borderId="129" applyNumberFormat="0" applyProtection="0">
      <alignment horizontal="left" vertical="center" indent="1"/>
    </xf>
    <xf numFmtId="346" fontId="268" fillId="129" borderId="129" applyNumberFormat="0" applyAlignment="0" applyProtection="0"/>
    <xf numFmtId="346" fontId="268" fillId="129" borderId="129" applyNumberFormat="0" applyAlignment="0" applyProtection="0"/>
    <xf numFmtId="212"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46" fontId="53" fillId="32"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9" fillId="32" borderId="134" applyNumberFormat="0" applyProtection="0">
      <alignment horizontal="left" vertical="top" indent="1"/>
    </xf>
    <xf numFmtId="346" fontId="53" fillId="32" borderId="129" applyNumberFormat="0" applyProtection="0">
      <alignment horizontal="left" vertical="center" indent="1"/>
    </xf>
    <xf numFmtId="346" fontId="53" fillId="31" borderId="134" applyNumberFormat="0" applyProtection="0">
      <alignment horizontal="left" vertical="top" indent="1"/>
    </xf>
    <xf numFmtId="346" fontId="53" fillId="13" borderId="129" applyNumberFormat="0" applyFont="0" applyAlignment="0" applyProtection="0"/>
    <xf numFmtId="346" fontId="53" fillId="30" borderId="134" applyNumberFormat="0" applyProtection="0">
      <alignment horizontal="left" vertical="top" indent="1"/>
    </xf>
    <xf numFmtId="346" fontId="53" fillId="19" borderId="134" applyNumberFormat="0" applyProtection="0">
      <alignment horizontal="left" vertical="top" indent="1"/>
    </xf>
    <xf numFmtId="346" fontId="268" fillId="129" borderId="129" applyNumberFormat="0" applyAlignment="0" applyProtection="0"/>
    <xf numFmtId="346" fontId="15" fillId="0" borderId="138" applyNumberFormat="0" applyFill="0" applyAlignment="0" applyProtection="0"/>
    <xf numFmtId="346"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28" fillId="0" borderId="0"/>
    <xf numFmtId="346" fontId="142" fillId="14" borderId="129" applyNumberFormat="0" applyAlignment="0" applyProtection="0"/>
    <xf numFmtId="346" fontId="142" fillId="14" borderId="129" applyNumberFormat="0" applyAlignment="0" applyProtection="0"/>
    <xf numFmtId="346" fontId="268" fillId="129" borderId="129" applyNumberFormat="0" applyAlignment="0" applyProtection="0"/>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9" fillId="19" borderId="134" applyNumberFormat="0" applyProtection="0">
      <alignment horizontal="left" vertical="top" indent="1"/>
    </xf>
    <xf numFmtId="346" fontId="53" fillId="31" borderId="134" applyNumberFormat="0" applyProtection="0">
      <alignment horizontal="left" vertical="top" indent="1"/>
    </xf>
    <xf numFmtId="346" fontId="93" fillId="31" borderId="136" applyBorder="0"/>
    <xf numFmtId="346" fontId="53" fillId="13" borderId="129" applyNumberFormat="0" applyFont="0" applyAlignment="0" applyProtection="0"/>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272" fillId="19" borderId="134" applyNumberFormat="0" applyProtection="0">
      <alignment horizontal="left" vertical="top" indent="1"/>
    </xf>
    <xf numFmtId="346" fontId="53" fillId="30" borderId="129" applyNumberFormat="0" applyProtection="0">
      <alignment horizontal="left" vertical="center" indent="1"/>
    </xf>
    <xf numFmtId="212" fontId="64" fillId="0" borderId="28" applyFill="0"/>
    <xf numFmtId="346" fontId="268" fillId="129" borderId="129" applyNumberFormat="0" applyAlignment="0" applyProtection="0"/>
    <xf numFmtId="346" fontId="268" fillId="129" borderId="129" applyNumberFormat="0" applyAlignment="0" applyProtection="0"/>
    <xf numFmtId="346" fontId="53" fillId="31" borderId="134" applyNumberFormat="0" applyProtection="0">
      <alignment horizontal="left" vertical="top" indent="1"/>
    </xf>
    <xf numFmtId="346" fontId="53" fillId="30" borderId="134" applyNumberFormat="0" applyProtection="0">
      <alignment horizontal="left" vertical="top" indent="1"/>
    </xf>
    <xf numFmtId="43" fontId="7" fillId="0" borderId="0" applyFont="0" applyFill="0" applyBorder="0" applyAlignment="0" applyProtection="0"/>
    <xf numFmtId="346" fontId="53" fillId="30" borderId="134" applyNumberFormat="0" applyProtection="0">
      <alignment horizontal="left" vertical="top" indent="1"/>
    </xf>
    <xf numFmtId="43" fontId="6" fillId="0" borderId="0" applyFont="0" applyFill="0" applyBorder="0" applyAlignment="0" applyProtection="0"/>
    <xf numFmtId="346" fontId="93" fillId="31" borderId="136" applyBorder="0"/>
    <xf numFmtId="4" fontId="53" fillId="24" borderId="129" applyNumberFormat="0" applyProtection="0">
      <alignment horizontal="right" vertical="center"/>
    </xf>
    <xf numFmtId="346" fontId="53" fillId="13" borderId="129" applyNumberFormat="0" applyFont="0" applyAlignment="0" applyProtection="0"/>
    <xf numFmtId="4" fontId="53" fillId="19" borderId="135" applyNumberFormat="0" applyProtection="0">
      <alignment horizontal="left" vertical="center" indent="1"/>
    </xf>
    <xf numFmtId="4" fontId="53" fillId="25" borderId="129" applyNumberFormat="0" applyProtection="0">
      <alignment horizontal="right" vertical="center"/>
    </xf>
    <xf numFmtId="346" fontId="53" fillId="61" borderId="129" applyNumberFormat="0" applyProtection="0">
      <alignment horizontal="left" vertical="center" indent="1"/>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4" fontId="272" fillId="34" borderId="134" applyNumberFormat="0" applyProtection="0">
      <alignment vertical="center"/>
    </xf>
    <xf numFmtId="346" fontId="93" fillId="31" borderId="136" applyBorder="0"/>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212" fontId="64" fillId="0" borderId="28" applyFill="0"/>
    <xf numFmtId="346" fontId="53" fillId="83" borderId="129" applyNumberFormat="0" applyProtection="0">
      <alignment horizontal="left" vertical="center" indent="1"/>
    </xf>
    <xf numFmtId="4" fontId="53" fillId="23" borderId="129" applyNumberFormat="0" applyProtection="0">
      <alignment horizontal="right" vertical="center"/>
    </xf>
    <xf numFmtId="346" fontId="268" fillId="129" borderId="129" applyNumberFormat="0" applyAlignment="0" applyProtection="0"/>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9" fillId="30" borderId="134" applyNumberFormat="0" applyProtection="0">
      <alignment horizontal="left" vertical="center" indent="1"/>
    </xf>
    <xf numFmtId="346" fontId="15" fillId="0" borderId="138" applyNumberFormat="0" applyFill="0" applyAlignment="0" applyProtection="0"/>
    <xf numFmtId="346"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93" fillId="31" borderId="136" applyBorder="0"/>
    <xf numFmtId="346" fontId="53" fillId="32" borderId="129" applyNumberFormat="0" applyProtection="0">
      <alignment horizontal="left" vertical="center"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268" fillId="129" borderId="129" applyNumberFormat="0" applyAlignment="0" applyProtection="0"/>
    <xf numFmtId="346" fontId="268" fillId="129"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272" fillId="19"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43" fontId="13" fillId="0" borderId="0" applyFont="0" applyFill="0" applyBorder="0" applyAlignment="0" applyProtection="0"/>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46" fontId="53" fillId="31" borderId="134" applyNumberFormat="0" applyProtection="0">
      <alignment horizontal="left" vertical="top" indent="1"/>
    </xf>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4" fontId="53" fillId="0" borderId="129" applyNumberFormat="0" applyProtection="0">
      <alignment horizontal="right" vertical="center"/>
    </xf>
    <xf numFmtId="346" fontId="15" fillId="0" borderId="138" applyNumberFormat="0" applyFill="0" applyAlignment="0" applyProtection="0"/>
    <xf numFmtId="346"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4" fontId="53" fillId="26" borderId="129" applyNumberFormat="0" applyProtection="0">
      <alignment horizontal="right" vertical="center"/>
    </xf>
    <xf numFmtId="212" fontId="64" fillId="0" borderId="28" applyFill="0"/>
    <xf numFmtId="346" fontId="53" fillId="83" borderId="129" applyNumberFormat="0" applyProtection="0">
      <alignment horizontal="left" vertical="center" indent="1"/>
    </xf>
    <xf numFmtId="4" fontId="53" fillId="24" borderId="129" applyNumberFormat="0" applyProtection="0">
      <alignment horizontal="right" vertical="center"/>
    </xf>
    <xf numFmtId="4" fontId="53" fillId="23" borderId="129" applyNumberFormat="0" applyProtection="0">
      <alignment horizontal="right" vertical="center"/>
    </xf>
    <xf numFmtId="346" fontId="268" fillId="129" borderId="129" applyNumberFormat="0" applyAlignment="0" applyProtection="0"/>
    <xf numFmtId="346" fontId="268" fillId="129" borderId="129" applyNumberFormat="0" applyAlignment="0" applyProtection="0"/>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9" fillId="30" borderId="134" applyNumberFormat="0" applyProtection="0">
      <alignment horizontal="left" vertical="center" indent="1"/>
    </xf>
    <xf numFmtId="346" fontId="15" fillId="0" borderId="138" applyNumberFormat="0" applyFill="0" applyAlignment="0" applyProtection="0"/>
    <xf numFmtId="346"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93" fillId="31" borderId="136" applyBorder="0"/>
    <xf numFmtId="346" fontId="53" fillId="32" borderId="129" applyNumberFormat="0" applyProtection="0">
      <alignment horizontal="left" vertical="center"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53" fillId="61" borderId="129" applyNumberFormat="0" applyProtection="0">
      <alignment horizontal="left" vertical="center" indent="1"/>
    </xf>
    <xf numFmtId="4" fontId="53" fillId="19" borderId="129" applyNumberFormat="0" applyProtection="0">
      <alignment horizontal="right" vertical="center"/>
    </xf>
    <xf numFmtId="4" fontId="53" fillId="28" borderId="129" applyNumberFormat="0" applyProtection="0">
      <alignment horizontal="right" vertical="center"/>
    </xf>
    <xf numFmtId="4" fontId="53" fillId="27" borderId="129" applyNumberFormat="0" applyProtection="0">
      <alignment horizontal="right" vertical="center"/>
    </xf>
    <xf numFmtId="4" fontId="53" fillId="25" borderId="129"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142" fillId="14" borderId="129" applyNumberFormat="0" applyAlignment="0" applyProtection="0"/>
    <xf numFmtId="346" fontId="268" fillId="129" borderId="129" applyNumberFormat="0" applyAlignment="0" applyProtection="0"/>
    <xf numFmtId="346" fontId="268" fillId="129"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84" fillId="129" borderId="133" applyNumberFormat="0" applyAlignment="0" applyProtection="0"/>
    <xf numFmtId="346" fontId="184" fillId="129" borderId="133" applyNumberFormat="0" applyAlignment="0" applyProtection="0"/>
    <xf numFmtId="4" fontId="53" fillId="18" borderId="129" applyNumberFormat="0" applyProtection="0">
      <alignment vertical="center"/>
    </xf>
    <xf numFmtId="4" fontId="270" fillId="45" borderId="129" applyNumberFormat="0" applyProtection="0">
      <alignment vertical="center"/>
    </xf>
    <xf numFmtId="4" fontId="53" fillId="45" borderId="129" applyNumberFormat="0" applyProtection="0">
      <alignment horizontal="left" vertical="center" indent="1"/>
    </xf>
    <xf numFmtId="346" fontId="271" fillId="18" borderId="134" applyNumberFormat="0" applyProtection="0">
      <alignment horizontal="left" vertical="top" indent="1"/>
    </xf>
    <xf numFmtId="4" fontId="53" fillId="64" borderId="129" applyNumberFormat="0" applyProtection="0">
      <alignment horizontal="left" vertical="center" indent="1"/>
    </xf>
    <xf numFmtId="4" fontId="53" fillId="20" borderId="129" applyNumberFormat="0" applyProtection="0">
      <alignment horizontal="right" vertical="center"/>
    </xf>
    <xf numFmtId="4" fontId="53" fillId="132" borderId="129" applyNumberFormat="0" applyProtection="0">
      <alignment horizontal="right" vertical="center"/>
    </xf>
    <xf numFmtId="4" fontId="53" fillId="22" borderId="135" applyNumberFormat="0" applyProtection="0">
      <alignment horizontal="right" vertical="center"/>
    </xf>
    <xf numFmtId="4" fontId="53" fillId="23" borderId="129" applyNumberFormat="0" applyProtection="0">
      <alignment horizontal="right" vertical="center"/>
    </xf>
    <xf numFmtId="4" fontId="53" fillId="24" borderId="129" applyNumberFormat="0" applyProtection="0">
      <alignment horizontal="right" vertical="center"/>
    </xf>
    <xf numFmtId="4" fontId="53" fillId="25" borderId="129" applyNumberFormat="0" applyProtection="0">
      <alignment horizontal="right" vertical="center"/>
    </xf>
    <xf numFmtId="4" fontId="53" fillId="26" borderId="129" applyNumberFormat="0" applyProtection="0">
      <alignment horizontal="right" vertical="center"/>
    </xf>
    <xf numFmtId="4" fontId="53" fillId="27" borderId="129" applyNumberFormat="0" applyProtection="0">
      <alignment horizontal="right" vertical="center"/>
    </xf>
    <xf numFmtId="4" fontId="53" fillId="28" borderId="129" applyNumberFormat="0" applyProtection="0">
      <alignment horizontal="right" vertical="center"/>
    </xf>
    <xf numFmtId="4" fontId="53" fillId="29" borderId="135" applyNumberFormat="0" applyProtection="0">
      <alignment horizontal="left" vertical="center" indent="1"/>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19" borderId="129" applyNumberFormat="0" applyProtection="0">
      <alignment horizontal="right" vertical="center"/>
    </xf>
    <xf numFmtId="4" fontId="53" fillId="30" borderId="135" applyNumberFormat="0" applyProtection="0">
      <alignment horizontal="left" vertical="center" indent="1"/>
    </xf>
    <xf numFmtId="4" fontId="53" fillId="19" borderId="135" applyNumberFormat="0" applyProtection="0">
      <alignment horizontal="left" vertical="center" indent="1"/>
    </xf>
    <xf numFmtId="346" fontId="53" fillId="61" borderId="129"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53" fillId="30" borderId="134" applyNumberFormat="0" applyProtection="0">
      <alignment horizontal="left" vertical="top" indent="1"/>
    </xf>
    <xf numFmtId="4" fontId="272" fillId="61" borderId="134" applyNumberFormat="0" applyProtection="0">
      <alignment horizontal="left" vertical="center" indent="1"/>
    </xf>
    <xf numFmtId="212" fontId="64" fillId="0" borderId="28" applyFill="0"/>
    <xf numFmtId="346" fontId="53" fillId="30" borderId="134" applyNumberFormat="0" applyProtection="0">
      <alignment horizontal="left" vertical="top" indent="1"/>
    </xf>
    <xf numFmtId="346" fontId="272" fillId="19" borderId="134" applyNumberFormat="0" applyProtection="0">
      <alignment horizontal="left" vertical="top" indent="1"/>
    </xf>
    <xf numFmtId="346" fontId="53" fillId="32" borderId="134" applyNumberFormat="0" applyProtection="0">
      <alignment horizontal="left" vertical="top" indent="1"/>
    </xf>
    <xf numFmtId="346" fontId="53" fillId="31" borderId="134" applyNumberFormat="0" applyProtection="0">
      <alignment horizontal="left" vertical="top" indent="1"/>
    </xf>
    <xf numFmtId="4" fontId="53" fillId="27" borderId="129" applyNumberFormat="0" applyProtection="0">
      <alignment horizontal="right" vertical="center"/>
    </xf>
    <xf numFmtId="346" fontId="53" fillId="19" borderId="134" applyNumberFormat="0" applyProtection="0">
      <alignment horizontal="left" vertical="top" indent="1"/>
    </xf>
    <xf numFmtId="43" fontId="12" fillId="0" borderId="0" applyFont="0" applyFill="0" applyBorder="0" applyAlignment="0" applyProtection="0"/>
    <xf numFmtId="346" fontId="53" fillId="19" borderId="134" applyNumberFormat="0" applyProtection="0">
      <alignment horizontal="left" vertical="top" indent="1"/>
    </xf>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31" borderId="134" applyNumberFormat="0" applyProtection="0">
      <alignment horizontal="left" vertical="top" indent="1"/>
    </xf>
    <xf numFmtId="4" fontId="53" fillId="64" borderId="129" applyNumberFormat="0" applyProtection="0">
      <alignment horizontal="left" vertical="center" indent="1"/>
    </xf>
    <xf numFmtId="346" fontId="53" fillId="32" borderId="134" applyNumberFormat="0" applyProtection="0">
      <alignment horizontal="left" vertical="top" indent="1"/>
    </xf>
    <xf numFmtId="346" fontId="15" fillId="0" borderId="138" applyNumberFormat="0" applyFill="0" applyAlignment="0" applyProtection="0"/>
    <xf numFmtId="346" fontId="15" fillId="0" borderId="138" applyNumberFormat="0" applyFill="0" applyAlignment="0" applyProtection="0"/>
    <xf numFmtId="4" fontId="53" fillId="28" borderId="129" applyNumberFormat="0" applyProtection="0">
      <alignment horizontal="right" vertical="center"/>
    </xf>
    <xf numFmtId="346" fontId="53" fillId="30" borderId="134" applyNumberFormat="0" applyProtection="0">
      <alignment horizontal="left" vertical="top" indent="1"/>
    </xf>
    <xf numFmtId="37" fontId="64" fillId="0" borderId="137" applyNumberFormat="0"/>
    <xf numFmtId="346" fontId="53" fillId="19" borderId="134" applyNumberFormat="0" applyProtection="0">
      <alignment horizontal="left" vertical="top" indent="1"/>
    </xf>
    <xf numFmtId="346" fontId="271" fillId="18" borderId="134" applyNumberFormat="0" applyProtection="0">
      <alignment horizontal="left" vertical="top" indent="1"/>
    </xf>
    <xf numFmtId="346" fontId="53" fillId="13" borderId="129" applyNumberFormat="0" applyFont="0" applyAlignment="0" applyProtection="0"/>
    <xf numFmtId="4" fontId="274" fillId="33" borderId="129" applyNumberFormat="0" applyProtection="0">
      <alignment horizontal="right" vertical="center"/>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93" fillId="31" borderId="136" applyBorder="0"/>
    <xf numFmtId="4" fontId="53" fillId="25" borderId="129" applyNumberFormat="0" applyProtection="0">
      <alignment horizontal="right" vertical="center"/>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0" borderId="129"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4" fontId="53" fillId="27" borderId="129" applyNumberFormat="0" applyProtection="0">
      <alignment horizontal="right" vertical="center"/>
    </xf>
    <xf numFmtId="4" fontId="53" fillId="25" borderId="129" applyNumberFormat="0" applyProtection="0">
      <alignment horizontal="right" vertical="center"/>
    </xf>
    <xf numFmtId="346" fontId="184" fillId="129" borderId="133" applyNumberFormat="0" applyAlignment="0" applyProtection="0"/>
    <xf numFmtId="346" fontId="53" fillId="61" borderId="129" applyNumberFormat="0" applyProtection="0">
      <alignment horizontal="left" vertical="center" indent="1"/>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4" fontId="53" fillId="132" borderId="129" applyNumberFormat="0" applyProtection="0">
      <alignment horizontal="right" vertical="center"/>
    </xf>
    <xf numFmtId="346" fontId="53" fillId="13" borderId="129" applyNumberFormat="0" applyFont="0" applyAlignment="0" applyProtection="0"/>
    <xf numFmtId="4" fontId="53" fillId="22" borderId="135" applyNumberFormat="0" applyProtection="0">
      <alignment horizontal="right" vertical="center"/>
    </xf>
    <xf numFmtId="346" fontId="184" fillId="129" borderId="133" applyNumberFormat="0" applyAlignment="0" applyProtection="0"/>
    <xf numFmtId="346" fontId="53" fillId="13" borderId="129" applyNumberFormat="0" applyFont="0" applyAlignment="0" applyProtection="0"/>
    <xf numFmtId="4" fontId="53" fillId="20" borderId="129" applyNumberFormat="0" applyProtection="0">
      <alignment horizontal="right" vertical="center"/>
    </xf>
    <xf numFmtId="4" fontId="53" fillId="18" borderId="129" applyNumberFormat="0" applyProtection="0">
      <alignment vertical="center"/>
    </xf>
    <xf numFmtId="4" fontId="53" fillId="24" borderId="129" applyNumberFormat="0" applyProtection="0">
      <alignment horizontal="right" vertical="center"/>
    </xf>
    <xf numFmtId="4" fontId="270" fillId="45" borderId="129" applyNumberFormat="0" applyProtection="0">
      <alignment vertical="center"/>
    </xf>
    <xf numFmtId="43" fontId="12" fillId="0" borderId="0" applyFont="0" applyFill="0" applyBorder="0" applyAlignment="0" applyProtection="0"/>
    <xf numFmtId="346" fontId="142" fillId="14" borderId="129" applyNumberFormat="0" applyAlignment="0" applyProtection="0"/>
    <xf numFmtId="346" fontId="53" fillId="61" borderId="129" applyNumberFormat="0" applyProtection="0">
      <alignment horizontal="left" vertical="center" indent="1"/>
    </xf>
    <xf numFmtId="346" fontId="53" fillId="13" borderId="129" applyNumberFormat="0" applyFont="0" applyAlignment="0" applyProtection="0"/>
    <xf numFmtId="346" fontId="142" fillId="14" borderId="129" applyNumberFormat="0" applyAlignment="0" applyProtection="0"/>
    <xf numFmtId="4" fontId="270" fillId="45" borderId="129" applyNumberFormat="0" applyProtection="0">
      <alignment vertical="center"/>
    </xf>
    <xf numFmtId="43" fontId="12" fillId="0" borderId="0" applyFont="0" applyFill="0" applyBorder="0" applyAlignment="0" applyProtection="0"/>
    <xf numFmtId="4" fontId="53" fillId="19" borderId="129" applyNumberFormat="0" applyProtection="0">
      <alignment horizontal="right" vertical="center"/>
    </xf>
    <xf numFmtId="4" fontId="53" fillId="18" borderId="129" applyNumberFormat="0" applyProtection="0">
      <alignment vertical="center"/>
    </xf>
    <xf numFmtId="4" fontId="53" fillId="18" borderId="129" applyNumberFormat="0" applyProtection="0">
      <alignment vertical="center"/>
    </xf>
    <xf numFmtId="4" fontId="53" fillId="19" borderId="129" applyNumberFormat="0" applyProtection="0">
      <alignment horizontal="right" vertical="center"/>
    </xf>
    <xf numFmtId="4" fontId="53" fillId="23" borderId="129" applyNumberFormat="0" applyProtection="0">
      <alignment horizontal="right" vertical="center"/>
    </xf>
    <xf numFmtId="346" fontId="184" fillId="129" borderId="133" applyNumberFormat="0" applyAlignment="0" applyProtection="0"/>
    <xf numFmtId="346" fontId="53" fillId="13" borderId="129" applyNumberFormat="0" applyFont="0" applyAlignment="0" applyProtection="0"/>
    <xf numFmtId="4" fontId="53" fillId="132" borderId="129" applyNumberFormat="0" applyProtection="0">
      <alignment horizontal="right" vertical="center"/>
    </xf>
    <xf numFmtId="4" fontId="53" fillId="45" borderId="129" applyNumberFormat="0" applyProtection="0">
      <alignment horizontal="left" vertical="center" indent="1"/>
    </xf>
    <xf numFmtId="346" fontId="53" fillId="32" borderId="129" applyNumberFormat="0" applyProtection="0">
      <alignment horizontal="left" vertical="center" indent="1"/>
    </xf>
    <xf numFmtId="346" fontId="53" fillId="13" borderId="129" applyNumberFormat="0" applyFont="0" applyAlignment="0" applyProtection="0"/>
    <xf numFmtId="346" fontId="93" fillId="31" borderId="136" applyBorder="0"/>
    <xf numFmtId="346" fontId="15" fillId="0" borderId="138" applyNumberFormat="0" applyFill="0" applyAlignment="0" applyProtection="0"/>
    <xf numFmtId="43" fontId="12" fillId="0" borderId="0" applyFont="0" applyFill="0" applyBorder="0" applyAlignment="0" applyProtection="0"/>
    <xf numFmtId="346" fontId="268" fillId="129" borderId="129" applyNumberFormat="0" applyAlignment="0" applyProtection="0"/>
    <xf numFmtId="4" fontId="53" fillId="24" borderId="129" applyNumberFormat="0" applyProtection="0">
      <alignment horizontal="right" vertical="center"/>
    </xf>
    <xf numFmtId="346" fontId="53" fillId="13" borderId="129" applyNumberFormat="0" applyFont="0" applyAlignment="0" applyProtection="0"/>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4" fontId="53" fillId="64" borderId="129" applyNumberFormat="0" applyProtection="0">
      <alignment horizontal="left" vertical="center" indent="1"/>
    </xf>
    <xf numFmtId="346" fontId="272" fillId="19" borderId="134" applyNumberFormat="0" applyProtection="0">
      <alignment horizontal="left" vertical="top" indent="1"/>
    </xf>
    <xf numFmtId="346" fontId="15" fillId="0" borderId="138" applyNumberFormat="0" applyFill="0" applyAlignment="0" applyProtection="0"/>
    <xf numFmtId="346" fontId="53" fillId="13" borderId="129" applyNumberFormat="0" applyFont="0" applyAlignment="0" applyProtection="0"/>
    <xf numFmtId="4" fontId="270" fillId="45" borderId="129" applyNumberFormat="0" applyProtection="0">
      <alignment vertical="center"/>
    </xf>
    <xf numFmtId="346" fontId="53" fillId="83" borderId="129" applyNumberFormat="0" applyProtection="0">
      <alignment horizontal="left" vertical="center" indent="1"/>
    </xf>
    <xf numFmtId="37" fontId="64" fillId="0" borderId="137" applyNumberFormat="0"/>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53" fillId="19" borderId="134" applyNumberFormat="0" applyProtection="0">
      <alignment horizontal="left" vertical="top" indent="1"/>
    </xf>
    <xf numFmtId="346" fontId="9" fillId="32" borderId="134" applyNumberFormat="0" applyProtection="0">
      <alignment horizontal="left" vertical="top" indent="1"/>
    </xf>
    <xf numFmtId="346" fontId="53" fillId="19" borderId="134" applyNumberFormat="0" applyProtection="0">
      <alignment horizontal="left" vertical="top" indent="1"/>
    </xf>
    <xf numFmtId="346" fontId="53" fillId="61" borderId="129" applyNumberFormat="0" applyProtection="0">
      <alignment horizontal="left" vertical="center" indent="1"/>
    </xf>
    <xf numFmtId="4" fontId="53" fillId="28" borderId="129" applyNumberFormat="0" applyProtection="0">
      <alignment horizontal="right" vertical="center"/>
    </xf>
    <xf numFmtId="4" fontId="53" fillId="132" borderId="129" applyNumberFormat="0" applyProtection="0">
      <alignment horizontal="right" vertical="center"/>
    </xf>
    <xf numFmtId="4" fontId="53" fillId="64" borderId="129" applyNumberFormat="0" applyProtection="0">
      <alignment horizontal="left" vertical="center" indent="1"/>
    </xf>
    <xf numFmtId="4" fontId="270" fillId="45" borderId="129" applyNumberFormat="0" applyProtection="0">
      <alignment vertical="center"/>
    </xf>
    <xf numFmtId="4" fontId="274" fillId="33" borderId="129" applyNumberFormat="0" applyProtection="0">
      <alignment horizontal="right" vertical="center"/>
    </xf>
    <xf numFmtId="346" fontId="53" fillId="30" borderId="134" applyNumberFormat="0" applyProtection="0">
      <alignment horizontal="left" vertical="top" indent="1"/>
    </xf>
    <xf numFmtId="346" fontId="53" fillId="30" borderId="134" applyNumberFormat="0" applyProtection="0">
      <alignment horizontal="left" vertical="top" indent="1"/>
    </xf>
    <xf numFmtId="43" fontId="12" fillId="0" borderId="0" applyFont="0" applyFill="0" applyBorder="0" applyAlignment="0" applyProtection="0"/>
    <xf numFmtId="4" fontId="53" fillId="64" borderId="129" applyNumberFormat="0" applyProtection="0">
      <alignment horizontal="left" vertical="center" indent="1"/>
    </xf>
    <xf numFmtId="4" fontId="272" fillId="61" borderId="134" applyNumberFormat="0" applyProtection="0">
      <alignment horizontal="left" vertical="center" indent="1"/>
    </xf>
    <xf numFmtId="4" fontId="53" fillId="26" borderId="129" applyNumberFormat="0" applyProtection="0">
      <alignment horizontal="right" vertical="center"/>
    </xf>
    <xf numFmtId="4" fontId="53" fillId="24" borderId="129" applyNumberFormat="0" applyProtection="0">
      <alignment horizontal="right" vertical="center"/>
    </xf>
    <xf numFmtId="346" fontId="268" fillId="129" borderId="129"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346" fontId="53" fillId="30" borderId="134" applyNumberFormat="0" applyProtection="0">
      <alignment horizontal="left" vertical="top" indent="1"/>
    </xf>
    <xf numFmtId="4" fontId="270" fillId="45" borderId="129" applyNumberFormat="0" applyProtection="0">
      <alignment vertical="center"/>
    </xf>
    <xf numFmtId="4" fontId="53" fillId="20" borderId="129" applyNumberFormat="0" applyProtection="0">
      <alignment horizontal="right" vertical="center"/>
    </xf>
    <xf numFmtId="346" fontId="53" fillId="61" borderId="129" applyNumberFormat="0" applyProtection="0">
      <alignment horizontal="left" vertical="center" indent="1"/>
    </xf>
    <xf numFmtId="4" fontId="53" fillId="28" borderId="129" applyNumberFormat="0" applyProtection="0">
      <alignment horizontal="right" vertical="center"/>
    </xf>
    <xf numFmtId="4" fontId="53" fillId="25" borderId="129" applyNumberFormat="0" applyProtection="0">
      <alignment horizontal="right" vertical="center"/>
    </xf>
    <xf numFmtId="4" fontId="53" fillId="132" borderId="129" applyNumberFormat="0" applyProtection="0">
      <alignment horizontal="right" vertical="center"/>
    </xf>
    <xf numFmtId="4" fontId="53" fillId="27" borderId="129" applyNumberFormat="0" applyProtection="0">
      <alignment horizontal="right" vertical="center"/>
    </xf>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2" borderId="129" applyNumberFormat="0" applyProtection="0">
      <alignment horizontal="left" vertical="center"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184" fillId="129" borderId="133" applyNumberFormat="0" applyAlignment="0" applyProtection="0"/>
    <xf numFmtId="4" fontId="53" fillId="19" borderId="129" applyNumberFormat="0" applyProtection="0">
      <alignment horizontal="right" vertical="center"/>
    </xf>
    <xf numFmtId="43" fontId="7" fillId="0" borderId="0" applyFont="0" applyFill="0" applyBorder="0" applyAlignment="0" applyProtection="0"/>
    <xf numFmtId="4" fontId="53" fillId="23" borderId="129" applyNumberFormat="0" applyProtection="0">
      <alignment horizontal="right" vertical="center"/>
    </xf>
    <xf numFmtId="346" fontId="9" fillId="19" borderId="134" applyNumberFormat="0" applyProtection="0">
      <alignment horizontal="left" vertical="top" indent="1"/>
    </xf>
    <xf numFmtId="346" fontId="142" fillId="14" borderId="129" applyNumberFormat="0" applyAlignment="0" applyProtection="0"/>
    <xf numFmtId="346" fontId="15" fillId="0" borderId="138" applyNumberFormat="0" applyFill="0" applyAlignment="0" applyProtection="0"/>
    <xf numFmtId="346" fontId="9" fillId="30" borderId="134" applyNumberFormat="0" applyProtection="0">
      <alignment horizontal="left" vertical="top" indent="1"/>
    </xf>
    <xf numFmtId="4" fontId="270" fillId="50" borderId="129" applyNumberFormat="0" applyProtection="0">
      <alignment horizontal="right" vertical="center"/>
    </xf>
    <xf numFmtId="4" fontId="53" fillId="45" borderId="129" applyNumberFormat="0" applyProtection="0">
      <alignment horizontal="left" vertical="center" indent="1"/>
    </xf>
    <xf numFmtId="346" fontId="53" fillId="30" borderId="134" applyNumberFormat="0" applyProtection="0">
      <alignment horizontal="left" vertical="top" indent="1"/>
    </xf>
    <xf numFmtId="4" fontId="53" fillId="64" borderId="129" applyNumberFormat="0" applyProtection="0">
      <alignment horizontal="left" vertical="center" indent="1"/>
    </xf>
    <xf numFmtId="346" fontId="53" fillId="13" borderId="129" applyNumberFormat="0" applyFont="0" applyAlignment="0" applyProtection="0"/>
    <xf numFmtId="346" fontId="53" fillId="13" borderId="129" applyNumberFormat="0" applyFont="0" applyAlignment="0" applyProtection="0"/>
    <xf numFmtId="346" fontId="268" fillId="129" borderId="129" applyNumberFormat="0" applyAlignment="0" applyProtection="0"/>
    <xf numFmtId="346" fontId="142" fillId="14" borderId="129" applyNumberFormat="0" applyAlignment="0" applyProtection="0"/>
    <xf numFmtId="346" fontId="53" fillId="13" borderId="129" applyNumberFormat="0" applyFont="0" applyAlignment="0" applyProtection="0"/>
    <xf numFmtId="346" fontId="184" fillId="129" borderId="133" applyNumberFormat="0" applyAlignment="0" applyProtection="0"/>
    <xf numFmtId="4" fontId="272" fillId="34" borderId="134" applyNumberFormat="0" applyProtection="0">
      <alignment vertical="center"/>
    </xf>
    <xf numFmtId="346" fontId="53" fillId="32" borderId="134" applyNumberFormat="0" applyProtection="0">
      <alignment horizontal="left" vertical="top" indent="1"/>
    </xf>
    <xf numFmtId="346" fontId="268" fillId="129" borderId="129" applyNumberFormat="0" applyAlignment="0" applyProtection="0"/>
    <xf numFmtId="346" fontId="53" fillId="13" borderId="129" applyNumberFormat="0" applyFont="0" applyAlignment="0" applyProtection="0"/>
    <xf numFmtId="4" fontId="53" fillId="0" borderId="129" applyNumberFormat="0" applyProtection="0">
      <alignment horizontal="right" vertical="center"/>
    </xf>
    <xf numFmtId="346" fontId="53" fillId="31" borderId="134" applyNumberFormat="0" applyProtection="0">
      <alignment horizontal="left" vertical="top" indent="1"/>
    </xf>
    <xf numFmtId="346" fontId="53" fillId="30" borderId="134" applyNumberFormat="0" applyProtection="0">
      <alignment horizontal="left" vertical="top" indent="1"/>
    </xf>
    <xf numFmtId="4" fontId="273" fillId="35" borderId="135" applyNumberFormat="0" applyProtection="0">
      <alignment horizontal="left" vertical="center" indent="1"/>
    </xf>
    <xf numFmtId="346" fontId="142" fillId="14" borderId="129" applyNumberFormat="0" applyAlignment="0" applyProtection="0"/>
    <xf numFmtId="346" fontId="53" fillId="19" borderId="134" applyNumberFormat="0" applyProtection="0">
      <alignment horizontal="left" vertical="top" indent="1"/>
    </xf>
    <xf numFmtId="346" fontId="53" fillId="30" borderId="134" applyNumberFormat="0" applyProtection="0">
      <alignment horizontal="left" vertical="top" indent="1"/>
    </xf>
    <xf numFmtId="346" fontId="53" fillId="30" borderId="129" applyNumberFormat="0" applyProtection="0">
      <alignment horizontal="left" vertical="center" indent="1"/>
    </xf>
    <xf numFmtId="4" fontId="53" fillId="20" borderId="129" applyNumberFormat="0" applyProtection="0">
      <alignment horizontal="right" vertical="center"/>
    </xf>
    <xf numFmtId="4" fontId="53" fillId="0" borderId="129" applyNumberFormat="0" applyProtection="0">
      <alignment horizontal="right" vertical="center"/>
    </xf>
    <xf numFmtId="212" fontId="64" fillId="0" borderId="28" applyFill="0"/>
    <xf numFmtId="346" fontId="53" fillId="13" borderId="129" applyNumberFormat="0" applyFont="0" applyAlignment="0" applyProtection="0"/>
    <xf numFmtId="4" fontId="53" fillId="64" borderId="129" applyNumberFormat="0" applyProtection="0">
      <alignment horizontal="left" vertical="center" indent="1"/>
    </xf>
    <xf numFmtId="346" fontId="53" fillId="13" borderId="129" applyNumberFormat="0" applyFont="0" applyAlignment="0" applyProtection="0"/>
    <xf numFmtId="346" fontId="53" fillId="13" borderId="129" applyNumberFormat="0" applyFont="0" applyAlignment="0" applyProtection="0"/>
    <xf numFmtId="346" fontId="53" fillId="31"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3" borderId="129" applyNumberFormat="0" applyFont="0" applyAlignment="0" applyProtection="0"/>
    <xf numFmtId="4" fontId="53" fillId="24" borderId="129" applyNumberFormat="0" applyProtection="0">
      <alignment horizontal="right" vertical="center"/>
    </xf>
    <xf numFmtId="346" fontId="53" fillId="32" borderId="134" applyNumberFormat="0" applyProtection="0">
      <alignment horizontal="left" vertical="top" indent="1"/>
    </xf>
    <xf numFmtId="4" fontId="53" fillId="64" borderId="129" applyNumberFormat="0" applyProtection="0">
      <alignment horizontal="left" vertical="center" indent="1"/>
    </xf>
    <xf numFmtId="346" fontId="53" fillId="31" borderId="134" applyNumberFormat="0" applyProtection="0">
      <alignment horizontal="left" vertical="top" indent="1"/>
    </xf>
    <xf numFmtId="346" fontId="268" fillId="129" borderId="129" applyNumberFormat="0" applyAlignment="0" applyProtection="0"/>
    <xf numFmtId="4" fontId="272" fillId="61" borderId="134" applyNumberFormat="0" applyProtection="0">
      <alignment horizontal="left" vertical="center" indent="1"/>
    </xf>
    <xf numFmtId="346" fontId="15" fillId="0" borderId="138" applyNumberFormat="0" applyFill="0" applyAlignment="0" applyProtection="0"/>
    <xf numFmtId="346" fontId="53" fillId="13" borderId="129" applyNumberFormat="0" applyFont="0" applyAlignment="0" applyProtection="0"/>
    <xf numFmtId="346" fontId="53" fillId="31" borderId="134" applyNumberFormat="0" applyProtection="0">
      <alignment horizontal="left" vertical="top" indent="1"/>
    </xf>
    <xf numFmtId="4" fontId="53" fillId="64" borderId="129" applyNumberFormat="0" applyProtection="0">
      <alignment horizontal="left" vertical="center" indent="1"/>
    </xf>
    <xf numFmtId="346" fontId="268" fillId="129" borderId="129" applyNumberFormat="0" applyAlignment="0" applyProtection="0"/>
    <xf numFmtId="4" fontId="274" fillId="33" borderId="129" applyNumberFormat="0" applyProtection="0">
      <alignment horizontal="right" vertical="center"/>
    </xf>
    <xf numFmtId="346" fontId="93" fillId="31" borderId="136" applyBorder="0"/>
    <xf numFmtId="346" fontId="53" fillId="13" borderId="129" applyNumberFormat="0" applyFont="0" applyAlignment="0" applyProtection="0"/>
    <xf numFmtId="4" fontId="53" fillId="64" borderId="129" applyNumberFormat="0" applyProtection="0">
      <alignment horizontal="left" vertical="center"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13" borderId="129" applyNumberFormat="0" applyFont="0" applyAlignment="0" applyProtection="0"/>
    <xf numFmtId="346" fontId="184" fillId="129" borderId="133" applyNumberFormat="0" applyAlignment="0" applyProtection="0"/>
    <xf numFmtId="4" fontId="53" fillId="20" borderId="129" applyNumberFormat="0" applyProtection="0">
      <alignment horizontal="right" vertical="center"/>
    </xf>
    <xf numFmtId="346" fontId="53" fillId="31" borderId="134" applyNumberFormat="0" applyProtection="0">
      <alignment horizontal="left" vertical="top" indent="1"/>
    </xf>
    <xf numFmtId="346" fontId="93" fillId="31" borderId="136" applyBorder="0"/>
    <xf numFmtId="4" fontId="53" fillId="28" borderId="129" applyNumberFormat="0" applyProtection="0">
      <alignment horizontal="right" vertical="center"/>
    </xf>
    <xf numFmtId="346" fontId="53" fillId="31" borderId="134" applyNumberFormat="0" applyProtection="0">
      <alignment horizontal="left" vertical="top" indent="1"/>
    </xf>
    <xf numFmtId="346" fontId="53" fillId="30" borderId="134" applyNumberFormat="0" applyProtection="0">
      <alignment horizontal="left" vertical="top" indent="1"/>
    </xf>
    <xf numFmtId="4" fontId="53" fillId="26" borderId="129" applyNumberFormat="0" applyProtection="0">
      <alignment horizontal="right" vertical="center"/>
    </xf>
    <xf numFmtId="346" fontId="53" fillId="32" borderId="134" applyNumberFormat="0" applyProtection="0">
      <alignment horizontal="left" vertical="top" indent="1"/>
    </xf>
    <xf numFmtId="346" fontId="9" fillId="32" borderId="134" applyNumberFormat="0" applyProtection="0">
      <alignment horizontal="left" vertical="center" indent="1"/>
    </xf>
    <xf numFmtId="4" fontId="53" fillId="0" borderId="129" applyNumberFormat="0" applyProtection="0">
      <alignment horizontal="right" vertical="center"/>
    </xf>
    <xf numFmtId="346" fontId="53" fillId="19" borderId="134" applyNumberFormat="0" applyProtection="0">
      <alignment horizontal="left" vertical="top" indent="1"/>
    </xf>
    <xf numFmtId="346" fontId="268" fillId="129" borderId="129" applyNumberFormat="0" applyAlignment="0" applyProtection="0"/>
    <xf numFmtId="346" fontId="142" fillId="14" borderId="129" applyNumberFormat="0" applyAlignment="0" applyProtection="0"/>
    <xf numFmtId="4" fontId="53" fillId="45" borderId="129" applyNumberFormat="0" applyProtection="0">
      <alignment horizontal="left" vertical="center" indent="1"/>
    </xf>
    <xf numFmtId="4" fontId="272" fillId="61" borderId="134" applyNumberFormat="0" applyProtection="0">
      <alignment horizontal="left" vertical="center" indent="1"/>
    </xf>
    <xf numFmtId="4" fontId="53" fillId="28" borderId="129" applyNumberFormat="0" applyProtection="0">
      <alignment horizontal="right" vertical="center"/>
    </xf>
    <xf numFmtId="4" fontId="270" fillId="50" borderId="129" applyNumberFormat="0" applyProtection="0">
      <alignment horizontal="right" vertical="center"/>
    </xf>
    <xf numFmtId="346" fontId="53" fillId="13" borderId="129" applyNumberFormat="0" applyFont="0" applyAlignment="0" applyProtection="0"/>
    <xf numFmtId="346" fontId="142" fillId="14" borderId="129" applyNumberFormat="0" applyAlignment="0" applyProtection="0"/>
    <xf numFmtId="346" fontId="53" fillId="13" borderId="129" applyNumberFormat="0" applyFont="0" applyAlignment="0" applyProtection="0"/>
    <xf numFmtId="4" fontId="274" fillId="33" borderId="129" applyNumberFormat="0" applyProtection="0">
      <alignment horizontal="right" vertical="center"/>
    </xf>
    <xf numFmtId="346" fontId="268" fillId="129"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4" fontId="53" fillId="0" borderId="129" applyNumberFormat="0" applyProtection="0">
      <alignment horizontal="right" vertical="center"/>
    </xf>
    <xf numFmtId="43" fontId="12" fillId="0" borderId="0" applyFont="0" applyFill="0" applyBorder="0" applyAlignment="0" applyProtection="0"/>
    <xf numFmtId="346" fontId="53" fillId="13" borderId="129" applyNumberFormat="0" applyFont="0" applyAlignment="0" applyProtection="0"/>
    <xf numFmtId="346" fontId="268" fillId="129" borderId="129" applyNumberFormat="0" applyAlignment="0" applyProtection="0"/>
    <xf numFmtId="346" fontId="272" fillId="34" borderId="134" applyNumberFormat="0" applyProtection="0">
      <alignment horizontal="left" vertical="top" indent="1"/>
    </xf>
    <xf numFmtId="346" fontId="9" fillId="30" borderId="134" applyNumberFormat="0" applyProtection="0">
      <alignment horizontal="left" vertical="center" indent="1"/>
    </xf>
    <xf numFmtId="4" fontId="274" fillId="33" borderId="129" applyNumberFormat="0" applyProtection="0">
      <alignment horizontal="right" vertical="center"/>
    </xf>
    <xf numFmtId="346" fontId="53" fillId="30" borderId="129" applyNumberFormat="0" applyProtection="0">
      <alignment horizontal="left" vertical="center" indent="1"/>
    </xf>
    <xf numFmtId="346" fontId="53" fillId="83" borderId="129" applyNumberFormat="0" applyProtection="0">
      <alignment horizontal="left" vertical="center" indent="1"/>
    </xf>
    <xf numFmtId="4" fontId="53" fillId="20" borderId="129" applyNumberFormat="0" applyProtection="0">
      <alignment horizontal="right" vertical="center"/>
    </xf>
    <xf numFmtId="346" fontId="53" fillId="19" borderId="134" applyNumberFormat="0" applyProtection="0">
      <alignment horizontal="left" vertical="top" indent="1"/>
    </xf>
    <xf numFmtId="346" fontId="53" fillId="83" borderId="129" applyNumberFormat="0" applyProtection="0">
      <alignment horizontal="left" vertical="center" indent="1"/>
    </xf>
    <xf numFmtId="346" fontId="53" fillId="13" borderId="129" applyNumberFormat="0" applyFont="0" applyAlignment="0" applyProtection="0"/>
    <xf numFmtId="346" fontId="53" fillId="31" borderId="134" applyNumberFormat="0" applyProtection="0">
      <alignment horizontal="left" vertical="top" indent="1"/>
    </xf>
    <xf numFmtId="346" fontId="53" fillId="30" borderId="134" applyNumberFormat="0" applyProtection="0">
      <alignment horizontal="left" vertical="top" indent="1"/>
    </xf>
    <xf numFmtId="346" fontId="53" fillId="13" borderId="129" applyNumberFormat="0" applyFont="0" applyAlignment="0" applyProtection="0"/>
    <xf numFmtId="4" fontId="53" fillId="23" borderId="129" applyNumberFormat="0" applyProtection="0">
      <alignment horizontal="right" vertical="center"/>
    </xf>
    <xf numFmtId="346" fontId="53" fillId="32" borderId="129" applyNumberFormat="0" applyProtection="0">
      <alignment horizontal="left" vertical="center" indent="1"/>
    </xf>
    <xf numFmtId="346" fontId="53" fillId="30" borderId="134" applyNumberFormat="0" applyProtection="0">
      <alignment horizontal="left" vertical="top" indent="1"/>
    </xf>
    <xf numFmtId="4" fontId="53" fillId="19" borderId="129" applyNumberFormat="0" applyProtection="0">
      <alignment horizontal="right" vertical="center"/>
    </xf>
    <xf numFmtId="346" fontId="272" fillId="34" borderId="134" applyNumberFormat="0" applyProtection="0">
      <alignment horizontal="left" vertical="top" indent="1"/>
    </xf>
    <xf numFmtId="346" fontId="15" fillId="0" borderId="138" applyNumberFormat="0" applyFill="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31" borderId="134" applyNumberFormat="0" applyProtection="0">
      <alignment horizontal="left" vertical="top" indent="1"/>
    </xf>
    <xf numFmtId="346" fontId="53" fillId="30" borderId="134" applyNumberFormat="0" applyProtection="0">
      <alignment horizontal="left" vertical="top" indent="1"/>
    </xf>
    <xf numFmtId="37" fontId="64" fillId="0" borderId="137" applyNumberFormat="0"/>
    <xf numFmtId="346" fontId="53" fillId="19" borderId="134" applyNumberFormat="0" applyProtection="0">
      <alignment horizontal="left" vertical="top" indent="1"/>
    </xf>
    <xf numFmtId="346" fontId="53" fillId="13" borderId="129" applyNumberFormat="0" applyFont="0" applyAlignment="0" applyProtection="0"/>
    <xf numFmtId="346" fontId="53" fillId="30" borderId="134" applyNumberFormat="0" applyProtection="0">
      <alignment horizontal="left" vertical="top" indent="1"/>
    </xf>
    <xf numFmtId="346" fontId="268" fillId="129" borderId="129" applyNumberFormat="0" applyAlignment="0" applyProtection="0"/>
    <xf numFmtId="346" fontId="53" fillId="31" borderId="134" applyNumberFormat="0" applyProtection="0">
      <alignment horizontal="left" vertical="top" indent="1"/>
    </xf>
    <xf numFmtId="346" fontId="53" fillId="32" borderId="134" applyNumberFormat="0" applyProtection="0">
      <alignment horizontal="left" vertical="top" indent="1"/>
    </xf>
    <xf numFmtId="4" fontId="272" fillId="34" borderId="134" applyNumberFormat="0" applyProtection="0">
      <alignment vertical="center"/>
    </xf>
    <xf numFmtId="37" fontId="64" fillId="0" borderId="137" applyNumberFormat="0"/>
    <xf numFmtId="346" fontId="53" fillId="13" borderId="129" applyNumberFormat="0" applyFont="0" applyAlignment="0" applyProtection="0"/>
    <xf numFmtId="346" fontId="53" fillId="31" borderId="134" applyNumberFormat="0" applyProtection="0">
      <alignment horizontal="left" vertical="top" indent="1"/>
    </xf>
    <xf numFmtId="4" fontId="53" fillId="20" borderId="129" applyNumberFormat="0" applyProtection="0">
      <alignment horizontal="right" vertical="center"/>
    </xf>
    <xf numFmtId="346" fontId="142" fillId="14" borderId="129" applyNumberFormat="0" applyAlignment="0" applyProtection="0"/>
    <xf numFmtId="4" fontId="270" fillId="50" borderId="129" applyNumberFormat="0" applyProtection="0">
      <alignment horizontal="right" vertical="center"/>
    </xf>
    <xf numFmtId="346" fontId="53" fillId="31" borderId="134" applyNumberFormat="0" applyProtection="0">
      <alignment horizontal="left" vertical="top" indent="1"/>
    </xf>
    <xf numFmtId="4" fontId="273" fillId="35" borderId="135" applyNumberFormat="0" applyProtection="0">
      <alignment horizontal="left" vertical="center"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4" fontId="53" fillId="30" borderId="135" applyNumberFormat="0" applyProtection="0">
      <alignment horizontal="left" vertical="center" indent="1"/>
    </xf>
    <xf numFmtId="346" fontId="272" fillId="34" borderId="134" applyNumberFormat="0" applyProtection="0">
      <alignment horizontal="left" vertical="top" indent="1"/>
    </xf>
    <xf numFmtId="346" fontId="53" fillId="31" borderId="134" applyNumberFormat="0" applyProtection="0">
      <alignment horizontal="left" vertical="top" indent="1"/>
    </xf>
    <xf numFmtId="4" fontId="53" fillId="18" borderId="129" applyNumberFormat="0" applyProtection="0">
      <alignment vertical="center"/>
    </xf>
    <xf numFmtId="4" fontId="53" fillId="64" borderId="129" applyNumberFormat="0" applyProtection="0">
      <alignment horizontal="left" vertical="center" indent="1"/>
    </xf>
    <xf numFmtId="4" fontId="9" fillId="31" borderId="135" applyNumberFormat="0" applyProtection="0">
      <alignment horizontal="left" vertical="center" indent="1"/>
    </xf>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30" borderId="134" applyNumberFormat="0" applyProtection="0">
      <alignment horizontal="left" vertical="top" indent="1"/>
    </xf>
    <xf numFmtId="4" fontId="272" fillId="61" borderId="134" applyNumberFormat="0" applyProtection="0">
      <alignment horizontal="left" vertical="center" indent="1"/>
    </xf>
    <xf numFmtId="4" fontId="270" fillId="50" borderId="129" applyNumberFormat="0" applyProtection="0">
      <alignment horizontal="right" vertical="center"/>
    </xf>
    <xf numFmtId="346" fontId="53" fillId="13" borderId="129" applyNumberFormat="0" applyFont="0" applyAlignment="0" applyProtection="0"/>
    <xf numFmtId="346" fontId="53" fillId="30" borderId="134" applyNumberFormat="0" applyProtection="0">
      <alignment horizontal="left" vertical="top" indent="1"/>
    </xf>
    <xf numFmtId="346" fontId="53" fillId="19" borderId="134" applyNumberFormat="0" applyProtection="0">
      <alignment horizontal="left" vertical="top" indent="1"/>
    </xf>
    <xf numFmtId="4" fontId="274" fillId="33" borderId="129" applyNumberFormat="0" applyProtection="0">
      <alignment horizontal="right" vertical="center"/>
    </xf>
    <xf numFmtId="37" fontId="64" fillId="0" borderId="137" applyNumberFormat="0"/>
    <xf numFmtId="346" fontId="15" fillId="0" borderId="138" applyNumberFormat="0" applyFill="0" applyAlignment="0" applyProtection="0"/>
    <xf numFmtId="346" fontId="15" fillId="0" borderId="138" applyNumberFormat="0" applyFill="0" applyAlignment="0" applyProtection="0"/>
    <xf numFmtId="346" fontId="53" fillId="30" borderId="129" applyNumberFormat="0" applyProtection="0">
      <alignment horizontal="left" vertical="center" indent="1"/>
    </xf>
    <xf numFmtId="346" fontId="268" fillId="129" borderId="129" applyNumberFormat="0" applyAlignment="0" applyProtection="0"/>
    <xf numFmtId="346" fontId="268" fillId="129" borderId="129" applyNumberFormat="0" applyAlignment="0" applyProtection="0"/>
    <xf numFmtId="212" fontId="64" fillId="0" borderId="28" applyFill="0"/>
    <xf numFmtId="4" fontId="53" fillId="0" borderId="129" applyNumberFormat="0" applyProtection="0">
      <alignment horizontal="right" vertical="center"/>
    </xf>
    <xf numFmtId="4" fontId="270" fillId="50" borderId="129" applyNumberFormat="0" applyProtection="0">
      <alignment horizontal="right" vertical="center"/>
    </xf>
    <xf numFmtId="4" fontId="53" fillId="64" borderId="129" applyNumberFormat="0" applyProtection="0">
      <alignment horizontal="left" vertical="center" indent="1"/>
    </xf>
    <xf numFmtId="4" fontId="274" fillId="33" borderId="129" applyNumberFormat="0" applyProtection="0">
      <alignment horizontal="right" vertical="center"/>
    </xf>
    <xf numFmtId="346" fontId="53" fillId="32" borderId="134" applyNumberFormat="0" applyProtection="0">
      <alignment horizontal="left" vertical="top" indent="1"/>
    </xf>
    <xf numFmtId="4" fontId="272" fillId="61" borderId="134" applyNumberFormat="0" applyProtection="0">
      <alignment horizontal="left" vertical="center" indent="1"/>
    </xf>
    <xf numFmtId="4" fontId="272" fillId="34" borderId="134" applyNumberFormat="0" applyProtection="0">
      <alignment vertical="center"/>
    </xf>
    <xf numFmtId="346" fontId="9" fillId="32" borderId="134" applyNumberFormat="0" applyProtection="0">
      <alignment horizontal="left" vertical="top" indent="1"/>
    </xf>
    <xf numFmtId="346" fontId="53" fillId="32" borderId="129" applyNumberFormat="0" applyProtection="0">
      <alignment horizontal="left" vertical="center" indent="1"/>
    </xf>
    <xf numFmtId="346" fontId="53" fillId="31" borderId="134" applyNumberFormat="0" applyProtection="0">
      <alignment horizontal="left" vertical="top" indent="1"/>
    </xf>
    <xf numFmtId="346" fontId="53" fillId="13" borderId="129" applyNumberFormat="0" applyFont="0" applyAlignment="0" applyProtection="0"/>
    <xf numFmtId="346" fontId="53" fillId="30" borderId="134" applyNumberFormat="0" applyProtection="0">
      <alignment horizontal="left" vertical="top" indent="1"/>
    </xf>
    <xf numFmtId="346" fontId="53" fillId="19" borderId="134" applyNumberFormat="0" applyProtection="0">
      <alignment horizontal="left" vertical="top" indent="1"/>
    </xf>
    <xf numFmtId="346" fontId="268" fillId="129" borderId="129" applyNumberFormat="0" applyAlignment="0" applyProtection="0"/>
    <xf numFmtId="346" fontId="15" fillId="0" borderId="138" applyNumberFormat="0" applyFill="0" applyAlignment="0" applyProtection="0"/>
    <xf numFmtId="346" fontId="15" fillId="0" borderId="138" applyNumberFormat="0" applyFill="0" applyAlignment="0" applyProtection="0"/>
    <xf numFmtId="37" fontId="64" fillId="0" borderId="137" applyNumberFormat="0"/>
    <xf numFmtId="4" fontId="274" fillId="33" borderId="129" applyNumberFormat="0" applyProtection="0">
      <alignment horizontal="right" vertical="center"/>
    </xf>
    <xf numFmtId="4" fontId="273" fillId="35" borderId="135" applyNumberFormat="0" applyProtection="0">
      <alignment horizontal="left" vertical="center" indent="1"/>
    </xf>
    <xf numFmtId="346" fontId="272" fillId="19" borderId="134" applyNumberFormat="0" applyProtection="0">
      <alignment horizontal="left" vertical="top" indent="1"/>
    </xf>
    <xf numFmtId="4" fontId="53" fillId="64" borderId="129" applyNumberFormat="0" applyProtection="0">
      <alignment horizontal="left" vertical="center" indent="1"/>
    </xf>
    <xf numFmtId="4" fontId="270" fillId="50" borderId="129" applyNumberFormat="0" applyProtection="0">
      <alignment horizontal="right" vertical="center"/>
    </xf>
    <xf numFmtId="4" fontId="53" fillId="0" borderId="129" applyNumberFormat="0" applyProtection="0">
      <alignment horizontal="right" vertical="center"/>
    </xf>
    <xf numFmtId="346" fontId="272" fillId="34"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9" fillId="30"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center"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83" borderId="129"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19" borderId="135" applyNumberFormat="0" applyProtection="0">
      <alignment horizontal="left" vertical="center" indent="1"/>
    </xf>
    <xf numFmtId="4" fontId="53" fillId="30" borderId="135" applyNumberFormat="0" applyProtection="0">
      <alignment horizontal="left" vertical="center" indent="1"/>
    </xf>
    <xf numFmtId="4" fontId="53" fillId="19" borderId="129" applyNumberFormat="0" applyProtection="0">
      <alignment horizontal="right" vertical="center"/>
    </xf>
    <xf numFmtId="4" fontId="9" fillId="31" borderId="135" applyNumberFormat="0" applyProtection="0">
      <alignment horizontal="left" vertical="center" indent="1"/>
    </xf>
    <xf numFmtId="4" fontId="9" fillId="31" borderId="135" applyNumberFormat="0" applyProtection="0">
      <alignment horizontal="left" vertical="center" indent="1"/>
    </xf>
    <xf numFmtId="4" fontId="53" fillId="29" borderId="135" applyNumberFormat="0" applyProtection="0">
      <alignment horizontal="left" vertical="center" indent="1"/>
    </xf>
    <xf numFmtId="4" fontId="53" fillId="28" borderId="129" applyNumberFormat="0" applyProtection="0">
      <alignment horizontal="right" vertical="center"/>
    </xf>
    <xf numFmtId="4" fontId="53" fillId="27" borderId="129" applyNumberFormat="0" applyProtection="0">
      <alignment horizontal="right" vertical="center"/>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22" borderId="135" applyNumberFormat="0" applyProtection="0">
      <alignment horizontal="right" vertical="center"/>
    </xf>
    <xf numFmtId="4" fontId="53" fillId="132" borderId="129" applyNumberFormat="0" applyProtection="0">
      <alignment horizontal="right" vertical="center"/>
    </xf>
    <xf numFmtId="4" fontId="53" fillId="20" borderId="129" applyNumberFormat="0" applyProtection="0">
      <alignment horizontal="right" vertical="center"/>
    </xf>
    <xf numFmtId="4" fontId="53" fillId="64" borderId="129" applyNumberFormat="0" applyProtection="0">
      <alignment horizontal="left" vertical="center" indent="1"/>
    </xf>
    <xf numFmtId="346" fontId="271" fillId="18" borderId="134" applyNumberFormat="0" applyProtection="0">
      <alignment horizontal="left" vertical="top" indent="1"/>
    </xf>
    <xf numFmtId="4" fontId="53" fillId="45" borderId="129" applyNumberFormat="0" applyProtection="0">
      <alignment horizontal="left" vertical="center" indent="1"/>
    </xf>
    <xf numFmtId="4" fontId="270" fillId="45" borderId="129" applyNumberFormat="0" applyProtection="0">
      <alignment vertical="center"/>
    </xf>
    <xf numFmtId="4" fontId="53" fillId="18" borderId="129" applyNumberFormat="0" applyProtection="0">
      <alignment vertical="center"/>
    </xf>
    <xf numFmtId="346" fontId="184" fillId="129" borderId="133" applyNumberFormat="0" applyAlignment="0" applyProtection="0"/>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142" fillId="14" borderId="129" applyNumberFormat="0" applyAlignment="0" applyProtection="0"/>
    <xf numFmtId="346" fontId="268" fillId="129" borderId="129" applyNumberFormat="0" applyAlignment="0" applyProtection="0"/>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9" fillId="19" borderId="134" applyNumberFormat="0" applyProtection="0">
      <alignment horizontal="left" vertical="top" indent="1"/>
    </xf>
    <xf numFmtId="346" fontId="53" fillId="31" borderId="134" applyNumberFormat="0" applyProtection="0">
      <alignment horizontal="left" vertical="top" indent="1"/>
    </xf>
    <xf numFmtId="346" fontId="93" fillId="31" borderId="136" applyBorder="0"/>
    <xf numFmtId="346" fontId="53" fillId="13" borderId="129" applyNumberFormat="0" applyFont="0" applyAlignment="0" applyProtection="0"/>
    <xf numFmtId="346" fontId="53" fillId="30" borderId="134" applyNumberFormat="0" applyProtection="0">
      <alignment horizontal="left" vertical="top" indent="1"/>
    </xf>
    <xf numFmtId="346" fontId="9" fillId="30" borderId="134" applyNumberFormat="0" applyProtection="0">
      <alignment horizontal="left" vertical="center"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9" fillId="30" borderId="134" applyNumberFormat="0" applyProtection="0">
      <alignment horizontal="left" vertical="top" indent="1"/>
    </xf>
    <xf numFmtId="4" fontId="270" fillId="50" borderId="129" applyNumberFormat="0" applyProtection="0">
      <alignment horizontal="right" vertical="center"/>
    </xf>
    <xf numFmtId="4" fontId="53" fillId="64" borderId="129" applyNumberFormat="0" applyProtection="0">
      <alignment horizontal="left" vertical="center" indent="1"/>
    </xf>
    <xf numFmtId="346" fontId="272" fillId="19" borderId="134" applyNumberFormat="0" applyProtection="0">
      <alignment horizontal="left" vertical="top" indent="1"/>
    </xf>
    <xf numFmtId="4" fontId="273" fillId="35" borderId="135" applyNumberFormat="0" applyProtection="0">
      <alignment horizontal="left" vertical="center" indent="1"/>
    </xf>
    <xf numFmtId="37" fontId="64" fillId="0" borderId="137" applyNumberFormat="0"/>
    <xf numFmtId="346" fontId="15" fillId="0" borderId="138" applyNumberFormat="0" applyFill="0" applyAlignment="0" applyProtection="0"/>
    <xf numFmtId="346" fontId="53" fillId="32" borderId="134" applyNumberFormat="0" applyProtection="0">
      <alignment horizontal="left" vertical="top" indent="1"/>
    </xf>
    <xf numFmtId="346" fontId="53" fillId="19" borderId="134" applyNumberFormat="0" applyProtection="0">
      <alignment horizontal="left" vertical="top" indent="1"/>
    </xf>
    <xf numFmtId="4" fontId="53" fillId="23" borderId="129" applyNumberFormat="0" applyProtection="0">
      <alignment horizontal="right" vertical="center"/>
    </xf>
    <xf numFmtId="346" fontId="53" fillId="83" borderId="129" applyNumberFormat="0" applyProtection="0">
      <alignment horizontal="left" vertical="center"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4" fontId="53" fillId="64" borderId="129" applyNumberFormat="0" applyProtection="0">
      <alignment horizontal="left" vertical="center" indent="1"/>
    </xf>
    <xf numFmtId="346" fontId="53" fillId="30" borderId="129" applyNumberFormat="0" applyProtection="0">
      <alignment horizontal="left" vertical="center" indent="1"/>
    </xf>
    <xf numFmtId="212" fontId="64" fillId="0" borderId="28" applyFill="0"/>
    <xf numFmtId="4" fontId="272" fillId="34" borderId="134" applyNumberFormat="0" applyProtection="0">
      <alignment vertical="center"/>
    </xf>
    <xf numFmtId="346" fontId="15" fillId="0" borderId="138" applyNumberFormat="0" applyFill="0" applyAlignment="0" applyProtection="0"/>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346" fontId="53" fillId="61" borderId="129" applyNumberFormat="0" applyProtection="0">
      <alignment horizontal="left" vertical="center" indent="1"/>
    </xf>
    <xf numFmtId="4" fontId="53" fillId="26" borderId="129" applyNumberFormat="0" applyProtection="0">
      <alignment horizontal="right" vertical="center"/>
    </xf>
    <xf numFmtId="4" fontId="53" fillId="25" borderId="129" applyNumberFormat="0" applyProtection="0">
      <alignment horizontal="right" vertical="center"/>
    </xf>
    <xf numFmtId="4" fontId="53" fillId="24" borderId="129" applyNumberFormat="0" applyProtection="0">
      <alignment horizontal="right" vertical="center"/>
    </xf>
    <xf numFmtId="4" fontId="53" fillId="23" borderId="129" applyNumberFormat="0" applyProtection="0">
      <alignment horizontal="right" vertical="center"/>
    </xf>
    <xf numFmtId="4" fontId="53" fillId="18" borderId="129" applyNumberFormat="0" applyProtection="0">
      <alignment vertical="center"/>
    </xf>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9" fillId="30" borderId="134" applyNumberFormat="0" applyProtection="0">
      <alignment horizontal="left" vertical="center" indent="1"/>
    </xf>
    <xf numFmtId="346" fontId="268" fillId="129" borderId="129" applyNumberFormat="0" applyAlignment="0" applyProtection="0"/>
    <xf numFmtId="346" fontId="53" fillId="30" borderId="129" applyNumberFormat="0" applyProtection="0">
      <alignment horizontal="left" vertical="center" indent="1"/>
    </xf>
    <xf numFmtId="346" fontId="53" fillId="32" borderId="134" applyNumberFormat="0" applyProtection="0">
      <alignment horizontal="left" vertical="top" indent="1"/>
    </xf>
    <xf numFmtId="37" fontId="64" fillId="0" borderId="137" applyNumberFormat="0"/>
    <xf numFmtId="346" fontId="53" fillId="13" borderId="129" applyNumberFormat="0" applyFont="0" applyAlignment="0" applyProtection="0"/>
    <xf numFmtId="4" fontId="273" fillId="35" borderId="135" applyNumberFormat="0" applyProtection="0">
      <alignment horizontal="left" vertical="center" indent="1"/>
    </xf>
    <xf numFmtId="43" fontId="12" fillId="0" borderId="0" applyFont="0" applyFill="0" applyBorder="0" applyAlignment="0" applyProtection="0"/>
    <xf numFmtId="346" fontId="53" fillId="13" borderId="129" applyNumberFormat="0" applyFont="0" applyAlignment="0" applyProtection="0"/>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4" fontId="272" fillId="34" borderId="134" applyNumberFormat="0" applyProtection="0">
      <alignment vertical="center"/>
    </xf>
    <xf numFmtId="4" fontId="274" fillId="33" borderId="129" applyNumberFormat="0" applyProtection="0">
      <alignment horizontal="right" vertical="center"/>
    </xf>
    <xf numFmtId="346" fontId="15" fillId="0" borderId="138" applyNumberFormat="0" applyFill="0" applyAlignment="0" applyProtection="0"/>
    <xf numFmtId="346" fontId="9" fillId="30" borderId="134" applyNumberFormat="0" applyProtection="0">
      <alignment horizontal="left" vertical="top" indent="1"/>
    </xf>
    <xf numFmtId="4" fontId="53" fillId="26" borderId="129" applyNumberFormat="0" applyProtection="0">
      <alignment horizontal="right" vertical="center"/>
    </xf>
    <xf numFmtId="4" fontId="274" fillId="33" borderId="129" applyNumberFormat="0" applyProtection="0">
      <alignment horizontal="right" vertical="center"/>
    </xf>
    <xf numFmtId="346" fontId="15" fillId="0" borderId="138" applyNumberFormat="0" applyFill="0" applyAlignment="0" applyProtection="0"/>
    <xf numFmtId="346" fontId="9" fillId="30" borderId="134" applyNumberFormat="0" applyProtection="0">
      <alignment horizontal="left" vertical="center" indent="1"/>
    </xf>
    <xf numFmtId="346" fontId="53" fillId="19" borderId="134" applyNumberFormat="0" applyProtection="0">
      <alignment horizontal="left" vertical="top" indent="1"/>
    </xf>
    <xf numFmtId="346" fontId="268" fillId="129" borderId="129" applyNumberFormat="0" applyAlignment="0" applyProtection="0"/>
    <xf numFmtId="4" fontId="53" fillId="24" borderId="129" applyNumberFormat="0" applyProtection="0">
      <alignment horizontal="right" vertical="center"/>
    </xf>
    <xf numFmtId="212" fontId="64" fillId="0" borderId="28" applyFill="0"/>
    <xf numFmtId="346" fontId="53" fillId="13" borderId="129" applyNumberFormat="0" applyFont="0" applyAlignment="0" applyProtection="0"/>
    <xf numFmtId="346" fontId="272" fillId="34" borderId="134" applyNumberFormat="0" applyProtection="0">
      <alignment horizontal="left" vertical="top" indent="1"/>
    </xf>
    <xf numFmtId="4" fontId="272" fillId="34" borderId="134" applyNumberFormat="0" applyProtection="0">
      <alignment vertical="center"/>
    </xf>
    <xf numFmtId="346" fontId="53" fillId="13" borderId="129" applyNumberFormat="0" applyFont="0" applyAlignment="0" applyProtection="0"/>
    <xf numFmtId="346" fontId="53" fillId="13" borderId="129" applyNumberFormat="0" applyFont="0" applyAlignment="0" applyProtection="0"/>
    <xf numFmtId="346" fontId="271" fillId="18" borderId="134" applyNumberFormat="0" applyProtection="0">
      <alignment horizontal="left" vertical="top" indent="1"/>
    </xf>
    <xf numFmtId="4" fontId="53" fillId="25" borderId="129" applyNumberFormat="0" applyProtection="0">
      <alignment horizontal="right" vertical="center"/>
    </xf>
    <xf numFmtId="4" fontId="53" fillId="19" borderId="129" applyNumberFormat="0" applyProtection="0">
      <alignment horizontal="right" vertical="center"/>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9" fillId="32" borderId="134" applyNumberFormat="0" applyProtection="0">
      <alignment horizontal="left" vertical="center" indent="1"/>
    </xf>
    <xf numFmtId="346" fontId="142" fillId="14" borderId="129" applyNumberFormat="0" applyAlignment="0" applyProtection="0"/>
    <xf numFmtId="37" fontId="64" fillId="0" borderId="137" applyNumberFormat="0"/>
    <xf numFmtId="346" fontId="53" fillId="30" borderId="129" applyNumberFormat="0" applyProtection="0">
      <alignment horizontal="left" vertical="center"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9" fillId="19" borderId="134" applyNumberFormat="0" applyProtection="0">
      <alignment horizontal="left" vertical="top" indent="1"/>
    </xf>
    <xf numFmtId="346" fontId="53" fillId="31" borderId="134" applyNumberFormat="0" applyProtection="0">
      <alignment horizontal="left" vertical="top" indent="1"/>
    </xf>
    <xf numFmtId="4" fontId="53" fillId="29" borderId="135" applyNumberFormat="0" applyProtection="0">
      <alignment horizontal="left" vertical="center" indent="1"/>
    </xf>
    <xf numFmtId="346" fontId="142" fillId="14" borderId="129" applyNumberFormat="0" applyAlignment="0" applyProtection="0"/>
    <xf numFmtId="4" fontId="270" fillId="50" borderId="129" applyNumberFormat="0" applyProtection="0">
      <alignment horizontal="right" vertical="center"/>
    </xf>
    <xf numFmtId="4" fontId="272" fillId="34" borderId="134" applyNumberFormat="0" applyProtection="0">
      <alignment vertical="center"/>
    </xf>
    <xf numFmtId="346" fontId="53" fillId="30" borderId="134" applyNumberFormat="0" applyProtection="0">
      <alignment horizontal="left" vertical="top" indent="1"/>
    </xf>
    <xf numFmtId="4" fontId="272" fillId="61" borderId="134" applyNumberFormat="0" applyProtection="0">
      <alignment horizontal="left" vertical="center" indent="1"/>
    </xf>
    <xf numFmtId="346" fontId="9" fillId="30" borderId="134" applyNumberFormat="0" applyProtection="0">
      <alignment horizontal="left" vertical="center" indent="1"/>
    </xf>
    <xf numFmtId="4" fontId="53" fillId="64" borderId="129" applyNumberFormat="0" applyProtection="0">
      <alignment horizontal="left" vertical="center" indent="1"/>
    </xf>
    <xf numFmtId="346" fontId="53" fillId="32" borderId="129" applyNumberFormat="0" applyProtection="0">
      <alignment horizontal="left" vertical="center"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9" fillId="32" borderId="134" applyNumberFormat="0" applyProtection="0">
      <alignment horizontal="left" vertical="top" indent="1"/>
    </xf>
    <xf numFmtId="346" fontId="53" fillId="19" borderId="134" applyNumberFormat="0" applyProtection="0">
      <alignment horizontal="left" vertical="top" indent="1"/>
    </xf>
    <xf numFmtId="346" fontId="9" fillId="19" borderId="134" applyNumberFormat="0" applyProtection="0">
      <alignment horizontal="left" vertical="center"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4" fontId="53" fillId="27" borderId="129" applyNumberFormat="0" applyProtection="0">
      <alignment horizontal="right" vertical="center"/>
    </xf>
    <xf numFmtId="4" fontId="53" fillId="30" borderId="135" applyNumberFormat="0" applyProtection="0">
      <alignment horizontal="left" vertical="center" indent="1"/>
    </xf>
    <xf numFmtId="4" fontId="53" fillId="64" borderId="129" applyNumberFormat="0" applyProtection="0">
      <alignment horizontal="left" vertical="center" indent="1"/>
    </xf>
    <xf numFmtId="4" fontId="53" fillId="27" borderId="129" applyNumberFormat="0" applyProtection="0">
      <alignment horizontal="right" vertical="center"/>
    </xf>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53" fillId="13" borderId="129" applyNumberFormat="0" applyFont="0" applyAlignment="0" applyProtection="0"/>
    <xf numFmtId="4" fontId="270" fillId="45" borderId="129" applyNumberFormat="0" applyProtection="0">
      <alignment vertical="center"/>
    </xf>
    <xf numFmtId="4" fontId="53" fillId="25" borderId="129" applyNumberFormat="0" applyProtection="0">
      <alignment horizontal="right" vertical="center"/>
    </xf>
    <xf numFmtId="4" fontId="53" fillId="19" borderId="135" applyNumberFormat="0" applyProtection="0">
      <alignment horizontal="left" vertical="center"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43" fontId="12" fillId="0" borderId="0" applyFont="0" applyFill="0" applyBorder="0" applyAlignment="0" applyProtection="0"/>
    <xf numFmtId="4" fontId="53" fillId="23" borderId="129" applyNumberFormat="0" applyProtection="0">
      <alignment horizontal="right" vertical="center"/>
    </xf>
    <xf numFmtId="43" fontId="12" fillId="0" borderId="0" applyFont="0" applyFill="0" applyBorder="0" applyAlignment="0" applyProtection="0"/>
    <xf numFmtId="346" fontId="53" fillId="13" borderId="129" applyNumberFormat="0" applyFont="0" applyAlignment="0" applyProtection="0"/>
    <xf numFmtId="4" fontId="53" fillId="18" borderId="129" applyNumberFormat="0" applyProtection="0">
      <alignment vertical="center"/>
    </xf>
    <xf numFmtId="4" fontId="270" fillId="45" borderId="129" applyNumberFormat="0" applyProtection="0">
      <alignment vertical="center"/>
    </xf>
    <xf numFmtId="4" fontId="53" fillId="25" borderId="129" applyNumberFormat="0" applyProtection="0">
      <alignment horizontal="right" vertical="center"/>
    </xf>
    <xf numFmtId="4" fontId="53" fillId="29" borderId="135" applyNumberFormat="0" applyProtection="0">
      <alignment horizontal="left" vertical="center" indent="1"/>
    </xf>
    <xf numFmtId="4" fontId="53" fillId="132" borderId="129" applyNumberFormat="0" applyProtection="0">
      <alignment horizontal="right" vertical="center"/>
    </xf>
    <xf numFmtId="4" fontId="53" fillId="19" borderId="129" applyNumberFormat="0" applyProtection="0">
      <alignment horizontal="right" vertical="center"/>
    </xf>
    <xf numFmtId="346" fontId="53" fillId="61" borderId="129" applyNumberFormat="0" applyProtection="0">
      <alignment horizontal="left" vertical="center" indent="1"/>
    </xf>
    <xf numFmtId="212" fontId="64" fillId="0" borderId="28" applyFill="0"/>
    <xf numFmtId="346" fontId="53" fillId="32" borderId="134" applyNumberFormat="0" applyProtection="0">
      <alignment horizontal="left" vertical="top" indent="1"/>
    </xf>
    <xf numFmtId="4" fontId="53" fillId="19" borderId="129" applyNumberFormat="0" applyProtection="0">
      <alignment horizontal="right" vertical="center"/>
    </xf>
    <xf numFmtId="346" fontId="184" fillId="129" borderId="133" applyNumberFormat="0" applyAlignment="0" applyProtection="0"/>
    <xf numFmtId="346" fontId="53" fillId="13" borderId="129" applyNumberFormat="0" applyFont="0" applyAlignment="0" applyProtection="0"/>
    <xf numFmtId="346" fontId="184" fillId="129" borderId="133" applyNumberFormat="0" applyAlignment="0" applyProtection="0"/>
    <xf numFmtId="346" fontId="53" fillId="61" borderId="129" applyNumberFormat="0" applyProtection="0">
      <alignment horizontal="left" vertical="center"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center" indent="1"/>
    </xf>
    <xf numFmtId="4" fontId="53" fillId="27" borderId="129" applyNumberFormat="0" applyProtection="0">
      <alignment horizontal="right" vertical="center"/>
    </xf>
    <xf numFmtId="346" fontId="271" fillId="18" borderId="134" applyNumberFormat="0" applyProtection="0">
      <alignment horizontal="left" vertical="top" indent="1"/>
    </xf>
    <xf numFmtId="346" fontId="53" fillId="13" borderId="129" applyNumberFormat="0" applyFont="0" applyAlignment="0" applyProtection="0"/>
    <xf numFmtId="346" fontId="142" fillId="14"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4" fontId="53" fillId="132" borderId="129" applyNumberFormat="0" applyProtection="0">
      <alignment horizontal="right" vertical="center"/>
    </xf>
    <xf numFmtId="4" fontId="53" fillId="45" borderId="129" applyNumberFormat="0" applyProtection="0">
      <alignment horizontal="left" vertical="center" indent="1"/>
    </xf>
    <xf numFmtId="4" fontId="9" fillId="31" borderId="135" applyNumberFormat="0" applyProtection="0">
      <alignment horizontal="left" vertical="center" indent="1"/>
    </xf>
    <xf numFmtId="4" fontId="53" fillId="25" borderId="129" applyNumberFormat="0" applyProtection="0">
      <alignment horizontal="right" vertical="center"/>
    </xf>
    <xf numFmtId="4" fontId="53" fillId="23" borderId="129" applyNumberFormat="0" applyProtection="0">
      <alignment horizontal="right" vertical="center"/>
    </xf>
    <xf numFmtId="346" fontId="53" fillId="31" borderId="134" applyNumberFormat="0" applyProtection="0">
      <alignment horizontal="left" vertical="top" indent="1"/>
    </xf>
    <xf numFmtId="346" fontId="268" fillId="129" borderId="129" applyNumberFormat="0" applyAlignment="0" applyProtection="0"/>
    <xf numFmtId="346" fontId="53" fillId="19" borderId="134" applyNumberFormat="0" applyProtection="0">
      <alignment horizontal="left" vertical="top"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9" fillId="30" borderId="134" applyNumberFormat="0" applyProtection="0">
      <alignment horizontal="left" vertical="top" indent="1"/>
    </xf>
    <xf numFmtId="346" fontId="53" fillId="30" borderId="134" applyNumberFormat="0" applyProtection="0">
      <alignment horizontal="left" vertical="top" indent="1"/>
    </xf>
    <xf numFmtId="4" fontId="53" fillId="0" borderId="129" applyNumberFormat="0" applyProtection="0">
      <alignment horizontal="right" vertical="center"/>
    </xf>
    <xf numFmtId="346" fontId="15" fillId="0" borderId="138" applyNumberFormat="0" applyFill="0" applyAlignment="0" applyProtection="0"/>
    <xf numFmtId="346" fontId="93" fillId="31" borderId="136" applyBorder="0"/>
    <xf numFmtId="346" fontId="53" fillId="30" borderId="134" applyNumberFormat="0" applyProtection="0">
      <alignment horizontal="left" vertical="top" indent="1"/>
    </xf>
    <xf numFmtId="346" fontId="53" fillId="30" borderId="134" applyNumberFormat="0" applyProtection="0">
      <alignment horizontal="left" vertical="top" indent="1"/>
    </xf>
    <xf numFmtId="212" fontId="64" fillId="0" borderId="28" applyFill="0"/>
    <xf numFmtId="346" fontId="53" fillId="30" borderId="134" applyNumberFormat="0" applyProtection="0">
      <alignment horizontal="left" vertical="top" indent="1"/>
    </xf>
    <xf numFmtId="4" fontId="53" fillId="27" borderId="129" applyNumberFormat="0" applyProtection="0">
      <alignment horizontal="right" vertical="center"/>
    </xf>
    <xf numFmtId="4" fontId="53" fillId="19" borderId="135" applyNumberFormat="0" applyProtection="0">
      <alignment horizontal="left" vertical="center" indent="1"/>
    </xf>
    <xf numFmtId="346" fontId="53" fillId="31" borderId="134" applyNumberFormat="0" applyProtection="0">
      <alignment horizontal="left" vertical="top"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4" fontId="273" fillId="35" borderId="135" applyNumberFormat="0" applyProtection="0">
      <alignment horizontal="left" vertical="center" indent="1"/>
    </xf>
    <xf numFmtId="346" fontId="142" fillId="14" borderId="129" applyNumberFormat="0" applyAlignment="0" applyProtection="0"/>
    <xf numFmtId="346" fontId="9" fillId="32" borderId="134" applyNumberFormat="0" applyProtection="0">
      <alignment horizontal="left" vertical="top" indent="1"/>
    </xf>
    <xf numFmtId="346" fontId="142" fillId="14" borderId="129" applyNumberFormat="0" applyAlignment="0" applyProtection="0"/>
    <xf numFmtId="346" fontId="9" fillId="19" borderId="134" applyNumberFormat="0" applyProtection="0">
      <alignment horizontal="left" vertical="center" indent="1"/>
    </xf>
    <xf numFmtId="346" fontId="53" fillId="31" borderId="134" applyNumberFormat="0" applyProtection="0">
      <alignment horizontal="left" vertical="top" indent="1"/>
    </xf>
    <xf numFmtId="4" fontId="53" fillId="19" borderId="135" applyNumberFormat="0" applyProtection="0">
      <alignment horizontal="left" vertical="center" indent="1"/>
    </xf>
    <xf numFmtId="4" fontId="53" fillId="27" borderId="129" applyNumberFormat="0" applyProtection="0">
      <alignment horizontal="right" vertical="center"/>
    </xf>
    <xf numFmtId="4" fontId="53" fillId="20" borderId="129" applyNumberFormat="0" applyProtection="0">
      <alignment horizontal="right" vertical="center"/>
    </xf>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32" borderId="129" applyNumberFormat="0" applyProtection="0">
      <alignment horizontal="left" vertical="center" indent="1"/>
    </xf>
    <xf numFmtId="4" fontId="53" fillId="132" borderId="129" applyNumberFormat="0" applyProtection="0">
      <alignment horizontal="right" vertical="center"/>
    </xf>
    <xf numFmtId="346" fontId="53" fillId="30" borderId="134" applyNumberFormat="0" applyProtection="0">
      <alignment horizontal="left" vertical="top" indent="1"/>
    </xf>
    <xf numFmtId="4" fontId="53" fillId="30" borderId="135" applyNumberFormat="0" applyProtection="0">
      <alignment horizontal="left" vertical="center" indent="1"/>
    </xf>
    <xf numFmtId="346" fontId="53" fillId="31" borderId="134" applyNumberFormat="0" applyProtection="0">
      <alignment horizontal="left" vertical="top" indent="1"/>
    </xf>
    <xf numFmtId="346" fontId="53" fillId="83" borderId="129" applyNumberFormat="0" applyProtection="0">
      <alignment horizontal="left" vertical="center"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272" fillId="19" borderId="134" applyNumberFormat="0" applyProtection="0">
      <alignment horizontal="left" vertical="top" indent="1"/>
    </xf>
    <xf numFmtId="4" fontId="53" fillId="0" borderId="129" applyNumberFormat="0" applyProtection="0">
      <alignment horizontal="right" vertical="center"/>
    </xf>
    <xf numFmtId="346" fontId="9" fillId="32" borderId="134" applyNumberFormat="0" applyProtection="0">
      <alignment horizontal="left" vertical="top" indent="1"/>
    </xf>
    <xf numFmtId="37" fontId="64" fillId="0" borderId="137" applyNumberFormat="0"/>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4" fontId="53" fillId="19" borderId="135" applyNumberFormat="0" applyProtection="0">
      <alignment horizontal="left" vertical="center" indent="1"/>
    </xf>
    <xf numFmtId="4" fontId="53" fillId="22" borderId="135" applyNumberFormat="0" applyProtection="0">
      <alignment horizontal="right" vertical="center"/>
    </xf>
    <xf numFmtId="346" fontId="268" fillId="129" borderId="129" applyNumberFormat="0" applyAlignment="0" applyProtection="0"/>
    <xf numFmtId="346" fontId="53" fillId="32" borderId="134" applyNumberFormat="0" applyProtection="0">
      <alignment horizontal="left" vertical="top" indent="1"/>
    </xf>
    <xf numFmtId="346" fontId="53" fillId="13" borderId="129" applyNumberFormat="0" applyFont="0" applyAlignment="0" applyProtection="0"/>
    <xf numFmtId="346" fontId="53" fillId="13" borderId="129" applyNumberFormat="0" applyFont="0" applyAlignment="0" applyProtection="0"/>
    <xf numFmtId="346" fontId="53" fillId="19" borderId="134" applyNumberFormat="0" applyProtection="0">
      <alignment horizontal="left" vertical="top" indent="1"/>
    </xf>
    <xf numFmtId="346" fontId="9" fillId="31" borderId="134" applyNumberFormat="0" applyProtection="0">
      <alignment horizontal="left" vertical="center" indent="1"/>
    </xf>
    <xf numFmtId="346" fontId="9" fillId="19" borderId="134" applyNumberFormat="0" applyProtection="0">
      <alignment horizontal="left" vertical="top" indent="1"/>
    </xf>
    <xf numFmtId="346" fontId="53" fillId="31" borderId="134" applyNumberFormat="0" applyProtection="0">
      <alignment horizontal="left" vertical="top" indent="1"/>
    </xf>
    <xf numFmtId="4" fontId="53" fillId="0" borderId="129" applyNumberFormat="0" applyProtection="0">
      <alignment horizontal="right" vertical="center"/>
    </xf>
    <xf numFmtId="346" fontId="53" fillId="13" borderId="129" applyNumberFormat="0" applyFont="0" applyAlignment="0" applyProtection="0"/>
    <xf numFmtId="4" fontId="53" fillId="23" borderId="129" applyNumberFormat="0" applyProtection="0">
      <alignment horizontal="right" vertical="center"/>
    </xf>
    <xf numFmtId="4" fontId="53" fillId="23" borderId="129" applyNumberFormat="0" applyProtection="0">
      <alignment horizontal="right" vertical="center"/>
    </xf>
    <xf numFmtId="4" fontId="53" fillId="28" borderId="129" applyNumberFormat="0" applyProtection="0">
      <alignment horizontal="right" vertical="center"/>
    </xf>
    <xf numFmtId="346" fontId="53" fillId="61" borderId="129" applyNumberFormat="0" applyProtection="0">
      <alignment horizontal="left" vertical="center"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4" fontId="274" fillId="33" borderId="129" applyNumberFormat="0" applyProtection="0">
      <alignment horizontal="right" vertical="center"/>
    </xf>
    <xf numFmtId="4" fontId="53" fillId="64" borderId="129" applyNumberFormat="0" applyProtection="0">
      <alignment horizontal="left" vertical="center" indent="1"/>
    </xf>
    <xf numFmtId="346" fontId="53" fillId="30" borderId="134" applyNumberFormat="0" applyProtection="0">
      <alignment horizontal="left" vertical="top" indent="1"/>
    </xf>
    <xf numFmtId="4" fontId="273" fillId="35" borderId="135" applyNumberFormat="0" applyProtection="0">
      <alignment horizontal="left" vertical="center"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4" fontId="53" fillId="19" borderId="129" applyNumberFormat="0" applyProtection="0">
      <alignment horizontal="right" vertical="center"/>
    </xf>
    <xf numFmtId="4" fontId="53" fillId="20" borderId="129" applyNumberFormat="0" applyProtection="0">
      <alignment horizontal="right" vertical="center"/>
    </xf>
    <xf numFmtId="346" fontId="53" fillId="30" borderId="134" applyNumberFormat="0" applyProtection="0">
      <alignment horizontal="left" vertical="top" indent="1"/>
    </xf>
    <xf numFmtId="346" fontId="53" fillId="31" borderId="134" applyNumberFormat="0" applyProtection="0">
      <alignment horizontal="left" vertical="top" indent="1"/>
    </xf>
    <xf numFmtId="346" fontId="53" fillId="13" borderId="129" applyNumberFormat="0" applyFont="0" applyAlignment="0" applyProtection="0"/>
    <xf numFmtId="346" fontId="53" fillId="13" borderId="129" applyNumberFormat="0" applyFont="0" applyAlignment="0" applyProtection="0"/>
    <xf numFmtId="4" fontId="53" fillId="64" borderId="129" applyNumberFormat="0" applyProtection="0">
      <alignment horizontal="left" vertical="center" indent="1"/>
    </xf>
    <xf numFmtId="346" fontId="53" fillId="30" borderId="134" applyNumberFormat="0" applyProtection="0">
      <alignment horizontal="left" vertical="top" indent="1"/>
    </xf>
    <xf numFmtId="346" fontId="53" fillId="19" borderId="134" applyNumberFormat="0" applyProtection="0">
      <alignment horizontal="left" vertical="top" indent="1"/>
    </xf>
    <xf numFmtId="4" fontId="9" fillId="31" borderId="135" applyNumberFormat="0" applyProtection="0">
      <alignment horizontal="left" vertical="center" indent="1"/>
    </xf>
    <xf numFmtId="346" fontId="184" fillId="129" borderId="133" applyNumberFormat="0" applyAlignment="0" applyProtection="0"/>
    <xf numFmtId="43" fontId="12" fillId="0" borderId="0" applyFont="0" applyFill="0" applyBorder="0" applyAlignment="0" applyProtection="0"/>
    <xf numFmtId="346" fontId="271" fillId="18" borderId="134" applyNumberFormat="0" applyProtection="0">
      <alignment horizontal="left" vertical="top" indent="1"/>
    </xf>
    <xf numFmtId="4" fontId="53" fillId="27" borderId="129" applyNumberFormat="0" applyProtection="0">
      <alignment horizontal="right" vertical="center"/>
    </xf>
    <xf numFmtId="4" fontId="53" fillId="19" borderId="135" applyNumberFormat="0" applyProtection="0">
      <alignment horizontal="left" vertical="center" indent="1"/>
    </xf>
    <xf numFmtId="346" fontId="9" fillId="31" borderId="134" applyNumberFormat="0" applyProtection="0">
      <alignment horizontal="left" vertical="top" indent="1"/>
    </xf>
    <xf numFmtId="346" fontId="53" fillId="32" borderId="134" applyNumberFormat="0" applyProtection="0">
      <alignment horizontal="left" vertical="top" indent="1"/>
    </xf>
    <xf numFmtId="346" fontId="53" fillId="32" borderId="129" applyNumberFormat="0" applyProtection="0">
      <alignment horizontal="left" vertical="center" indent="1"/>
    </xf>
    <xf numFmtId="346" fontId="9" fillId="19" borderId="134" applyNumberFormat="0" applyProtection="0">
      <alignment horizontal="left" vertical="center" indent="1"/>
    </xf>
    <xf numFmtId="346" fontId="53" fillId="31" borderId="134" applyNumberFormat="0" applyProtection="0">
      <alignment horizontal="left" vertical="top" indent="1"/>
    </xf>
    <xf numFmtId="4" fontId="9" fillId="31" borderId="135" applyNumberFormat="0" applyProtection="0">
      <alignment horizontal="left" vertical="center" indent="1"/>
    </xf>
    <xf numFmtId="4" fontId="53" fillId="132" borderId="129" applyNumberFormat="0" applyProtection="0">
      <alignment horizontal="right" vertical="center"/>
    </xf>
    <xf numFmtId="346" fontId="53" fillId="13" borderId="129" applyNumberFormat="0" applyFont="0" applyAlignment="0" applyProtection="0"/>
    <xf numFmtId="346" fontId="268" fillId="129" borderId="129" applyNumberFormat="0" applyAlignment="0" applyProtection="0"/>
    <xf numFmtId="346" fontId="142" fillId="14"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4" fontId="270" fillId="45" borderId="129" applyNumberFormat="0" applyProtection="0">
      <alignment vertical="center"/>
    </xf>
    <xf numFmtId="4" fontId="53" fillId="19" borderId="129" applyNumberFormat="0" applyProtection="0">
      <alignment horizontal="right" vertical="center"/>
    </xf>
    <xf numFmtId="4" fontId="53" fillId="132" borderId="129" applyNumberFormat="0" applyProtection="0">
      <alignment horizontal="right" vertical="center"/>
    </xf>
    <xf numFmtId="346" fontId="53" fillId="31" borderId="134" applyNumberFormat="0" applyProtection="0">
      <alignment horizontal="left" vertical="top" indent="1"/>
    </xf>
    <xf numFmtId="4" fontId="53" fillId="29" borderId="135" applyNumberFormat="0" applyProtection="0">
      <alignment horizontal="left" vertical="center" indent="1"/>
    </xf>
    <xf numFmtId="4" fontId="53" fillId="26" borderId="129" applyNumberFormat="0" applyProtection="0">
      <alignment horizontal="right" vertical="center"/>
    </xf>
    <xf numFmtId="346" fontId="53" fillId="31"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53" fillId="30" borderId="134" applyNumberFormat="0" applyProtection="0">
      <alignment horizontal="left" vertical="top" indent="1"/>
    </xf>
    <xf numFmtId="4" fontId="272" fillId="34" borderId="134" applyNumberFormat="0" applyProtection="0">
      <alignment vertical="center"/>
    </xf>
    <xf numFmtId="4" fontId="273" fillId="35" borderId="135" applyNumberFormat="0" applyProtection="0">
      <alignment horizontal="left" vertical="center" indent="1"/>
    </xf>
    <xf numFmtId="346" fontId="53" fillId="19" borderId="134" applyNumberFormat="0" applyProtection="0">
      <alignment horizontal="left" vertical="top" indent="1"/>
    </xf>
    <xf numFmtId="4" fontId="53" fillId="64" borderId="129" applyNumberFormat="0" applyProtection="0">
      <alignment horizontal="left" vertical="center" indent="1"/>
    </xf>
    <xf numFmtId="346" fontId="53" fillId="30" borderId="134" applyNumberFormat="0" applyProtection="0">
      <alignment horizontal="left" vertical="top" indent="1"/>
    </xf>
    <xf numFmtId="4" fontId="53" fillId="0" borderId="129" applyNumberFormat="0" applyProtection="0">
      <alignment horizontal="right" vertical="center"/>
    </xf>
    <xf numFmtId="346" fontId="268" fillId="129" borderId="129" applyNumberFormat="0" applyAlignment="0" applyProtection="0"/>
    <xf numFmtId="346" fontId="53" fillId="13" borderId="129" applyNumberFormat="0" applyFont="0" applyAlignment="0" applyProtection="0"/>
    <xf numFmtId="4" fontId="9" fillId="31" borderId="135" applyNumberFormat="0" applyProtection="0">
      <alignment horizontal="left" vertical="center"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15" fillId="0" borderId="138" applyNumberFormat="0" applyFill="0" applyAlignment="0" applyProtection="0"/>
    <xf numFmtId="346" fontId="53" fillId="13" borderId="129" applyNumberFormat="0" applyFont="0" applyAlignment="0" applyProtection="0"/>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4" fontId="9" fillId="31" borderId="135" applyNumberFormat="0" applyProtection="0">
      <alignment horizontal="left" vertical="center" indent="1"/>
    </xf>
    <xf numFmtId="4" fontId="53" fillId="23" borderId="129" applyNumberFormat="0" applyProtection="0">
      <alignment horizontal="right" vertical="center"/>
    </xf>
    <xf numFmtId="4" fontId="270" fillId="45" borderId="129" applyNumberFormat="0" applyProtection="0">
      <alignment vertical="center"/>
    </xf>
    <xf numFmtId="346" fontId="53" fillId="13" borderId="129" applyNumberFormat="0" applyFont="0" applyAlignment="0" applyProtection="0"/>
    <xf numFmtId="346" fontId="268" fillId="129" borderId="129" applyNumberFormat="0" applyAlignment="0" applyProtection="0"/>
    <xf numFmtId="4" fontId="53" fillId="132" borderId="129" applyNumberFormat="0" applyProtection="0">
      <alignment horizontal="right" vertical="center"/>
    </xf>
    <xf numFmtId="346" fontId="53" fillId="13" borderId="129" applyNumberFormat="0" applyFont="0" applyAlignment="0" applyProtection="0"/>
    <xf numFmtId="346" fontId="272" fillId="34" borderId="134" applyNumberFormat="0" applyProtection="0">
      <alignment horizontal="left" vertical="top" indent="1"/>
    </xf>
    <xf numFmtId="4" fontId="53" fillId="25" borderId="129" applyNumberFormat="0" applyProtection="0">
      <alignment horizontal="right" vertical="center"/>
    </xf>
    <xf numFmtId="4" fontId="9" fillId="31" borderId="135" applyNumberFormat="0" applyProtection="0">
      <alignment horizontal="left" vertical="center"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9" fillId="30" borderId="134" applyNumberFormat="0" applyProtection="0">
      <alignment horizontal="left" vertical="center"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15" fillId="0" borderId="138" applyNumberFormat="0" applyFill="0" applyAlignment="0" applyProtection="0"/>
    <xf numFmtId="346" fontId="53" fillId="32" borderId="134" applyNumberFormat="0" applyProtection="0">
      <alignment horizontal="left" vertical="top" indent="1"/>
    </xf>
    <xf numFmtId="346" fontId="268" fillId="129" borderId="129" applyNumberFormat="0" applyAlignment="0" applyProtection="0"/>
    <xf numFmtId="4" fontId="53" fillId="0" borderId="129" applyNumberFormat="0" applyProtection="0">
      <alignment horizontal="right" vertical="center"/>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83" borderId="129" applyNumberFormat="0" applyProtection="0">
      <alignment horizontal="left" vertical="center" indent="1"/>
    </xf>
    <xf numFmtId="346" fontId="9" fillId="31" borderId="134" applyNumberFormat="0" applyProtection="0">
      <alignment horizontal="left" vertical="top" indent="1"/>
    </xf>
    <xf numFmtId="4" fontId="53" fillId="28" borderId="129" applyNumberFormat="0" applyProtection="0">
      <alignment horizontal="right" vertical="center"/>
    </xf>
    <xf numFmtId="346" fontId="271" fillId="18" borderId="134" applyNumberFormat="0" applyProtection="0">
      <alignment horizontal="left" vertical="top" indent="1"/>
    </xf>
    <xf numFmtId="346" fontId="93" fillId="31" borderId="136" applyBorder="0"/>
    <xf numFmtId="346" fontId="53" fillId="32" borderId="129" applyNumberFormat="0" applyProtection="0">
      <alignment horizontal="left" vertical="center" indent="1"/>
    </xf>
    <xf numFmtId="346" fontId="142" fillId="14" borderId="129" applyNumberFormat="0" applyAlignment="0" applyProtection="0"/>
    <xf numFmtId="4" fontId="272" fillId="61" borderId="134" applyNumberFormat="0" applyProtection="0">
      <alignment horizontal="left" vertical="center" indent="1"/>
    </xf>
    <xf numFmtId="346" fontId="53" fillId="13" borderId="129" applyNumberFormat="0" applyFont="0" applyAlignment="0" applyProtection="0"/>
    <xf numFmtId="346" fontId="268" fillId="129" borderId="129" applyNumberFormat="0" applyAlignment="0" applyProtection="0"/>
    <xf numFmtId="4" fontId="53" fillId="45" borderId="129" applyNumberFormat="0" applyProtection="0">
      <alignment horizontal="left" vertical="center" indent="1"/>
    </xf>
    <xf numFmtId="4" fontId="53" fillId="24" borderId="129" applyNumberFormat="0" applyProtection="0">
      <alignment horizontal="right" vertical="center"/>
    </xf>
    <xf numFmtId="4" fontId="9" fillId="31" borderId="135" applyNumberFormat="0" applyProtection="0">
      <alignment horizontal="left" vertical="center" indent="1"/>
    </xf>
    <xf numFmtId="346" fontId="9" fillId="31" borderId="134" applyNumberFormat="0" applyProtection="0">
      <alignment horizontal="left" vertical="top"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32" borderId="129" applyNumberFormat="0" applyProtection="0">
      <alignment horizontal="left" vertical="center" indent="1"/>
    </xf>
    <xf numFmtId="346" fontId="15" fillId="0" borderId="138" applyNumberFormat="0" applyFill="0" applyAlignment="0" applyProtection="0"/>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4" fontId="9" fillId="31" borderId="135" applyNumberFormat="0" applyProtection="0">
      <alignment horizontal="left" vertical="center" indent="1"/>
    </xf>
    <xf numFmtId="4" fontId="53" fillId="64" borderId="129" applyNumberFormat="0" applyProtection="0">
      <alignment horizontal="left" vertical="center" indent="1"/>
    </xf>
    <xf numFmtId="346" fontId="272" fillId="34" borderId="134" applyNumberFormat="0" applyProtection="0">
      <alignment horizontal="left" vertical="top" indent="1"/>
    </xf>
    <xf numFmtId="346" fontId="53" fillId="30" borderId="134" applyNumberFormat="0" applyProtection="0">
      <alignment horizontal="left" vertical="top" indent="1"/>
    </xf>
    <xf numFmtId="346" fontId="272" fillId="34" borderId="134" applyNumberFormat="0" applyProtection="0">
      <alignment horizontal="left" vertical="top" indent="1"/>
    </xf>
    <xf numFmtId="346" fontId="53" fillId="32" borderId="134" applyNumberFormat="0" applyProtection="0">
      <alignment horizontal="left" vertical="top" indent="1"/>
    </xf>
    <xf numFmtId="346" fontId="272" fillId="19" borderId="134" applyNumberFormat="0" applyProtection="0">
      <alignment horizontal="left" vertical="top" indent="1"/>
    </xf>
    <xf numFmtId="346" fontId="93" fillId="31" borderId="136" applyBorder="0"/>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212" fontId="64" fillId="0" borderId="28" applyFill="0"/>
    <xf numFmtId="4" fontId="53" fillId="28" borderId="129" applyNumberFormat="0" applyProtection="0">
      <alignment horizontal="right" vertical="center"/>
    </xf>
    <xf numFmtId="4" fontId="53" fillId="19" borderId="135" applyNumberFormat="0" applyProtection="0">
      <alignment horizontal="left" vertical="center" indent="1"/>
    </xf>
    <xf numFmtId="4" fontId="53" fillId="20" borderId="129" applyNumberFormat="0" applyProtection="0">
      <alignment horizontal="right" vertical="center"/>
    </xf>
    <xf numFmtId="4" fontId="53" fillId="28" borderId="129" applyNumberFormat="0" applyProtection="0">
      <alignment horizontal="right" vertical="center"/>
    </xf>
    <xf numFmtId="346" fontId="184" fillId="129" borderId="133"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142" fillId="14" borderId="129" applyNumberFormat="0" applyAlignment="0" applyProtection="0"/>
    <xf numFmtId="346" fontId="53" fillId="13" borderId="129" applyNumberFormat="0" applyFont="0" applyAlignment="0" applyProtection="0"/>
    <xf numFmtId="4" fontId="53" fillId="18" borderId="129" applyNumberFormat="0" applyProtection="0">
      <alignment vertical="center"/>
    </xf>
    <xf numFmtId="4" fontId="53" fillId="24" borderId="129" applyNumberFormat="0" applyProtection="0">
      <alignment horizontal="right" vertical="center"/>
    </xf>
    <xf numFmtId="4" fontId="53" fillId="30" borderId="135" applyNumberFormat="0" applyProtection="0">
      <alignment horizontal="left" vertical="center"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9" fillId="32" borderId="134" applyNumberFormat="0" applyProtection="0">
      <alignment horizontal="left" vertical="center" indent="1"/>
    </xf>
    <xf numFmtId="346" fontId="53" fillId="32" borderId="134" applyNumberFormat="0" applyProtection="0">
      <alignment horizontal="left" vertical="top" indent="1"/>
    </xf>
    <xf numFmtId="346" fontId="53" fillId="31" borderId="134" applyNumberFormat="0" applyProtection="0">
      <alignment horizontal="left" vertical="top" indent="1"/>
    </xf>
    <xf numFmtId="4" fontId="53" fillId="24" borderId="129" applyNumberFormat="0" applyProtection="0">
      <alignment horizontal="right" vertical="center"/>
    </xf>
    <xf numFmtId="4" fontId="53" fillId="18" borderId="129" applyNumberFormat="0" applyProtection="0">
      <alignment vertical="center"/>
    </xf>
    <xf numFmtId="4" fontId="53" fillId="64" borderId="129" applyNumberFormat="0" applyProtection="0">
      <alignment horizontal="left" vertical="center" indent="1"/>
    </xf>
    <xf numFmtId="4" fontId="53" fillId="45" borderId="129" applyNumberFormat="0" applyProtection="0">
      <alignment horizontal="left" vertical="center" indent="1"/>
    </xf>
    <xf numFmtId="4" fontId="53" fillId="26" borderId="129" applyNumberFormat="0" applyProtection="0">
      <alignment horizontal="right" vertical="center"/>
    </xf>
    <xf numFmtId="4" fontId="9" fillId="31" borderId="135" applyNumberFormat="0" applyProtection="0">
      <alignment horizontal="left" vertical="center" indent="1"/>
    </xf>
    <xf numFmtId="4" fontId="53" fillId="22" borderId="135" applyNumberFormat="0" applyProtection="0">
      <alignment horizontal="right" vertical="center"/>
    </xf>
    <xf numFmtId="4" fontId="53" fillId="30" borderId="135" applyNumberFormat="0" applyProtection="0">
      <alignment horizontal="left" vertical="center" indent="1"/>
    </xf>
    <xf numFmtId="346" fontId="9" fillId="31" borderId="134" applyNumberFormat="0" applyProtection="0">
      <alignment horizontal="left" vertical="center" indent="1"/>
    </xf>
    <xf numFmtId="346" fontId="53" fillId="32" borderId="134" applyNumberFormat="0" applyProtection="0">
      <alignment horizontal="left" vertical="top" indent="1"/>
    </xf>
    <xf numFmtId="4" fontId="9" fillId="31" borderId="135" applyNumberFormat="0" applyProtection="0">
      <alignment horizontal="left" vertical="center" indent="1"/>
    </xf>
    <xf numFmtId="346" fontId="184" fillId="129" borderId="133" applyNumberFormat="0" applyAlignment="0" applyProtection="0"/>
    <xf numFmtId="346" fontId="53" fillId="13" borderId="129" applyNumberFormat="0" applyFont="0" applyAlignment="0" applyProtection="0"/>
    <xf numFmtId="4" fontId="53" fillId="18" borderId="129" applyNumberFormat="0" applyProtection="0">
      <alignment vertical="center"/>
    </xf>
    <xf numFmtId="346" fontId="9" fillId="31" borderId="134" applyNumberFormat="0" applyProtection="0">
      <alignment horizontal="left" vertical="center" indent="1"/>
    </xf>
    <xf numFmtId="346" fontId="53" fillId="30" borderId="134" applyNumberFormat="0" applyProtection="0">
      <alignment horizontal="left" vertical="top" indent="1"/>
    </xf>
    <xf numFmtId="346" fontId="9"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53" fillId="61" borderId="129" applyNumberFormat="0" applyProtection="0">
      <alignment horizontal="left" vertical="center" indent="1"/>
    </xf>
    <xf numFmtId="4" fontId="53" fillId="26" borderId="129" applyNumberFormat="0" applyProtection="0">
      <alignment horizontal="right" vertical="center"/>
    </xf>
    <xf numFmtId="4" fontId="53" fillId="45" borderId="129" applyNumberFormat="0" applyProtection="0">
      <alignment horizontal="left" vertical="center" indent="1"/>
    </xf>
    <xf numFmtId="346" fontId="53" fillId="13" borderId="129" applyNumberFormat="0" applyFont="0" applyAlignment="0" applyProtection="0"/>
    <xf numFmtId="346" fontId="142" fillId="14" borderId="129" applyNumberForma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4" fontId="53" fillId="25" borderId="129" applyNumberFormat="0" applyProtection="0">
      <alignment horizontal="right" vertical="center"/>
    </xf>
    <xf numFmtId="346" fontId="271" fillId="18" borderId="134" applyNumberFormat="0" applyProtection="0">
      <alignment horizontal="left" vertical="top" indent="1"/>
    </xf>
    <xf numFmtId="4" fontId="53" fillId="19" borderId="129" applyNumberFormat="0" applyProtection="0">
      <alignment horizontal="right" vertical="center"/>
    </xf>
    <xf numFmtId="4" fontId="53" fillId="26" borderId="129" applyNumberFormat="0" applyProtection="0">
      <alignment horizontal="right" vertical="center"/>
    </xf>
    <xf numFmtId="4" fontId="53" fillId="24" borderId="129" applyNumberFormat="0" applyProtection="0">
      <alignment horizontal="right" vertical="center"/>
    </xf>
    <xf numFmtId="346" fontId="53" fillId="31" borderId="134" applyNumberFormat="0" applyProtection="0">
      <alignment horizontal="left" vertical="top" indent="1"/>
    </xf>
    <xf numFmtId="346" fontId="268" fillId="129" borderId="129" applyNumberFormat="0" applyAlignment="0" applyProtection="0"/>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4" fontId="270" fillId="50" borderId="129" applyNumberFormat="0" applyProtection="0">
      <alignment horizontal="right" vertical="center"/>
    </xf>
    <xf numFmtId="346" fontId="15" fillId="0" borderId="138" applyNumberFormat="0" applyFill="0" applyAlignment="0" applyProtection="0"/>
    <xf numFmtId="4" fontId="272" fillId="34" borderId="134" applyNumberFormat="0" applyProtection="0">
      <alignment vertical="center"/>
    </xf>
    <xf numFmtId="346" fontId="53" fillId="30" borderId="134" applyNumberFormat="0" applyProtection="0">
      <alignment horizontal="left" vertical="top" indent="1"/>
    </xf>
    <xf numFmtId="346" fontId="93" fillId="31" borderId="136" applyBorder="0"/>
    <xf numFmtId="4" fontId="53" fillId="0" borderId="129" applyNumberFormat="0" applyProtection="0">
      <alignment horizontal="right" vertical="center"/>
    </xf>
    <xf numFmtId="346" fontId="53" fillId="30" borderId="134" applyNumberFormat="0" applyProtection="0">
      <alignment horizontal="left" vertical="top" indent="1"/>
    </xf>
    <xf numFmtId="4" fontId="53" fillId="28" borderId="129" applyNumberFormat="0" applyProtection="0">
      <alignment horizontal="right" vertical="center"/>
    </xf>
    <xf numFmtId="346" fontId="53" fillId="61" borderId="129" applyNumberFormat="0" applyProtection="0">
      <alignment horizontal="left" vertical="center"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4" fontId="274" fillId="33" borderId="129" applyNumberFormat="0" applyProtection="0">
      <alignment horizontal="right" vertical="center"/>
    </xf>
    <xf numFmtId="346" fontId="142" fillId="14" borderId="129" applyNumberFormat="0" applyAlignment="0" applyProtection="0"/>
    <xf numFmtId="346" fontId="53" fillId="32" borderId="134" applyNumberFormat="0" applyProtection="0">
      <alignment horizontal="left" vertical="top" indent="1"/>
    </xf>
    <xf numFmtId="346" fontId="142" fillId="14" borderId="129" applyNumberFormat="0" applyAlignment="0" applyProtection="0"/>
    <xf numFmtId="346" fontId="53" fillId="83" borderId="129" applyNumberFormat="0" applyProtection="0">
      <alignment horizontal="left" vertical="center" indent="1"/>
    </xf>
    <xf numFmtId="346" fontId="53" fillId="31" borderId="134" applyNumberFormat="0" applyProtection="0">
      <alignment horizontal="left" vertical="top" indent="1"/>
    </xf>
    <xf numFmtId="4" fontId="53" fillId="30" borderId="135" applyNumberFormat="0" applyProtection="0">
      <alignment horizontal="left" vertical="center" indent="1"/>
    </xf>
    <xf numFmtId="4" fontId="53" fillId="26" borderId="129" applyNumberFormat="0" applyProtection="0">
      <alignment horizontal="right" vertical="center"/>
    </xf>
    <xf numFmtId="4" fontId="53" fillId="64" borderId="129" applyNumberFormat="0" applyProtection="0">
      <alignment horizontal="left" vertical="center" indent="1"/>
    </xf>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53" fillId="13" borderId="129" applyNumberFormat="0" applyFont="0" applyAlignment="0" applyProtection="0"/>
    <xf numFmtId="346" fontId="93" fillId="31" borderId="136" applyBorder="0"/>
    <xf numFmtId="4" fontId="53" fillId="22" borderId="135" applyNumberFormat="0" applyProtection="0">
      <alignment horizontal="right" vertical="center"/>
    </xf>
    <xf numFmtId="346" fontId="53" fillId="30" borderId="134" applyNumberFormat="0" applyProtection="0">
      <alignment horizontal="left" vertical="top" indent="1"/>
    </xf>
    <xf numFmtId="4" fontId="53" fillId="19" borderId="135" applyNumberFormat="0" applyProtection="0">
      <alignment horizontal="left" vertical="center" indent="1"/>
    </xf>
    <xf numFmtId="346" fontId="53" fillId="31" borderId="134" applyNumberFormat="0" applyProtection="0">
      <alignment horizontal="left" vertical="top" indent="1"/>
    </xf>
    <xf numFmtId="346" fontId="9" fillId="19" borderId="134" applyNumberFormat="0" applyProtection="0">
      <alignment horizontal="left" vertical="center" indent="1"/>
    </xf>
    <xf numFmtId="346" fontId="53" fillId="19" borderId="134" applyNumberFormat="0" applyProtection="0">
      <alignment horizontal="left" vertical="top" indent="1"/>
    </xf>
    <xf numFmtId="346" fontId="9" fillId="32"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4" fontId="273" fillId="35" borderId="135" applyNumberFormat="0" applyProtection="0">
      <alignment horizontal="left" vertical="center" indent="1"/>
    </xf>
    <xf numFmtId="4" fontId="270" fillId="50" borderId="129" applyNumberFormat="0" applyProtection="0">
      <alignment horizontal="right" vertical="center"/>
    </xf>
    <xf numFmtId="346" fontId="53" fillId="13" borderId="129" applyNumberFormat="0" applyFont="0" applyAlignment="0" applyProtection="0"/>
    <xf numFmtId="4" fontId="274" fillId="33" borderId="129" applyNumberFormat="0" applyProtection="0">
      <alignment horizontal="right" vertical="center"/>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4" fontId="53" fillId="30" borderId="135" applyNumberFormat="0" applyProtection="0">
      <alignment horizontal="left" vertical="center" indent="1"/>
    </xf>
    <xf numFmtId="4" fontId="53" fillId="132" borderId="129" applyNumberFormat="0" applyProtection="0">
      <alignment horizontal="right" vertical="center"/>
    </xf>
    <xf numFmtId="346" fontId="53" fillId="32" borderId="134" applyNumberFormat="0" applyProtection="0">
      <alignment horizontal="left" vertical="top" indent="1"/>
    </xf>
    <xf numFmtId="346" fontId="53" fillId="13" borderId="129" applyNumberFormat="0" applyFont="0" applyAlignment="0" applyProtection="0"/>
    <xf numFmtId="346" fontId="53" fillId="13" borderId="129" applyNumberFormat="0" applyFont="0" applyAlignment="0" applyProtection="0"/>
    <xf numFmtId="346" fontId="53" fillId="32" borderId="129" applyNumberFormat="0" applyProtection="0">
      <alignment horizontal="left" vertical="center"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4" fontId="270" fillId="50" borderId="129" applyNumberFormat="0" applyProtection="0">
      <alignment horizontal="right" vertical="center"/>
    </xf>
    <xf numFmtId="346" fontId="53" fillId="13" borderId="129" applyNumberFormat="0" applyFont="0" applyAlignment="0" applyProtection="0"/>
    <xf numFmtId="4" fontId="53" fillId="22" borderId="135" applyNumberFormat="0" applyProtection="0">
      <alignment horizontal="right" vertical="center"/>
    </xf>
    <xf numFmtId="4" fontId="53" fillId="24" borderId="129" applyNumberFormat="0" applyProtection="0">
      <alignment horizontal="right" vertical="center"/>
    </xf>
    <xf numFmtId="4" fontId="53" fillId="29" borderId="135" applyNumberFormat="0" applyProtection="0">
      <alignment horizontal="left" vertical="center" indent="1"/>
    </xf>
    <xf numFmtId="346" fontId="9" fillId="31" borderId="134" applyNumberFormat="0" applyProtection="0">
      <alignment horizontal="left" vertical="center" indent="1"/>
    </xf>
    <xf numFmtId="346" fontId="53" fillId="31" borderId="134" applyNumberFormat="0" applyProtection="0">
      <alignment horizontal="left" vertical="top" indent="1"/>
    </xf>
    <xf numFmtId="346" fontId="9" fillId="19"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29" applyNumberFormat="0" applyProtection="0">
      <alignment horizontal="left" vertical="center"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7" fontId="64" fillId="0" borderId="137" applyNumberFormat="0"/>
    <xf numFmtId="4" fontId="274" fillId="33" borderId="129" applyNumberFormat="0" applyProtection="0">
      <alignment horizontal="right" vertical="center"/>
    </xf>
    <xf numFmtId="346" fontId="53" fillId="19" borderId="134" applyNumberFormat="0" applyProtection="0">
      <alignment horizontal="left" vertical="top" indent="1"/>
    </xf>
    <xf numFmtId="346" fontId="272" fillId="19" borderId="134" applyNumberFormat="0" applyProtection="0">
      <alignment horizontal="left" vertical="top" indent="1"/>
    </xf>
    <xf numFmtId="346" fontId="53" fillId="30" borderId="134" applyNumberFormat="0" applyProtection="0">
      <alignment horizontal="left" vertical="top" indent="1"/>
    </xf>
    <xf numFmtId="346" fontId="9" fillId="32" borderId="134" applyNumberFormat="0" applyProtection="0">
      <alignment horizontal="left" vertical="center" indent="1"/>
    </xf>
    <xf numFmtId="346" fontId="9" fillId="19" borderId="134" applyNumberFormat="0" applyProtection="0">
      <alignment horizontal="left" vertical="center" indent="1"/>
    </xf>
    <xf numFmtId="346" fontId="53" fillId="31" borderId="134" applyNumberFormat="0" applyProtection="0">
      <alignment horizontal="left" vertical="top" indent="1"/>
    </xf>
    <xf numFmtId="4" fontId="9" fillId="31" borderId="135" applyNumberFormat="0" applyProtection="0">
      <alignment horizontal="left" vertical="center" indent="1"/>
    </xf>
    <xf numFmtId="4" fontId="53" fillId="64" borderId="129" applyNumberFormat="0" applyProtection="0">
      <alignment horizontal="left" vertical="center" indent="1"/>
    </xf>
    <xf numFmtId="346" fontId="53" fillId="31" borderId="134" applyNumberFormat="0" applyProtection="0">
      <alignment horizontal="left" vertical="top" indent="1"/>
    </xf>
    <xf numFmtId="346" fontId="53" fillId="13" borderId="129" applyNumberFormat="0" applyFont="0" applyAlignment="0" applyProtection="0"/>
    <xf numFmtId="4" fontId="270" fillId="50" borderId="129" applyNumberFormat="0" applyProtection="0">
      <alignment horizontal="right" vertical="center"/>
    </xf>
    <xf numFmtId="346" fontId="9" fillId="30" borderId="134" applyNumberFormat="0" applyProtection="0">
      <alignment horizontal="left" vertical="top" indent="1"/>
    </xf>
    <xf numFmtId="346" fontId="53" fillId="19" borderId="134" applyNumberFormat="0" applyProtection="0">
      <alignment horizontal="left" vertical="top" indent="1"/>
    </xf>
    <xf numFmtId="4" fontId="53" fillId="29" borderId="135" applyNumberFormat="0" applyProtection="0">
      <alignment horizontal="left" vertical="center" indent="1"/>
    </xf>
    <xf numFmtId="4" fontId="53" fillId="22" borderId="135" applyNumberFormat="0" applyProtection="0">
      <alignment horizontal="right" vertical="center"/>
    </xf>
    <xf numFmtId="4" fontId="272" fillId="61" borderId="134" applyNumberFormat="0" applyProtection="0">
      <alignment horizontal="left" vertical="center" indent="1"/>
    </xf>
    <xf numFmtId="346" fontId="15" fillId="0" borderId="138" applyNumberFormat="0" applyFill="0" applyAlignment="0" applyProtection="0"/>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0" borderId="134" applyNumberFormat="0" applyProtection="0">
      <alignment horizontal="left" vertical="top" indent="1"/>
    </xf>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268" fillId="129" borderId="129" applyNumberFormat="0" applyAlignment="0" applyProtection="0"/>
    <xf numFmtId="346" fontId="53" fillId="13" borderId="129" applyNumberFormat="0" applyFont="0" applyAlignment="0" applyProtection="0"/>
    <xf numFmtId="4" fontId="270" fillId="45" borderId="129" applyNumberFormat="0" applyProtection="0">
      <alignment vertical="center"/>
    </xf>
    <xf numFmtId="4" fontId="53" fillId="27" borderId="129" applyNumberFormat="0" applyProtection="0">
      <alignment horizontal="right" vertical="center"/>
    </xf>
    <xf numFmtId="346" fontId="53" fillId="31" borderId="134" applyNumberFormat="0" applyProtection="0">
      <alignment horizontal="left" vertical="top" indent="1"/>
    </xf>
    <xf numFmtId="346" fontId="53" fillId="31" borderId="134" applyNumberFormat="0" applyProtection="0">
      <alignment horizontal="left" vertical="top"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272" fillId="34" borderId="134" applyNumberFormat="0" applyProtection="0">
      <alignment horizontal="left" vertical="top" indent="1"/>
    </xf>
    <xf numFmtId="346" fontId="15" fillId="0" borderId="138" applyNumberFormat="0" applyFill="0" applyAlignment="0" applyProtection="0"/>
    <xf numFmtId="346" fontId="53" fillId="30" borderId="134" applyNumberFormat="0" applyProtection="0">
      <alignment horizontal="left" vertical="top" indent="1"/>
    </xf>
    <xf numFmtId="346" fontId="53" fillId="32" borderId="129" applyNumberFormat="0" applyProtection="0">
      <alignment horizontal="left" vertical="center"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9" fillId="31" borderId="134" applyNumberFormat="0" applyProtection="0">
      <alignment horizontal="left" vertical="top" indent="1"/>
    </xf>
    <xf numFmtId="4" fontId="9" fillId="31" borderId="135" applyNumberFormat="0" applyProtection="0">
      <alignment horizontal="left" vertical="center" indent="1"/>
    </xf>
    <xf numFmtId="4" fontId="53" fillId="26" borderId="129" applyNumberFormat="0" applyProtection="0">
      <alignment horizontal="right" vertical="center"/>
    </xf>
    <xf numFmtId="346" fontId="53" fillId="13" borderId="129" applyNumberFormat="0" applyFont="0" applyAlignment="0" applyProtection="0"/>
    <xf numFmtId="4" fontId="53" fillId="18" borderId="129" applyNumberFormat="0" applyProtection="0">
      <alignment vertical="center"/>
    </xf>
    <xf numFmtId="4" fontId="53" fillId="29" borderId="135" applyNumberFormat="0" applyProtection="0">
      <alignment horizontal="left" vertical="center" indent="1"/>
    </xf>
    <xf numFmtId="346" fontId="9" fillId="31" borderId="134" applyNumberFormat="0" applyProtection="0">
      <alignment horizontal="left" vertical="center" indent="1"/>
    </xf>
    <xf numFmtId="346" fontId="9" fillId="19" borderId="134" applyNumberFormat="0" applyProtection="0">
      <alignment horizontal="left" vertical="top" indent="1"/>
    </xf>
    <xf numFmtId="346" fontId="53" fillId="13" borderId="129" applyNumberFormat="0" applyFont="0" applyAlignment="0" applyProtection="0"/>
    <xf numFmtId="212" fontId="64" fillId="0" borderId="28" applyFill="0"/>
    <xf numFmtId="346" fontId="53" fillId="30" borderId="134" applyNumberFormat="0" applyProtection="0">
      <alignment horizontal="left" vertical="top"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53" fillId="31" borderId="134" applyNumberFormat="0" applyProtection="0">
      <alignment horizontal="left" vertical="top" indent="1"/>
    </xf>
    <xf numFmtId="4" fontId="53" fillId="19" borderId="129" applyNumberFormat="0" applyProtection="0">
      <alignment horizontal="right" vertical="center"/>
    </xf>
    <xf numFmtId="4" fontId="53" fillId="45" borderId="129" applyNumberFormat="0" applyProtection="0">
      <alignment horizontal="left" vertical="center" indent="1"/>
    </xf>
    <xf numFmtId="4" fontId="270" fillId="50" borderId="129" applyNumberFormat="0" applyProtection="0">
      <alignment horizontal="right" vertical="center"/>
    </xf>
    <xf numFmtId="346" fontId="53" fillId="30" borderId="134" applyNumberFormat="0" applyProtection="0">
      <alignment horizontal="left" vertical="top" indent="1"/>
    </xf>
    <xf numFmtId="346" fontId="272" fillId="19" borderId="134" applyNumberFormat="0" applyProtection="0">
      <alignment horizontal="left" vertical="top" indent="1"/>
    </xf>
    <xf numFmtId="4" fontId="274" fillId="33" borderId="129" applyNumberFormat="0" applyProtection="0">
      <alignment horizontal="right" vertical="center"/>
    </xf>
    <xf numFmtId="4" fontId="272" fillId="61" borderId="134" applyNumberFormat="0" applyProtection="0">
      <alignment horizontal="left" vertical="center" indent="1"/>
    </xf>
    <xf numFmtId="346" fontId="9" fillId="30" borderId="134" applyNumberFormat="0" applyProtection="0">
      <alignment horizontal="left" vertical="center" indent="1"/>
    </xf>
    <xf numFmtId="346" fontId="53" fillId="32" borderId="134" applyNumberFormat="0" applyProtection="0">
      <alignment horizontal="left" vertical="top" indent="1"/>
    </xf>
    <xf numFmtId="346" fontId="53" fillId="19" borderId="134" applyNumberFormat="0" applyProtection="0">
      <alignment horizontal="left" vertical="top" indent="1"/>
    </xf>
    <xf numFmtId="346" fontId="53" fillId="19" borderId="134" applyNumberFormat="0" applyProtection="0">
      <alignment horizontal="left" vertical="top" indent="1"/>
    </xf>
    <xf numFmtId="346" fontId="53" fillId="31" borderId="134" applyNumberFormat="0" applyProtection="0">
      <alignment horizontal="left" vertical="top" indent="1"/>
    </xf>
    <xf numFmtId="346" fontId="9" fillId="30" borderId="134" applyNumberFormat="0" applyProtection="0">
      <alignment horizontal="left" vertical="top" indent="1"/>
    </xf>
    <xf numFmtId="4" fontId="9" fillId="31" borderId="135" applyNumberFormat="0" applyProtection="0">
      <alignment horizontal="left" vertical="center" indent="1"/>
    </xf>
    <xf numFmtId="346" fontId="9" fillId="31" borderId="134" applyNumberFormat="0" applyProtection="0">
      <alignment horizontal="left" vertical="top" indent="1"/>
    </xf>
    <xf numFmtId="4" fontId="53" fillId="22" borderId="135" applyNumberFormat="0" applyProtection="0">
      <alignment horizontal="right" vertical="center"/>
    </xf>
    <xf numFmtId="346" fontId="53" fillId="61" borderId="129" applyNumberFormat="0" applyProtection="0">
      <alignment horizontal="left" vertical="center" indent="1"/>
    </xf>
    <xf numFmtId="4" fontId="53" fillId="45" borderId="129" applyNumberFormat="0" applyProtection="0">
      <alignment horizontal="left" vertical="center" indent="1"/>
    </xf>
    <xf numFmtId="346" fontId="53" fillId="13" borderId="129" applyNumberFormat="0" applyFont="0" applyAlignment="0" applyProtection="0"/>
    <xf numFmtId="346" fontId="53" fillId="13" borderId="129" applyNumberFormat="0" applyFont="0" applyAlignment="0" applyProtection="0"/>
    <xf numFmtId="346" fontId="268" fillId="129" borderId="129" applyNumberFormat="0" applyAlignment="0" applyProtection="0"/>
    <xf numFmtId="346" fontId="53" fillId="13" borderId="129" applyNumberFormat="0" applyFont="0" applyAlignment="0" applyProtection="0"/>
    <xf numFmtId="4" fontId="53" fillId="20" borderId="129" applyNumberFormat="0" applyProtection="0">
      <alignment horizontal="right" vertical="center"/>
    </xf>
    <xf numFmtId="4" fontId="53" fillId="29" borderId="135" applyNumberFormat="0" applyProtection="0">
      <alignment horizontal="left" vertical="center" indent="1"/>
    </xf>
    <xf numFmtId="346" fontId="9" fillId="31" borderId="134" applyNumberFormat="0" applyProtection="0">
      <alignment horizontal="left" vertical="top" indent="1"/>
    </xf>
    <xf numFmtId="346" fontId="53" fillId="83" borderId="129" applyNumberFormat="0" applyProtection="0">
      <alignment horizontal="left" vertical="center" indent="1"/>
    </xf>
    <xf numFmtId="346" fontId="53" fillId="19" borderId="134" applyNumberFormat="0" applyProtection="0">
      <alignment horizontal="left" vertical="top" indent="1"/>
    </xf>
    <xf numFmtId="346" fontId="53" fillId="32" borderId="134" applyNumberFormat="0" applyProtection="0">
      <alignment horizontal="left" vertical="top" indent="1"/>
    </xf>
    <xf numFmtId="346" fontId="53" fillId="31" borderId="134" applyNumberFormat="0" applyProtection="0">
      <alignment horizontal="left" vertical="top" indent="1"/>
    </xf>
    <xf numFmtId="4" fontId="53" fillId="28" borderId="129" applyNumberFormat="0" applyProtection="0">
      <alignment horizontal="right" vertical="center"/>
    </xf>
    <xf numFmtId="4" fontId="53" fillId="27" borderId="129" applyNumberFormat="0" applyProtection="0">
      <alignment horizontal="right" vertical="center"/>
    </xf>
    <xf numFmtId="346" fontId="53" fillId="31" borderId="134" applyNumberFormat="0" applyProtection="0">
      <alignment horizontal="left" vertical="top" indent="1"/>
    </xf>
    <xf numFmtId="346" fontId="53" fillId="32" borderId="134" applyNumberFormat="0" applyProtection="0">
      <alignment horizontal="left" vertical="top" indent="1"/>
    </xf>
    <xf numFmtId="346" fontId="268" fillId="129" borderId="129" applyNumberFormat="0" applyAlignment="0" applyProtection="0"/>
    <xf numFmtId="346" fontId="53" fillId="19" borderId="134" applyNumberFormat="0" applyProtection="0">
      <alignment horizontal="left" vertical="top" indent="1"/>
    </xf>
    <xf numFmtId="346" fontId="53" fillId="30" borderId="134" applyNumberFormat="0" applyProtection="0">
      <alignment horizontal="left" vertical="top" indent="1"/>
    </xf>
    <xf numFmtId="4" fontId="53" fillId="64" borderId="129" applyNumberFormat="0" applyProtection="0">
      <alignment horizontal="left" vertical="center" indent="1"/>
    </xf>
    <xf numFmtId="4" fontId="53" fillId="0" borderId="129" applyNumberFormat="0" applyProtection="0">
      <alignment horizontal="right" vertical="center"/>
    </xf>
    <xf numFmtId="346" fontId="53" fillId="13" borderId="129" applyNumberFormat="0" applyFont="0" applyAlignment="0" applyProtection="0"/>
    <xf numFmtId="346" fontId="142" fillId="14" borderId="129" applyNumberFormat="0" applyAlignment="0" applyProtection="0"/>
    <xf numFmtId="346" fontId="271" fillId="18" borderId="134" applyNumberFormat="0" applyProtection="0">
      <alignment horizontal="left" vertical="top" indent="1"/>
    </xf>
    <xf numFmtId="346" fontId="53" fillId="13" borderId="129" applyNumberFormat="0" applyFont="0" applyAlignment="0" applyProtection="0"/>
    <xf numFmtId="346" fontId="53" fillId="30" borderId="129" applyNumberFormat="0" applyProtection="0">
      <alignment horizontal="left" vertical="center" indent="1"/>
    </xf>
    <xf numFmtId="43" fontId="12" fillId="0" borderId="0" applyFont="0" applyFill="0" applyBorder="0" applyAlignment="0" applyProtection="0"/>
    <xf numFmtId="43" fontId="12" fillId="0" borderId="0" applyFont="0" applyFill="0" applyBorder="0" applyAlignment="0" applyProtection="0"/>
    <xf numFmtId="346" fontId="268" fillId="129" borderId="129" applyNumberFormat="0" applyAlignment="0" applyProtection="0"/>
    <xf numFmtId="4" fontId="270" fillId="50" borderId="129" applyNumberFormat="0" applyProtection="0">
      <alignment horizontal="right" vertical="center"/>
    </xf>
    <xf numFmtId="346" fontId="142" fillId="14" borderId="129" applyNumberFormat="0" applyAlignment="0" applyProtection="0"/>
    <xf numFmtId="43" fontId="12" fillId="0" borderId="0" applyFont="0" applyFill="0" applyBorder="0" applyAlignment="0" applyProtection="0"/>
    <xf numFmtId="346" fontId="268" fillId="129" borderId="129" applyNumberFormat="0" applyAlignment="0" applyProtection="0"/>
    <xf numFmtId="4" fontId="53" fillId="45" borderId="129" applyNumberFormat="0" applyProtection="0">
      <alignment horizontal="left" vertical="center" indent="1"/>
    </xf>
    <xf numFmtId="346" fontId="142" fillId="14" borderId="129" applyNumberFormat="0" applyAlignment="0" applyProtection="0"/>
    <xf numFmtId="4" fontId="53" fillId="64" borderId="129" applyNumberFormat="0" applyProtection="0">
      <alignment horizontal="left" vertical="center" indent="1"/>
    </xf>
    <xf numFmtId="4" fontId="53" fillId="26" borderId="129" applyNumberFormat="0" applyProtection="0">
      <alignment horizontal="right" vertical="center"/>
    </xf>
    <xf numFmtId="43" fontId="12" fillId="0" borderId="0" applyFont="0" applyFill="0" applyBorder="0" applyAlignment="0" applyProtection="0"/>
    <xf numFmtId="4" fontId="274" fillId="33" borderId="129" applyNumberFormat="0" applyProtection="0">
      <alignment horizontal="right" vertical="center"/>
    </xf>
    <xf numFmtId="4" fontId="53" fillId="23" borderId="129"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485">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10" fillId="42" borderId="0" xfId="75" applyFont="1" applyFill="1" applyAlignment="1">
      <alignment horizontal="center" vertical="top"/>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35" fillId="47" borderId="0" xfId="90" applyFont="1" applyFill="1" applyAlignment="1">
      <alignment horizontal="left"/>
    </xf>
    <xf numFmtId="0" fontId="0" fillId="42" borderId="0" xfId="0" applyFill="1" applyAlignment="1">
      <alignment horizontal="right" vertical="top"/>
    </xf>
    <xf numFmtId="0" fontId="30" fillId="0" borderId="0" xfId="90" applyFont="1" applyAlignment="1">
      <alignment horizontal="left"/>
    </xf>
    <xf numFmtId="14" fontId="10" fillId="42" borderId="0" xfId="2" applyNumberFormat="1" applyFont="1" applyFill="1" applyBorder="1"/>
    <xf numFmtId="0" fontId="8" fillId="42" borderId="0" xfId="0" applyFont="1" applyFill="1"/>
    <xf numFmtId="0" fontId="0" fillId="42" borderId="0" xfId="0" applyFill="1"/>
    <xf numFmtId="171" fontId="10" fillId="3" borderId="0" xfId="0" applyNumberFormat="1" applyFont="1" applyFill="1" applyAlignment="1">
      <alignment vertical="center"/>
    </xf>
    <xf numFmtId="1" fontId="8" fillId="0" borderId="0" xfId="0" applyNumberFormat="1" applyFont="1" applyAlignment="1">
      <alignment horizontal="center"/>
    </xf>
    <xf numFmtId="0" fontId="0" fillId="0" borderId="0" xfId="0" applyAlignment="1">
      <alignment vertical="center"/>
    </xf>
    <xf numFmtId="176" fontId="8" fillId="0" borderId="0" xfId="0" applyNumberFormat="1" applyFont="1" applyAlignment="1">
      <alignment horizontal="center"/>
    </xf>
    <xf numFmtId="176" fontId="0" fillId="0" borderId="0" xfId="0" applyNumberFormat="1" applyAlignment="1">
      <alignment horizontal="right" vertical="top"/>
    </xf>
    <xf numFmtId="176" fontId="0" fillId="0" borderId="0" xfId="0" applyNumberFormat="1" applyAlignment="1">
      <alignment horizontal="right"/>
    </xf>
    <xf numFmtId="1" fontId="8" fillId="0" borderId="0" xfId="0" applyNumberFormat="1" applyFont="1" applyAlignment="1">
      <alignment horizontal="right"/>
    </xf>
    <xf numFmtId="0" fontId="0" fillId="0" borderId="0" xfId="0" applyAlignment="1">
      <alignment horizontal="center" wrapText="1"/>
    </xf>
    <xf numFmtId="0" fontId="26" fillId="0" borderId="0" xfId="0" applyFont="1" applyAlignment="1">
      <alignment horizontal="right" indent="1"/>
    </xf>
    <xf numFmtId="176" fontId="8" fillId="0" borderId="0" xfId="0" applyNumberFormat="1" applyFont="1" applyAlignment="1">
      <alignment horizontal="right"/>
    </xf>
    <xf numFmtId="10" fontId="0" fillId="0" borderId="0" xfId="0" applyNumberFormat="1" applyAlignment="1">
      <alignment horizontal="right" vertical="top"/>
    </xf>
    <xf numFmtId="168"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1" fontId="8" fillId="2" borderId="59" xfId="0" applyNumberFormat="1" applyFont="1" applyFill="1" applyBorder="1" applyAlignment="1">
      <alignment horizontal="center" vertical="center"/>
    </xf>
    <xf numFmtId="175" fontId="10" fillId="38" borderId="65" xfId="1" applyNumberFormat="1" applyFont="1" applyFill="1" applyBorder="1" applyProtection="1"/>
    <xf numFmtId="175" fontId="10" fillId="38" borderId="66" xfId="1" applyNumberFormat="1" applyFont="1" applyFill="1" applyBorder="1" applyProtection="1"/>
    <xf numFmtId="175" fontId="10" fillId="38" borderId="67" xfId="1" applyNumberFormat="1" applyFont="1" applyFill="1" applyBorder="1" applyProtection="1"/>
    <xf numFmtId="175" fontId="10" fillId="38" borderId="59" xfId="1" applyNumberFormat="1" applyFont="1" applyFill="1" applyBorder="1" applyProtection="1"/>
    <xf numFmtId="175" fontId="10" fillId="38" borderId="60" xfId="1" applyNumberFormat="1" applyFont="1" applyFill="1" applyBorder="1" applyProtection="1"/>
    <xf numFmtId="175" fontId="10" fillId="38" borderId="61" xfId="1" applyNumberFormat="1" applyFont="1" applyFill="1" applyBorder="1" applyProtection="1"/>
    <xf numFmtId="1" fontId="8" fillId="2" borderId="59" xfId="0" applyNumberFormat="1" applyFont="1" applyFill="1" applyBorder="1" applyAlignment="1">
      <alignment horizontal="center" vertical="center" wrapText="1"/>
    </xf>
    <xf numFmtId="175" fontId="10" fillId="38" borderId="71" xfId="1" applyNumberFormat="1" applyFont="1" applyFill="1" applyBorder="1" applyProtection="1"/>
    <xf numFmtId="175" fontId="10" fillId="38" borderId="72" xfId="1" applyNumberFormat="1" applyFont="1" applyFill="1" applyBorder="1" applyProtection="1"/>
    <xf numFmtId="175" fontId="10" fillId="38" borderId="73" xfId="1" applyNumberFormat="1" applyFont="1" applyFill="1" applyBorder="1" applyProtection="1"/>
    <xf numFmtId="168" fontId="10" fillId="52" borderId="68" xfId="2" applyNumberFormat="1" applyFont="1" applyFill="1" applyBorder="1" applyAlignment="1">
      <alignment vertical="center"/>
    </xf>
    <xf numFmtId="168" fontId="10" fillId="52" borderId="70" xfId="2" applyNumberFormat="1" applyFont="1" applyFill="1" applyBorder="1" applyAlignment="1">
      <alignment vertical="center"/>
    </xf>
    <xf numFmtId="168" fontId="10" fillId="52" borderId="59" xfId="2" applyNumberFormat="1" applyFont="1" applyFill="1" applyBorder="1" applyAlignment="1">
      <alignment vertical="center"/>
    </xf>
    <xf numFmtId="168" fontId="10" fillId="52" borderId="61" xfId="2" applyNumberFormat="1" applyFont="1" applyFill="1" applyBorder="1" applyAlignment="1">
      <alignment vertical="center"/>
    </xf>
    <xf numFmtId="10" fontId="0" fillId="51" borderId="71" xfId="0" applyNumberFormat="1" applyFill="1" applyBorder="1" applyAlignment="1">
      <alignment horizontal="right" vertical="top"/>
    </xf>
    <xf numFmtId="10" fontId="0" fillId="51" borderId="72" xfId="0" applyNumberFormat="1" applyFill="1" applyBorder="1" applyAlignment="1">
      <alignment horizontal="right" vertical="top"/>
    </xf>
    <xf numFmtId="181" fontId="0" fillId="51" borderId="71" xfId="0" applyNumberFormat="1" applyFill="1" applyBorder="1" applyAlignment="1">
      <alignment horizontal="right" vertical="top"/>
    </xf>
    <xf numFmtId="176" fontId="0" fillId="54" borderId="71" xfId="0" applyNumberFormat="1" applyFill="1" applyBorder="1" applyAlignment="1">
      <alignment horizontal="right"/>
    </xf>
    <xf numFmtId="0" fontId="8" fillId="53" borderId="0" xfId="0" applyFont="1" applyFill="1" applyAlignment="1">
      <alignment horizontal="left" vertical="top"/>
    </xf>
    <xf numFmtId="1" fontId="8" fillId="2" borderId="71" xfId="0" applyNumberFormat="1" applyFont="1" applyFill="1" applyBorder="1" applyAlignment="1">
      <alignment horizontal="center" vertical="center"/>
    </xf>
    <xf numFmtId="1" fontId="8" fillId="2" borderId="72" xfId="0" applyNumberFormat="1" applyFont="1" applyFill="1" applyBorder="1" applyAlignment="1">
      <alignment horizontal="center" vertical="center"/>
    </xf>
    <xf numFmtId="1" fontId="8" fillId="2" borderId="73" xfId="0" applyNumberFormat="1" applyFont="1" applyFill="1" applyBorder="1" applyAlignment="1">
      <alignment horizontal="center" wrapText="1"/>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175" fontId="11" fillId="38" borderId="71" xfId="1" applyNumberFormat="1" applyFont="1" applyFill="1" applyBorder="1" applyProtection="1"/>
    <xf numFmtId="175" fontId="11" fillId="38" borderId="72"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3" fontId="0" fillId="0" borderId="0" xfId="0" applyNumberFormat="1"/>
    <xf numFmtId="173" fontId="8" fillId="0" borderId="0" xfId="0" applyNumberFormat="1" applyFont="1"/>
    <xf numFmtId="173" fontId="10" fillId="38" borderId="64" xfId="77" applyNumberFormat="1" applyFont="1" applyFill="1" applyBorder="1" applyProtection="1"/>
    <xf numFmtId="175" fontId="10" fillId="39" borderId="59" xfId="1" applyNumberFormat="1" applyFont="1" applyFill="1" applyBorder="1" applyProtection="1"/>
    <xf numFmtId="175" fontId="10" fillId="39" borderId="60" xfId="1" applyNumberFormat="1" applyFont="1" applyFill="1" applyBorder="1" applyProtection="1"/>
    <xf numFmtId="173" fontId="10" fillId="38" borderId="70" xfId="77" applyNumberFormat="1" applyFont="1" applyFill="1" applyBorder="1" applyProtection="1"/>
    <xf numFmtId="1" fontId="8" fillId="2" borderId="61" xfId="0" applyNumberFormat="1" applyFont="1" applyFill="1" applyBorder="1" applyAlignment="1">
      <alignment horizontal="center" vertical="center" wrapText="1"/>
    </xf>
    <xf numFmtId="1" fontId="8" fillId="2" borderId="73" xfId="0" applyNumberFormat="1" applyFont="1" applyFill="1" applyBorder="1" applyAlignment="1">
      <alignment horizontal="center" vertical="center"/>
    </xf>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6" fontId="0" fillId="0" borderId="0" xfId="0" applyNumberFormat="1"/>
    <xf numFmtId="14" fontId="0" fillId="0" borderId="0" xfId="0" applyNumberFormat="1"/>
    <xf numFmtId="0" fontId="0" fillId="53" borderId="0" xfId="0" applyFill="1"/>
    <xf numFmtId="254" fontId="0" fillId="0" borderId="0" xfId="0" applyNumberFormat="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10" fillId="37" borderId="71" xfId="75" applyFont="1" applyFill="1" applyBorder="1" applyAlignment="1">
      <alignment horizontal="center" vertical="top"/>
    </xf>
    <xf numFmtId="0" fontId="10" fillId="37" borderId="72" xfId="75" applyFont="1" applyFill="1" applyBorder="1" applyAlignment="1">
      <alignment horizontal="center" vertical="top"/>
    </xf>
    <xf numFmtId="176" fontId="0" fillId="0" borderId="0" xfId="0" applyNumberFormat="1" applyAlignment="1" applyProtection="1">
      <alignment horizontal="center" vertical="center"/>
      <protection locked="0"/>
    </xf>
    <xf numFmtId="176" fontId="0" fillId="0" borderId="0" xfId="0" applyNumberFormat="1" applyAlignment="1">
      <alignment horizontal="left" vertical="top"/>
    </xf>
    <xf numFmtId="173" fontId="0" fillId="52" borderId="71" xfId="0" applyNumberFormat="1" applyFill="1" applyBorder="1"/>
    <xf numFmtId="173" fontId="0" fillId="52" borderId="72" xfId="0" applyNumberFormat="1" applyFill="1" applyBorder="1"/>
    <xf numFmtId="0" fontId="8" fillId="0" borderId="0" xfId="0" applyFont="1" applyAlignment="1" applyProtection="1">
      <alignment horizontal="center" vertical="center"/>
      <protection locked="0"/>
    </xf>
    <xf numFmtId="173" fontId="0" fillId="52" borderId="71" xfId="0" applyNumberFormat="1" applyFill="1" applyBorder="1" applyAlignment="1">
      <alignment horizontal="right"/>
    </xf>
    <xf numFmtId="173" fontId="0" fillId="52" borderId="72" xfId="0" applyNumberFormat="1" applyFill="1" applyBorder="1" applyAlignment="1">
      <alignment horizontal="right"/>
    </xf>
    <xf numFmtId="254" fontId="0" fillId="0" borderId="0" xfId="0" applyNumberFormat="1" applyAlignment="1" applyProtection="1">
      <alignment horizontal="center" vertical="center"/>
      <protection locked="0"/>
    </xf>
    <xf numFmtId="254" fontId="0" fillId="0" borderId="0" xfId="0" applyNumberFormat="1" applyAlignment="1">
      <alignment horizontal="left" vertical="top"/>
    </xf>
    <xf numFmtId="175" fontId="10" fillId="39" borderId="86" xfId="1" applyNumberFormat="1" applyFont="1" applyFill="1" applyBorder="1" applyProtection="1"/>
    <xf numFmtId="175" fontId="10" fillId="39" borderId="82" xfId="1" applyNumberFormat="1" applyFont="1" applyFill="1" applyBorder="1" applyProtection="1"/>
    <xf numFmtId="175" fontId="10" fillId="39" borderId="83" xfId="1" applyNumberFormat="1" applyFont="1" applyFill="1" applyBorder="1" applyProtection="1"/>
    <xf numFmtId="175" fontId="10" fillId="39" borderId="87" xfId="1" applyNumberFormat="1" applyFont="1" applyFill="1" applyBorder="1" applyProtection="1"/>
    <xf numFmtId="175" fontId="10" fillId="39" borderId="88" xfId="1" applyNumberFormat="1" applyFont="1" applyFill="1" applyBorder="1" applyProtection="1"/>
    <xf numFmtId="0" fontId="32" fillId="47" borderId="91"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1" fontId="8" fillId="2" borderId="73" xfId="0" applyNumberFormat="1" applyFont="1" applyFill="1" applyBorder="1" applyAlignment="1">
      <alignment horizontal="center" vertical="center" wrapText="1"/>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7"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71" fontId="37" fillId="0" borderId="0" xfId="0" applyNumberFormat="1" applyFont="1" applyAlignment="1">
      <alignment vertical="center"/>
    </xf>
    <xf numFmtId="171" fontId="37" fillId="48" borderId="0" xfId="94">
      <alignment vertical="center"/>
    </xf>
    <xf numFmtId="171" fontId="37" fillId="42" borderId="0" xfId="94" applyFill="1">
      <alignment vertical="center"/>
    </xf>
    <xf numFmtId="171"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4"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71" fontId="38" fillId="49" borderId="0" xfId="96" applyAlignment="1">
      <alignment vertical="center"/>
    </xf>
    <xf numFmtId="171" fontId="38" fillId="42" borderId="0" xfId="96" applyFill="1" applyAlignment="1">
      <alignment vertical="center"/>
    </xf>
    <xf numFmtId="171" fontId="36" fillId="42" borderId="0" xfId="0" applyNumberFormat="1" applyFont="1" applyFill="1" applyAlignment="1">
      <alignment vertical="center"/>
    </xf>
    <xf numFmtId="0" fontId="10" fillId="0" borderId="0" xfId="85" applyFont="1" applyAlignment="1">
      <alignment horizontal="center"/>
    </xf>
    <xf numFmtId="171" fontId="10" fillId="3" borderId="0" xfId="0" applyNumberFormat="1" applyFont="1" applyFill="1" applyAlignment="1">
      <alignment vertical="center" wrapText="1"/>
    </xf>
    <xf numFmtId="171" fontId="10" fillId="0" borderId="0" xfId="0" applyNumberFormat="1" applyFont="1" applyAlignment="1">
      <alignment horizontal="left" vertical="center" wrapText="1"/>
    </xf>
    <xf numFmtId="0" fontId="10" fillId="0" borderId="0" xfId="85" applyFont="1" applyAlignment="1">
      <alignment horizontal="left" indent="1"/>
    </xf>
    <xf numFmtId="43" fontId="10" fillId="0" borderId="0" xfId="95" applyFont="1" applyBorder="1" applyProtection="1"/>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75" fontId="0" fillId="51" borderId="62" xfId="1" applyNumberFormat="1" applyFont="1" applyFill="1" applyBorder="1" applyAlignment="1">
      <alignment horizontal="right"/>
    </xf>
    <xf numFmtId="175" fontId="0" fillId="51" borderId="71" xfId="1" applyNumberFormat="1" applyFont="1" applyFill="1" applyBorder="1" applyAlignment="1">
      <alignment horizontal="right" vertical="top"/>
    </xf>
    <xf numFmtId="175" fontId="10" fillId="38" borderId="105" xfId="1" applyNumberFormat="1" applyFont="1" applyFill="1" applyBorder="1" applyProtection="1"/>
    <xf numFmtId="14" fontId="10" fillId="42" borderId="0" xfId="2" applyNumberFormat="1" applyFont="1" applyFill="1" applyBorder="1" applyAlignment="1">
      <alignment horizontal="center" vertical="center"/>
    </xf>
    <xf numFmtId="0" fontId="0" fillId="0" borderId="21" xfId="0" applyBorder="1"/>
    <xf numFmtId="0" fontId="0" fillId="0" borderId="89"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71"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175" fontId="0" fillId="51" borderId="63" xfId="1" applyNumberFormat="1" applyFont="1" applyFill="1" applyBorder="1" applyAlignment="1">
      <alignment horizontal="right"/>
    </xf>
    <xf numFmtId="175" fontId="0" fillId="51" borderId="68" xfId="1" applyNumberFormat="1" applyFont="1" applyFill="1" applyBorder="1" applyAlignment="1">
      <alignment horizontal="right"/>
    </xf>
    <xf numFmtId="175" fontId="0" fillId="51" borderId="69" xfId="1" applyNumberFormat="1" applyFont="1" applyFill="1" applyBorder="1" applyAlignment="1">
      <alignment horizontal="right"/>
    </xf>
    <xf numFmtId="175" fontId="0" fillId="51" borderId="72" xfId="1" applyNumberFormat="1" applyFont="1" applyFill="1" applyBorder="1" applyAlignment="1">
      <alignment horizontal="right" vertical="top"/>
    </xf>
    <xf numFmtId="0" fontId="10" fillId="0" borderId="59" xfId="85" quotePrefix="1" applyFont="1" applyBorder="1" applyAlignment="1">
      <alignment horizontal="center"/>
    </xf>
    <xf numFmtId="0" fontId="10" fillId="0" borderId="60" xfId="85" quotePrefix="1" applyFont="1" applyBorder="1" applyAlignment="1">
      <alignment horizontal="center"/>
    </xf>
    <xf numFmtId="0" fontId="10" fillId="0" borderId="59" xfId="85" applyFont="1" applyBorder="1" applyAlignment="1">
      <alignment horizontal="center" wrapText="1"/>
    </xf>
    <xf numFmtId="0" fontId="10" fillId="0" borderId="60" xfId="85" applyFont="1" applyBorder="1" applyAlignment="1">
      <alignment horizontal="center" wrapText="1"/>
    </xf>
    <xf numFmtId="0" fontId="10" fillId="0" borderId="62" xfId="85" quotePrefix="1" applyFont="1" applyBorder="1" applyAlignment="1">
      <alignment horizontal="center"/>
    </xf>
    <xf numFmtId="0" fontId="10" fillId="0" borderId="63" xfId="85" quotePrefix="1" applyFont="1" applyBorder="1" applyAlignment="1">
      <alignment horizontal="center"/>
    </xf>
    <xf numFmtId="0" fontId="10" fillId="0" borderId="59" xfId="85" applyFont="1" applyBorder="1" applyAlignment="1">
      <alignment horizontal="center"/>
    </xf>
    <xf numFmtId="0" fontId="10" fillId="0" borderId="60" xfId="85" applyFont="1" applyBorder="1" applyAlignment="1">
      <alignment horizontal="center"/>
    </xf>
    <xf numFmtId="9" fontId="7" fillId="43" borderId="65" xfId="77" applyFill="1" applyBorder="1" applyAlignment="1" applyProtection="1">
      <alignment vertical="center"/>
    </xf>
    <xf numFmtId="9" fontId="7" fillId="43" borderId="66" xfId="77" applyFill="1" applyBorder="1" applyAlignment="1" applyProtection="1">
      <alignment vertical="center"/>
    </xf>
    <xf numFmtId="0" fontId="10" fillId="0" borderId="111" xfId="85" applyFont="1" applyBorder="1"/>
    <xf numFmtId="0" fontId="10" fillId="0" borderId="112" xfId="85" applyFont="1" applyBorder="1"/>
    <xf numFmtId="0" fontId="10" fillId="0" borderId="113" xfId="85" applyFont="1" applyBorder="1" applyAlignment="1">
      <alignment horizontal="center"/>
    </xf>
    <xf numFmtId="178" fontId="10" fillId="44" borderId="60" xfId="85" applyNumberFormat="1" applyFont="1" applyFill="1" applyBorder="1" applyAlignment="1">
      <alignment horizontal="center"/>
    </xf>
    <xf numFmtId="0" fontId="10" fillId="44" borderId="60" xfId="85" applyFont="1" applyFill="1" applyBorder="1"/>
    <xf numFmtId="0" fontId="10" fillId="44" borderId="60" xfId="85" applyFont="1" applyFill="1" applyBorder="1" applyAlignment="1">
      <alignment horizontal="left" indent="1"/>
    </xf>
    <xf numFmtId="178" fontId="10" fillId="44" borderId="63" xfId="85" applyNumberFormat="1" applyFont="1" applyFill="1" applyBorder="1" applyAlignment="1">
      <alignment horizontal="center"/>
    </xf>
    <xf numFmtId="0" fontId="10" fillId="44" borderId="63" xfId="85" applyFont="1" applyFill="1" applyBorder="1"/>
    <xf numFmtId="0" fontId="10" fillId="44" borderId="63" xfId="85" applyFont="1" applyFill="1" applyBorder="1" applyAlignment="1">
      <alignment horizontal="left" indent="1"/>
    </xf>
    <xf numFmtId="178" fontId="10" fillId="44" borderId="66" xfId="85" applyNumberFormat="1" applyFont="1" applyFill="1" applyBorder="1" applyAlignment="1">
      <alignment horizontal="center"/>
    </xf>
    <xf numFmtId="0" fontId="10" fillId="44" borderId="66" xfId="85" applyFont="1" applyFill="1" applyBorder="1"/>
    <xf numFmtId="0" fontId="10" fillId="44" borderId="66" xfId="85" applyFont="1" applyFill="1" applyBorder="1" applyAlignment="1">
      <alignment horizontal="left" indent="1"/>
    </xf>
    <xf numFmtId="178" fontId="10" fillId="44" borderId="60" xfId="85" applyNumberFormat="1" applyFont="1" applyFill="1" applyBorder="1"/>
    <xf numFmtId="178" fontId="10" fillId="44" borderId="60" xfId="85" applyNumberFormat="1" applyFont="1" applyFill="1" applyBorder="1" applyAlignment="1">
      <alignment horizontal="left" indent="1"/>
    </xf>
    <xf numFmtId="178" fontId="10" fillId="44" borderId="63" xfId="85" applyNumberFormat="1" applyFont="1" applyFill="1" applyBorder="1"/>
    <xf numFmtId="178" fontId="10" fillId="44" borderId="63" xfId="85" applyNumberFormat="1" applyFont="1" applyFill="1" applyBorder="1" applyAlignment="1">
      <alignment horizontal="left" indent="1"/>
    </xf>
    <xf numFmtId="178" fontId="10" fillId="44" borderId="66" xfId="85" applyNumberFormat="1" applyFont="1" applyFill="1" applyBorder="1"/>
    <xf numFmtId="178" fontId="10" fillId="44" borderId="66" xfId="85" applyNumberFormat="1" applyFont="1" applyFill="1" applyBorder="1" applyAlignment="1">
      <alignment horizontal="left" indent="1"/>
    </xf>
    <xf numFmtId="0" fontId="10" fillId="0" borderId="112" xfId="48237" applyBorder="1" applyAlignment="1">
      <alignment horizontal="left"/>
    </xf>
    <xf numFmtId="0" fontId="10" fillId="0" borderId="112" xfId="48237" applyBorder="1"/>
    <xf numFmtId="0" fontId="11" fillId="0" borderId="112" xfId="48237" applyFont="1" applyBorder="1" applyAlignment="1">
      <alignment horizontal="left"/>
    </xf>
    <xf numFmtId="0" fontId="10" fillId="0" borderId="112" xfId="84" applyFont="1" applyBorder="1" applyAlignment="1">
      <alignment wrapText="1"/>
    </xf>
    <xf numFmtId="0" fontId="10" fillId="0" borderId="112" xfId="84" applyFont="1" applyBorder="1" applyAlignment="1">
      <alignment horizontal="left" wrapText="1"/>
    </xf>
    <xf numFmtId="0" fontId="10" fillId="0" borderId="112" xfId="85" applyFont="1" applyBorder="1" applyAlignment="1">
      <alignment horizontal="left" vertical="center"/>
    </xf>
    <xf numFmtId="0" fontId="10" fillId="0" borderId="112" xfId="85" applyFont="1" applyBorder="1" applyAlignment="1">
      <alignment horizontal="left" vertical="center" wrapText="1"/>
    </xf>
    <xf numFmtId="170" fontId="10" fillId="3" borderId="112" xfId="85" applyNumberFormat="1" applyFont="1" applyFill="1" applyBorder="1" applyProtection="1">
      <protection locked="0"/>
    </xf>
    <xf numFmtId="0" fontId="11" fillId="0" borderId="112" xfId="85" applyFont="1" applyBorder="1" applyAlignment="1">
      <alignment horizontal="left" vertical="center" wrapText="1"/>
    </xf>
    <xf numFmtId="0" fontId="10" fillId="0" borderId="114" xfId="48237" applyBorder="1" applyAlignment="1">
      <alignment horizontal="center"/>
    </xf>
    <xf numFmtId="0" fontId="10" fillId="0" borderId="114" xfId="85" applyFont="1" applyBorder="1"/>
    <xf numFmtId="0" fontId="10" fillId="0" borderId="114" xfId="48237" applyBorder="1"/>
    <xf numFmtId="0" fontId="11" fillId="0" borderId="115" xfId="48237" applyFont="1" applyBorder="1" applyAlignment="1">
      <alignment horizontal="left"/>
    </xf>
    <xf numFmtId="0" fontId="10" fillId="0" borderId="115" xfId="85" applyFont="1" applyBorder="1"/>
    <xf numFmtId="0" fontId="10" fillId="0" borderId="115" xfId="48237" applyBorder="1"/>
    <xf numFmtId="0" fontId="11" fillId="0" borderId="115" xfId="85" applyFont="1" applyBorder="1"/>
    <xf numFmtId="0" fontId="11" fillId="0" borderId="115" xfId="85" applyFont="1" applyBorder="1" applyAlignment="1">
      <alignment vertical="center"/>
    </xf>
    <xf numFmtId="0" fontId="7" fillId="0" borderId="115" xfId="0" applyFont="1" applyBorder="1"/>
    <xf numFmtId="0" fontId="260" fillId="0" borderId="114" xfId="48238" applyFont="1" applyBorder="1"/>
    <xf numFmtId="0" fontId="7" fillId="0" borderId="114" xfId="0" applyFont="1" applyBorder="1"/>
    <xf numFmtId="0" fontId="10" fillId="0" borderId="114" xfId="48237" applyBorder="1" applyAlignment="1">
      <alignment horizontal="left"/>
    </xf>
    <xf numFmtId="0" fontId="10" fillId="0" borderId="114" xfId="85" applyFont="1" applyBorder="1" applyAlignment="1">
      <alignment horizontal="left" vertical="center"/>
    </xf>
    <xf numFmtId="344" fontId="10" fillId="0" borderId="79" xfId="48235" applyNumberFormat="1" applyFont="1" applyBorder="1" applyAlignment="1">
      <alignment horizontal="center"/>
    </xf>
    <xf numFmtId="344" fontId="10" fillId="0" borderId="80" xfId="48235" applyNumberFormat="1" applyFont="1" applyBorder="1" applyAlignment="1">
      <alignment horizontal="center"/>
    </xf>
    <xf numFmtId="344" fontId="10" fillId="0" borderId="81" xfId="48235" applyNumberFormat="1" applyFont="1" applyBorder="1" applyAlignment="1">
      <alignment horizontal="center"/>
    </xf>
    <xf numFmtId="344" fontId="10" fillId="0" borderId="80" xfId="84" applyNumberFormat="1" applyFont="1" applyBorder="1" applyAlignment="1">
      <alignment horizontal="center"/>
    </xf>
    <xf numFmtId="178" fontId="10" fillId="42" borderId="108" xfId="85" applyNumberFormat="1" applyFont="1" applyFill="1" applyBorder="1" applyAlignment="1">
      <alignment horizontal="center" wrapText="1"/>
    </xf>
    <xf numFmtId="178" fontId="10" fillId="42" borderId="109" xfId="85" applyNumberFormat="1" applyFont="1" applyFill="1" applyBorder="1" applyAlignment="1">
      <alignment horizontal="center" wrapText="1"/>
    </xf>
    <xf numFmtId="178" fontId="10" fillId="42" borderId="110" xfId="85" applyNumberFormat="1" applyFont="1" applyFill="1" applyBorder="1" applyAlignment="1">
      <alignment horizontal="center" wrapText="1"/>
    </xf>
    <xf numFmtId="178" fontId="10" fillId="42" borderId="108" xfId="85" applyNumberFormat="1" applyFont="1" applyFill="1" applyBorder="1" applyAlignment="1">
      <alignment horizontal="center"/>
    </xf>
    <xf numFmtId="178" fontId="10" fillId="42" borderId="109" xfId="85" applyNumberFormat="1" applyFont="1" applyFill="1" applyBorder="1" applyAlignment="1">
      <alignment horizontal="center"/>
    </xf>
    <xf numFmtId="178" fontId="10" fillId="42" borderId="110" xfId="85" applyNumberFormat="1" applyFont="1" applyFill="1" applyBorder="1" applyAlignment="1">
      <alignment horizontal="center"/>
    </xf>
    <xf numFmtId="0" fontId="10" fillId="42" borderId="108" xfId="85" applyFont="1" applyFill="1" applyBorder="1" applyAlignment="1">
      <alignment horizontal="center"/>
    </xf>
    <xf numFmtId="0" fontId="10" fillId="42" borderId="109" xfId="85" applyFont="1" applyFill="1" applyBorder="1" applyAlignment="1">
      <alignment horizontal="center"/>
    </xf>
    <xf numFmtId="0" fontId="10" fillId="42" borderId="110" xfId="85" applyFont="1" applyFill="1" applyBorder="1" applyAlignment="1">
      <alignment horizontal="center"/>
    </xf>
    <xf numFmtId="0" fontId="0" fillId="0" borderId="71" xfId="0" applyBorder="1" applyAlignment="1">
      <alignment horizontal="center" vertical="top"/>
    </xf>
    <xf numFmtId="0" fontId="0" fillId="0" borderId="72" xfId="0" applyBorder="1" applyAlignment="1">
      <alignment horizontal="center" vertical="top"/>
    </xf>
    <xf numFmtId="1" fontId="8" fillId="2" borderId="108" xfId="0" applyNumberFormat="1" applyFont="1" applyFill="1" applyBorder="1" applyAlignment="1">
      <alignment horizontal="center" vertical="center"/>
    </xf>
    <xf numFmtId="1" fontId="8" fillId="2" borderId="109" xfId="0" applyNumberFormat="1" applyFont="1" applyFill="1" applyBorder="1" applyAlignment="1">
      <alignment horizontal="center"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10" fillId="117" borderId="109" xfId="85" applyFont="1" applyFill="1" applyBorder="1" applyAlignment="1">
      <alignment horizontal="center"/>
    </xf>
    <xf numFmtId="0" fontId="255" fillId="118" borderId="0" xfId="85" applyFont="1" applyFill="1"/>
    <xf numFmtId="0" fontId="10" fillId="118" borderId="0" xfId="85" applyFont="1" applyFill="1"/>
    <xf numFmtId="0" fontId="11" fillId="118" borderId="0" xfId="85" applyFont="1" applyFill="1"/>
    <xf numFmtId="178" fontId="10" fillId="0" borderId="0" xfId="85" applyNumberFormat="1" applyFont="1" applyAlignment="1">
      <alignment horizontal="left"/>
    </xf>
    <xf numFmtId="170"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72" fontId="10" fillId="0" borderId="0" xfId="85" applyNumberFormat="1" applyFont="1"/>
    <xf numFmtId="172" fontId="10" fillId="0" borderId="0" xfId="48237" applyNumberFormat="1"/>
    <xf numFmtId="171" fontId="37" fillId="0" borderId="0" xfId="94" applyFill="1">
      <alignment vertical="center"/>
    </xf>
    <xf numFmtId="0" fontId="10" fillId="0" borderId="99" xfId="85" quotePrefix="1" applyFont="1" applyBorder="1" applyAlignment="1">
      <alignment horizontal="center"/>
    </xf>
    <xf numFmtId="0" fontId="10" fillId="0" borderId="99" xfId="85" applyFont="1" applyBorder="1" applyAlignment="1">
      <alignment horizontal="center" wrapText="1"/>
    </xf>
    <xf numFmtId="0" fontId="10" fillId="0" borderId="97" xfId="85" quotePrefix="1" applyFont="1" applyBorder="1" applyAlignment="1">
      <alignment horizontal="center"/>
    </xf>
    <xf numFmtId="0" fontId="10" fillId="0" borderId="99" xfId="85" applyFont="1" applyBorder="1" applyAlignment="1">
      <alignment horizontal="center"/>
    </xf>
    <xf numFmtId="9" fontId="7" fillId="43" borderId="95" xfId="77" applyFill="1" applyBorder="1" applyAlignment="1" applyProtection="1">
      <alignment vertical="center"/>
    </xf>
    <xf numFmtId="0" fontId="264" fillId="53" borderId="117" xfId="85" applyFont="1" applyFill="1" applyBorder="1"/>
    <xf numFmtId="0" fontId="264" fillId="0" borderId="117" xfId="85" applyFont="1" applyBorder="1"/>
    <xf numFmtId="0" fontId="10" fillId="117" borderId="117" xfId="85" applyFont="1" applyFill="1" applyBorder="1"/>
    <xf numFmtId="0" fontId="10" fillId="0" borderId="117" xfId="85" applyFont="1" applyBorder="1"/>
    <xf numFmtId="0" fontId="10" fillId="118" borderId="117" xfId="85" applyFont="1" applyFill="1" applyBorder="1"/>
    <xf numFmtId="0" fontId="256" fillId="0" borderId="117" xfId="85" applyFont="1" applyBorder="1" applyProtection="1">
      <protection locked="0"/>
    </xf>
    <xf numFmtId="0" fontId="10" fillId="0" borderId="118" xfId="85" quotePrefix="1" applyFont="1" applyBorder="1" applyAlignment="1">
      <alignment horizontal="center"/>
    </xf>
    <xf numFmtId="0" fontId="11" fillId="0" borderId="117" xfId="85" applyFont="1" applyBorder="1"/>
    <xf numFmtId="0" fontId="263" fillId="53" borderId="117" xfId="85" applyFont="1" applyFill="1" applyBorder="1"/>
    <xf numFmtId="0" fontId="263" fillId="0" borderId="117" xfId="85" applyFont="1" applyBorder="1"/>
    <xf numFmtId="0" fontId="11" fillId="118" borderId="117" xfId="85" applyFont="1" applyFill="1" applyBorder="1"/>
    <xf numFmtId="170" fontId="7" fillId="0" borderId="117" xfId="48236" applyFill="1" applyBorder="1">
      <alignment vertical="center"/>
    </xf>
    <xf numFmtId="0" fontId="257" fillId="0" borderId="117" xfId="84" applyFont="1" applyBorder="1" applyAlignment="1">
      <alignment horizontal="center"/>
    </xf>
    <xf numFmtId="0" fontId="10" fillId="0" borderId="118" xfId="85" applyFont="1" applyBorder="1" applyAlignment="1">
      <alignment horizontal="center" wrapText="1"/>
    </xf>
    <xf numFmtId="0" fontId="10" fillId="0" borderId="119" xfId="85" quotePrefix="1" applyFont="1" applyBorder="1" applyAlignment="1">
      <alignment horizontal="center"/>
    </xf>
    <xf numFmtId="0" fontId="10" fillId="53" borderId="117" xfId="85" applyFont="1" applyFill="1" applyBorder="1"/>
    <xf numFmtId="0" fontId="10" fillId="0" borderId="118" xfId="85" applyFont="1" applyBorder="1" applyAlignment="1">
      <alignment horizontal="center"/>
    </xf>
    <xf numFmtId="174" fontId="10" fillId="0" borderId="117" xfId="48237" applyNumberFormat="1" applyBorder="1"/>
    <xf numFmtId="9" fontId="7" fillId="43" borderId="120" xfId="77" applyFill="1" applyBorder="1" applyAlignment="1" applyProtection="1">
      <alignment vertical="center"/>
    </xf>
    <xf numFmtId="172" fontId="10" fillId="0" borderId="117" xfId="85" applyNumberFormat="1" applyFont="1" applyBorder="1"/>
    <xf numFmtId="172" fontId="10" fillId="0" borderId="117" xfId="48237" applyNumberFormat="1" applyBorder="1"/>
    <xf numFmtId="1" fontId="8" fillId="2" borderId="93" xfId="0" applyNumberFormat="1" applyFont="1" applyFill="1" applyBorder="1" applyAlignment="1">
      <alignment horizontal="center" vertical="center"/>
    </xf>
    <xf numFmtId="1" fontId="8" fillId="2" borderId="121" xfId="0" applyNumberFormat="1" applyFont="1" applyFill="1" applyBorder="1" applyAlignment="1">
      <alignment horizontal="center" vertical="center"/>
    </xf>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71"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71" fontId="38" fillId="49" borderId="0" xfId="96" applyAlignment="1">
      <alignment horizontal="left" vertical="center" indent="1"/>
    </xf>
    <xf numFmtId="344" fontId="10" fillId="0" borderId="62" xfId="48235" applyNumberFormat="1" applyFont="1" applyBorder="1" applyAlignment="1">
      <alignment horizontal="left" indent="1"/>
    </xf>
    <xf numFmtId="14" fontId="10" fillId="3" borderId="63" xfId="85" applyNumberFormat="1" applyFont="1" applyFill="1" applyBorder="1" applyAlignment="1" applyProtection="1">
      <alignment horizontal="center"/>
      <protection locked="0"/>
    </xf>
    <xf numFmtId="0" fontId="10" fillId="3" borderId="63" xfId="85" applyFont="1" applyFill="1" applyBorder="1" applyProtection="1">
      <protection locked="0"/>
    </xf>
    <xf numFmtId="173" fontId="10" fillId="3" borderId="63" xfId="83" applyNumberFormat="1" applyFont="1" applyFill="1" applyBorder="1" applyProtection="1">
      <protection locked="0"/>
    </xf>
    <xf numFmtId="0" fontId="10" fillId="3" borderId="63" xfId="83" applyNumberFormat="1" applyFont="1" applyFill="1" applyBorder="1" applyProtection="1">
      <protection locked="0"/>
    </xf>
    <xf numFmtId="176" fontId="10" fillId="3" borderId="63" xfId="83" applyNumberFormat="1" applyFont="1" applyFill="1" applyBorder="1" applyProtection="1">
      <protection locked="0"/>
    </xf>
    <xf numFmtId="173" fontId="10" fillId="3" borderId="63" xfId="83" applyNumberFormat="1" applyFont="1" applyFill="1" applyBorder="1" applyAlignment="1" applyProtection="1">
      <alignment horizontal="center"/>
      <protection locked="0"/>
    </xf>
    <xf numFmtId="173" fontId="10" fillId="3" borderId="63" xfId="83" applyNumberFormat="1" applyFont="1" applyFill="1" applyBorder="1" applyAlignment="1" applyProtection="1">
      <alignment horizontal="right" indent="1"/>
      <protection locked="0"/>
    </xf>
    <xf numFmtId="173" fontId="10" fillId="3" borderId="64" xfId="83" applyNumberFormat="1" applyFont="1" applyFill="1" applyBorder="1" applyAlignment="1" applyProtection="1">
      <alignment horizontal="left" indent="1"/>
      <protection locked="0"/>
    </xf>
    <xf numFmtId="344" fontId="10" fillId="0" borderId="65" xfId="48235" applyNumberFormat="1" applyFont="1" applyBorder="1" applyAlignment="1">
      <alignment horizontal="left" indent="1"/>
    </xf>
    <xf numFmtId="173" fontId="10" fillId="3" borderId="64" xfId="83" applyNumberFormat="1" applyFont="1" applyFill="1" applyBorder="1" applyProtection="1">
      <protection locked="0"/>
    </xf>
    <xf numFmtId="344" fontId="10" fillId="0" borderId="62" xfId="84" applyNumberFormat="1" applyFont="1" applyBorder="1" applyAlignment="1">
      <alignment horizontal="left" indent="1"/>
    </xf>
    <xf numFmtId="176" fontId="10" fillId="3" borderId="64" xfId="83" applyNumberFormat="1" applyFont="1" applyFill="1" applyBorder="1" applyProtection="1">
      <protection locked="0"/>
    </xf>
    <xf numFmtId="0" fontId="10" fillId="0" borderId="62" xfId="85" applyFont="1" applyBorder="1" applyAlignment="1">
      <alignment horizontal="left" indent="1"/>
    </xf>
    <xf numFmtId="0" fontId="10" fillId="0" borderId="59" xfId="84" applyFont="1" applyBorder="1" applyAlignment="1">
      <alignment horizontal="left" indent="1"/>
    </xf>
    <xf numFmtId="0" fontId="10" fillId="0" borderId="65" xfId="85" applyFont="1" applyBorder="1" applyAlignment="1">
      <alignment horizontal="left" indent="1"/>
    </xf>
    <xf numFmtId="0" fontId="10" fillId="0" borderId="59" xfId="85" applyFont="1" applyBorder="1" applyAlignment="1">
      <alignment horizontal="centerContinuous"/>
    </xf>
    <xf numFmtId="0" fontId="10" fillId="0" borderId="60" xfId="85" applyFont="1" applyBorder="1" applyAlignment="1">
      <alignment horizontal="centerContinuous"/>
    </xf>
    <xf numFmtId="0" fontId="261" fillId="0" borderId="62" xfId="85" applyFont="1" applyBorder="1" applyAlignment="1">
      <alignment horizontal="center"/>
    </xf>
    <xf numFmtId="0" fontId="261" fillId="0" borderId="63" xfId="85" applyFont="1" applyBorder="1" applyAlignment="1">
      <alignment horizontal="center"/>
    </xf>
    <xf numFmtId="344" fontId="10" fillId="0" borderId="77" xfId="84" applyNumberFormat="1" applyFont="1" applyBorder="1" applyAlignment="1">
      <alignment horizontal="left" indent="1"/>
    </xf>
    <xf numFmtId="14" fontId="10" fillId="3" borderId="85" xfId="85" applyNumberFormat="1" applyFont="1" applyFill="1" applyBorder="1" applyAlignment="1" applyProtection="1">
      <alignment horizontal="center"/>
      <protection locked="0"/>
    </xf>
    <xf numFmtId="0" fontId="10" fillId="0" borderId="10" xfId="85" applyFont="1" applyBorder="1" applyAlignment="1">
      <alignment horizontal="left" indent="1"/>
    </xf>
    <xf numFmtId="0" fontId="265" fillId="0" borderId="59" xfId="85" applyFont="1" applyBorder="1" applyAlignment="1">
      <alignment horizontal="center" wrapText="1"/>
    </xf>
    <xf numFmtId="0" fontId="265" fillId="0" borderId="60" xfId="85" applyFont="1" applyBorder="1" applyAlignment="1">
      <alignment horizontal="center" wrapText="1"/>
    </xf>
    <xf numFmtId="0" fontId="10" fillId="42" borderId="108" xfId="85" applyFont="1" applyFill="1" applyBorder="1" applyAlignment="1">
      <alignment horizontal="left" indent="1"/>
    </xf>
    <xf numFmtId="0" fontId="10" fillId="0" borderId="109" xfId="85" applyFont="1" applyBorder="1" applyAlignment="1">
      <alignment horizontal="center"/>
    </xf>
    <xf numFmtId="0" fontId="10" fillId="0" borderId="110" xfId="85" applyFont="1" applyBorder="1"/>
    <xf numFmtId="0" fontId="10" fillId="0" borderId="94" xfId="85" applyFont="1" applyBorder="1"/>
    <xf numFmtId="0" fontId="10" fillId="0" borderId="93" xfId="85" applyFont="1" applyBorder="1" applyAlignment="1">
      <alignment horizontal="left" indent="1"/>
    </xf>
    <xf numFmtId="0" fontId="10" fillId="0" borderId="75" xfId="85" applyFont="1" applyBorder="1" applyAlignment="1">
      <alignment horizontal="center"/>
    </xf>
    <xf numFmtId="0" fontId="10" fillId="0" borderId="76" xfId="85" applyFont="1" applyBorder="1" applyAlignment="1">
      <alignment horizontal="center"/>
    </xf>
    <xf numFmtId="0" fontId="10" fillId="0" borderId="108" xfId="85" applyFont="1" applyBorder="1" applyAlignment="1">
      <alignment horizontal="left" indent="1"/>
    </xf>
    <xf numFmtId="0" fontId="10" fillId="0" borderId="93" xfId="85" applyFont="1" applyBorder="1" applyAlignment="1">
      <alignment horizontal="center"/>
    </xf>
    <xf numFmtId="0" fontId="10" fillId="0" borderId="77" xfId="85" applyFont="1" applyBorder="1" applyAlignment="1">
      <alignment horizontal="left" indent="1"/>
    </xf>
    <xf numFmtId="0" fontId="10" fillId="3" borderId="85" xfId="85" applyFont="1" applyFill="1" applyBorder="1" applyProtection="1">
      <protection locked="0"/>
    </xf>
    <xf numFmtId="173" fontId="10" fillId="3" borderId="85" xfId="83" applyNumberFormat="1" applyFont="1" applyFill="1" applyBorder="1" applyProtection="1">
      <protection locked="0"/>
    </xf>
    <xf numFmtId="176" fontId="10" fillId="3" borderId="85" xfId="83" applyNumberFormat="1" applyFont="1" applyFill="1" applyBorder="1" applyProtection="1">
      <protection locked="0"/>
    </xf>
    <xf numFmtId="173" fontId="10" fillId="3" borderId="85" xfId="83" applyNumberFormat="1" applyFont="1" applyFill="1" applyBorder="1" applyAlignment="1" applyProtection="1">
      <alignment horizontal="center"/>
      <protection locked="0"/>
    </xf>
    <xf numFmtId="173" fontId="10" fillId="3" borderId="85" xfId="83" applyNumberFormat="1" applyFont="1" applyFill="1" applyBorder="1" applyAlignment="1" applyProtection="1">
      <alignment horizontal="right" indent="1"/>
      <protection locked="0"/>
    </xf>
    <xf numFmtId="173" fontId="10" fillId="3" borderId="85" xfId="83" applyNumberFormat="1" applyFont="1" applyFill="1" applyBorder="1" applyAlignment="1" applyProtection="1">
      <alignment horizontal="left" indent="1"/>
      <protection locked="0"/>
    </xf>
    <xf numFmtId="0" fontId="10" fillId="0" borderId="109" xfId="85" applyFont="1" applyBorder="1" applyAlignment="1" applyProtection="1">
      <alignment horizontal="center" wrapText="1"/>
      <protection locked="0"/>
    </xf>
    <xf numFmtId="176" fontId="10" fillId="3" borderId="85" xfId="85" applyNumberFormat="1" applyFont="1" applyFill="1" applyBorder="1" applyAlignment="1" applyProtection="1">
      <alignment horizontal="left" indent="1"/>
      <protection locked="0"/>
    </xf>
    <xf numFmtId="176" fontId="10" fillId="3" borderId="63" xfId="85" applyNumberFormat="1" applyFont="1" applyFill="1" applyBorder="1" applyAlignment="1" applyProtection="1">
      <alignment horizontal="left" indent="1"/>
      <protection locked="0"/>
    </xf>
    <xf numFmtId="0" fontId="10" fillId="3" borderId="85" xfId="83" applyNumberFormat="1" applyFont="1" applyFill="1" applyBorder="1" applyAlignment="1" applyProtection="1">
      <alignment horizontal="left" indent="1"/>
      <protection locked="0"/>
    </xf>
    <xf numFmtId="0" fontId="10" fillId="0" borderId="109" xfId="85" applyFont="1" applyBorder="1" applyAlignment="1">
      <alignment horizontal="center" wrapText="1"/>
    </xf>
    <xf numFmtId="0" fontId="10" fillId="0" borderId="110" xfId="85" applyFont="1" applyBorder="1" applyAlignment="1">
      <alignment horizontal="center" vertical="top"/>
    </xf>
    <xf numFmtId="254" fontId="10" fillId="3" borderId="85" xfId="83" applyNumberFormat="1" applyFont="1" applyFill="1" applyBorder="1" applyAlignment="1" applyProtection="1">
      <alignment horizontal="right" indent="1"/>
      <protection locked="0"/>
    </xf>
    <xf numFmtId="9" fontId="7" fillId="3" borderId="62" xfId="77" applyFill="1" applyBorder="1" applyAlignment="1" applyProtection="1">
      <alignment vertical="center"/>
      <protection locked="0"/>
    </xf>
    <xf numFmtId="9" fontId="7" fillId="3" borderId="59" xfId="77" applyFill="1" applyBorder="1" applyAlignment="1" applyProtection="1">
      <alignment vertical="center"/>
      <protection locked="0"/>
    </xf>
    <xf numFmtId="344" fontId="10" fillId="0" borderId="79" xfId="84" applyNumberFormat="1" applyFont="1" applyBorder="1" applyAlignment="1">
      <alignment horizontal="center"/>
    </xf>
    <xf numFmtId="344" fontId="10" fillId="0" borderId="81" xfId="84" applyNumberFormat="1" applyFont="1" applyBorder="1" applyAlignment="1">
      <alignment horizontal="center"/>
    </xf>
    <xf numFmtId="0" fontId="8" fillId="0" borderId="0" xfId="0" applyFont="1" applyAlignment="1">
      <alignment horizontal="left" vertical="top" indent="1"/>
    </xf>
    <xf numFmtId="10" fontId="10" fillId="52" borderId="71" xfId="2" applyNumberFormat="1" applyFont="1" applyFill="1" applyBorder="1"/>
    <xf numFmtId="10" fontId="10" fillId="52" borderId="72" xfId="2" applyNumberFormat="1" applyFont="1" applyFill="1" applyBorder="1"/>
    <xf numFmtId="10" fontId="0" fillId="51" borderId="59" xfId="0" applyNumberFormat="1" applyFill="1" applyBorder="1" applyAlignment="1">
      <alignment horizontal="right" vertical="top"/>
    </xf>
    <xf numFmtId="173" fontId="0" fillId="51" borderId="65" xfId="0" applyNumberFormat="1" applyFill="1" applyBorder="1" applyAlignment="1">
      <alignment horizontal="right" vertical="top"/>
    </xf>
    <xf numFmtId="0" fontId="248" fillId="0" borderId="0" xfId="0" applyFont="1" applyAlignment="1">
      <alignment horizontal="left" vertical="top" indent="1"/>
    </xf>
    <xf numFmtId="10" fontId="10" fillId="44" borderId="61" xfId="77" applyNumberFormat="1" applyFont="1" applyFill="1" applyBorder="1" applyAlignment="1" applyProtection="1">
      <alignment horizontal="right" indent="1"/>
    </xf>
    <xf numFmtId="10" fontId="10" fillId="44" borderId="64" xfId="77" applyNumberFormat="1" applyFont="1" applyFill="1" applyBorder="1" applyAlignment="1" applyProtection="1">
      <alignment horizontal="right" indent="1"/>
    </xf>
    <xf numFmtId="10" fontId="10" fillId="44" borderId="67" xfId="77" applyNumberFormat="1" applyFont="1" applyFill="1" applyBorder="1" applyAlignment="1" applyProtection="1">
      <alignment horizontal="right"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1" fontId="8" fillId="2" borderId="107" xfId="0" applyNumberFormat="1" applyFont="1" applyFill="1" applyBorder="1" applyAlignment="1">
      <alignment horizontal="center" vertical="center"/>
    </xf>
    <xf numFmtId="0" fontId="265" fillId="0" borderId="99" xfId="85" applyFont="1" applyBorder="1" applyAlignment="1">
      <alignment horizontal="center" wrapText="1"/>
    </xf>
    <xf numFmtId="0" fontId="10" fillId="0" borderId="99" xfId="85" applyFont="1" applyBorder="1" applyAlignment="1">
      <alignment horizontal="centerContinuous"/>
    </xf>
    <xf numFmtId="0" fontId="261" fillId="0" borderId="97" xfId="85" applyFont="1" applyBorder="1" applyAlignment="1">
      <alignment horizontal="center"/>
    </xf>
    <xf numFmtId="9" fontId="7" fillId="3" borderId="99" xfId="77" applyFill="1" applyBorder="1" applyAlignment="1" applyProtection="1">
      <alignment vertical="center"/>
      <protection locked="0"/>
    </xf>
    <xf numFmtId="0" fontId="0" fillId="0" borderId="124" xfId="0" applyBorder="1" applyAlignment="1">
      <alignment horizontal="center" vertical="top"/>
    </xf>
    <xf numFmtId="1" fontId="8" fillId="2" borderId="124" xfId="0" applyNumberFormat="1" applyFont="1" applyFill="1" applyBorder="1" applyAlignment="1">
      <alignment horizontal="center" vertical="center"/>
    </xf>
    <xf numFmtId="0" fontId="10" fillId="0" borderId="117" xfId="85" applyFont="1" applyBorder="1" applyAlignment="1">
      <alignment horizontal="center"/>
    </xf>
    <xf numFmtId="0" fontId="265" fillId="0" borderId="118" xfId="85" applyFont="1" applyBorder="1" applyAlignment="1">
      <alignment horizontal="center" wrapText="1"/>
    </xf>
    <xf numFmtId="0" fontId="10" fillId="0" borderId="118" xfId="85" applyFont="1" applyBorder="1" applyAlignment="1">
      <alignment horizontal="centerContinuous"/>
    </xf>
    <xf numFmtId="0" fontId="261" fillId="0" borderId="119" xfId="85" applyFont="1" applyBorder="1" applyAlignment="1">
      <alignment horizontal="center"/>
    </xf>
    <xf numFmtId="171"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73" fontId="11" fillId="0" borderId="0" xfId="77" applyNumberFormat="1" applyFont="1" applyFill="1" applyBorder="1" applyProtection="1"/>
    <xf numFmtId="9" fontId="7" fillId="3" borderId="59" xfId="95" applyNumberFormat="1" applyFill="1" applyBorder="1" applyAlignment="1" applyProtection="1">
      <alignment vertical="center"/>
      <protection locked="0"/>
    </xf>
    <xf numFmtId="9" fontId="7" fillId="3" borderId="60" xfId="95" applyNumberFormat="1" applyFill="1" applyBorder="1" applyAlignment="1" applyProtection="1">
      <alignment vertical="center"/>
      <protection locked="0"/>
    </xf>
    <xf numFmtId="9" fontId="7" fillId="3" borderId="99" xfId="95" applyNumberFormat="1" applyFill="1" applyBorder="1" applyAlignment="1" applyProtection="1">
      <alignment vertical="center"/>
      <protection locked="0"/>
    </xf>
    <xf numFmtId="9" fontId="7" fillId="3" borderId="118" xfId="95" applyNumberFormat="1" applyFill="1" applyBorder="1" applyAlignment="1" applyProtection="1">
      <alignment vertical="center"/>
      <protection locked="0"/>
    </xf>
    <xf numFmtId="254" fontId="11" fillId="0" borderId="0" xfId="2" applyNumberFormat="1" applyFont="1" applyFill="1" applyBorder="1"/>
    <xf numFmtId="171" fontId="11" fillId="0" borderId="0" xfId="0" applyNumberFormat="1" applyFont="1" applyAlignment="1">
      <alignment horizontal="left" vertical="center"/>
    </xf>
    <xf numFmtId="9" fontId="10" fillId="52" borderId="65" xfId="75" applyNumberFormat="1" applyFont="1" applyFill="1" applyBorder="1" applyAlignment="1">
      <alignment vertical="top"/>
    </xf>
    <xf numFmtId="9" fontId="10" fillId="52" borderId="66" xfId="75" applyNumberFormat="1" applyFont="1" applyFill="1" applyBorder="1" applyAlignment="1">
      <alignment vertical="top"/>
    </xf>
    <xf numFmtId="181" fontId="0" fillId="51" borderId="71" xfId="1" applyNumberFormat="1" applyFont="1" applyFill="1" applyBorder="1" applyAlignment="1">
      <alignment horizontal="right"/>
    </xf>
    <xf numFmtId="173" fontId="10" fillId="38" borderId="59" xfId="77" applyNumberFormat="1" applyFont="1" applyFill="1" applyBorder="1" applyProtection="1"/>
    <xf numFmtId="173" fontId="10" fillId="38" borderId="61" xfId="77" applyNumberFormat="1" applyFont="1" applyFill="1" applyBorder="1" applyProtection="1"/>
    <xf numFmtId="175" fontId="10" fillId="38" borderId="68" xfId="1" applyNumberFormat="1" applyFont="1" applyFill="1" applyBorder="1" applyProtection="1"/>
    <xf numFmtId="175" fontId="10" fillId="38" borderId="69" xfId="1" applyNumberFormat="1" applyFont="1" applyFill="1" applyBorder="1" applyProtection="1"/>
    <xf numFmtId="0" fontId="10" fillId="3" borderId="112" xfId="48237" applyFill="1" applyBorder="1" applyAlignment="1">
      <alignment horizontal="left"/>
    </xf>
    <xf numFmtId="0" fontId="10" fillId="3" borderId="112" xfId="85" applyFont="1" applyFill="1" applyBorder="1"/>
    <xf numFmtId="0" fontId="10" fillId="3" borderId="112" xfId="84" applyFont="1" applyFill="1" applyBorder="1" applyAlignment="1">
      <alignment wrapText="1"/>
    </xf>
    <xf numFmtId="0" fontId="11" fillId="0" borderId="112"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173" fontId="11" fillId="53" borderId="0" xfId="77" applyNumberFormat="1" applyFont="1" applyFill="1" applyBorder="1" applyProtection="1"/>
    <xf numFmtId="173" fontId="8" fillId="53" borderId="0" xfId="0" applyNumberFormat="1" applyFont="1" applyFill="1"/>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6" fontId="0" fillId="119" borderId="63" xfId="0" applyNumberFormat="1" applyFill="1" applyBorder="1" applyAlignment="1">
      <alignment horizontal="right" indent="1"/>
    </xf>
    <xf numFmtId="0" fontId="0" fillId="54" borderId="108" xfId="0" applyFill="1" applyBorder="1" applyAlignment="1">
      <alignment horizontal="right" vertical="top"/>
    </xf>
    <xf numFmtId="175" fontId="10" fillId="38" borderId="79" xfId="1" applyNumberFormat="1" applyFont="1" applyFill="1" applyBorder="1" applyProtection="1"/>
    <xf numFmtId="175" fontId="10" fillId="38" borderId="108" xfId="1" applyNumberFormat="1" applyFont="1" applyFill="1" applyBorder="1" applyProtection="1"/>
    <xf numFmtId="175" fontId="10" fillId="38" borderId="109" xfId="1" applyNumberFormat="1" applyFont="1" applyFill="1" applyBorder="1" applyProtection="1"/>
    <xf numFmtId="175" fontId="10" fillId="38" borderId="90" xfId="1" applyNumberFormat="1" applyFont="1" applyFill="1" applyBorder="1" applyProtection="1"/>
    <xf numFmtId="175" fontId="10" fillId="38" borderId="127" xfId="1" applyNumberFormat="1" applyFont="1" applyFill="1" applyBorder="1" applyProtection="1"/>
    <xf numFmtId="175" fontId="10" fillId="3" borderId="62" xfId="2" applyNumberFormat="1" applyFont="1" applyFill="1" applyBorder="1"/>
    <xf numFmtId="175" fontId="0" fillId="3" borderId="59" xfId="0" applyNumberFormat="1" applyFill="1" applyBorder="1" applyAlignment="1">
      <alignment horizontal="right" vertical="top"/>
    </xf>
    <xf numFmtId="175" fontId="0" fillId="3" borderId="60" xfId="0" applyNumberFormat="1" applyFill="1" applyBorder="1" applyAlignment="1">
      <alignment horizontal="right" vertical="top"/>
    </xf>
    <xf numFmtId="175" fontId="0" fillId="3" borderId="62" xfId="0" applyNumberFormat="1" applyFill="1" applyBorder="1" applyAlignment="1">
      <alignment horizontal="right" vertical="top"/>
    </xf>
    <xf numFmtId="175" fontId="0" fillId="3" borderId="63" xfId="0" applyNumberFormat="1" applyFill="1" applyBorder="1" applyAlignment="1">
      <alignment horizontal="right" vertical="top"/>
    </xf>
    <xf numFmtId="175" fontId="8" fillId="52" borderId="71" xfId="0" applyNumberFormat="1" applyFont="1" applyFill="1" applyBorder="1" applyAlignment="1">
      <alignment horizontal="right"/>
    </xf>
    <xf numFmtId="175" fontId="0" fillId="3" borderId="68" xfId="0" applyNumberFormat="1" applyFill="1" applyBorder="1" applyAlignment="1">
      <alignment horizontal="right" vertical="top"/>
    </xf>
    <xf numFmtId="175" fontId="0" fillId="3" borderId="69" xfId="0" applyNumberFormat="1" applyFill="1" applyBorder="1" applyAlignment="1">
      <alignment horizontal="right" vertical="top"/>
    </xf>
    <xf numFmtId="175" fontId="8" fillId="52" borderId="71" xfId="0" applyNumberFormat="1" applyFont="1" applyFill="1" applyBorder="1" applyAlignment="1">
      <alignment horizontal="right" vertical="top"/>
    </xf>
    <xf numFmtId="175" fontId="8" fillId="52" borderId="72" xfId="0" applyNumberFormat="1" applyFont="1" applyFill="1" applyBorder="1" applyAlignment="1">
      <alignment horizontal="right" vertical="top"/>
    </xf>
    <xf numFmtId="175" fontId="0" fillId="3" borderId="65" xfId="0" applyNumberFormat="1" applyFill="1" applyBorder="1" applyAlignment="1">
      <alignment horizontal="right" vertical="top"/>
    </xf>
    <xf numFmtId="175" fontId="0" fillId="3" borderId="66" xfId="0" applyNumberFormat="1" applyFill="1" applyBorder="1" applyAlignment="1">
      <alignment horizontal="right" vertical="top"/>
    </xf>
    <xf numFmtId="175" fontId="8" fillId="52" borderId="59" xfId="0" applyNumberFormat="1" applyFont="1" applyFill="1" applyBorder="1" applyAlignment="1">
      <alignment horizontal="right" vertical="top"/>
    </xf>
    <xf numFmtId="175" fontId="0" fillId="54" borderId="71" xfId="0" applyNumberFormat="1" applyFill="1" applyBorder="1" applyAlignment="1">
      <alignment horizontal="right" vertical="top"/>
    </xf>
    <xf numFmtId="175" fontId="0" fillId="52" borderId="71" xfId="0" applyNumberFormat="1" applyFill="1" applyBorder="1" applyAlignment="1">
      <alignment horizontal="right" vertical="top"/>
    </xf>
    <xf numFmtId="175" fontId="0" fillId="52" borderId="72" xfId="0" applyNumberFormat="1" applyFill="1" applyBorder="1" applyAlignment="1">
      <alignment horizontal="right" vertical="top"/>
    </xf>
    <xf numFmtId="175" fontId="10" fillId="52" borderId="105" xfId="2" applyNumberFormat="1" applyFont="1" applyFill="1" applyBorder="1" applyAlignment="1">
      <alignment vertical="center"/>
    </xf>
    <xf numFmtId="175" fontId="10" fillId="52" borderId="79" xfId="2" applyNumberFormat="1" applyFont="1" applyFill="1" applyBorder="1" applyAlignment="1">
      <alignment vertical="center"/>
    </xf>
    <xf numFmtId="175" fontId="10" fillId="52" borderId="106" xfId="2" applyNumberFormat="1" applyFont="1" applyFill="1" applyBorder="1" applyAlignment="1">
      <alignment vertical="center"/>
    </xf>
    <xf numFmtId="175" fontId="10" fillId="52" borderId="128" xfId="2" applyNumberFormat="1" applyFont="1" applyFill="1" applyBorder="1" applyAlignment="1">
      <alignment vertical="center"/>
    </xf>
    <xf numFmtId="175" fontId="0" fillId="52" borderId="74" xfId="0" applyNumberFormat="1" applyFill="1" applyBorder="1" applyAlignment="1">
      <alignment horizontal="right" vertical="top"/>
    </xf>
    <xf numFmtId="175" fontId="0" fillId="52" borderId="75" xfId="0" applyNumberFormat="1" applyFill="1" applyBorder="1" applyAlignment="1">
      <alignment horizontal="right" vertical="top"/>
    </xf>
    <xf numFmtId="175" fontId="0" fillId="52" borderId="59" xfId="0" applyNumberFormat="1" applyFill="1" applyBorder="1" applyAlignment="1">
      <alignment horizontal="right" vertical="top"/>
    </xf>
    <xf numFmtId="175" fontId="10" fillId="52" borderId="71" xfId="2" applyNumberFormat="1" applyFont="1" applyFill="1" applyBorder="1" applyAlignment="1">
      <alignment horizontal="right" vertical="center"/>
    </xf>
    <xf numFmtId="175" fontId="10" fillId="52" borderId="73" xfId="2" applyNumberFormat="1" applyFont="1" applyFill="1" applyBorder="1" applyAlignment="1">
      <alignment horizontal="right" vertical="center"/>
    </xf>
    <xf numFmtId="175" fontId="11" fillId="52" borderId="71" xfId="2" applyNumberFormat="1" applyFont="1" applyFill="1" applyBorder="1" applyAlignment="1">
      <alignment horizontal="right" vertical="center"/>
    </xf>
    <xf numFmtId="175" fontId="11" fillId="52" borderId="73" xfId="2" applyNumberFormat="1" applyFont="1" applyFill="1" applyBorder="1" applyAlignment="1">
      <alignment horizontal="right" vertical="center"/>
    </xf>
    <xf numFmtId="175" fontId="10" fillId="51" borderId="59" xfId="1" applyNumberFormat="1" applyFont="1" applyFill="1" applyBorder="1"/>
    <xf numFmtId="175" fontId="10" fillId="51" borderId="60" xfId="1" applyNumberFormat="1" applyFont="1" applyFill="1" applyBorder="1"/>
    <xf numFmtId="175" fontId="10" fillId="51" borderId="62" xfId="1" applyNumberFormat="1" applyFont="1" applyFill="1" applyBorder="1"/>
    <xf numFmtId="175" fontId="10" fillId="51" borderId="63" xfId="1" applyNumberFormat="1" applyFont="1" applyFill="1" applyBorder="1"/>
    <xf numFmtId="175" fontId="8" fillId="52" borderId="71" xfId="1" applyNumberFormat="1" applyFont="1" applyFill="1" applyBorder="1" applyAlignment="1">
      <alignment horizontal="right"/>
    </xf>
    <xf numFmtId="175" fontId="0" fillId="52" borderId="74" xfId="0" applyNumberFormat="1" applyFill="1" applyBorder="1"/>
    <xf numFmtId="175" fontId="0" fillId="52" borderId="75" xfId="0" applyNumberFormat="1" applyFill="1" applyBorder="1"/>
    <xf numFmtId="175" fontId="10" fillId="52" borderId="59" xfId="1" applyNumberFormat="1" applyFont="1" applyFill="1" applyBorder="1" applyProtection="1"/>
    <xf numFmtId="175" fontId="0" fillId="52" borderId="59" xfId="0" applyNumberFormat="1" applyFill="1" applyBorder="1"/>
    <xf numFmtId="175" fontId="0" fillId="52" borderId="60" xfId="0" applyNumberFormat="1" applyFill="1" applyBorder="1"/>
    <xf numFmtId="175" fontId="11" fillId="52" borderId="71" xfId="2" applyNumberFormat="1" applyFont="1" applyFill="1" applyBorder="1"/>
    <xf numFmtId="175" fontId="0" fillId="52" borderId="71" xfId="0" applyNumberFormat="1" applyFill="1" applyBorder="1" applyAlignment="1">
      <alignment horizontal="right" vertical="center"/>
    </xf>
    <xf numFmtId="175" fontId="0" fillId="0" borderId="0" xfId="0" applyNumberFormat="1"/>
    <xf numFmtId="175" fontId="0" fillId="0" borderId="0" xfId="0" applyNumberFormat="1" applyAlignment="1">
      <alignment horizontal="right"/>
    </xf>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175" fontId="10" fillId="3" borderId="59" xfId="85" applyNumberFormat="1" applyFont="1" applyFill="1" applyBorder="1" applyProtection="1">
      <protection locked="0"/>
    </xf>
    <xf numFmtId="175" fontId="10" fillId="3" borderId="60" xfId="85" applyNumberFormat="1" applyFont="1" applyFill="1" applyBorder="1" applyProtection="1">
      <protection locked="0"/>
    </xf>
    <xf numFmtId="175" fontId="10" fillId="3" borderId="99" xfId="85" applyNumberFormat="1" applyFont="1" applyFill="1" applyBorder="1" applyProtection="1">
      <protection locked="0"/>
    </xf>
    <xf numFmtId="175" fontId="10" fillId="3" borderId="118" xfId="85" applyNumberFormat="1" applyFont="1" applyFill="1" applyBorder="1" applyProtection="1">
      <protection locked="0"/>
    </xf>
    <xf numFmtId="175" fontId="10" fillId="3" borderId="62" xfId="85" applyNumberFormat="1" applyFont="1" applyFill="1" applyBorder="1" applyProtection="1">
      <protection locked="0"/>
    </xf>
    <xf numFmtId="175" fontId="10" fillId="3" borderId="63" xfId="85" applyNumberFormat="1" applyFont="1" applyFill="1" applyBorder="1" applyProtection="1">
      <protection locked="0"/>
    </xf>
    <xf numFmtId="175" fontId="10" fillId="3" borderId="97" xfId="85" applyNumberFormat="1" applyFont="1" applyFill="1" applyBorder="1" applyProtection="1">
      <protection locked="0"/>
    </xf>
    <xf numFmtId="175" fontId="10" fillId="3" borderId="119" xfId="85" applyNumberFormat="1" applyFont="1" applyFill="1" applyBorder="1" applyProtection="1">
      <protection locked="0"/>
    </xf>
    <xf numFmtId="175" fontId="10" fillId="3" borderId="65" xfId="85" applyNumberFormat="1" applyFont="1" applyFill="1" applyBorder="1" applyProtection="1">
      <protection locked="0"/>
    </xf>
    <xf numFmtId="175" fontId="10" fillId="3" borderId="66" xfId="85" applyNumberFormat="1" applyFont="1" applyFill="1" applyBorder="1" applyProtection="1">
      <protection locked="0"/>
    </xf>
    <xf numFmtId="175" fontId="10" fillId="3" borderId="95" xfId="85" applyNumberFormat="1" applyFont="1" applyFill="1" applyBorder="1" applyProtection="1">
      <protection locked="0"/>
    </xf>
    <xf numFmtId="175" fontId="10" fillId="3" borderId="120" xfId="85" applyNumberFormat="1" applyFont="1" applyFill="1" applyBorder="1" applyProtection="1">
      <protection locked="0"/>
    </xf>
    <xf numFmtId="175" fontId="7" fillId="43" borderId="108" xfId="48236" applyNumberFormat="1" applyBorder="1">
      <alignment vertical="center"/>
    </xf>
    <xf numFmtId="175" fontId="7" fillId="43" borderId="109" xfId="48236" applyNumberFormat="1" applyBorder="1">
      <alignment vertical="center"/>
    </xf>
    <xf numFmtId="175" fontId="7" fillId="43" borderId="93" xfId="48236" applyNumberFormat="1" applyBorder="1">
      <alignment vertical="center"/>
    </xf>
    <xf numFmtId="175" fontId="7" fillId="43" borderId="121" xfId="48236" applyNumberFormat="1" applyBorder="1">
      <alignment vertical="center"/>
    </xf>
    <xf numFmtId="175" fontId="7" fillId="43" borderId="71" xfId="48236" applyNumberFormat="1" applyBorder="1">
      <alignment vertical="center"/>
    </xf>
    <xf numFmtId="175" fontId="7" fillId="43" borderId="72" xfId="48236" applyNumberFormat="1" applyBorder="1">
      <alignment vertical="center"/>
    </xf>
    <xf numFmtId="175" fontId="7" fillId="43" borderId="107" xfId="48236" applyNumberFormat="1" applyBorder="1">
      <alignment vertical="center"/>
    </xf>
    <xf numFmtId="175" fontId="7" fillId="43" borderId="122" xfId="48236" applyNumberFormat="1" applyBorder="1">
      <alignment vertical="center"/>
    </xf>
    <xf numFmtId="175" fontId="10" fillId="3" borderId="77" xfId="85" applyNumberFormat="1" applyFont="1" applyFill="1" applyBorder="1" applyProtection="1">
      <protection locked="0"/>
    </xf>
    <xf numFmtId="175" fontId="10" fillId="3" borderId="85" xfId="85" applyNumberFormat="1" applyFont="1" applyFill="1" applyBorder="1" applyProtection="1">
      <protection locked="0"/>
    </xf>
    <xf numFmtId="175" fontId="10" fillId="3" borderId="125" xfId="85" applyNumberFormat="1" applyFont="1" applyFill="1" applyBorder="1" applyProtection="1">
      <protection locked="0"/>
    </xf>
    <xf numFmtId="175" fontId="10" fillId="3" borderId="126" xfId="85" applyNumberFormat="1" applyFont="1" applyFill="1" applyBorder="1" applyProtection="1">
      <protection locked="0"/>
    </xf>
    <xf numFmtId="175" fontId="7" fillId="43" borderId="59" xfId="48236" applyNumberFormat="1" applyBorder="1">
      <alignment vertical="center"/>
    </xf>
    <xf numFmtId="175" fontId="7" fillId="43" borderId="60" xfId="48236" applyNumberFormat="1" applyBorder="1">
      <alignment vertical="center"/>
    </xf>
    <xf numFmtId="175" fontId="7" fillId="43" borderId="99" xfId="48236" applyNumberFormat="1" applyBorder="1">
      <alignment vertical="center"/>
    </xf>
    <xf numFmtId="175" fontId="7" fillId="43" borderId="118" xfId="48236" applyNumberFormat="1" applyBorder="1">
      <alignment vertical="center"/>
    </xf>
    <xf numFmtId="175" fontId="10" fillId="3" borderId="68" xfId="85" applyNumberFormat="1" applyFont="1" applyFill="1" applyBorder="1" applyProtection="1">
      <protection locked="0"/>
    </xf>
    <xf numFmtId="175" fontId="10" fillId="3" borderId="69" xfId="85" applyNumberFormat="1" applyFont="1" applyFill="1" applyBorder="1" applyProtection="1">
      <protection locked="0"/>
    </xf>
    <xf numFmtId="175" fontId="10" fillId="3" borderId="116" xfId="85" applyNumberFormat="1" applyFont="1" applyFill="1" applyBorder="1" applyProtection="1">
      <protection locked="0"/>
    </xf>
    <xf numFmtId="175" fontId="10" fillId="3" borderId="123" xfId="85" applyNumberFormat="1" applyFont="1" applyFill="1" applyBorder="1" applyProtection="1">
      <protection locked="0"/>
    </xf>
    <xf numFmtId="175" fontId="10" fillId="44" borderId="59" xfId="85" applyNumberFormat="1" applyFont="1" applyFill="1" applyBorder="1"/>
    <xf numFmtId="175" fontId="10" fillId="44" borderId="60" xfId="85" applyNumberFormat="1" applyFont="1" applyFill="1" applyBorder="1"/>
    <xf numFmtId="175" fontId="10" fillId="44" borderId="99" xfId="85" applyNumberFormat="1" applyFont="1" applyFill="1" applyBorder="1"/>
    <xf numFmtId="175" fontId="10" fillId="44" borderId="118" xfId="85" applyNumberFormat="1" applyFont="1" applyFill="1" applyBorder="1"/>
    <xf numFmtId="175" fontId="7" fillId="43" borderId="65" xfId="48236" applyNumberFormat="1" applyBorder="1">
      <alignment vertical="center"/>
    </xf>
    <xf numFmtId="175" fontId="7" fillId="43" borderId="66" xfId="48236" applyNumberFormat="1" applyBorder="1">
      <alignment vertical="center"/>
    </xf>
    <xf numFmtId="175" fontId="7" fillId="43" borderId="95" xfId="48236" applyNumberFormat="1" applyBorder="1">
      <alignment vertical="center"/>
    </xf>
    <xf numFmtId="175" fontId="7" fillId="43" borderId="120" xfId="48236" applyNumberFormat="1" applyBorder="1">
      <alignment vertical="center"/>
    </xf>
    <xf numFmtId="175" fontId="7" fillId="3" borderId="62" xfId="95" applyNumberFormat="1" applyFill="1" applyBorder="1" applyAlignment="1" applyProtection="1">
      <alignment vertical="center"/>
      <protection locked="0"/>
    </xf>
    <xf numFmtId="175" fontId="7" fillId="3" borderId="63" xfId="95" applyNumberFormat="1" applyFill="1" applyBorder="1" applyAlignment="1" applyProtection="1">
      <alignment vertical="center"/>
      <protection locked="0"/>
    </xf>
    <xf numFmtId="175" fontId="7" fillId="3" borderId="97" xfId="95" applyNumberFormat="1" applyFill="1" applyBorder="1" applyAlignment="1" applyProtection="1">
      <alignment vertical="center"/>
      <protection locked="0"/>
    </xf>
    <xf numFmtId="175" fontId="7" fillId="3" borderId="119" xfId="95" applyNumberFormat="1" applyFill="1" applyBorder="1" applyAlignment="1" applyProtection="1">
      <alignment vertical="center"/>
      <protection locked="0"/>
    </xf>
    <xf numFmtId="175" fontId="7" fillId="3" borderId="65" xfId="95" applyNumberFormat="1" applyFill="1" applyBorder="1" applyAlignment="1" applyProtection="1">
      <alignment vertical="center"/>
      <protection locked="0"/>
    </xf>
    <xf numFmtId="175" fontId="7" fillId="3" borderId="66" xfId="95" applyNumberFormat="1" applyFill="1" applyBorder="1" applyAlignment="1" applyProtection="1">
      <alignment vertical="center"/>
      <protection locked="0"/>
    </xf>
    <xf numFmtId="175" fontId="7" fillId="3" borderId="95" xfId="95" applyNumberFormat="1" applyFill="1" applyBorder="1" applyAlignment="1" applyProtection="1">
      <alignment vertical="center"/>
      <protection locked="0"/>
    </xf>
    <xf numFmtId="175" fontId="7" fillId="3" borderId="120" xfId="95" applyNumberFormat="1" applyFill="1" applyBorder="1" applyAlignment="1" applyProtection="1">
      <alignment vertical="center"/>
      <protection locked="0"/>
    </xf>
    <xf numFmtId="175" fontId="10" fillId="3" borderId="62" xfId="95" applyNumberFormat="1" applyFont="1" applyFill="1" applyBorder="1" applyAlignment="1" applyProtection="1">
      <alignment horizontal="right"/>
      <protection locked="0"/>
    </xf>
    <xf numFmtId="175" fontId="10" fillId="3" borderId="63" xfId="95" applyNumberFormat="1" applyFont="1" applyFill="1" applyBorder="1" applyAlignment="1" applyProtection="1">
      <alignment horizontal="right"/>
      <protection locked="0"/>
    </xf>
    <xf numFmtId="175" fontId="10" fillId="3" borderId="97" xfId="95" applyNumberFormat="1" applyFont="1" applyFill="1" applyBorder="1" applyAlignment="1" applyProtection="1">
      <alignment horizontal="right"/>
      <protection locked="0"/>
    </xf>
    <xf numFmtId="175" fontId="10" fillId="3" borderId="119" xfId="95" applyNumberFormat="1" applyFont="1" applyFill="1" applyBorder="1" applyAlignment="1" applyProtection="1">
      <alignment horizontal="right"/>
      <protection locked="0"/>
    </xf>
    <xf numFmtId="175" fontId="10" fillId="3" borderId="65" xfId="95" applyNumberFormat="1" applyFont="1" applyFill="1" applyBorder="1" applyAlignment="1" applyProtection="1">
      <alignment horizontal="right"/>
      <protection locked="0"/>
    </xf>
    <xf numFmtId="175" fontId="10" fillId="3" borderId="66" xfId="95" applyNumberFormat="1" applyFont="1" applyFill="1" applyBorder="1" applyAlignment="1" applyProtection="1">
      <alignment horizontal="right"/>
      <protection locked="0"/>
    </xf>
    <xf numFmtId="175" fontId="10" fillId="3" borderId="95" xfId="95" applyNumberFormat="1" applyFont="1" applyFill="1" applyBorder="1" applyAlignment="1" applyProtection="1">
      <alignment horizontal="right"/>
      <protection locked="0"/>
    </xf>
    <xf numFmtId="175" fontId="10" fillId="3" borderId="120" xfId="95" applyNumberFormat="1" applyFont="1" applyFill="1" applyBorder="1" applyAlignment="1" applyProtection="1">
      <alignment horizontal="right"/>
      <protection locked="0"/>
    </xf>
    <xf numFmtId="175" fontId="7" fillId="43" borderId="62" xfId="48236" applyNumberFormat="1" applyBorder="1">
      <alignment vertical="center"/>
    </xf>
    <xf numFmtId="175" fontId="7" fillId="43" borderId="63" xfId="48236" applyNumberFormat="1" applyBorder="1">
      <alignment vertical="center"/>
    </xf>
    <xf numFmtId="175" fontId="7" fillId="43" borderId="97" xfId="48236" applyNumberFormat="1" applyBorder="1">
      <alignment vertical="center"/>
    </xf>
    <xf numFmtId="175" fontId="7" fillId="43" borderId="119" xfId="48236" applyNumberFormat="1" applyBorder="1">
      <alignment vertical="center"/>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175" fontId="10" fillId="0" borderId="0" xfId="1" applyNumberFormat="1" applyFont="1" applyFill="1" applyBorder="1" applyProtection="1"/>
    <xf numFmtId="0" fontId="10" fillId="0" borderId="85" xfId="85" applyFont="1" applyBorder="1" applyAlignment="1">
      <alignment vertical="top"/>
    </xf>
    <xf numFmtId="0" fontId="10" fillId="0" borderId="0" xfId="85" applyFont="1" applyAlignment="1">
      <alignment horizontal="center" vertical="center"/>
    </xf>
    <xf numFmtId="0" fontId="10" fillId="0" borderId="117" xfId="85" applyFont="1" applyBorder="1" applyAlignment="1">
      <alignment horizontal="center" vertical="center"/>
    </xf>
    <xf numFmtId="0" fontId="10" fillId="0" borderId="85" xfId="85" applyFont="1" applyBorder="1" applyAlignment="1">
      <alignment horizontal="center" vertical="top"/>
    </xf>
    <xf numFmtId="0" fontId="10" fillId="0" borderId="85" xfId="85" applyFont="1" applyBorder="1" applyAlignment="1">
      <alignment vertical="top" wrapText="1"/>
    </xf>
    <xf numFmtId="0" fontId="10" fillId="0" borderId="85" xfId="85" applyFont="1" applyBorder="1" applyAlignment="1">
      <alignment horizontal="center" vertical="top" wrapText="1"/>
    </xf>
    <xf numFmtId="0" fontId="10" fillId="0" borderId="78" xfId="85" applyFont="1" applyBorder="1" applyAlignment="1">
      <alignment horizontal="center" vertical="top" wrapText="1"/>
    </xf>
    <xf numFmtId="0" fontId="10" fillId="0" borderId="90" xfId="84" applyFont="1" applyBorder="1" applyAlignment="1">
      <alignment horizontal="center" vertical="top"/>
    </xf>
    <xf numFmtId="0" fontId="10" fillId="0" borderId="109" xfId="85" applyFont="1" applyBorder="1" applyAlignment="1">
      <alignment horizontal="center" vertical="top"/>
    </xf>
    <xf numFmtId="0" fontId="10" fillId="0" borderId="109" xfId="85" applyFont="1" applyBorder="1" applyAlignment="1" applyProtection="1">
      <alignment horizontal="center" vertical="top"/>
      <protection locked="0"/>
    </xf>
    <xf numFmtId="0" fontId="10" fillId="0" borderId="109" xfId="85" applyFont="1" applyBorder="1" applyAlignment="1" applyProtection="1">
      <alignment horizontal="center" vertical="top" wrapText="1"/>
      <protection locked="0"/>
    </xf>
    <xf numFmtId="0" fontId="10" fillId="0" borderId="91" xfId="85" applyFont="1" applyBorder="1" applyAlignment="1">
      <alignment horizontal="center" vertical="top"/>
    </xf>
    <xf numFmtId="0" fontId="10" fillId="0" borderId="0" xfId="85" applyFont="1" applyAlignment="1">
      <alignment horizontal="center" vertical="top"/>
    </xf>
    <xf numFmtId="0" fontId="10" fillId="0" borderId="59" xfId="85" quotePrefix="1" applyFont="1" applyBorder="1" applyAlignment="1">
      <alignment horizontal="center" vertical="top"/>
    </xf>
    <xf numFmtId="0" fontId="10" fillId="0" borderId="60" xfId="85" quotePrefix="1" applyFont="1" applyBorder="1" applyAlignment="1">
      <alignment horizontal="center" vertical="top"/>
    </xf>
    <xf numFmtId="0" fontId="10" fillId="0" borderId="99" xfId="85" quotePrefix="1" applyFont="1" applyBorder="1" applyAlignment="1">
      <alignment horizontal="center" vertical="top"/>
    </xf>
    <xf numFmtId="0" fontId="10" fillId="0" borderId="118" xfId="85" quotePrefix="1" applyFont="1" applyBorder="1" applyAlignment="1">
      <alignment horizontal="center" vertical="top"/>
    </xf>
    <xf numFmtId="0" fontId="10" fillId="0" borderId="77" xfId="85" applyFont="1" applyBorder="1" applyAlignment="1">
      <alignment horizontal="left"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99" xfId="85" applyFont="1" applyBorder="1" applyAlignment="1">
      <alignment horizontal="center" vertical="top"/>
    </xf>
    <xf numFmtId="0" fontId="10" fillId="0" borderId="118" xfId="85" applyFont="1" applyBorder="1" applyAlignment="1">
      <alignment horizontal="center" vertical="top"/>
    </xf>
    <xf numFmtId="0" fontId="10" fillId="0" borderId="0" xfId="85" applyFont="1" applyAlignment="1">
      <alignment vertical="top"/>
    </xf>
    <xf numFmtId="0" fontId="10" fillId="44" borderId="60" xfId="85" applyFont="1" applyFill="1" applyBorder="1" applyAlignment="1">
      <alignment horizontal="right" indent="1"/>
    </xf>
    <xf numFmtId="0" fontId="10" fillId="44" borderId="63" xfId="85" applyFont="1" applyFill="1" applyBorder="1" applyAlignment="1">
      <alignment horizontal="right" indent="1"/>
    </xf>
    <xf numFmtId="0" fontId="10" fillId="44" borderId="66" xfId="85" applyFont="1" applyFill="1" applyBorder="1" applyAlignment="1">
      <alignment horizontal="right" indent="1"/>
    </xf>
    <xf numFmtId="178" fontId="10" fillId="44" borderId="60" xfId="85" applyNumberFormat="1" applyFont="1" applyFill="1" applyBorder="1" applyAlignment="1">
      <alignment horizontal="right"/>
    </xf>
    <xf numFmtId="178" fontId="10" fillId="44" borderId="63" xfId="85" applyNumberFormat="1" applyFont="1" applyFill="1" applyBorder="1" applyAlignment="1">
      <alignment horizontal="right"/>
    </xf>
    <xf numFmtId="178" fontId="10" fillId="44" borderId="66" xfId="85" applyNumberFormat="1" applyFont="1" applyFill="1" applyBorder="1" applyAlignment="1">
      <alignment horizontal="right"/>
    </xf>
    <xf numFmtId="178" fontId="10" fillId="44" borderId="63" xfId="85" applyNumberFormat="1" applyFont="1" applyFill="1" applyBorder="1" applyAlignment="1">
      <alignment horizontal="right" indent="1"/>
    </xf>
    <xf numFmtId="0" fontId="0" fillId="52" borderId="79" xfId="0" applyFill="1" applyBorder="1" applyAlignment="1">
      <alignment horizontal="left" vertical="center" wrapText="1" indent="1"/>
    </xf>
    <xf numFmtId="175" fontId="10" fillId="0" borderId="0" xfId="2" applyNumberFormat="1" applyFont="1" applyFill="1" applyBorder="1"/>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5" fontId="10" fillId="0" borderId="0" xfId="2" applyNumberFormat="1" applyFont="1" applyFill="1" applyBorder="1" applyAlignment="1">
      <alignment horizontal="right" vertical="center"/>
    </xf>
    <xf numFmtId="0" fontId="8" fillId="53" borderId="0" xfId="0" applyFont="1" applyFill="1"/>
    <xf numFmtId="175" fontId="0" fillId="0" borderId="0" xfId="1" applyNumberFormat="1" applyFont="1" applyFill="1" applyBorder="1" applyAlignment="1">
      <alignment horizontal="right"/>
    </xf>
    <xf numFmtId="175" fontId="0" fillId="0" borderId="0" xfId="1" applyNumberFormat="1" applyFont="1" applyFill="1" applyBorder="1" applyAlignment="1"/>
    <xf numFmtId="0" fontId="8" fillId="53" borderId="0" xfId="0" applyFont="1" applyFill="1" applyAlignment="1">
      <alignment horizontal="left" indent="1"/>
    </xf>
    <xf numFmtId="175" fontId="10" fillId="3" borderId="59" xfId="1" applyNumberFormat="1" applyFont="1" applyFill="1" applyBorder="1" applyProtection="1"/>
    <xf numFmtId="344" fontId="10" fillId="0" borderId="101" xfId="48235" applyNumberFormat="1" applyFont="1" applyBorder="1" applyAlignment="1">
      <alignment horizontal="left" indent="1"/>
    </xf>
    <xf numFmtId="0" fontId="10" fillId="42" borderId="0" xfId="85" applyFont="1" applyFill="1"/>
    <xf numFmtId="0" fontId="10" fillId="0" borderId="99" xfId="85" applyFont="1" applyBorder="1" applyAlignment="1">
      <alignment horizontal="left" indent="1"/>
    </xf>
    <xf numFmtId="14" fontId="10" fillId="51" borderId="63" xfId="85" applyNumberFormat="1" applyFont="1" applyFill="1" applyBorder="1" applyAlignment="1" applyProtection="1">
      <alignment horizontal="center"/>
      <protection locked="0"/>
    </xf>
    <xf numFmtId="14" fontId="10" fillId="51" borderId="85" xfId="85" applyNumberFormat="1" applyFont="1" applyFill="1" applyBorder="1" applyAlignment="1" applyProtection="1">
      <alignment horizontal="center"/>
      <protection locked="0"/>
    </xf>
    <xf numFmtId="0" fontId="10" fillId="0" borderId="59" xfId="85" applyFont="1" applyBorder="1" applyAlignment="1">
      <alignment horizontal="left" indent="1"/>
    </xf>
    <xf numFmtId="170" fontId="7" fillId="51" borderId="66" xfId="48239" applyFill="1" applyBorder="1" applyAlignment="1">
      <alignment horizontal="left"/>
      <protection locked="0"/>
    </xf>
    <xf numFmtId="170" fontId="7" fillId="51" borderId="95" xfId="48239" applyFill="1" applyBorder="1" applyAlignment="1">
      <protection locked="0"/>
    </xf>
    <xf numFmtId="170" fontId="7" fillId="51" borderId="102" xfId="48239" applyFill="1" applyBorder="1" applyAlignment="1">
      <protection locked="0"/>
    </xf>
    <xf numFmtId="170" fontId="7" fillId="51" borderId="96" xfId="48239" applyFill="1" applyBorder="1" applyAlignment="1">
      <protection locked="0"/>
    </xf>
    <xf numFmtId="15" fontId="244" fillId="46" borderId="127" xfId="48240" applyNumberFormat="1" applyFont="1" applyFill="1" applyBorder="1" applyAlignment="1">
      <alignment horizontal="center" vertical="top" wrapText="1"/>
    </xf>
    <xf numFmtId="0" fontId="244" fillId="46" borderId="127" xfId="48240" applyFont="1" applyFill="1" applyBorder="1" applyAlignment="1">
      <alignment vertical="top" wrapText="1"/>
    </xf>
    <xf numFmtId="0" fontId="244" fillId="46" borderId="127" xfId="48240" applyFont="1" applyFill="1" applyBorder="1" applyAlignment="1">
      <alignment horizontal="center" vertical="top" wrapText="1"/>
    </xf>
    <xf numFmtId="0" fontId="30" fillId="42" borderId="0" xfId="90" applyFont="1" applyFill="1" applyAlignment="1">
      <alignment horizontal="left"/>
    </xf>
    <xf numFmtId="0" fontId="10" fillId="0" borderId="127" xfId="85" applyFont="1" applyBorder="1"/>
    <xf numFmtId="0" fontId="10" fillId="54" borderId="0" xfId="85" applyFont="1" applyFill="1"/>
    <xf numFmtId="0" fontId="10" fillId="51" borderId="99" xfId="85" applyFont="1" applyFill="1" applyBorder="1" applyProtection="1">
      <protection locked="0"/>
    </xf>
    <xf numFmtId="0" fontId="10" fillId="51" borderId="84" xfId="85" applyFont="1" applyFill="1" applyBorder="1" applyProtection="1">
      <protection locked="0"/>
    </xf>
    <xf numFmtId="0" fontId="10" fillId="51" borderId="100" xfId="85" applyFont="1" applyFill="1" applyBorder="1" applyProtection="1">
      <protection locked="0"/>
    </xf>
    <xf numFmtId="0" fontId="10" fillId="51" borderId="97" xfId="85" applyFont="1" applyFill="1" applyBorder="1" applyProtection="1">
      <protection locked="0"/>
    </xf>
    <xf numFmtId="0" fontId="10" fillId="51" borderId="104" xfId="85" applyFont="1" applyFill="1" applyBorder="1" applyProtection="1">
      <protection locked="0"/>
    </xf>
    <xf numFmtId="0" fontId="10" fillId="51" borderId="98" xfId="85" applyFont="1" applyFill="1" applyBorder="1" applyProtection="1">
      <protection locked="0"/>
    </xf>
    <xf numFmtId="14" fontId="10" fillId="51" borderId="125" xfId="85" applyNumberFormat="1" applyFont="1" applyFill="1" applyBorder="1" applyAlignment="1" applyProtection="1">
      <alignment horizontal="center"/>
      <protection locked="0"/>
    </xf>
    <xf numFmtId="14" fontId="10" fillId="51" borderId="97" xfId="85" applyNumberFormat="1" applyFont="1" applyFill="1" applyBorder="1" applyAlignment="1" applyProtection="1">
      <alignment horizontal="center"/>
      <protection locked="0"/>
    </xf>
    <xf numFmtId="0" fontId="10" fillId="0" borderId="88" xfId="85" applyFont="1" applyBorder="1" applyAlignment="1">
      <alignment horizontal="left" indent="1"/>
    </xf>
    <xf numFmtId="0" fontId="10" fillId="0" borderId="94" xfId="85" applyFont="1" applyBorder="1" applyAlignment="1">
      <alignment horizontal="left" indent="1"/>
    </xf>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85" xfId="0" applyBorder="1" applyAlignment="1">
      <alignment horizontal="left" vertical="top" wrapText="1" indent="1"/>
    </xf>
    <xf numFmtId="10" fontId="7" fillId="3" borderId="59" xfId="48239" applyNumberFormat="1" applyBorder="1">
      <alignment vertical="center"/>
      <protection locked="0"/>
    </xf>
    <xf numFmtId="10" fontId="7" fillId="3" borderId="60" xfId="48239" applyNumberFormat="1" applyBorder="1">
      <alignment vertical="center"/>
      <protection locked="0"/>
    </xf>
    <xf numFmtId="10" fontId="7" fillId="3" borderId="99" xfId="48239" applyNumberFormat="1" applyBorder="1">
      <alignment vertical="center"/>
      <protection locked="0"/>
    </xf>
    <xf numFmtId="10" fontId="7" fillId="3" borderId="118" xfId="48239" applyNumberFormat="1" applyBorder="1">
      <alignment vertical="center"/>
      <protection locked="0"/>
    </xf>
    <xf numFmtId="10" fontId="7" fillId="3" borderId="59" xfId="95" applyNumberFormat="1" applyFill="1" applyBorder="1" applyAlignment="1" applyProtection="1">
      <alignment vertical="center"/>
      <protection locked="0"/>
    </xf>
    <xf numFmtId="10" fontId="7" fillId="3" borderId="60" xfId="95" applyNumberFormat="1" applyFill="1" applyBorder="1" applyAlignment="1" applyProtection="1">
      <alignment vertical="center"/>
      <protection locked="0"/>
    </xf>
    <xf numFmtId="10" fontId="7" fillId="3" borderId="99" xfId="95" applyNumberFormat="1" applyFill="1" applyBorder="1" applyAlignment="1" applyProtection="1">
      <alignment vertical="center"/>
      <protection locked="0"/>
    </xf>
    <xf numFmtId="10" fontId="7" fillId="3" borderId="118" xfId="95" applyNumberFormat="1" applyFill="1" applyBorder="1" applyAlignment="1" applyProtection="1">
      <alignment vertical="center"/>
      <protection locked="0"/>
    </xf>
    <xf numFmtId="9" fontId="7" fillId="3" borderId="60" xfId="77" applyFill="1" applyBorder="1" applyAlignment="1" applyProtection="1">
      <alignment vertical="center"/>
      <protection locked="0"/>
    </xf>
    <xf numFmtId="9" fontId="7" fillId="3" borderId="118" xfId="77" applyFill="1" applyBorder="1" applyAlignment="1" applyProtection="1">
      <alignment vertical="center"/>
      <protection locked="0"/>
    </xf>
    <xf numFmtId="0" fontId="10" fillId="0" borderId="0" xfId="7" applyFont="1" applyAlignment="1">
      <alignment horizontal="left" vertical="center" wrapText="1" indent="1"/>
    </xf>
    <xf numFmtId="43" fontId="10" fillId="3" borderId="64" xfId="1" applyFont="1" applyFill="1" applyBorder="1" applyProtection="1">
      <protection locked="0"/>
    </xf>
    <xf numFmtId="175" fontId="0" fillId="3" borderId="62" xfId="95" applyNumberFormat="1" applyFont="1" applyFill="1" applyBorder="1" applyAlignment="1" applyProtection="1">
      <alignment vertical="center"/>
      <protection locked="0"/>
    </xf>
    <xf numFmtId="0" fontId="0" fillId="0" borderId="85" xfId="0" applyBorder="1" applyAlignment="1">
      <alignment vertical="center" wrapText="1"/>
    </xf>
    <xf numFmtId="171" fontId="11" fillId="0" borderId="0" xfId="0" applyNumberFormat="1" applyFont="1" applyAlignment="1">
      <alignment horizontal="left" vertical="center" indent="1"/>
    </xf>
    <xf numFmtId="170" fontId="10" fillId="3" borderId="0" xfId="85" applyNumberFormat="1" applyFont="1" applyFill="1" applyProtection="1">
      <protection locked="0"/>
    </xf>
    <xf numFmtId="0" fontId="8" fillId="42" borderId="0" xfId="0" applyFont="1" applyFill="1" applyAlignment="1">
      <alignment horizontal="left" indent="1"/>
    </xf>
    <xf numFmtId="170" fontId="10" fillId="42" borderId="0" xfId="85" applyNumberFormat="1" applyFont="1" applyFill="1" applyProtection="1">
      <protection locked="0"/>
    </xf>
    <xf numFmtId="175" fontId="7" fillId="42" borderId="0" xfId="48236" applyNumberFormat="1" applyFill="1" applyBorder="1">
      <alignment vertical="center"/>
    </xf>
    <xf numFmtId="0" fontId="10" fillId="3" borderId="0" xfId="85" applyFont="1" applyFill="1" applyAlignment="1">
      <alignment horizontal="left" vertical="center"/>
    </xf>
    <xf numFmtId="171"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175" fontId="0" fillId="51" borderId="71" xfId="0" applyNumberFormat="1" applyFill="1" applyBorder="1"/>
    <xf numFmtId="173" fontId="0" fillId="51" borderId="68" xfId="0" applyNumberFormat="1" applyFill="1" applyBorder="1"/>
    <xf numFmtId="173" fontId="0" fillId="51" borderId="69" xfId="0" applyNumberFormat="1" applyFill="1" applyBorder="1"/>
    <xf numFmtId="0" fontId="0" fillId="42" borderId="75" xfId="0" applyFill="1" applyBorder="1" applyAlignment="1">
      <alignment horizontal="left" vertical="top" wrapText="1" indent="1"/>
    </xf>
    <xf numFmtId="0" fontId="0" fillId="42" borderId="75" xfId="0" applyFill="1" applyBorder="1" applyAlignment="1">
      <alignment horizontal="left" vertical="top" wrapText="1"/>
    </xf>
    <xf numFmtId="175" fontId="11" fillId="51" borderId="71" xfId="1" applyNumberFormat="1" applyFont="1" applyFill="1" applyBorder="1" applyProtection="1"/>
    <xf numFmtId="175" fontId="10" fillId="51" borderId="71" xfId="1" applyNumberFormat="1" applyFont="1" applyFill="1" applyBorder="1" applyProtection="1"/>
    <xf numFmtId="173" fontId="10" fillId="116" borderId="71" xfId="1" applyNumberFormat="1" applyFont="1" applyFill="1" applyBorder="1" applyProtection="1"/>
    <xf numFmtId="173" fontId="10" fillId="116" borderId="72" xfId="1" applyNumberFormat="1" applyFont="1" applyFill="1" applyBorder="1" applyProtection="1"/>
    <xf numFmtId="178" fontId="10" fillId="52" borderId="60" xfId="85" applyNumberFormat="1" applyFont="1" applyFill="1" applyBorder="1" applyAlignment="1">
      <alignment horizontal="center"/>
    </xf>
    <xf numFmtId="0" fontId="10" fillId="52" borderId="60" xfId="85" applyFont="1" applyFill="1" applyBorder="1"/>
    <xf numFmtId="0" fontId="10" fillId="52" borderId="60" xfId="85" applyFont="1" applyFill="1" applyBorder="1" applyAlignment="1">
      <alignment horizontal="left" indent="1"/>
    </xf>
    <xf numFmtId="0" fontId="10" fillId="52" borderId="60" xfId="85" applyFont="1" applyFill="1" applyBorder="1" applyAlignment="1">
      <alignment horizontal="right" indent="1"/>
    </xf>
    <xf numFmtId="10" fontId="10" fillId="52" borderId="61" xfId="77" applyNumberFormat="1" applyFont="1" applyFill="1" applyBorder="1" applyAlignment="1" applyProtection="1">
      <alignment horizontal="right" indent="1"/>
    </xf>
    <xf numFmtId="178" fontId="10" fillId="52" borderId="63" xfId="85" applyNumberFormat="1" applyFont="1" applyFill="1" applyBorder="1" applyAlignment="1">
      <alignment horizontal="center"/>
    </xf>
    <xf numFmtId="0" fontId="10" fillId="52" borderId="63" xfId="85" applyFont="1" applyFill="1" applyBorder="1"/>
    <xf numFmtId="0" fontId="10" fillId="52" borderId="63" xfId="85" applyFont="1" applyFill="1" applyBorder="1" applyAlignment="1">
      <alignment horizontal="left" indent="1"/>
    </xf>
    <xf numFmtId="0" fontId="10" fillId="52" borderId="63" xfId="85" applyFont="1" applyFill="1" applyBorder="1" applyAlignment="1">
      <alignment horizontal="right" indent="1"/>
    </xf>
    <xf numFmtId="10" fontId="10" fillId="52" borderId="64" xfId="77" applyNumberFormat="1" applyFont="1" applyFill="1" applyBorder="1" applyAlignment="1" applyProtection="1">
      <alignment horizontal="right" indent="1"/>
    </xf>
    <xf numFmtId="178" fontId="10" fillId="52" borderId="66" xfId="85" applyNumberFormat="1" applyFont="1" applyFill="1" applyBorder="1" applyAlignment="1">
      <alignment horizontal="center"/>
    </xf>
    <xf numFmtId="0" fontId="10" fillId="52" borderId="66" xfId="85" applyFont="1" applyFill="1" applyBorder="1"/>
    <xf numFmtId="0" fontId="10" fillId="52" borderId="66" xfId="85" applyFont="1" applyFill="1" applyBorder="1" applyAlignment="1">
      <alignment horizontal="left" indent="1"/>
    </xf>
    <xf numFmtId="0" fontId="10" fillId="52" borderId="66" xfId="85" applyFont="1" applyFill="1" applyBorder="1" applyAlignment="1">
      <alignment horizontal="right" indent="1"/>
    </xf>
    <xf numFmtId="10" fontId="10" fillId="52" borderId="67" xfId="77" applyNumberFormat="1" applyFont="1" applyFill="1" applyBorder="1" applyAlignment="1" applyProtection="1">
      <alignment horizontal="right" indent="1"/>
    </xf>
    <xf numFmtId="178" fontId="10" fillId="52" borderId="59" xfId="85" applyNumberFormat="1" applyFont="1" applyFill="1" applyBorder="1" applyAlignment="1">
      <alignment horizontal="center"/>
    </xf>
    <xf numFmtId="178" fontId="10" fillId="52" borderId="60" xfId="85" applyNumberFormat="1" applyFont="1" applyFill="1" applyBorder="1"/>
    <xf numFmtId="178" fontId="10" fillId="52" borderId="60" xfId="85" applyNumberFormat="1" applyFont="1" applyFill="1" applyBorder="1" applyAlignment="1">
      <alignment horizontal="left" indent="1"/>
    </xf>
    <xf numFmtId="178" fontId="10" fillId="52" borderId="60" xfId="85" applyNumberFormat="1" applyFont="1" applyFill="1" applyBorder="1" applyAlignment="1">
      <alignment horizontal="right" indent="1"/>
    </xf>
    <xf numFmtId="178" fontId="10" fillId="52" borderId="85" xfId="85" applyNumberFormat="1" applyFont="1" applyFill="1" applyBorder="1" applyAlignment="1">
      <alignment horizontal="center"/>
    </xf>
    <xf numFmtId="178" fontId="10" fillId="52" borderId="85" xfId="85" applyNumberFormat="1" applyFont="1" applyFill="1" applyBorder="1"/>
    <xf numFmtId="178" fontId="10" fillId="52" borderId="85" xfId="85" applyNumberFormat="1" applyFont="1" applyFill="1" applyBorder="1" applyAlignment="1">
      <alignment horizontal="left" indent="1"/>
    </xf>
    <xf numFmtId="178" fontId="10" fillId="52" borderId="85" xfId="85" applyNumberFormat="1" applyFont="1" applyFill="1" applyBorder="1" applyAlignment="1">
      <alignment horizontal="right" indent="1"/>
    </xf>
    <xf numFmtId="178" fontId="10" fillId="52" borderId="63" xfId="85" applyNumberFormat="1" applyFont="1" applyFill="1" applyBorder="1"/>
    <xf numFmtId="178" fontId="10" fillId="52" borderId="63" xfId="85" applyNumberFormat="1" applyFont="1" applyFill="1" applyBorder="1" applyAlignment="1">
      <alignment horizontal="left" indent="1"/>
    </xf>
    <xf numFmtId="178" fontId="10" fillId="52" borderId="63" xfId="85" applyNumberFormat="1" applyFont="1" applyFill="1" applyBorder="1" applyAlignment="1">
      <alignment horizontal="right" indent="1"/>
    </xf>
    <xf numFmtId="178" fontId="10" fillId="52" borderId="66" xfId="85" applyNumberFormat="1" applyFont="1" applyFill="1" applyBorder="1"/>
    <xf numFmtId="178" fontId="10" fillId="52" borderId="66" xfId="85" applyNumberFormat="1" applyFont="1" applyFill="1" applyBorder="1" applyAlignment="1">
      <alignment horizontal="left" indent="1"/>
    </xf>
    <xf numFmtId="175" fontId="10" fillId="52" borderId="65" xfId="85" applyNumberFormat="1" applyFont="1" applyFill="1" applyBorder="1"/>
    <xf numFmtId="175" fontId="10" fillId="52" borderId="66" xfId="85" applyNumberFormat="1" applyFont="1" applyFill="1" applyBorder="1"/>
    <xf numFmtId="175" fontId="10" fillId="52" borderId="95" xfId="85" applyNumberFormat="1" applyFont="1" applyFill="1" applyBorder="1"/>
    <xf numFmtId="175" fontId="10" fillId="52" borderId="120" xfId="85" applyNumberFormat="1" applyFont="1" applyFill="1" applyBorder="1"/>
    <xf numFmtId="175" fontId="10" fillId="52" borderId="59" xfId="85" applyNumberFormat="1" applyFont="1" applyFill="1" applyBorder="1"/>
    <xf numFmtId="175" fontId="10" fillId="52" borderId="60" xfId="85" applyNumberFormat="1" applyFont="1" applyFill="1" applyBorder="1"/>
    <xf numFmtId="175" fontId="10" fillId="52" borderId="99" xfId="85" applyNumberFormat="1" applyFont="1" applyFill="1" applyBorder="1"/>
    <xf numFmtId="175" fontId="10" fillId="52" borderId="118" xfId="85" applyNumberFormat="1" applyFont="1" applyFill="1" applyBorder="1"/>
    <xf numFmtId="175" fontId="10" fillId="52" borderId="62" xfId="85" applyNumberFormat="1" applyFont="1" applyFill="1" applyBorder="1"/>
    <xf numFmtId="175" fontId="10" fillId="52" borderId="63" xfId="85" applyNumberFormat="1" applyFont="1" applyFill="1" applyBorder="1"/>
    <xf numFmtId="175" fontId="10" fillId="52" borderId="97" xfId="85" applyNumberFormat="1" applyFont="1" applyFill="1" applyBorder="1"/>
    <xf numFmtId="175" fontId="10" fillId="52" borderId="119" xfId="85" applyNumberFormat="1" applyFont="1" applyFill="1" applyBorder="1"/>
    <xf numFmtId="175" fontId="10" fillId="52" borderId="68" xfId="85" applyNumberFormat="1" applyFont="1" applyFill="1" applyBorder="1"/>
    <xf numFmtId="175" fontId="10" fillId="52" borderId="69" xfId="85" applyNumberFormat="1" applyFont="1" applyFill="1" applyBorder="1"/>
    <xf numFmtId="175" fontId="10" fillId="52" borderId="116" xfId="85" applyNumberFormat="1" applyFont="1" applyFill="1" applyBorder="1"/>
    <xf numFmtId="175" fontId="10" fillId="52" borderId="123" xfId="85" applyNumberFormat="1" applyFont="1" applyFill="1" applyBorder="1"/>
    <xf numFmtId="173" fontId="10" fillId="51" borderId="71" xfId="1" applyNumberFormat="1" applyFont="1" applyFill="1" applyBorder="1" applyProtection="1"/>
    <xf numFmtId="173" fontId="10" fillId="51" borderId="72" xfId="1" applyNumberFormat="1" applyFont="1" applyFill="1" applyBorder="1" applyProtection="1"/>
    <xf numFmtId="0" fontId="10" fillId="42" borderId="0" xfId="0" applyFont="1" applyFill="1" applyAlignment="1">
      <alignment horizontal="left" vertical="center" indent="1"/>
    </xf>
    <xf numFmtId="175"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91"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7" xfId="0" applyFill="1" applyBorder="1" applyAlignment="1">
      <alignment horizontal="left" vertical="center" wrapText="1" indent="1"/>
    </xf>
    <xf numFmtId="0" fontId="0" fillId="42" borderId="85" xfId="0" applyFill="1" applyBorder="1" applyAlignment="1">
      <alignment horizontal="left" vertical="top" wrapText="1" indent="1"/>
    </xf>
    <xf numFmtId="0" fontId="0" fillId="42" borderId="85" xfId="0" applyFill="1" applyBorder="1" applyAlignment="1">
      <alignment horizontal="left" vertical="top" wrapText="1"/>
    </xf>
    <xf numFmtId="0" fontId="0" fillId="42" borderId="139" xfId="0" applyFill="1" applyBorder="1" applyAlignment="1">
      <alignment horizontal="left" vertical="center" wrapText="1" indent="1"/>
    </xf>
    <xf numFmtId="0" fontId="0" fillId="42" borderId="140" xfId="0" applyFill="1" applyBorder="1" applyAlignment="1">
      <alignment horizontal="left" vertical="top" wrapText="1" indent="1"/>
    </xf>
    <xf numFmtId="0" fontId="0" fillId="42" borderId="140" xfId="0" applyFill="1" applyBorder="1" applyAlignment="1">
      <alignment horizontal="left" vertical="top" wrapText="1"/>
    </xf>
    <xf numFmtId="2" fontId="10" fillId="3" borderId="64" xfId="83" applyNumberFormat="1" applyFont="1" applyFill="1" applyBorder="1" applyAlignment="1" applyProtection="1">
      <alignment horizontal="left" indent="1"/>
      <protection locked="0"/>
    </xf>
    <xf numFmtId="173" fontId="10" fillId="3" borderId="63" xfId="77" applyNumberFormat="1" applyFont="1" applyFill="1" applyBorder="1" applyAlignment="1" applyProtection="1">
      <protection locked="0"/>
    </xf>
    <xf numFmtId="173" fontId="10" fillId="3" borderId="63" xfId="77" applyNumberFormat="1" applyFont="1" applyFill="1" applyBorder="1" applyAlignment="1" applyProtection="1">
      <alignment horizontal="center"/>
      <protection locked="0"/>
    </xf>
    <xf numFmtId="176" fontId="10" fillId="3" borderId="63" xfId="85" applyNumberFormat="1" applyFont="1" applyFill="1" applyBorder="1" applyProtection="1">
      <protection locked="0"/>
    </xf>
    <xf numFmtId="2" fontId="10" fillId="3" borderId="63" xfId="85" applyNumberFormat="1" applyFont="1" applyFill="1" applyBorder="1" applyAlignment="1" applyProtection="1">
      <alignment horizontal="center"/>
      <protection locked="0"/>
    </xf>
    <xf numFmtId="176" fontId="10" fillId="3" borderId="63" xfId="85" applyNumberFormat="1" applyFont="1" applyFill="1" applyBorder="1" applyAlignment="1" applyProtection="1">
      <alignment horizontal="center"/>
      <protection locked="0"/>
    </xf>
    <xf numFmtId="181" fontId="10" fillId="3" borderId="63" xfId="85" applyNumberFormat="1" applyFont="1" applyFill="1" applyBorder="1" applyProtection="1">
      <protection locked="0"/>
    </xf>
    <xf numFmtId="173" fontId="10" fillId="3" borderId="85" xfId="77" applyNumberFormat="1" applyFont="1" applyFill="1" applyBorder="1" applyAlignment="1" applyProtection="1">
      <alignment horizontal="center"/>
      <protection locked="0"/>
    </xf>
    <xf numFmtId="176" fontId="10" fillId="3" borderId="85" xfId="85" applyNumberFormat="1" applyFont="1" applyFill="1" applyBorder="1" applyAlignment="1" applyProtection="1">
      <alignment horizontal="center"/>
      <protection locked="0"/>
    </xf>
    <xf numFmtId="10" fontId="0" fillId="0" borderId="0" xfId="77" applyNumberFormat="1" applyFont="1"/>
    <xf numFmtId="175" fontId="10" fillId="3" borderId="63" xfId="1" applyNumberFormat="1" applyFont="1" applyFill="1" applyBorder="1" applyAlignment="1" applyProtection="1">
      <protection locked="0"/>
    </xf>
    <xf numFmtId="347" fontId="0" fillId="0" borderId="0" xfId="0" applyNumberFormat="1"/>
    <xf numFmtId="175" fontId="0" fillId="133" borderId="59" xfId="0" applyNumberFormat="1" applyFill="1" applyBorder="1" applyAlignment="1">
      <alignment horizontal="right" vertical="top"/>
    </xf>
    <xf numFmtId="175"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103" xfId="89" applyNumberFormat="1" applyFont="1" applyBorder="1" applyAlignment="1">
      <alignment horizontal="left" indent="1"/>
    </xf>
    <xf numFmtId="345" fontId="0" fillId="0" borderId="63" xfId="0" applyNumberFormat="1" applyBorder="1" applyAlignment="1">
      <alignment horizontal="right" indent="1"/>
    </xf>
    <xf numFmtId="181" fontId="0" fillId="0" borderId="63" xfId="0" applyNumberFormat="1" applyBorder="1" applyAlignment="1">
      <alignment horizontal="right" indent="1"/>
    </xf>
    <xf numFmtId="43" fontId="0" fillId="0" borderId="63" xfId="0" applyNumberFormat="1" applyBorder="1" applyAlignment="1">
      <alignment horizontal="right" indent="1"/>
    </xf>
    <xf numFmtId="3" fontId="10" fillId="0" borderId="101" xfId="89" applyNumberFormat="1" applyFont="1" applyBorder="1" applyAlignment="1">
      <alignment horizontal="left" indent="1"/>
    </xf>
    <xf numFmtId="181" fontId="0" fillId="0" borderId="66" xfId="0" applyNumberFormat="1" applyBorder="1" applyAlignment="1">
      <alignment horizontal="right" indent="1"/>
    </xf>
    <xf numFmtId="175" fontId="0" fillId="0" borderId="63" xfId="0" applyNumberFormat="1" applyBorder="1" applyAlignment="1">
      <alignment horizontal="right" indent="1"/>
    </xf>
    <xf numFmtId="0" fontId="8" fillId="2" borderId="71" xfId="0" applyFont="1" applyFill="1" applyBorder="1" applyAlignment="1">
      <alignment horizontal="center" vertical="center"/>
    </xf>
    <xf numFmtId="2" fontId="10" fillId="134" borderId="0" xfId="7" applyNumberFormat="1" applyFont="1" applyFill="1" applyAlignment="1">
      <alignment horizontal="center"/>
    </xf>
    <xf numFmtId="0" fontId="10" fillId="134" borderId="0" xfId="7" applyFont="1" applyFill="1" applyAlignment="1">
      <alignment horizontal="center"/>
    </xf>
    <xf numFmtId="176" fontId="10" fillId="134" borderId="0" xfId="7" applyNumberFormat="1" applyFont="1" applyFill="1" applyAlignment="1">
      <alignment horizontal="center"/>
    </xf>
    <xf numFmtId="9" fontId="0" fillId="134" borderId="0" xfId="0" applyNumberFormat="1" applyFill="1" applyAlignment="1">
      <alignment horizontal="center"/>
    </xf>
    <xf numFmtId="181"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0" fontId="10" fillId="0" borderId="0" xfId="1" applyNumberFormat="1" applyFont="1" applyAlignment="1">
      <alignment horizontal="left" indent="1"/>
    </xf>
    <xf numFmtId="173" fontId="10" fillId="38" borderId="59" xfId="77" applyNumberFormat="1" applyFont="1" applyFill="1" applyBorder="1"/>
    <xf numFmtId="171"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0" fillId="0" borderId="141" xfId="0" applyBorder="1"/>
    <xf numFmtId="0" fontId="0" fillId="134" borderId="141" xfId="0" applyFill="1" applyBorder="1"/>
    <xf numFmtId="175" fontId="0" fillId="3" borderId="77" xfId="0" applyNumberFormat="1" applyFill="1" applyBorder="1" applyAlignment="1">
      <alignment horizontal="right" vertical="top"/>
    </xf>
    <xf numFmtId="176" fontId="0" fillId="52" borderId="60" xfId="0" applyNumberFormat="1" applyFill="1" applyBorder="1" applyAlignment="1">
      <alignment horizontal="right" vertical="top"/>
    </xf>
    <xf numFmtId="0" fontId="0" fillId="3" borderId="0" xfId="0" applyFill="1"/>
    <xf numFmtId="175" fontId="10" fillId="133" borderId="59" xfId="2" applyNumberFormat="1" applyFont="1" applyFill="1" applyBorder="1"/>
    <xf numFmtId="175" fontId="10" fillId="133" borderId="60" xfId="2" applyNumberFormat="1" applyFont="1" applyFill="1" applyBorder="1"/>
    <xf numFmtId="175" fontId="10" fillId="133" borderId="68" xfId="2" applyNumberFormat="1" applyFont="1" applyFill="1" applyBorder="1"/>
    <xf numFmtId="0" fontId="10" fillId="0" borderId="0" xfId="0" applyFont="1"/>
    <xf numFmtId="347"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3"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168" fontId="0" fillId="0" borderId="0" xfId="1" applyNumberFormat="1" applyFont="1" applyFill="1" applyBorder="1" applyAlignment="1">
      <alignment horizontal="right" vertical="top"/>
    </xf>
    <xf numFmtId="0" fontId="0" fillId="0" borderId="0" xfId="0" quotePrefix="1"/>
    <xf numFmtId="175" fontId="11" fillId="0" borderId="0" xfId="2" applyNumberFormat="1" applyFont="1" applyFill="1" applyBorder="1"/>
    <xf numFmtId="10" fontId="0" fillId="0" borderId="99" xfId="0" applyNumberFormat="1" applyBorder="1"/>
    <xf numFmtId="10" fontId="0" fillId="0" borderId="61" xfId="0" applyNumberFormat="1" applyBorder="1"/>
    <xf numFmtId="10" fontId="0" fillId="0" borderId="97" xfId="0" applyNumberFormat="1" applyBorder="1"/>
    <xf numFmtId="0" fontId="26" fillId="0" borderId="79" xfId="0" applyFont="1" applyBorder="1" applyAlignment="1">
      <alignment horizontal="left" indent="1"/>
    </xf>
    <xf numFmtId="0" fontId="0" fillId="0" borderId="80" xfId="0" applyBorder="1" applyAlignment="1">
      <alignment horizontal="left" indent="1"/>
    </xf>
    <xf numFmtId="0" fontId="0" fillId="0" borderId="128" xfId="0" applyBorder="1" applyAlignment="1">
      <alignment horizontal="left" indent="1"/>
    </xf>
    <xf numFmtId="0" fontId="0" fillId="0" borderId="81" xfId="0" applyBorder="1" applyAlignment="1">
      <alignment horizontal="left" indent="1"/>
    </xf>
    <xf numFmtId="0" fontId="0" fillId="0" borderId="79" xfId="0" applyBorder="1" applyAlignment="1">
      <alignment horizontal="left" indent="1"/>
    </xf>
    <xf numFmtId="0" fontId="10" fillId="3" borderId="63" xfId="85" applyFont="1" applyFill="1" applyBorder="1" applyAlignment="1" applyProtection="1">
      <alignment horizontal="center" vertical="center"/>
      <protection locked="0"/>
    </xf>
    <xf numFmtId="0" fontId="0" fillId="0" borderId="11" xfId="0" applyBorder="1"/>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11" xfId="0" applyFill="1" applyBorder="1"/>
    <xf numFmtId="0" fontId="0" fillId="3" borderId="90" xfId="0" applyFill="1" applyBorder="1" applyAlignment="1">
      <alignment horizontal="left" indent="1"/>
    </xf>
    <xf numFmtId="0" fontId="0" fillId="3" borderId="91" xfId="0" applyFill="1" applyBorder="1"/>
    <xf numFmtId="0" fontId="0" fillId="135" borderId="0" xfId="0" applyFill="1" applyAlignment="1">
      <alignment horizontal="center" vertical="center"/>
    </xf>
    <xf numFmtId="0" fontId="8" fillId="135" borderId="0" xfId="0" applyFont="1" applyFill="1" applyAlignment="1">
      <alignment horizontal="left" vertical="top" indent="1"/>
    </xf>
    <xf numFmtId="181"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178" fontId="10" fillId="44" borderId="105" xfId="85" applyNumberFormat="1" applyFont="1" applyFill="1" applyBorder="1" applyAlignment="1">
      <alignment horizontal="left" indent="1"/>
    </xf>
    <xf numFmtId="178" fontId="10" fillId="44" borderId="84" xfId="85" applyNumberFormat="1" applyFont="1" applyFill="1" applyBorder="1" applyAlignment="1">
      <alignment horizontal="left" indent="1"/>
    </xf>
    <xf numFmtId="178" fontId="10" fillId="44" borderId="100" xfId="85" applyNumberFormat="1" applyFont="1" applyFill="1" applyBorder="1" applyAlignment="1">
      <alignment horizontal="left" indent="1"/>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3" borderId="63" xfId="85" applyFont="1" applyFill="1" applyBorder="1" applyAlignment="1" applyProtection="1">
      <alignment horizontal="left" indent="1"/>
      <protection locked="0"/>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90" xfId="7" applyFont="1" applyBorder="1" applyAlignment="1">
      <alignment horizontal="left" vertical="center" wrapText="1" indent="1"/>
    </xf>
    <xf numFmtId="176" fontId="0" fillId="119" borderId="59" xfId="0" applyNumberFormat="1" applyFill="1" applyBorder="1" applyAlignment="1">
      <alignment horizontal="right" indent="1"/>
    </xf>
    <xf numFmtId="176" fontId="0" fillId="119" borderId="60" xfId="0" applyNumberFormat="1" applyFill="1" applyBorder="1" applyAlignment="1">
      <alignment horizontal="right" indent="1"/>
    </xf>
    <xf numFmtId="176" fontId="0" fillId="119" borderId="62" xfId="0" applyNumberFormat="1" applyFill="1" applyBorder="1" applyAlignment="1">
      <alignment horizontal="right" indent="1"/>
    </xf>
    <xf numFmtId="10" fontId="0" fillId="0" borderId="103" xfId="0" applyNumberFormat="1" applyBorder="1"/>
    <xf numFmtId="176" fontId="0" fillId="119" borderId="64" xfId="0" applyNumberFormat="1" applyFill="1" applyBorder="1" applyAlignment="1">
      <alignment horizontal="right" indent="1"/>
    </xf>
    <xf numFmtId="10" fontId="0" fillId="0" borderId="101" xfId="0" applyNumberFormat="1" applyBorder="1"/>
    <xf numFmtId="10" fontId="0" fillId="0" borderId="95" xfId="0" applyNumberFormat="1" applyBorder="1"/>
    <xf numFmtId="176" fontId="0" fillId="119" borderId="66" xfId="0" applyNumberFormat="1" applyFill="1" applyBorder="1" applyAlignment="1">
      <alignment horizontal="right" indent="1"/>
    </xf>
    <xf numFmtId="176" fontId="0" fillId="119" borderId="67" xfId="0" applyNumberFormat="1" applyFill="1" applyBorder="1" applyAlignment="1">
      <alignment horizontal="right" indent="1"/>
    </xf>
    <xf numFmtId="10" fontId="0" fillId="0" borderId="105" xfId="0" applyNumberFormat="1" applyBorder="1"/>
    <xf numFmtId="0" fontId="276" fillId="47" borderId="21" xfId="0" applyFont="1" applyFill="1" applyBorder="1" applyAlignment="1">
      <alignment wrapText="1"/>
    </xf>
    <xf numFmtId="0" fontId="10" fillId="42" borderId="142" xfId="7" applyFont="1" applyFill="1" applyBorder="1" applyAlignment="1">
      <alignment horizontal="left" indent="1"/>
    </xf>
    <xf numFmtId="1" fontId="8" fillId="2" borderId="143" xfId="0" applyNumberFormat="1" applyFont="1" applyFill="1" applyBorder="1" applyAlignment="1">
      <alignment horizontal="center" vertical="center"/>
    </xf>
    <xf numFmtId="1" fontId="8" fillId="2" borderId="144" xfId="0" applyNumberFormat="1" applyFont="1" applyFill="1" applyBorder="1" applyAlignment="1">
      <alignment horizontal="center" vertical="center"/>
    </xf>
    <xf numFmtId="1" fontId="0" fillId="0" borderId="142" xfId="0" applyNumberFormat="1" applyBorder="1" applyAlignment="1">
      <alignment horizontal="left" indent="1"/>
    </xf>
    <xf numFmtId="0" fontId="0" fillId="0" borderId="146"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0" fillId="47" borderId="21" xfId="0" applyFill="1" applyBorder="1"/>
    <xf numFmtId="0" fontId="30" fillId="47" borderId="21" xfId="90" applyFont="1" applyFill="1" applyBorder="1" applyAlignment="1">
      <alignment horizontal="center" vertical="center"/>
    </xf>
    <xf numFmtId="175" fontId="10" fillId="38" borderId="142" xfId="1" applyNumberFormat="1" applyFont="1" applyFill="1" applyBorder="1" applyProtection="1"/>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5" fillId="47" borderId="21" xfId="90" applyFont="1" applyFill="1" applyBorder="1" applyAlignment="1">
      <alignment horizontal="left"/>
    </xf>
    <xf numFmtId="0" fontId="31" fillId="47" borderId="21" xfId="75" applyFont="1" applyFill="1" applyBorder="1"/>
    <xf numFmtId="0" fontId="10" fillId="0" borderId="148" xfId="48234" applyFont="1" applyBorder="1" applyAlignment="1">
      <alignment horizontal="center" vertical="center"/>
    </xf>
    <xf numFmtId="0" fontId="10" fillId="42" borderId="143" xfId="85" applyFont="1" applyFill="1" applyBorder="1" applyAlignment="1">
      <alignment horizontal="center"/>
    </xf>
    <xf numFmtId="0" fontId="10" fillId="42" borderId="144" xfId="85" applyFont="1" applyFill="1" applyBorder="1" applyAlignment="1">
      <alignment horizontal="center"/>
    </xf>
    <xf numFmtId="0" fontId="10" fillId="42" borderId="144" xfId="85" applyFont="1" applyFill="1" applyBorder="1" applyAlignment="1">
      <alignment horizontal="center" wrapText="1"/>
    </xf>
    <xf numFmtId="0" fontId="10" fillId="42" borderId="147" xfId="85" applyFont="1" applyFill="1" applyBorder="1" applyAlignment="1">
      <alignment horizontal="center" wrapText="1"/>
    </xf>
    <xf numFmtId="0" fontId="10" fillId="0" borderId="143" xfId="85" quotePrefix="1" applyFont="1" applyBorder="1" applyAlignment="1">
      <alignment horizontal="center"/>
    </xf>
    <xf numFmtId="0" fontId="10" fillId="0" borderId="144" xfId="85" quotePrefix="1" applyFont="1" applyBorder="1" applyAlignment="1">
      <alignment horizontal="center"/>
    </xf>
    <xf numFmtId="0" fontId="10" fillId="0" borderId="145" xfId="85" quotePrefix="1" applyFont="1" applyBorder="1" applyAlignment="1">
      <alignment horizontal="center"/>
    </xf>
    <xf numFmtId="0" fontId="10" fillId="0" borderId="149" xfId="85" quotePrefix="1" applyFont="1" applyBorder="1" applyAlignment="1">
      <alignment horizontal="center"/>
    </xf>
    <xf numFmtId="178" fontId="10" fillId="42" borderId="143" xfId="85" applyNumberFormat="1" applyFont="1" applyFill="1" applyBorder="1" applyAlignment="1">
      <alignment horizontal="center"/>
    </xf>
    <xf numFmtId="178" fontId="10" fillId="42" borderId="144" xfId="85" applyNumberFormat="1" applyFont="1" applyFill="1" applyBorder="1" applyAlignment="1">
      <alignment horizontal="center"/>
    </xf>
    <xf numFmtId="178" fontId="10" fillId="42" borderId="144" xfId="85" applyNumberFormat="1" applyFont="1" applyFill="1" applyBorder="1" applyAlignment="1">
      <alignment horizontal="center" wrapText="1"/>
    </xf>
    <xf numFmtId="178" fontId="10" fillId="42" borderId="147" xfId="85" applyNumberFormat="1" applyFont="1" applyFill="1" applyBorder="1" applyAlignment="1">
      <alignment horizontal="center" wrapText="1"/>
    </xf>
    <xf numFmtId="178" fontId="10" fillId="42" borderId="143" xfId="85" applyNumberFormat="1" applyFont="1" applyFill="1" applyBorder="1" applyAlignment="1">
      <alignment horizontal="center" wrapText="1"/>
    </xf>
    <xf numFmtId="0" fontId="10" fillId="0" borderId="144" xfId="85" applyFont="1" applyBorder="1" applyAlignment="1">
      <alignment horizontal="center"/>
    </xf>
    <xf numFmtId="0" fontId="10" fillId="0" borderId="21" xfId="85" applyFont="1" applyBorder="1" applyAlignment="1">
      <alignment horizontal="center"/>
    </xf>
    <xf numFmtId="0" fontId="11" fillId="0" borderId="143" xfId="84" applyFont="1" applyBorder="1" applyAlignment="1">
      <alignment horizontal="left"/>
    </xf>
    <xf numFmtId="0" fontId="10" fillId="0" borderId="143" xfId="84" applyFont="1" applyBorder="1" applyAlignment="1">
      <alignment horizontal="left"/>
    </xf>
    <xf numFmtId="0" fontId="10" fillId="0" borderId="143" xfId="84" applyFont="1" applyBorder="1" applyAlignment="1">
      <alignment horizontal="left" indent="1"/>
    </xf>
    <xf numFmtId="170" fontId="7" fillId="43" borderId="26" xfId="48236">
      <alignment vertical="center"/>
    </xf>
    <xf numFmtId="170" fontId="10" fillId="44" borderId="142" xfId="85" applyNumberFormat="1" applyFont="1" applyFill="1" applyBorder="1"/>
    <xf numFmtId="9" fontId="0" fillId="51" borderId="143" xfId="1" applyNumberFormat="1" applyFont="1" applyFill="1" applyBorder="1" applyAlignment="1">
      <alignment horizontal="right"/>
    </xf>
    <xf numFmtId="9" fontId="0" fillId="51" borderId="144" xfId="1" applyNumberFormat="1" applyFont="1" applyFill="1" applyBorder="1" applyAlignment="1">
      <alignment horizontal="right"/>
    </xf>
    <xf numFmtId="0" fontId="0" fillId="0" borderId="142" xfId="0" applyBorder="1" applyAlignment="1">
      <alignment horizontal="center" vertical="top"/>
    </xf>
    <xf numFmtId="0" fontId="0" fillId="0" borderId="146" xfId="0" applyBorder="1" applyAlignment="1">
      <alignment horizontal="center" vertical="top"/>
    </xf>
    <xf numFmtId="0" fontId="10" fillId="0" borderId="143" xfId="85" applyFont="1" applyBorder="1" applyAlignment="1">
      <alignment horizontal="center" vertical="center"/>
    </xf>
    <xf numFmtId="0" fontId="10" fillId="0" borderId="144" xfId="85" applyFont="1" applyBorder="1" applyAlignment="1">
      <alignment horizontal="center" wrapText="1"/>
    </xf>
    <xf numFmtId="0" fontId="10" fillId="0" borderId="147" xfId="85" applyFont="1" applyBorder="1" applyAlignment="1">
      <alignment horizontal="center" wrapText="1"/>
    </xf>
    <xf numFmtId="0" fontId="10" fillId="0" borderId="143" xfId="85" applyFont="1" applyBorder="1" applyAlignment="1">
      <alignment horizontal="left" indent="1"/>
    </xf>
    <xf numFmtId="0" fontId="10" fillId="0" borderId="145" xfId="85" applyFont="1" applyBorder="1"/>
    <xf numFmtId="0" fontId="10" fillId="0" borderId="21" xfId="85" applyFont="1" applyBorder="1"/>
    <xf numFmtId="0" fontId="10" fillId="0" borderId="142" xfId="85" applyFont="1" applyBorder="1"/>
    <xf numFmtId="0" fontId="10" fillId="0" borderId="147" xfId="85" applyFont="1" applyBorder="1" applyAlignment="1">
      <alignment horizontal="center"/>
    </xf>
    <xf numFmtId="0" fontId="30" fillId="47" borderId="21" xfId="90" applyFont="1" applyFill="1" applyBorder="1" applyAlignment="1">
      <alignment horizontal="center"/>
    </xf>
    <xf numFmtId="175" fontId="11" fillId="52" borderId="143" xfId="2" applyNumberFormat="1" applyFont="1" applyFill="1" applyBorder="1"/>
    <xf numFmtId="175" fontId="10" fillId="38" borderId="143" xfId="1" applyNumberFormat="1" applyFont="1" applyFill="1" applyBorder="1" applyProtection="1"/>
    <xf numFmtId="175" fontId="10" fillId="38" borderId="144" xfId="1" applyNumberFormat="1" applyFont="1" applyFill="1" applyBorder="1" applyProtection="1"/>
    <xf numFmtId="175" fontId="0" fillId="52" borderId="143" xfId="0" applyNumberFormat="1" applyFill="1" applyBorder="1" applyAlignment="1">
      <alignment horizontal="right" vertical="top"/>
    </xf>
    <xf numFmtId="10" fontId="0" fillId="119" borderId="63" xfId="77" applyNumberFormat="1" applyFont="1" applyFill="1" applyBorder="1" applyAlignment="1">
      <alignment horizontal="right" indent="1"/>
    </xf>
    <xf numFmtId="175" fontId="0" fillId="0" borderId="0" xfId="0" applyNumberFormat="1" applyAlignment="1">
      <alignment horizontal="right" vertical="top"/>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86"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xf>
    <xf numFmtId="3" fontId="0" fillId="0" borderId="146" xfId="0" applyNumberFormat="1" applyBorder="1" applyAlignment="1">
      <alignment horizontal="center" vertical="center" wrapText="1"/>
    </xf>
    <xf numFmtId="0" fontId="0" fillId="0" borderId="98" xfId="0" applyBorder="1" applyAlignment="1">
      <alignment horizontal="left" vertical="center" wrapText="1" indent="1"/>
    </xf>
    <xf numFmtId="175" fontId="0" fillId="133" borderId="63" xfId="0" applyNumberFormat="1" applyFill="1" applyBorder="1" applyAlignment="1">
      <alignment horizontal="right" vertical="top"/>
    </xf>
    <xf numFmtId="176" fontId="0" fillId="0" borderId="63" xfId="0" applyNumberFormat="1" applyBorder="1" applyAlignment="1">
      <alignment horizontal="right" indent="1"/>
    </xf>
    <xf numFmtId="175" fontId="10" fillId="52" borderId="106" xfId="2" applyNumberFormat="1" applyFont="1" applyFill="1" applyBorder="1" applyAlignment="1">
      <alignment vertical="top"/>
    </xf>
    <xf numFmtId="175" fontId="10" fillId="52" borderId="128" xfId="2" applyNumberFormat="1" applyFont="1" applyFill="1" applyBorder="1" applyAlignment="1">
      <alignment vertical="top"/>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75" fontId="11" fillId="52" borderId="59" xfId="2" applyNumberFormat="1" applyFont="1" applyFill="1" applyBorder="1"/>
    <xf numFmtId="175" fontId="11" fillId="52" borderId="60" xfId="2" applyNumberFormat="1" applyFont="1" applyFill="1" applyBorder="1"/>
    <xf numFmtId="181" fontId="10" fillId="52" borderId="6" xfId="7" applyNumberFormat="1" applyFont="1" applyFill="1" applyBorder="1" applyAlignment="1">
      <alignment horizontal="center" vertical="center"/>
    </xf>
    <xf numFmtId="175" fontId="10" fillId="38" borderId="77" xfId="1" applyNumberFormat="1" applyFont="1" applyFill="1" applyBorder="1" applyProtection="1"/>
    <xf numFmtId="175" fontId="11" fillId="38" borderId="150" xfId="1" applyNumberFormat="1" applyFont="1" applyFill="1" applyBorder="1" applyProtection="1"/>
    <xf numFmtId="175" fontId="11" fillId="38" borderId="151" xfId="1" applyNumberFormat="1" applyFont="1" applyFill="1" applyBorder="1" applyProtection="1"/>
    <xf numFmtId="175" fontId="11" fillId="38" borderId="152" xfId="1" applyNumberFormat="1" applyFont="1" applyFill="1" applyBorder="1" applyProtection="1"/>
    <xf numFmtId="0" fontId="0" fillId="0" borderId="153" xfId="0" applyBorder="1"/>
    <xf numFmtId="173" fontId="10" fillId="38" borderId="143" xfId="77" applyNumberFormat="1" applyFont="1" applyFill="1" applyBorder="1"/>
    <xf numFmtId="173" fontId="10" fillId="38" borderId="77" xfId="77" applyNumberFormat="1" applyFont="1" applyFill="1" applyBorder="1"/>
    <xf numFmtId="173" fontId="11" fillId="38" borderId="150" xfId="77" applyNumberFormat="1" applyFont="1" applyFill="1" applyBorder="1" applyProtection="1"/>
    <xf numFmtId="173" fontId="11" fillId="38" borderId="152" xfId="77" applyNumberFormat="1" applyFont="1" applyFill="1" applyBorder="1" applyProtection="1"/>
    <xf numFmtId="173" fontId="11" fillId="38" borderId="151" xfId="77" applyNumberFormat="1" applyFont="1" applyFill="1" applyBorder="1" applyProtection="1"/>
    <xf numFmtId="173" fontId="10" fillId="38" borderId="78" xfId="77" applyNumberFormat="1" applyFont="1" applyFill="1" applyBorder="1" applyProtection="1"/>
    <xf numFmtId="173" fontId="11" fillId="38" borderId="154" xfId="77" applyNumberFormat="1" applyFont="1" applyFill="1" applyBorder="1" applyProtection="1"/>
    <xf numFmtId="173" fontId="10" fillId="38" borderId="68" xfId="77" applyNumberFormat="1" applyFont="1" applyFill="1" applyBorder="1" applyProtection="1"/>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175" fontId="10" fillId="52" borderId="88" xfId="1" applyNumberFormat="1" applyFont="1" applyFill="1" applyBorder="1" applyProtection="1"/>
    <xf numFmtId="175" fontId="10" fillId="52" borderId="82" xfId="1" applyNumberFormat="1" applyFont="1" applyFill="1" applyBorder="1" applyProtection="1"/>
    <xf numFmtId="175" fontId="10" fillId="52" borderId="83" xfId="1" applyNumberFormat="1" applyFont="1" applyFill="1" applyBorder="1" applyProtection="1"/>
    <xf numFmtId="3" fontId="0" fillId="0" borderId="142" xfId="0" applyNumberFormat="1" applyBorder="1" applyAlignment="1">
      <alignment horizontal="center" vertical="center" wrapText="1"/>
    </xf>
    <xf numFmtId="0" fontId="0" fillId="0" borderId="103" xfId="0" applyBorder="1" applyAlignment="1">
      <alignment horizontal="left" vertical="center" wrapText="1" indent="1"/>
    </xf>
    <xf numFmtId="182"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0" fontId="285" fillId="0" borderId="0" xfId="0" applyFont="1"/>
    <xf numFmtId="10" fontId="0" fillId="0" borderId="0" xfId="0" applyNumberFormat="1"/>
    <xf numFmtId="176" fontId="0" fillId="0" borderId="153" xfId="0" applyNumberFormat="1" applyBorder="1" applyAlignment="1">
      <alignment horizontal="right" indent="1"/>
    </xf>
    <xf numFmtId="176" fontId="0" fillId="119" borderId="87" xfId="0" applyNumberFormat="1" applyFill="1" applyBorder="1" applyAlignment="1">
      <alignment horizontal="right" indent="1"/>
    </xf>
    <xf numFmtId="176" fontId="0" fillId="119" borderId="155" xfId="0" applyNumberFormat="1" applyFill="1" applyBorder="1" applyAlignment="1">
      <alignment horizontal="right" indent="1"/>
    </xf>
    <xf numFmtId="10" fontId="0" fillId="119" borderId="156" xfId="77" applyNumberFormat="1" applyFont="1" applyFill="1" applyBorder="1" applyAlignment="1">
      <alignment horizontal="right" indent="1"/>
    </xf>
    <xf numFmtId="176" fontId="0" fillId="119" borderId="157" xfId="0" applyNumberFormat="1" applyFill="1" applyBorder="1" applyAlignment="1">
      <alignment horizontal="right" indent="1"/>
    </xf>
    <xf numFmtId="10" fontId="0" fillId="0" borderId="158" xfId="0" applyNumberFormat="1" applyBorder="1"/>
    <xf numFmtId="176" fontId="0" fillId="119" borderId="156" xfId="0" applyNumberFormat="1" applyFill="1" applyBorder="1" applyAlignment="1">
      <alignment horizontal="right" indent="1"/>
    </xf>
    <xf numFmtId="10" fontId="0" fillId="0" borderId="159" xfId="0" applyNumberFormat="1" applyBorder="1"/>
    <xf numFmtId="10" fontId="0" fillId="0" borderId="160" xfId="0" applyNumberFormat="1" applyBorder="1"/>
    <xf numFmtId="176" fontId="0" fillId="119" borderId="161" xfId="0" applyNumberFormat="1" applyFill="1" applyBorder="1" applyAlignment="1">
      <alignment horizontal="right" indent="1"/>
    </xf>
    <xf numFmtId="176" fontId="0" fillId="119" borderId="162" xfId="0" applyNumberFormat="1" applyFill="1" applyBorder="1" applyAlignment="1">
      <alignment horizontal="right" indent="1"/>
    </xf>
    <xf numFmtId="1" fontId="8" fillId="53" borderId="163" xfId="0" applyNumberFormat="1" applyFont="1" applyFill="1" applyBorder="1" applyAlignment="1">
      <alignment horizontal="center" vertical="center"/>
    </xf>
    <xf numFmtId="1" fontId="8" fillId="53" borderId="164" xfId="0" applyNumberFormat="1" applyFont="1" applyFill="1" applyBorder="1" applyAlignment="1">
      <alignment horizontal="center" vertical="center"/>
    </xf>
    <xf numFmtId="1" fontId="8" fillId="53" borderId="165" xfId="0" applyNumberFormat="1" applyFont="1" applyFill="1" applyBorder="1" applyAlignment="1">
      <alignment horizontal="center" vertical="center"/>
    </xf>
    <xf numFmtId="1" fontId="8" fillId="53" borderId="166" xfId="0" applyNumberFormat="1" applyFont="1" applyFill="1" applyBorder="1" applyAlignment="1">
      <alignment horizontal="center" vertical="center"/>
    </xf>
    <xf numFmtId="176" fontId="0" fillId="119" borderId="170" xfId="0" applyNumberFormat="1" applyFill="1" applyBorder="1" applyAlignment="1">
      <alignment horizontal="right" indent="1"/>
    </xf>
    <xf numFmtId="176" fontId="0" fillId="119" borderId="171" xfId="0" applyNumberFormat="1" applyFill="1" applyBorder="1" applyAlignment="1">
      <alignment horizontal="right" indent="1"/>
    </xf>
    <xf numFmtId="10" fontId="0" fillId="0" borderId="172" xfId="0" applyNumberFormat="1" applyBorder="1"/>
    <xf numFmtId="10" fontId="0" fillId="119" borderId="171" xfId="77" applyNumberFormat="1" applyFont="1" applyFill="1" applyBorder="1" applyAlignment="1">
      <alignment horizontal="right" indent="1"/>
    </xf>
    <xf numFmtId="10" fontId="0" fillId="119" borderId="173" xfId="77" applyNumberFormat="1" applyFont="1" applyFill="1" applyBorder="1" applyAlignment="1">
      <alignment horizontal="right" indent="1"/>
    </xf>
    <xf numFmtId="3" fontId="10" fillId="0" borderId="170" xfId="89" applyNumberFormat="1" applyFont="1" applyBorder="1" applyAlignment="1">
      <alignment horizontal="left" indent="1"/>
    </xf>
    <xf numFmtId="0" fontId="0" fillId="0" borderId="171" xfId="0" applyBorder="1" applyAlignment="1">
      <alignment horizontal="center"/>
    </xf>
    <xf numFmtId="0" fontId="0" fillId="0" borderId="174" xfId="0" applyBorder="1" applyAlignment="1">
      <alignment horizontal="center"/>
    </xf>
    <xf numFmtId="0" fontId="0" fillId="0" borderId="175" xfId="0" applyBorder="1" applyAlignment="1">
      <alignment horizontal="center" vertical="center"/>
    </xf>
    <xf numFmtId="3" fontId="10" fillId="0" borderId="157" xfId="89" applyNumberFormat="1" applyFont="1" applyBorder="1" applyAlignment="1">
      <alignment horizontal="left" indent="1"/>
    </xf>
    <xf numFmtId="0" fontId="0" fillId="0" borderId="176" xfId="0" applyBorder="1" applyAlignment="1">
      <alignment horizontal="center" vertical="center"/>
    </xf>
    <xf numFmtId="3" fontId="10" fillId="0" borderId="177" xfId="89" applyNumberFormat="1" applyFont="1" applyBorder="1" applyAlignment="1">
      <alignment horizontal="left" indent="1"/>
    </xf>
    <xf numFmtId="0" fontId="0" fillId="0" borderId="161" xfId="0" applyBorder="1" applyAlignment="1">
      <alignment horizontal="center"/>
    </xf>
    <xf numFmtId="0" fontId="0" fillId="0" borderId="178" xfId="0" applyBorder="1" applyAlignment="1">
      <alignment horizontal="center"/>
    </xf>
    <xf numFmtId="0" fontId="0" fillId="0" borderId="179" xfId="0" applyBorder="1" applyAlignment="1">
      <alignment horizontal="center" vertical="center"/>
    </xf>
    <xf numFmtId="0" fontId="10" fillId="0" borderId="163" xfId="7" applyFont="1" applyBorder="1" applyAlignment="1">
      <alignment horizontal="left" indent="1"/>
    </xf>
    <xf numFmtId="10" fontId="0" fillId="0" borderId="180" xfId="0" applyNumberFormat="1" applyBorder="1"/>
    <xf numFmtId="0" fontId="0" fillId="0" borderId="165" xfId="0" applyBorder="1"/>
    <xf numFmtId="0" fontId="0" fillId="0" borderId="181" xfId="0" applyBorder="1"/>
    <xf numFmtId="0" fontId="0" fillId="0" borderId="166" xfId="0" applyBorder="1"/>
    <xf numFmtId="0" fontId="0" fillId="0" borderId="182" xfId="0" applyBorder="1" applyAlignment="1">
      <alignment horizontal="center" vertical="center" wrapText="1"/>
    </xf>
    <xf numFmtId="0" fontId="10" fillId="0" borderId="183"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10" fontId="0" fillId="51" borderId="62" xfId="0" applyNumberFormat="1" applyFill="1" applyBorder="1" applyAlignment="1">
      <alignment horizontal="right" vertical="top"/>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68" fontId="8" fillId="51" borderId="59" xfId="1" applyNumberFormat="1" applyFont="1" applyFill="1" applyBorder="1" applyAlignment="1">
      <alignment horizontal="right" vertical="top"/>
    </xf>
    <xf numFmtId="175" fontId="0" fillId="51" borderId="59" xfId="0" applyNumberFormat="1" applyFill="1" applyBorder="1" applyAlignment="1">
      <alignment horizontal="right" vertical="top"/>
    </xf>
    <xf numFmtId="168" fontId="11" fillId="0" borderId="0" xfId="1" applyNumberFormat="1" applyFont="1" applyFill="1" applyBorder="1"/>
    <xf numFmtId="176" fontId="288" fillId="0" borderId="0" xfId="75" applyNumberFormat="1" applyFont="1" applyAlignment="1">
      <alignment horizontal="center"/>
    </xf>
    <xf numFmtId="176" fontId="288" fillId="0" borderId="153" xfId="75" applyNumberFormat="1" applyFont="1" applyBorder="1" applyAlignment="1">
      <alignment horizontal="center"/>
    </xf>
    <xf numFmtId="176" fontId="288" fillId="36" borderId="6" xfId="75" applyNumberFormat="1" applyFont="1" applyFill="1" applyBorder="1" applyAlignment="1">
      <alignment horizontal="center" vertical="center"/>
    </xf>
    <xf numFmtId="176" fontId="288" fillId="0" borderId="10" xfId="75" applyNumberFormat="1" applyFont="1" applyBorder="1" applyAlignment="1">
      <alignment horizontal="center" vertical="center"/>
    </xf>
    <xf numFmtId="176" fontId="288" fillId="0" borderId="0" xfId="75" applyNumberFormat="1" applyFont="1" applyAlignment="1">
      <alignment horizontal="center" vertical="center"/>
    </xf>
    <xf numFmtId="175" fontId="0" fillId="51" borderId="71" xfId="0" applyNumberFormat="1" applyFill="1" applyBorder="1" applyAlignment="1">
      <alignment horizontal="right" vertical="center"/>
    </xf>
    <xf numFmtId="0" fontId="0" fillId="0" borderId="0" xfId="0" applyAlignment="1" applyProtection="1">
      <alignment horizontal="left" vertical="center"/>
      <protection locked="0"/>
    </xf>
    <xf numFmtId="178" fontId="277" fillId="47" borderId="0" xfId="90" applyNumberFormat="1" applyFont="1" applyFill="1" applyAlignment="1">
      <alignment horizontal="left"/>
    </xf>
    <xf numFmtId="350" fontId="10" fillId="134" borderId="0" xfId="7" applyNumberFormat="1" applyFont="1" applyFill="1" applyAlignment="1">
      <alignment horizontal="center"/>
    </xf>
    <xf numFmtId="348" fontId="0" fillId="52" borderId="59" xfId="0" applyNumberFormat="1" applyFill="1" applyBorder="1" applyAlignment="1">
      <alignment horizontal="right" vertical="top"/>
    </xf>
    <xf numFmtId="0" fontId="34" fillId="0" borderId="0" xfId="92" quotePrefix="1" applyAlignment="1">
      <alignment horizontal="left" indent="1"/>
    </xf>
    <xf numFmtId="175" fontId="286" fillId="0" borderId="0" xfId="2" applyNumberFormat="1" applyFont="1" applyFill="1" applyBorder="1"/>
    <xf numFmtId="0" fontId="0" fillId="0" borderId="6" xfId="0" applyBorder="1" applyAlignment="1">
      <alignment horizontal="center" vertical="center" wrapText="1"/>
    </xf>
    <xf numFmtId="1" fontId="0" fillId="0" borderId="0" xfId="0" applyNumberFormat="1" applyAlignment="1">
      <alignment vertical="top"/>
    </xf>
    <xf numFmtId="175" fontId="0" fillId="0" borderId="0" xfId="0" applyNumberFormat="1" applyAlignment="1">
      <alignment horizontal="right" vertical="center"/>
    </xf>
    <xf numFmtId="0" fontId="292" fillId="0" borderId="0" xfId="90" applyFont="1" applyAlignment="1">
      <alignment horizontal="center"/>
    </xf>
    <xf numFmtId="168" fontId="0" fillId="3" borderId="59" xfId="1" applyNumberFormat="1" applyFont="1" applyFill="1" applyBorder="1" applyAlignment="1">
      <alignment horizontal="right" vertical="top"/>
    </xf>
    <xf numFmtId="0" fontId="8" fillId="0" borderId="10" xfId="0" applyFont="1" applyBorder="1"/>
    <xf numFmtId="168" fontId="11" fillId="38" borderId="6" xfId="1" applyNumberFormat="1" applyFont="1" applyFill="1" applyBorder="1"/>
    <xf numFmtId="168" fontId="11" fillId="0" borderId="11" xfId="1" applyNumberFormat="1" applyFont="1" applyFill="1" applyBorder="1"/>
    <xf numFmtId="0" fontId="286" fillId="0" borderId="10" xfId="0" applyFont="1" applyBorder="1"/>
    <xf numFmtId="0" fontId="10" fillId="37" borderId="6" xfId="75" applyFont="1" applyFill="1" applyBorder="1" applyAlignment="1">
      <alignment horizontal="center" vertical="center"/>
    </xf>
    <xf numFmtId="0" fontId="8" fillId="0" borderId="90" xfId="0" applyFont="1" applyBorder="1"/>
    <xf numFmtId="0" fontId="0" fillId="0" borderId="153" xfId="0" applyBorder="1" applyAlignment="1">
      <alignment horizontal="left" indent="1"/>
    </xf>
    <xf numFmtId="0" fontId="0" fillId="0" borderId="153" xfId="0" applyBorder="1" applyAlignment="1" applyProtection="1">
      <alignment horizontal="center" vertical="center"/>
      <protection locked="0"/>
    </xf>
    <xf numFmtId="348" fontId="0" fillId="0" borderId="153" xfId="0" applyNumberForma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78"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53" xfId="0" applyFont="1" applyFill="1" applyBorder="1" applyAlignment="1">
      <alignment wrapText="1"/>
    </xf>
    <xf numFmtId="173"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0" fillId="0" borderId="6" xfId="0" applyBorder="1" applyAlignment="1">
      <alignment wrapText="1"/>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78" fontId="10" fillId="36" borderId="6" xfId="75" applyNumberFormat="1" applyFont="1" applyFill="1" applyBorder="1"/>
    <xf numFmtId="0" fontId="30" fillId="47" borderId="153" xfId="90" applyFont="1" applyFill="1" applyBorder="1" applyAlignment="1">
      <alignment horizontal="left"/>
    </xf>
    <xf numFmtId="0" fontId="32" fillId="47" borderId="153" xfId="75" applyFont="1" applyFill="1" applyBorder="1"/>
    <xf numFmtId="0" fontId="277" fillId="47" borderId="153" xfId="90" applyFont="1" applyFill="1" applyBorder="1" applyAlignment="1">
      <alignment horizontal="left" indent="1"/>
    </xf>
    <xf numFmtId="0" fontId="30" fillId="47" borderId="153" xfId="90" applyFont="1" applyFill="1" applyBorder="1" applyAlignment="1">
      <alignment horizontal="center" vertical="center"/>
    </xf>
    <xf numFmtId="168" fontId="10" fillId="38" borderId="6" xfId="1" applyNumberFormat="1" applyFont="1" applyFill="1" applyBorder="1"/>
    <xf numFmtId="0" fontId="0" fillId="3" borderId="153" xfId="0" applyFill="1" applyBorder="1" applyAlignment="1">
      <alignment horizontal="left" indent="1"/>
    </xf>
    <xf numFmtId="0" fontId="0" fillId="3" borderId="153" xfId="0" applyFill="1" applyBorder="1" applyAlignment="1">
      <alignment horizontal="center" vertical="center"/>
    </xf>
    <xf numFmtId="0" fontId="0" fillId="3" borderId="153" xfId="0" applyFill="1" applyBorder="1"/>
    <xf numFmtId="175" fontId="10" fillId="38" borderId="6" xfId="1" applyNumberFormat="1" applyFont="1" applyFill="1" applyBorder="1" applyProtection="1"/>
    <xf numFmtId="0" fontId="280" fillId="47" borderId="153" xfId="90" applyFont="1" applyFill="1" applyBorder="1" applyAlignment="1">
      <alignment horizontal="left"/>
    </xf>
    <xf numFmtId="0" fontId="35" fillId="47" borderId="153" xfId="90" applyFont="1" applyFill="1" applyBorder="1" applyAlignment="1">
      <alignment horizontal="center" vertical="center"/>
    </xf>
    <xf numFmtId="0" fontId="35" fillId="47" borderId="153" xfId="90" applyFont="1" applyFill="1" applyBorder="1" applyAlignment="1">
      <alignment horizontal="left"/>
    </xf>
    <xf numFmtId="2" fontId="10" fillId="40" borderId="6" xfId="75" applyNumberFormat="1" applyFont="1" applyFill="1" applyBorder="1"/>
    <xf numFmtId="0" fontId="279" fillId="47" borderId="153" xfId="90" applyFont="1" applyFill="1" applyBorder="1" applyAlignment="1">
      <alignment horizontal="left"/>
    </xf>
    <xf numFmtId="0" fontId="277" fillId="47" borderId="153" xfId="90" applyFont="1" applyFill="1" applyBorder="1" applyAlignment="1">
      <alignment horizontal="left"/>
    </xf>
    <xf numFmtId="175" fontId="11" fillId="42" borderId="28" xfId="1" applyNumberFormat="1" applyFont="1" applyFill="1" applyBorder="1" applyProtection="1"/>
    <xf numFmtId="175" fontId="11" fillId="42" borderId="28" xfId="2" applyNumberFormat="1" applyFont="1" applyFill="1" applyBorder="1" applyAlignment="1">
      <alignment horizontal="right" vertical="center"/>
    </xf>
    <xf numFmtId="0" fontId="0" fillId="0" borderId="28" xfId="0" applyBorder="1" applyAlignment="1">
      <alignment horizontal="center" vertical="top"/>
    </xf>
    <xf numFmtId="0" fontId="10" fillId="0" borderId="6" xfId="85" applyFont="1" applyBorder="1" applyAlignment="1">
      <alignment horizontal="center"/>
    </xf>
    <xf numFmtId="0" fontId="10" fillId="0" borderId="188" xfId="85" applyFont="1" applyBorder="1"/>
    <xf numFmtId="0" fontId="10" fillId="0" borderId="188" xfId="85" applyFont="1" applyBorder="1" applyAlignment="1">
      <alignment horizontal="center" vertical="center"/>
    </xf>
    <xf numFmtId="0" fontId="10" fillId="0" borderId="153" xfId="85" applyFont="1" applyBorder="1" applyAlignment="1">
      <alignment horizontal="center" vertical="top"/>
    </xf>
    <xf numFmtId="0" fontId="10" fillId="0" borderId="6" xfId="85" applyFont="1" applyBorder="1"/>
    <xf numFmtId="170" fontId="10" fillId="3" borderId="6" xfId="85" applyNumberFormat="1" applyFont="1" applyFill="1" applyBorder="1" applyProtection="1">
      <protection locked="0"/>
    </xf>
    <xf numFmtId="170" fontId="10" fillId="44" borderId="6" xfId="85" applyNumberFormat="1" applyFont="1" applyFill="1" applyBorder="1"/>
    <xf numFmtId="175" fontId="10" fillId="3" borderId="6" xfId="2" applyNumberFormat="1" applyFont="1" applyFill="1" applyBorder="1"/>
    <xf numFmtId="0" fontId="10" fillId="42" borderId="153" xfId="85" applyFont="1" applyFill="1" applyBorder="1" applyAlignment="1">
      <alignment horizontal="left" indent="1"/>
    </xf>
    <xf numFmtId="0" fontId="10" fillId="0" borderId="153" xfId="85" applyFont="1" applyBorder="1" applyAlignment="1">
      <alignment horizontal="center"/>
    </xf>
    <xf numFmtId="0" fontId="10" fillId="0" borderId="153" xfId="85" applyFont="1" applyBorder="1"/>
    <xf numFmtId="0" fontId="10" fillId="0" borderId="153" xfId="85" applyFont="1" applyBorder="1" applyAlignment="1">
      <alignment horizontal="left" indent="1"/>
    </xf>
    <xf numFmtId="0" fontId="10" fillId="0" borderId="153" xfId="85" applyFont="1" applyBorder="1" applyAlignment="1" applyProtection="1">
      <alignment horizontal="center" vertical="top"/>
      <protection locked="0"/>
    </xf>
    <xf numFmtId="0" fontId="10" fillId="0" borderId="153" xfId="85" applyFont="1" applyBorder="1" applyAlignment="1">
      <alignment horizontal="center" vertical="top" wrapText="1"/>
    </xf>
    <xf numFmtId="0" fontId="10" fillId="0" borderId="153" xfId="85" applyFont="1" applyBorder="1" applyAlignment="1" applyProtection="1">
      <alignment horizontal="center" vertical="top" wrapText="1"/>
      <protection locked="0"/>
    </xf>
    <xf numFmtId="0" fontId="292" fillId="47" borderId="153" xfId="90" applyFont="1" applyFill="1" applyBorder="1" applyAlignment="1">
      <alignment horizontal="center"/>
    </xf>
    <xf numFmtId="0" fontId="0" fillId="136" borderId="6" xfId="0" applyFill="1" applyBorder="1"/>
    <xf numFmtId="0" fontId="0" fillId="3" borderId="6" xfId="0" applyFill="1" applyBorder="1"/>
    <xf numFmtId="175" fontId="0" fillId="3" borderId="6" xfId="0" applyNumberFormat="1" applyFill="1" applyBorder="1" applyAlignment="1">
      <alignment horizontal="right" vertical="top"/>
    </xf>
    <xf numFmtId="175" fontId="0" fillId="52" borderId="6" xfId="0" applyNumberFormat="1" applyFill="1" applyBorder="1"/>
    <xf numFmtId="0" fontId="0" fillId="0" borderId="6" xfId="0" applyBorder="1" applyAlignment="1">
      <alignment horizontal="center" vertical="top"/>
    </xf>
    <xf numFmtId="175" fontId="0" fillId="0" borderId="6" xfId="0" applyNumberFormat="1" applyBorder="1" applyAlignment="1">
      <alignment horizontal="right" vertical="top"/>
    </xf>
    <xf numFmtId="175" fontId="10" fillId="133" borderId="6" xfId="2" applyNumberFormat="1" applyFont="1" applyFill="1" applyBorder="1"/>
    <xf numFmtId="14" fontId="10" fillId="3" borderId="6" xfId="2" applyNumberFormat="1" applyFont="1" applyFill="1" applyBorder="1"/>
    <xf numFmtId="175" fontId="10" fillId="38" borderId="6" xfId="1" applyNumberFormat="1" applyFont="1" applyFill="1" applyBorder="1" applyAlignment="1" applyProtection="1">
      <alignment horizontal="right"/>
    </xf>
    <xf numFmtId="0" fontId="27" fillId="0" borderId="0" xfId="0" applyFont="1" applyAlignment="1">
      <alignment horizontal="left"/>
    </xf>
    <xf numFmtId="168" fontId="10" fillId="52" borderId="6" xfId="1" applyNumberFormat="1" applyFont="1" applyFill="1" applyBorder="1"/>
    <xf numFmtId="0" fontId="26" fillId="0" borderId="10" xfId="0" applyFont="1" applyBorder="1"/>
    <xf numFmtId="348" fontId="0" fillId="52" borderId="6" xfId="0" applyNumberFormat="1" applyFill="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168" fontId="11" fillId="38" borderId="11" xfId="1" applyNumberFormat="1" applyFont="1" applyFill="1" applyBorder="1"/>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0" fontId="11" fillId="38" borderId="71" xfId="1" applyNumberFormat="1" applyFont="1" applyFill="1" applyBorder="1"/>
    <xf numFmtId="175" fontId="0" fillId="3" borderId="71" xfId="0" applyNumberFormat="1" applyFill="1" applyBorder="1" applyAlignment="1">
      <alignment horizontal="right" vertical="center"/>
    </xf>
    <xf numFmtId="176" fontId="0" fillId="0" borderId="6" xfId="0" applyNumberFormat="1" applyBorder="1" applyAlignment="1">
      <alignment horizontal="center" vertical="center"/>
    </xf>
    <xf numFmtId="176" fontId="10" fillId="0" borderId="6" xfId="7" applyNumberFormat="1" applyFont="1" applyBorder="1" applyAlignment="1">
      <alignment horizontal="center" vertical="center"/>
    </xf>
    <xf numFmtId="9" fontId="9" fillId="0" borderId="6" xfId="77" applyFont="1" applyFill="1" applyBorder="1" applyAlignment="1">
      <alignment horizontal="center" vertical="center"/>
    </xf>
    <xf numFmtId="176" fontId="0" fillId="0" borderId="141" xfId="0" applyNumberFormat="1" applyBorder="1" applyAlignment="1">
      <alignment horizontal="center" vertical="center"/>
    </xf>
    <xf numFmtId="10" fontId="0" fillId="0" borderId="106" xfId="0" applyNumberFormat="1" applyBorder="1"/>
    <xf numFmtId="10" fontId="0" fillId="0" borderId="116" xfId="0" applyNumberFormat="1" applyBorder="1"/>
    <xf numFmtId="10" fontId="0" fillId="0" borderId="6" xfId="0" applyNumberFormat="1" applyBorder="1"/>
    <xf numFmtId="0" fontId="10" fillId="51" borderId="0" xfId="0" applyFont="1" applyFill="1" applyAlignment="1">
      <alignment horizontal="left" indent="1"/>
    </xf>
    <xf numFmtId="175" fontId="11" fillId="51" borderId="150" xfId="1" applyNumberFormat="1" applyFont="1" applyFill="1" applyBorder="1" applyProtection="1"/>
    <xf numFmtId="176" fontId="288" fillId="133" borderId="6" xfId="75" applyNumberFormat="1" applyFont="1" applyFill="1" applyBorder="1" applyAlignment="1">
      <alignment horizontal="center" vertical="center"/>
    </xf>
    <xf numFmtId="171" fontId="11" fillId="0" borderId="0" xfId="0" applyNumberFormat="1" applyFont="1" applyAlignment="1">
      <alignment vertical="center"/>
    </xf>
    <xf numFmtId="175" fontId="10" fillId="0" borderId="0" xfId="0" applyNumberFormat="1" applyFont="1" applyAlignment="1">
      <alignment horizontal="left" vertical="center" indent="1"/>
    </xf>
    <xf numFmtId="175" fontId="0" fillId="0" borderId="0" xfId="0" applyNumberFormat="1" applyAlignment="1" applyProtection="1">
      <alignment horizontal="center" vertical="center"/>
      <protection locked="0"/>
    </xf>
    <xf numFmtId="171" fontId="29" fillId="0" borderId="0" xfId="0" applyNumberFormat="1" applyFont="1" applyAlignment="1">
      <alignment horizontal="left" vertical="center" indent="1"/>
    </xf>
    <xf numFmtId="175" fontId="0" fillId="52" borderId="72" xfId="0" applyNumberFormat="1" applyFill="1" applyBorder="1" applyAlignment="1">
      <alignment horizontal="right" vertical="center"/>
    </xf>
    <xf numFmtId="0" fontId="0" fillId="116" borderId="0" xfId="0" applyFill="1" applyAlignment="1">
      <alignment horizontal="left" vertical="top"/>
    </xf>
    <xf numFmtId="0" fontId="0" fillId="3" borderId="10" xfId="0" applyFill="1" applyBorder="1" applyAlignment="1">
      <alignment horizontal="left"/>
    </xf>
    <xf numFmtId="0" fontId="0" fillId="3" borderId="0" xfId="0" applyFill="1" applyAlignment="1">
      <alignment horizontal="left"/>
    </xf>
    <xf numFmtId="0" fontId="0" fillId="3" borderId="90" xfId="0" applyFill="1" applyBorder="1" applyAlignment="1">
      <alignment horizontal="left"/>
    </xf>
    <xf numFmtId="0" fontId="0" fillId="3" borderId="153" xfId="0" applyFill="1" applyBorder="1" applyAlignment="1">
      <alignment horizontal="left"/>
    </xf>
    <xf numFmtId="0" fontId="248" fillId="116" borderId="0" xfId="0" applyFont="1" applyFill="1" applyAlignment="1">
      <alignment vertical="top"/>
    </xf>
    <xf numFmtId="175" fontId="0" fillId="52" borderId="63" xfId="0" applyNumberFormat="1" applyFill="1" applyBorder="1" applyAlignment="1">
      <alignment horizontal="right" vertical="top"/>
    </xf>
    <xf numFmtId="175" fontId="0" fillId="51" borderId="63" xfId="0" applyNumberFormat="1" applyFill="1" applyBorder="1" applyAlignment="1">
      <alignment horizontal="right" vertical="top"/>
    </xf>
    <xf numFmtId="175" fontId="8" fillId="51" borderId="71" xfId="1" applyNumberFormat="1" applyFont="1" applyFill="1" applyBorder="1" applyAlignment="1">
      <alignment horizontal="right"/>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90" xfId="0" applyFill="1" applyBorder="1" applyAlignment="1">
      <alignment horizontal="center" wrapText="1"/>
    </xf>
    <xf numFmtId="0" fontId="0" fillId="52" borderId="153" xfId="0" applyFill="1" applyBorder="1"/>
    <xf numFmtId="3" fontId="0" fillId="52" borderId="91" xfId="0" applyNumberFormat="1" applyFill="1" applyBorder="1"/>
    <xf numFmtId="181" fontId="0" fillId="52" borderId="6" xfId="0" applyNumberFormat="1" applyFill="1" applyBorder="1" applyAlignment="1">
      <alignment horizontal="right" vertical="top"/>
    </xf>
    <xf numFmtId="14" fontId="10" fillId="51" borderId="0" xfId="2" applyNumberFormat="1" applyFont="1" applyFill="1" applyBorder="1" applyAlignment="1">
      <alignment horizontal="center" vertical="center"/>
    </xf>
    <xf numFmtId="171" fontId="293" fillId="48" borderId="0" xfId="94" applyFont="1">
      <alignment vertical="center"/>
    </xf>
    <xf numFmtId="0" fontId="26" fillId="0" borderId="0" xfId="0" applyFont="1" applyAlignment="1">
      <alignment horizontal="left" vertical="top"/>
    </xf>
    <xf numFmtId="168" fontId="10" fillId="51" borderId="6" xfId="1" applyNumberFormat="1" applyFont="1" applyFill="1" applyBorder="1"/>
    <xf numFmtId="175" fontId="10" fillId="3" borderId="77" xfId="2" applyNumberFormat="1" applyFont="1" applyFill="1" applyBorder="1"/>
    <xf numFmtId="175" fontId="10" fillId="3" borderId="88" xfId="2" applyNumberFormat="1" applyFont="1" applyFill="1" applyBorder="1"/>
    <xf numFmtId="175" fontId="11" fillId="3" borderId="74" xfId="2" applyNumberFormat="1" applyFont="1" applyFill="1" applyBorder="1"/>
    <xf numFmtId="175" fontId="11" fillId="3" borderId="75" xfId="2" applyNumberFormat="1" applyFont="1" applyFill="1" applyBorder="1"/>
    <xf numFmtId="348" fontId="11" fillId="52" borderId="71" xfId="2" applyNumberFormat="1" applyFont="1" applyFill="1" applyBorder="1"/>
    <xf numFmtId="175" fontId="0" fillId="133" borderId="69" xfId="0" applyNumberFormat="1" applyFill="1" applyBorder="1" applyAlignment="1">
      <alignment horizontal="right" vertical="top"/>
    </xf>
    <xf numFmtId="176" fontId="291" fillId="0" borderId="0" xfId="75" applyNumberFormat="1" applyFont="1" applyAlignment="1">
      <alignment horizontal="center" vertical="center"/>
    </xf>
    <xf numFmtId="176" fontId="291" fillId="0" borderId="0" xfId="75" applyNumberFormat="1" applyFont="1" applyAlignment="1">
      <alignment horizontal="center"/>
    </xf>
    <xf numFmtId="175" fontId="0" fillId="133" borderId="62" xfId="0" applyNumberFormat="1" applyFill="1" applyBorder="1" applyAlignment="1">
      <alignment horizontal="right" vertical="top"/>
    </xf>
    <xf numFmtId="2" fontId="10" fillId="133" borderId="6" xfId="75" applyNumberFormat="1" applyFont="1" applyFill="1" applyBorder="1"/>
    <xf numFmtId="3" fontId="10" fillId="51" borderId="0" xfId="1" applyNumberFormat="1" applyFont="1" applyFill="1" applyBorder="1" applyAlignment="1" applyProtection="1">
      <alignment horizontal="left" indent="1"/>
    </xf>
    <xf numFmtId="168" fontId="0" fillId="51" borderId="59" xfId="1" applyNumberFormat="1" applyFont="1" applyFill="1" applyBorder="1" applyAlignment="1">
      <alignment horizontal="right" vertical="top"/>
    </xf>
    <xf numFmtId="171" fontId="10" fillId="0" borderId="0" xfId="0" applyNumberFormat="1" applyFont="1" applyAlignment="1">
      <alignment vertical="center"/>
    </xf>
    <xf numFmtId="0" fontId="8" fillId="0" borderId="0" xfId="0" applyFont="1" applyAlignment="1">
      <alignment vertical="top"/>
    </xf>
    <xf numFmtId="171" fontId="10" fillId="3" borderId="0" xfId="0" applyNumberFormat="1" applyFont="1" applyFill="1" applyAlignment="1">
      <alignment horizontal="left" vertical="center" indent="1"/>
    </xf>
    <xf numFmtId="175" fontId="10" fillId="52" borderId="62" xfId="2" applyNumberFormat="1" applyFont="1" applyFill="1" applyBorder="1"/>
    <xf numFmtId="0" fontId="11" fillId="0" borderId="0" xfId="0" applyFont="1" applyAlignment="1">
      <alignment horizontal="left" vertical="top" indent="1"/>
    </xf>
    <xf numFmtId="175" fontId="0" fillId="51" borderId="97" xfId="0" applyNumberFormat="1" applyFill="1" applyBorder="1" applyAlignment="1">
      <alignment horizontal="right" vertical="top"/>
    </xf>
    <xf numFmtId="175" fontId="11" fillId="52" borderId="74" xfId="2" applyNumberFormat="1" applyFont="1" applyFill="1" applyBorder="1"/>
    <xf numFmtId="175" fontId="10" fillId="133" borderId="71" xfId="2" applyNumberFormat="1" applyFont="1" applyFill="1" applyBorder="1"/>
    <xf numFmtId="0" fontId="296" fillId="0" borderId="0" xfId="0" applyFont="1"/>
    <xf numFmtId="0" fontId="297" fillId="0" borderId="0" xfId="0" applyFont="1"/>
    <xf numFmtId="0" fontId="2" fillId="0" borderId="188"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6" fontId="2" fillId="0" borderId="0" xfId="51695" applyNumberFormat="1" applyAlignment="1">
      <alignment horizontal="center" vertical="center"/>
    </xf>
    <xf numFmtId="176" fontId="2" fillId="0" borderId="0" xfId="51695" applyNumberFormat="1" applyAlignment="1">
      <alignment horizontal="center"/>
    </xf>
    <xf numFmtId="0" fontId="289" fillId="0" borderId="10" xfId="51695" applyFont="1" applyBorder="1"/>
    <xf numFmtId="176" fontId="294" fillId="0" borderId="0" xfId="75" applyNumberFormat="1" applyFont="1" applyAlignment="1">
      <alignment horizontal="center" vertical="center"/>
    </xf>
    <xf numFmtId="176"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6" fontId="288" fillId="0" borderId="21" xfId="75" applyNumberFormat="1" applyFont="1" applyBorder="1" applyAlignment="1">
      <alignment horizontal="center" vertical="center"/>
    </xf>
    <xf numFmtId="181" fontId="287" fillId="133" borderId="6" xfId="51695" applyNumberFormat="1" applyFont="1" applyFill="1" applyBorder="1" applyAlignment="1">
      <alignment horizontal="center"/>
    </xf>
    <xf numFmtId="181" fontId="287" fillId="0" borderId="0" xfId="51695" applyNumberFormat="1" applyFont="1" applyAlignment="1">
      <alignment horizontal="center"/>
    </xf>
    <xf numFmtId="0" fontId="298" fillId="52" borderId="142" xfId="51695" applyFont="1" applyFill="1" applyBorder="1" applyAlignment="1">
      <alignment vertical="center"/>
    </xf>
    <xf numFmtId="0" fontId="298" fillId="52" borderId="146" xfId="51695" applyFont="1" applyFill="1" applyBorder="1" applyAlignment="1">
      <alignment vertical="center"/>
    </xf>
    <xf numFmtId="176" fontId="298" fillId="52" borderId="6" xfId="51695" applyNumberFormat="1" applyFont="1" applyFill="1" applyBorder="1" applyAlignment="1">
      <alignment horizontal="center" vertical="center"/>
    </xf>
    <xf numFmtId="176" fontId="298" fillId="0" borderId="10" xfId="51695" applyNumberFormat="1" applyFont="1" applyBorder="1" applyAlignment="1">
      <alignment horizontal="center" vertical="center"/>
    </xf>
    <xf numFmtId="176"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175" fontId="25" fillId="39" borderId="6" xfId="75" applyNumberFormat="1" applyFont="1" applyFill="1" applyBorder="1"/>
    <xf numFmtId="0" fontId="290" fillId="0" borderId="10" xfId="51695" quotePrefix="1" applyFont="1" applyBorder="1" applyAlignment="1">
      <alignment horizontal="left" vertical="center"/>
    </xf>
    <xf numFmtId="351" fontId="10" fillId="0" borderId="0" xfId="2" applyNumberFormat="1" applyFont="1" applyFill="1" applyBorder="1" applyAlignment="1">
      <alignment horizontal="center"/>
    </xf>
    <xf numFmtId="175" fontId="11" fillId="52" borderId="189" xfId="2" applyNumberFormat="1" applyFont="1" applyFill="1" applyBorder="1"/>
    <xf numFmtId="175" fontId="11" fillId="52" borderId="146" xfId="2" applyNumberFormat="1" applyFont="1" applyFill="1" applyBorder="1"/>
    <xf numFmtId="351" fontId="10" fillId="54" borderId="71" xfId="2" applyNumberFormat="1" applyFont="1" applyFill="1" applyBorder="1" applyAlignment="1">
      <alignment horizontal="center"/>
    </xf>
    <xf numFmtId="351" fontId="10" fillId="54" borderId="189" xfId="2" applyNumberFormat="1" applyFont="1" applyFill="1" applyBorder="1" applyAlignment="1">
      <alignment horizontal="center"/>
    </xf>
    <xf numFmtId="351" fontId="10" fillId="54" borderId="146"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42" xfId="51695" applyFont="1" applyBorder="1" applyAlignment="1">
      <alignment horizontal="left" vertical="center"/>
    </xf>
    <xf numFmtId="0" fontId="290" fillId="0" borderId="146" xfId="51695" applyFont="1" applyBorder="1" applyAlignment="1">
      <alignment horizontal="left" vertical="center"/>
    </xf>
    <xf numFmtId="176"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6" fontId="287" fillId="0" borderId="28" xfId="51695" applyNumberFormat="1" applyFont="1" applyBorder="1" applyAlignment="1">
      <alignment horizontal="center" vertical="center"/>
    </xf>
    <xf numFmtId="0" fontId="287" fillId="0" borderId="142" xfId="51695" applyFont="1" applyBorder="1" applyAlignment="1">
      <alignment horizontal="left" vertical="center"/>
    </xf>
    <xf numFmtId="0" fontId="289" fillId="0" borderId="0" xfId="51695" applyFont="1" applyAlignment="1">
      <alignment horizontal="left" vertical="center"/>
    </xf>
    <xf numFmtId="176" fontId="294" fillId="52" borderId="6" xfId="75" applyNumberFormat="1" applyFont="1" applyFill="1" applyBorder="1" applyAlignment="1">
      <alignment horizontal="center" vertical="center"/>
    </xf>
    <xf numFmtId="0" fontId="287" fillId="52" borderId="142" xfId="51695" applyFont="1" applyFill="1" applyBorder="1" applyAlignment="1">
      <alignment vertical="center"/>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87" fillId="52" borderId="142" xfId="51695" applyFont="1" applyFill="1" applyBorder="1" applyAlignment="1">
      <alignment horizontal="left" vertical="center"/>
    </xf>
    <xf numFmtId="0" fontId="299" fillId="0" borderId="0" xfId="51695" applyFont="1" applyAlignment="1">
      <alignment vertical="center"/>
    </xf>
    <xf numFmtId="175" fontId="10" fillId="0" borderId="0" xfId="2" applyNumberFormat="1" applyFont="1"/>
    <xf numFmtId="349"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6" fontId="301" fillId="0" borderId="0" xfId="75" applyNumberFormat="1" applyFont="1" applyAlignment="1">
      <alignment horizontal="center" vertical="center"/>
    </xf>
    <xf numFmtId="0" fontId="2" fillId="0" borderId="6" xfId="51695" applyBorder="1" applyAlignment="1">
      <alignment vertical="center" wrapText="1"/>
    </xf>
    <xf numFmtId="176" fontId="287" fillId="0" borderId="0" xfId="51695" applyNumberFormat="1" applyFont="1" applyAlignment="1">
      <alignment horizontal="center" vertical="center"/>
    </xf>
    <xf numFmtId="349"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6" fontId="2" fillId="0" borderId="11" xfId="51695" applyNumberFormat="1" applyBorder="1" applyAlignment="1">
      <alignment horizontal="center" vertical="center"/>
    </xf>
    <xf numFmtId="176" fontId="2" fillId="0" borderId="188" xfId="51695" applyNumberFormat="1" applyBorder="1" applyAlignment="1">
      <alignment horizontal="center" vertical="center"/>
    </xf>
    <xf numFmtId="176" fontId="2" fillId="0" borderId="153" xfId="51695" applyNumberFormat="1" applyBorder="1" applyAlignment="1">
      <alignment horizontal="center"/>
    </xf>
    <xf numFmtId="176" fontId="301" fillId="0" borderId="11" xfId="75" applyNumberFormat="1" applyFont="1" applyBorder="1" applyAlignment="1">
      <alignment horizontal="center" vertical="center"/>
    </xf>
    <xf numFmtId="0" fontId="2" fillId="0" borderId="0" xfId="51695" applyAlignment="1">
      <alignment horizontal="left" vertical="center"/>
    </xf>
    <xf numFmtId="176"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53" xfId="51695" applyBorder="1" applyAlignment="1">
      <alignment wrapText="1"/>
    </xf>
    <xf numFmtId="0" fontId="2" fillId="52" borderId="146" xfId="51695" applyFill="1" applyBorder="1" applyAlignment="1">
      <alignment vertical="center"/>
    </xf>
    <xf numFmtId="176" fontId="2" fillId="0" borderId="10" xfId="51695" applyNumberFormat="1" applyBorder="1" applyAlignment="1">
      <alignment horizontal="center" vertical="center"/>
    </xf>
    <xf numFmtId="0" fontId="2" fillId="0" borderId="90" xfId="51695" applyBorder="1" applyAlignment="1">
      <alignment horizontal="left"/>
    </xf>
    <xf numFmtId="0" fontId="2" fillId="0" borderId="91" xfId="51695" applyBorder="1" applyAlignment="1">
      <alignment horizontal="left"/>
    </xf>
    <xf numFmtId="0" fontId="2" fillId="52" borderId="146" xfId="51695" applyFill="1" applyBorder="1" applyAlignment="1">
      <alignment horizontal="left" vertical="center"/>
    </xf>
    <xf numFmtId="176"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6" fontId="288" fillId="52" borderId="6" xfId="75" applyNumberFormat="1" applyFont="1" applyFill="1" applyBorder="1" applyAlignment="1">
      <alignment horizontal="center" vertical="center"/>
    </xf>
    <xf numFmtId="0" fontId="277" fillId="47" borderId="190" xfId="90" applyFont="1" applyFill="1" applyBorder="1" applyAlignment="1">
      <alignment horizontal="left"/>
    </xf>
    <xf numFmtId="0" fontId="277" fillId="47" borderId="188" xfId="90" applyFont="1" applyFill="1" applyBorder="1" applyAlignment="1">
      <alignment horizontal="left"/>
    </xf>
    <xf numFmtId="0" fontId="277" fillId="47" borderId="127" xfId="90" applyFont="1" applyFill="1" applyBorder="1" applyAlignment="1">
      <alignment horizontal="left"/>
    </xf>
    <xf numFmtId="0" fontId="287" fillId="137" borderId="190" xfId="51695" applyFont="1" applyFill="1" applyBorder="1" applyAlignment="1">
      <alignment horizontal="center" vertical="center" wrapText="1"/>
    </xf>
    <xf numFmtId="2" fontId="288" fillId="0" borderId="21" xfId="75" applyNumberFormat="1" applyFont="1" applyBorder="1" applyAlignment="1">
      <alignment horizontal="center"/>
    </xf>
    <xf numFmtId="0" fontId="0" fillId="3" borderId="21" xfId="0" applyFill="1" applyBorder="1" applyAlignment="1">
      <alignment wrapText="1"/>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91" xfId="90" applyFont="1" applyFill="1" applyBorder="1" applyAlignment="1">
      <alignment horizontal="left"/>
    </xf>
    <xf numFmtId="0" fontId="276" fillId="47" borderId="192" xfId="0" applyFont="1" applyFill="1" applyBorder="1" applyAlignment="1">
      <alignment wrapText="1"/>
    </xf>
    <xf numFmtId="0" fontId="0" fillId="52" borderId="191" xfId="0" applyFill="1" applyBorder="1" applyAlignment="1">
      <alignment horizontal="center" wrapText="1"/>
    </xf>
    <xf numFmtId="0" fontId="0" fillId="52" borderId="192" xfId="0" applyFill="1" applyBorder="1"/>
    <xf numFmtId="0" fontId="31" fillId="47" borderId="192" xfId="75" applyFont="1" applyFill="1" applyBorder="1"/>
    <xf numFmtId="0" fontId="0" fillId="47" borderId="192" xfId="0" applyFill="1" applyBorder="1"/>
    <xf numFmtId="0" fontId="29" fillId="0" borderId="191" xfId="0" applyFont="1" applyBorder="1"/>
    <xf numFmtId="0" fontId="0" fillId="3" borderId="21" xfId="0" applyFill="1" applyBorder="1"/>
    <xf numFmtId="0" fontId="0" fillId="3" borderId="192" xfId="0" applyFill="1" applyBorder="1"/>
    <xf numFmtId="0" fontId="32" fillId="47" borderId="192" xfId="75" applyFont="1" applyFill="1" applyBorder="1"/>
    <xf numFmtId="0" fontId="279" fillId="47" borderId="191" xfId="90" applyFont="1" applyFill="1" applyBorder="1" applyAlignment="1">
      <alignment horizontal="left"/>
    </xf>
    <xf numFmtId="0" fontId="10" fillId="0" borderId="190" xfId="85" applyFont="1" applyBorder="1" applyAlignment="1">
      <alignment horizontal="center" vertical="center"/>
    </xf>
    <xf numFmtId="0" fontId="11" fillId="0" borderId="191" xfId="84" applyFont="1" applyBorder="1" applyAlignment="1">
      <alignment horizontal="left"/>
    </xf>
    <xf numFmtId="0" fontId="10" fillId="0" borderId="193" xfId="85" applyFont="1" applyBorder="1" applyAlignment="1">
      <alignment horizontal="center" vertical="center"/>
    </xf>
    <xf numFmtId="0" fontId="10" fillId="0" borderId="193" xfId="85" applyFont="1" applyBorder="1"/>
    <xf numFmtId="0" fontId="10" fillId="0" borderId="191" xfId="85" applyFont="1" applyBorder="1" applyAlignment="1">
      <alignment horizontal="left" indent="1"/>
    </xf>
    <xf numFmtId="0" fontId="10" fillId="0" borderId="192" xfId="85" applyFont="1" applyBorder="1" applyAlignment="1">
      <alignment horizontal="center"/>
    </xf>
    <xf numFmtId="0" fontId="287" fillId="137" borderId="192" xfId="51695" applyFont="1" applyFill="1" applyBorder="1" applyAlignment="1">
      <alignment horizontal="center" vertical="top" wrapText="1"/>
    </xf>
    <xf numFmtId="0" fontId="290" fillId="0" borderId="191" xfId="51695" applyFont="1" applyBorder="1" applyAlignment="1">
      <alignment horizontal="left"/>
    </xf>
    <xf numFmtId="0" fontId="290" fillId="0" borderId="192"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91" xfId="51695" applyFont="1" applyBorder="1" applyAlignment="1">
      <alignment horizontal="left" vertical="center"/>
    </xf>
    <xf numFmtId="0" fontId="287" fillId="0" borderId="191" xfId="51695" applyFont="1" applyBorder="1" applyAlignment="1">
      <alignment horizontal="left"/>
    </xf>
    <xf numFmtId="0" fontId="290" fillId="0" borderId="192" xfId="51695" applyFont="1" applyBorder="1" applyAlignment="1">
      <alignment horizontal="left"/>
    </xf>
    <xf numFmtId="0" fontId="2" fillId="0" borderId="192" xfId="51695" applyBorder="1" applyAlignment="1">
      <alignment horizontal="left" vertical="center"/>
    </xf>
    <xf numFmtId="0" fontId="0" fillId="3" borderId="21" xfId="0" applyFill="1" applyBorder="1" applyAlignment="1">
      <alignment vertical="top" wrapText="1"/>
    </xf>
    <xf numFmtId="0" fontId="0" fillId="3" borderId="192" xfId="0" applyFill="1" applyBorder="1" applyAlignment="1">
      <alignment wrapText="1"/>
    </xf>
    <xf numFmtId="168" fontId="8" fillId="139" borderId="59" xfId="1" applyNumberFormat="1" applyFont="1" applyFill="1" applyBorder="1" applyAlignment="1">
      <alignment horizontal="right" vertical="top"/>
    </xf>
    <xf numFmtId="168" fontId="0" fillId="139" borderId="59" xfId="1" applyNumberFormat="1" applyFont="1" applyFill="1" applyBorder="1" applyAlignment="1">
      <alignment horizontal="right" vertical="top"/>
    </xf>
    <xf numFmtId="175" fontId="0" fillId="139" borderId="59" xfId="0" applyNumberFormat="1" applyFill="1" applyBorder="1" applyAlignment="1">
      <alignment horizontal="right" vertical="top"/>
    </xf>
    <xf numFmtId="14" fontId="10" fillId="3" borderId="6" xfId="2" applyNumberFormat="1" applyFont="1" applyFill="1" applyBorder="1" applyAlignment="1">
      <alignment horizontal="center" vertical="center"/>
    </xf>
    <xf numFmtId="173" fontId="10" fillId="3" borderId="63" xfId="85" applyNumberFormat="1" applyFont="1" applyFill="1" applyBorder="1" applyAlignment="1" applyProtection="1">
      <alignment horizontal="center"/>
      <protection locked="0"/>
    </xf>
    <xf numFmtId="0" fontId="7" fillId="3" borderId="0" xfId="12186" applyFill="1" applyAlignment="1">
      <alignment horizontal="left" vertical="top" indent="1"/>
    </xf>
    <xf numFmtId="0" fontId="7" fillId="3" borderId="10" xfId="12186" applyFill="1" applyBorder="1" applyAlignment="1">
      <alignment horizontal="left" indent="1"/>
    </xf>
    <xf numFmtId="0" fontId="7" fillId="3" borderId="0" xfId="12186" applyFill="1" applyAlignment="1">
      <alignment horizontal="left" indent="1"/>
    </xf>
    <xf numFmtId="0" fontId="7" fillId="3" borderId="0" xfId="12186" applyFill="1" applyAlignment="1">
      <alignment horizontal="center" vertical="center"/>
    </xf>
    <xf numFmtId="0" fontId="7" fillId="3" borderId="0" xfId="12186" applyFill="1"/>
    <xf numFmtId="0" fontId="7" fillId="3" borderId="11" xfId="12186" applyFill="1" applyBorder="1"/>
    <xf numFmtId="171" fontId="10" fillId="0" borderId="0" xfId="75" applyNumberFormat="1" applyFont="1" applyAlignment="1">
      <alignment horizontal="left" vertical="center" indent="1"/>
    </xf>
    <xf numFmtId="0" fontId="303" fillId="0" borderId="10" xfId="0" applyFont="1" applyBorder="1"/>
    <xf numFmtId="0" fontId="302" fillId="54" borderId="108" xfId="0" applyFont="1" applyFill="1" applyBorder="1" applyAlignment="1">
      <alignment horizontal="right" vertical="top"/>
    </xf>
    <xf numFmtId="0" fontId="303" fillId="0" borderId="0" xfId="0" applyFont="1"/>
    <xf numFmtId="0" fontId="10" fillId="0" borderId="0" xfId="0" applyFont="1" applyAlignment="1">
      <alignment horizontal="left" indent="1"/>
    </xf>
    <xf numFmtId="0" fontId="0" fillId="3" borderId="194" xfId="0" applyFill="1" applyBorder="1" applyAlignment="1">
      <alignment horizontal="left" indent="1"/>
    </xf>
    <xf numFmtId="0" fontId="0" fillId="3" borderId="191" xfId="0" applyFill="1" applyBorder="1" applyAlignment="1">
      <alignment vertical="top"/>
    </xf>
    <xf numFmtId="0" fontId="0" fillId="0" borderId="0" xfId="0" applyAlignment="1">
      <alignment horizontal="center"/>
    </xf>
    <xf numFmtId="0" fontId="0" fillId="0" borderId="103" xfId="0" applyBorder="1" applyAlignment="1">
      <alignment horizontal="left" vertical="center" wrapText="1" indent="1"/>
    </xf>
    <xf numFmtId="0" fontId="0" fillId="0" borderId="80" xfId="0" applyBorder="1" applyAlignment="1">
      <alignment horizontal="left" vertical="center" wrapText="1" indent="1"/>
    </xf>
    <xf numFmtId="3" fontId="0" fillId="0" borderId="142" xfId="0" applyNumberFormat="1" applyBorder="1" applyAlignment="1">
      <alignment horizontal="center" vertical="center" wrapText="1"/>
    </xf>
    <xf numFmtId="3" fontId="0" fillId="0" borderId="6" xfId="0" applyNumberFormat="1" applyBorder="1" applyAlignment="1">
      <alignment horizontal="center" vertical="center" wrapText="1"/>
    </xf>
    <xf numFmtId="0" fontId="0" fillId="0" borderId="101" xfId="0" applyBorder="1" applyAlignment="1">
      <alignment horizontal="left" vertical="center" wrapText="1" indent="1"/>
    </xf>
    <xf numFmtId="0" fontId="0" fillId="0" borderId="81" xfId="0" applyBorder="1" applyAlignment="1">
      <alignment horizontal="left" vertical="center" wrapText="1" indent="1"/>
    </xf>
    <xf numFmtId="0" fontId="0" fillId="0" borderId="142" xfId="0" applyBorder="1" applyAlignment="1">
      <alignment vertical="center" wrapText="1"/>
    </xf>
    <xf numFmtId="0" fontId="0" fillId="0" borderId="28" xfId="0" applyBorder="1" applyAlignment="1">
      <alignment vertical="center" wrapText="1"/>
    </xf>
    <xf numFmtId="0" fontId="0" fillId="0" borderId="146" xfId="0" applyBorder="1" applyAlignment="1">
      <alignment vertical="center" wrapText="1"/>
    </xf>
    <xf numFmtId="0" fontId="0" fillId="0" borderId="142" xfId="0" applyBorder="1" applyAlignment="1">
      <alignment horizontal="center" vertical="center" wrapText="1"/>
    </xf>
    <xf numFmtId="0" fontId="0" fillId="0" borderId="6" xfId="0" applyBorder="1" applyAlignment="1">
      <alignment horizontal="center" vertical="center" wrapText="1"/>
    </xf>
    <xf numFmtId="0" fontId="0" fillId="0" borderId="105" xfId="0" applyBorder="1" applyAlignment="1">
      <alignment horizontal="left" vertical="center" wrapText="1" indent="1"/>
    </xf>
    <xf numFmtId="0" fontId="0" fillId="0" borderId="79" xfId="0"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46" xfId="0" applyBorder="1" applyAlignment="1">
      <alignment horizontal="center" vertical="center" wrapText="1"/>
    </xf>
    <xf numFmtId="0" fontId="0" fillId="0" borderId="186" xfId="0" applyBorder="1" applyAlignment="1">
      <alignment horizontal="left" vertical="center" wrapText="1" indent="1"/>
    </xf>
    <xf numFmtId="0" fontId="0" fillId="0" borderId="187" xfId="0" applyBorder="1" applyAlignment="1">
      <alignment horizontal="left" vertical="center" wrapText="1" indent="1"/>
    </xf>
    <xf numFmtId="0" fontId="0" fillId="0" borderId="103" xfId="0" applyBorder="1" applyAlignment="1">
      <alignment horizontal="left" vertical="center" wrapText="1"/>
    </xf>
    <xf numFmtId="0" fontId="0" fillId="0" borderId="80" xfId="0" applyBorder="1" applyAlignment="1">
      <alignment horizontal="left" vertical="center" wrapText="1"/>
    </xf>
    <xf numFmtId="0" fontId="0" fillId="0" borderId="101" xfId="0" applyBorder="1" applyAlignment="1">
      <alignment horizontal="left" vertical="center" wrapText="1"/>
    </xf>
    <xf numFmtId="0" fontId="0" fillId="0" borderId="81" xfId="0" applyBorder="1" applyAlignment="1">
      <alignment horizontal="left" vertical="center" wrapText="1"/>
    </xf>
    <xf numFmtId="0" fontId="0" fillId="0" borderId="105" xfId="0" applyBorder="1" applyAlignment="1">
      <alignment horizontal="left" vertical="center" wrapText="1"/>
    </xf>
    <xf numFmtId="0" fontId="0" fillId="0" borderId="79" xfId="0" applyBorder="1" applyAlignment="1">
      <alignment horizontal="left" vertical="center" wrapText="1"/>
    </xf>
    <xf numFmtId="1" fontId="8" fillId="0" borderId="167" xfId="0" applyNumberFormat="1" applyFont="1" applyBorder="1" applyAlignment="1">
      <alignment horizontal="center" vertical="center"/>
    </xf>
    <xf numFmtId="1" fontId="8" fillId="0" borderId="168" xfId="0" applyNumberFormat="1" applyFont="1" applyBorder="1" applyAlignment="1">
      <alignment horizontal="center" vertical="center"/>
    </xf>
    <xf numFmtId="1" fontId="8" fillId="0" borderId="169" xfId="0" applyNumberFormat="1" applyFont="1" applyBorder="1" applyAlignment="1">
      <alignment horizontal="center" vertical="center"/>
    </xf>
    <xf numFmtId="0" fontId="0" fillId="0" borderId="184" xfId="0" applyBorder="1" applyAlignment="1">
      <alignment horizontal="center" vertical="center" wrapText="1"/>
    </xf>
    <xf numFmtId="0" fontId="0" fillId="0" borderId="185" xfId="0" applyBorder="1" applyAlignment="1">
      <alignment horizontal="center" vertical="center" wrapText="1"/>
    </xf>
    <xf numFmtId="176" fontId="0" fillId="119" borderId="105" xfId="0" applyNumberFormat="1" applyFill="1" applyBorder="1" applyAlignment="1">
      <alignment horizontal="center"/>
    </xf>
    <xf numFmtId="176" fontId="0" fillId="119" borderId="99" xfId="0" applyNumberFormat="1" applyFill="1" applyBorder="1" applyAlignment="1">
      <alignment horizontal="center"/>
    </xf>
    <xf numFmtId="176" fontId="0" fillId="119" borderId="61" xfId="0" applyNumberFormat="1" applyFill="1" applyBorder="1" applyAlignment="1">
      <alignment horizontal="center"/>
    </xf>
    <xf numFmtId="0" fontId="0" fillId="53" borderId="0" xfId="0" applyFill="1" applyAlignment="1">
      <alignment horizontal="left" wrapText="1"/>
    </xf>
    <xf numFmtId="0" fontId="0" fillId="0" borderId="105" xfId="0" applyBorder="1" applyAlignment="1">
      <alignment vertical="center" wrapText="1"/>
    </xf>
    <xf numFmtId="0" fontId="0" fillId="0" borderId="84"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96" xfId="0" applyBorder="1" applyAlignment="1">
      <alignment vertical="center" wrapTex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0" fillId="3" borderId="191" xfId="0" applyFill="1" applyBorder="1" applyAlignment="1">
      <alignment horizontal="left" vertical="top" wrapText="1"/>
    </xf>
    <xf numFmtId="0" fontId="0" fillId="3" borderId="21" xfId="0" applyFill="1" applyBorder="1" applyAlignment="1">
      <alignment wrapText="1"/>
    </xf>
    <xf numFmtId="0" fontId="7" fillId="3" borderId="191" xfId="12186" applyFill="1" applyBorder="1" applyAlignment="1">
      <alignment horizontal="left" vertical="top" wrapText="1"/>
    </xf>
    <xf numFmtId="0" fontId="7" fillId="3" borderId="21" xfId="12186" applyFill="1" applyBorder="1" applyAlignment="1">
      <alignment wrapText="1"/>
    </xf>
    <xf numFmtId="0" fontId="7" fillId="3" borderId="192" xfId="12186" applyFill="1" applyBorder="1" applyAlignment="1">
      <alignment wrapText="1"/>
    </xf>
    <xf numFmtId="0" fontId="0" fillId="3" borderId="0" xfId="0" applyFill="1" applyAlignment="1">
      <alignment horizontal="left" vertical="top" indent="1"/>
    </xf>
    <xf numFmtId="0" fontId="7" fillId="42" borderId="142" xfId="78" applyFont="1" applyFill="1" applyBorder="1" applyAlignment="1" applyProtection="1">
      <alignment horizontal="center" vertical="center"/>
      <protection locked="0"/>
    </xf>
    <xf numFmtId="0" fontId="7" fillId="42" borderId="28" xfId="78" applyFont="1" applyFill="1" applyBorder="1" applyAlignment="1" applyProtection="1">
      <alignment horizontal="center" vertical="center"/>
      <protection locked="0"/>
    </xf>
    <xf numFmtId="0" fontId="7" fillId="42" borderId="146" xfId="78" applyFont="1" applyFill="1" applyBorder="1" applyAlignment="1" applyProtection="1">
      <alignment horizontal="center" vertical="center"/>
      <protection locked="0"/>
    </xf>
    <xf numFmtId="0" fontId="7" fillId="0" borderId="142" xfId="78" applyFont="1" applyBorder="1" applyAlignment="1" applyProtection="1">
      <alignment horizontal="center" vertical="center"/>
      <protection locked="0"/>
    </xf>
    <xf numFmtId="0" fontId="7" fillId="0" borderId="28" xfId="78" applyFont="1" applyBorder="1" applyAlignment="1" applyProtection="1">
      <alignment horizontal="center" vertical="center"/>
      <protection locked="0"/>
    </xf>
    <xf numFmtId="0" fontId="7" fillId="0" borderId="146" xfId="78" applyFont="1" applyBorder="1" applyAlignment="1" applyProtection="1">
      <alignment horizontal="center" vertical="center"/>
      <protection locked="0"/>
    </xf>
    <xf numFmtId="0" fontId="10" fillId="0" borderId="145" xfId="85" applyFont="1" applyBorder="1" applyAlignment="1">
      <alignment horizontal="left" vertical="center" wrapText="1"/>
    </xf>
    <xf numFmtId="0" fontId="10" fillId="0" borderId="21" xfId="85" applyFont="1" applyBorder="1" applyAlignment="1">
      <alignment horizontal="left" vertical="center" wrapText="1"/>
    </xf>
    <xf numFmtId="0" fontId="10" fillId="0" borderId="192" xfId="85" applyFont="1" applyBorder="1" applyAlignment="1">
      <alignment horizontal="left" vertical="center" wrapText="1"/>
    </xf>
    <xf numFmtId="0" fontId="10" fillId="0" borderId="93" xfId="85" applyFont="1" applyBorder="1" applyAlignment="1">
      <alignment horizontal="left" vertical="center" wrapText="1"/>
    </xf>
    <xf numFmtId="0" fontId="10" fillId="0" borderId="153" xfId="85" applyFont="1" applyBorder="1" applyAlignment="1">
      <alignment horizontal="left" vertical="center" wrapText="1"/>
    </xf>
    <xf numFmtId="0" fontId="10" fillId="0" borderId="91" xfId="85" applyFont="1" applyBorder="1" applyAlignment="1">
      <alignment horizontal="left" vertical="center" wrapText="1"/>
    </xf>
    <xf numFmtId="178" fontId="10" fillId="44" borderId="105" xfId="85" applyNumberFormat="1" applyFont="1" applyFill="1" applyBorder="1" applyAlignment="1">
      <alignment horizontal="left" indent="1"/>
    </xf>
    <xf numFmtId="178" fontId="10" fillId="44" borderId="84" xfId="85" applyNumberFormat="1" applyFont="1" applyFill="1" applyBorder="1" applyAlignment="1">
      <alignment horizontal="left" indent="1"/>
    </xf>
    <xf numFmtId="178" fontId="10" fillId="44" borderId="100" xfId="85" applyNumberFormat="1" applyFont="1" applyFill="1" applyBorder="1" applyAlignment="1">
      <alignment horizontal="left" indent="1"/>
    </xf>
    <xf numFmtId="0" fontId="10" fillId="51" borderId="97" xfId="85" applyFont="1" applyFill="1" applyBorder="1" applyAlignment="1" applyProtection="1">
      <alignment horizontal="left"/>
      <protection locked="0"/>
    </xf>
    <xf numFmtId="0" fontId="10" fillId="51" borderId="104" xfId="85" applyFont="1" applyFill="1" applyBorder="1" applyAlignment="1" applyProtection="1">
      <alignment horizontal="left"/>
      <protection locked="0"/>
    </xf>
    <xf numFmtId="0" fontId="10" fillId="51" borderId="98" xfId="85" applyFont="1" applyFill="1" applyBorder="1" applyAlignment="1" applyProtection="1">
      <alignment horizontal="left"/>
      <protection locked="0"/>
    </xf>
    <xf numFmtId="0" fontId="10" fillId="51" borderId="99" xfId="85" applyFont="1" applyFill="1" applyBorder="1" applyAlignment="1" applyProtection="1">
      <alignment horizontal="left" indent="1"/>
      <protection locked="0"/>
    </xf>
    <xf numFmtId="0" fontId="10" fillId="51" borderId="84" xfId="85" applyFont="1" applyFill="1" applyBorder="1" applyAlignment="1" applyProtection="1">
      <alignment horizontal="left" indent="1"/>
      <protection locked="0"/>
    </xf>
    <xf numFmtId="0" fontId="10" fillId="51" borderId="100" xfId="85" applyFont="1" applyFill="1" applyBorder="1" applyAlignment="1" applyProtection="1">
      <alignment horizontal="left" indent="1"/>
      <protection locked="0"/>
    </xf>
    <xf numFmtId="170" fontId="7" fillId="51" borderId="95" xfId="48239" applyFill="1" applyBorder="1" applyAlignment="1">
      <alignment horizontal="left"/>
      <protection locked="0"/>
    </xf>
    <xf numFmtId="170" fontId="7" fillId="51" borderId="102" xfId="48239" applyFill="1" applyBorder="1" applyAlignment="1">
      <alignment horizontal="left"/>
      <protection locked="0"/>
    </xf>
    <xf numFmtId="170" fontId="7" fillId="51" borderId="96" xfId="48239" applyFill="1" applyBorder="1" applyAlignment="1">
      <alignment horizontal="left"/>
      <protection locked="0"/>
    </xf>
    <xf numFmtId="0" fontId="10" fillId="0" borderId="190" xfId="85" applyFont="1" applyBorder="1" applyAlignment="1">
      <alignment horizontal="center" vertical="center"/>
    </xf>
    <xf numFmtId="0" fontId="10" fillId="0" borderId="127" xfId="85" applyFont="1" applyBorder="1" applyAlignment="1">
      <alignment horizontal="center" vertical="center"/>
    </xf>
    <xf numFmtId="0" fontId="10" fillId="0" borderId="191" xfId="85" applyFont="1" applyBorder="1" applyAlignment="1">
      <alignment horizontal="left" vertical="center" indent="1"/>
    </xf>
    <xf numFmtId="0" fontId="10" fillId="0" borderId="21" xfId="85" applyFont="1" applyBorder="1" applyAlignment="1">
      <alignment horizontal="left" vertical="center" indent="1"/>
    </xf>
    <xf numFmtId="0" fontId="10" fillId="0" borderId="192" xfId="85" applyFont="1" applyBorder="1" applyAlignment="1">
      <alignment horizontal="left" vertical="center" indent="1"/>
    </xf>
    <xf numFmtId="0" fontId="10" fillId="0" borderId="90" xfId="85" applyFont="1" applyBorder="1" applyAlignment="1">
      <alignment horizontal="left" vertical="center" indent="1"/>
    </xf>
    <xf numFmtId="0" fontId="10" fillId="0" borderId="153" xfId="85" applyFont="1" applyBorder="1" applyAlignment="1">
      <alignment horizontal="left" vertical="center" indent="1"/>
    </xf>
    <xf numFmtId="0" fontId="10" fillId="0" borderId="91" xfId="85" applyFont="1" applyBorder="1" applyAlignment="1">
      <alignment horizontal="left" vertical="center" indent="1"/>
    </xf>
    <xf numFmtId="0" fontId="10" fillId="0" borderId="92" xfId="85" applyFont="1" applyBorder="1" applyAlignment="1">
      <alignment horizontal="left" vertical="center" wrapText="1"/>
    </xf>
    <xf numFmtId="0" fontId="10" fillId="0" borderId="0" xfId="85" applyFont="1" applyAlignment="1">
      <alignment horizontal="center"/>
    </xf>
    <xf numFmtId="0" fontId="10" fillId="0" borderId="0" xfId="84" applyFont="1" applyAlignment="1"/>
    <xf numFmtId="0" fontId="0" fillId="0" borderId="104" xfId="0" applyBorder="1" applyAlignment="1">
      <alignment horizontal="left"/>
    </xf>
    <xf numFmtId="0" fontId="0" fillId="0" borderId="98" xfId="0" applyBorder="1" applyAlignment="1">
      <alignment horizontal="left"/>
    </xf>
    <xf numFmtId="14" fontId="10" fillId="3" borderId="85" xfId="85" applyNumberFormat="1" applyFont="1" applyFill="1" applyBorder="1" applyAlignment="1" applyProtection="1">
      <alignment horizontal="left" indent="1"/>
      <protection locked="0"/>
    </xf>
    <xf numFmtId="14" fontId="10" fillId="3" borderId="63" xfId="85" applyNumberFormat="1" applyFont="1" applyFill="1" applyBorder="1" applyAlignment="1" applyProtection="1">
      <alignment horizontal="left" indent="1"/>
      <protection locked="0"/>
    </xf>
    <xf numFmtId="170" fontId="7" fillId="3" borderId="95" xfId="48239" applyBorder="1" applyAlignment="1">
      <alignment horizontal="left" vertical="center"/>
      <protection locked="0"/>
    </xf>
    <xf numFmtId="170" fontId="7" fillId="3" borderId="102" xfId="48239" applyBorder="1" applyAlignment="1">
      <alignment horizontal="left" vertical="center"/>
      <protection locked="0"/>
    </xf>
    <xf numFmtId="170" fontId="7" fillId="3" borderId="96" xfId="48239" applyBorder="1" applyAlignment="1">
      <alignment horizontal="left" vertical="center"/>
      <protection locked="0"/>
    </xf>
    <xf numFmtId="0" fontId="10" fillId="3" borderId="97" xfId="85" applyFont="1" applyFill="1" applyBorder="1" applyAlignment="1" applyProtection="1">
      <alignment horizontal="left"/>
      <protection locked="0"/>
    </xf>
    <xf numFmtId="0" fontId="10" fillId="3" borderId="104" xfId="85" applyFont="1" applyFill="1" applyBorder="1" applyAlignment="1" applyProtection="1">
      <alignment horizontal="left"/>
      <protection locked="0"/>
    </xf>
    <xf numFmtId="0" fontId="10" fillId="3" borderId="82" xfId="85" applyFont="1" applyFill="1" applyBorder="1" applyAlignment="1" applyProtection="1">
      <alignment horizontal="left"/>
      <protection locked="0"/>
    </xf>
    <xf numFmtId="0" fontId="11" fillId="0" borderId="99" xfId="85" applyFont="1" applyBorder="1" applyAlignment="1">
      <alignment horizontal="left"/>
    </xf>
    <xf numFmtId="0" fontId="11" fillId="0" borderId="84" xfId="85" applyFont="1" applyBorder="1" applyAlignment="1">
      <alignment horizontal="left"/>
    </xf>
    <xf numFmtId="0" fontId="11" fillId="0" borderId="100" xfId="85" applyFont="1" applyBorder="1" applyAlignment="1">
      <alignment horizontal="left"/>
    </xf>
    <xf numFmtId="0" fontId="10" fillId="3" borderId="97" xfId="85" applyFont="1" applyFill="1" applyBorder="1" applyAlignment="1" applyProtection="1">
      <alignment horizontal="left" indent="1"/>
      <protection locked="0"/>
    </xf>
    <xf numFmtId="0" fontId="10" fillId="3" borderId="104" xfId="85" applyFont="1" applyFill="1" applyBorder="1" applyAlignment="1" applyProtection="1">
      <alignment horizontal="left" indent="1"/>
      <protection locked="0"/>
    </xf>
    <xf numFmtId="0" fontId="10" fillId="3" borderId="82" xfId="85" applyFont="1" applyFill="1" applyBorder="1" applyAlignment="1" applyProtection="1">
      <alignment horizontal="left" indent="1"/>
      <protection locked="0"/>
    </xf>
    <xf numFmtId="170" fontId="7" fillId="3" borderId="90" xfId="48239" applyBorder="1" applyAlignment="1">
      <alignment horizontal="left" vertical="center"/>
      <protection locked="0"/>
    </xf>
    <xf numFmtId="170" fontId="7" fillId="3" borderId="153" xfId="48239" applyBorder="1" applyAlignment="1">
      <alignment horizontal="left" vertical="center"/>
      <protection locked="0"/>
    </xf>
    <xf numFmtId="170" fontId="7" fillId="3" borderId="91" xfId="48239" applyBorder="1" applyAlignment="1">
      <alignment horizontal="left" vertical="center"/>
      <protection locked="0"/>
    </xf>
    <xf numFmtId="0" fontId="10" fillId="0" borderId="145" xfId="85" applyFont="1" applyBorder="1" applyAlignment="1">
      <alignment horizontal="left" vertical="center" wrapText="1" indent="1"/>
    </xf>
    <xf numFmtId="0" fontId="10" fillId="0" borderId="21" xfId="85" applyFont="1" applyBorder="1" applyAlignment="1">
      <alignment horizontal="left" vertical="center" wrapText="1" indent="1"/>
    </xf>
    <xf numFmtId="0" fontId="10" fillId="0" borderId="193" xfId="85" applyFont="1" applyBorder="1" applyAlignment="1">
      <alignment horizontal="left" vertical="center" wrapText="1" indent="1"/>
    </xf>
    <xf numFmtId="0" fontId="10" fillId="0" borderId="93" xfId="85" applyFont="1" applyBorder="1" applyAlignment="1">
      <alignment horizontal="left" vertical="center" wrapText="1" indent="1"/>
    </xf>
    <xf numFmtId="0" fontId="10" fillId="0" borderId="153" xfId="85" applyFont="1" applyBorder="1" applyAlignment="1">
      <alignment horizontal="left" vertical="center" wrapText="1" indent="1"/>
    </xf>
    <xf numFmtId="0" fontId="10" fillId="0" borderId="94" xfId="85" applyFont="1" applyBorder="1" applyAlignment="1">
      <alignment horizontal="left" vertical="center" wrapText="1" indent="1"/>
    </xf>
    <xf numFmtId="0" fontId="10" fillId="3" borderId="99" xfId="85" applyFont="1" applyFill="1" applyBorder="1" applyAlignment="1" applyProtection="1">
      <alignment horizontal="left" indent="1"/>
      <protection locked="0"/>
    </xf>
    <xf numFmtId="0" fontId="10" fillId="3" borderId="84" xfId="85" applyFont="1" applyFill="1" applyBorder="1" applyAlignment="1" applyProtection="1">
      <alignment horizontal="left" indent="1"/>
      <protection locked="0"/>
    </xf>
    <xf numFmtId="0" fontId="10" fillId="3" borderId="86" xfId="85" applyFont="1" applyFill="1" applyBorder="1" applyAlignment="1" applyProtection="1">
      <alignment horizontal="left" indent="1"/>
      <protection locked="0"/>
    </xf>
    <xf numFmtId="0" fontId="10" fillId="3" borderId="63" xfId="85" applyFont="1" applyFill="1" applyBorder="1" applyAlignment="1" applyProtection="1">
      <alignment horizontal="left" indent="1"/>
      <protection locked="0"/>
    </xf>
    <xf numFmtId="0" fontId="10" fillId="3" borderId="64" xfId="85" applyFont="1" applyFill="1" applyBorder="1" applyAlignment="1" applyProtection="1">
      <alignment horizontal="left" indent="1"/>
      <protection locked="0"/>
    </xf>
    <xf numFmtId="0" fontId="11" fillId="0" borderId="99" xfId="85" applyFont="1" applyBorder="1" applyAlignment="1">
      <alignment horizontal="left" indent="1"/>
    </xf>
    <xf numFmtId="0" fontId="11" fillId="0" borderId="84" xfId="85" applyFont="1" applyBorder="1" applyAlignment="1">
      <alignment horizontal="left" indent="1"/>
    </xf>
    <xf numFmtId="0" fontId="11" fillId="0" borderId="100" xfId="85" applyFont="1" applyBorder="1" applyAlignment="1">
      <alignment horizontal="left" indent="1"/>
    </xf>
    <xf numFmtId="0" fontId="10" fillId="0" borderId="0" xfId="85" applyFont="1" applyAlignment="1">
      <alignment horizontal="left" vertical="center" wrapText="1"/>
    </xf>
    <xf numFmtId="0" fontId="11" fillId="0" borderId="0" xfId="85" applyFont="1" applyAlignment="1">
      <alignment horizontal="left" vertical="center" wrapText="1"/>
    </xf>
    <xf numFmtId="171" fontId="10" fillId="3" borderId="103" xfId="0" applyNumberFormat="1" applyFont="1" applyFill="1" applyBorder="1" applyAlignment="1">
      <alignment horizontal="left" vertical="center" indent="1"/>
    </xf>
    <xf numFmtId="171" fontId="10" fillId="3" borderId="104" xfId="0" applyNumberFormat="1" applyFont="1" applyFill="1" applyBorder="1" applyAlignment="1">
      <alignment horizontal="left" vertical="center" indent="1"/>
    </xf>
    <xf numFmtId="171" fontId="10" fillId="3" borderId="98" xfId="0" applyNumberFormat="1" applyFont="1" applyFill="1" applyBorder="1" applyAlignment="1">
      <alignment horizontal="left" vertical="center" indent="1"/>
    </xf>
    <xf numFmtId="171" fontId="10" fillId="3" borderId="65" xfId="0" applyNumberFormat="1" applyFont="1" applyFill="1" applyBorder="1" applyAlignment="1">
      <alignment horizontal="left" vertical="center" indent="1"/>
    </xf>
    <xf numFmtId="171" fontId="10" fillId="3" borderId="66" xfId="0" applyNumberFormat="1" applyFont="1" applyFill="1" applyBorder="1" applyAlignment="1">
      <alignment horizontal="left" vertical="center" indent="1"/>
    </xf>
    <xf numFmtId="171" fontId="10" fillId="3" borderId="67" xfId="0" applyNumberFormat="1" applyFont="1" applyFill="1" applyBorder="1" applyAlignment="1">
      <alignment horizontal="left" vertical="center" indent="1"/>
    </xf>
    <xf numFmtId="0" fontId="10" fillId="3" borderId="59" xfId="85" applyFont="1" applyFill="1" applyBorder="1" applyAlignment="1" applyProtection="1">
      <alignment horizontal="left" vertical="top" wrapText="1" indent="1"/>
      <protection locked="0"/>
    </xf>
    <xf numFmtId="0" fontId="10" fillId="3" borderId="60" xfId="85" applyFont="1" applyFill="1" applyBorder="1" applyAlignment="1" applyProtection="1">
      <alignment horizontal="left" vertical="top" wrapText="1" indent="1"/>
      <protection locked="0"/>
    </xf>
    <xf numFmtId="0" fontId="10" fillId="3" borderId="61" xfId="85" applyFont="1" applyFill="1" applyBorder="1" applyAlignment="1" applyProtection="1">
      <alignment horizontal="left" vertical="top" wrapText="1" indent="1"/>
      <protection locked="0"/>
    </xf>
    <xf numFmtId="171" fontId="10" fillId="3" borderId="62" xfId="0" applyNumberFormat="1" applyFont="1" applyFill="1" applyBorder="1" applyAlignment="1">
      <alignment horizontal="left" vertical="center" indent="1"/>
    </xf>
    <xf numFmtId="171" fontId="10" fillId="3" borderId="63" xfId="0" applyNumberFormat="1" applyFont="1" applyFill="1" applyBorder="1" applyAlignment="1">
      <alignment horizontal="left" vertical="center" indent="1"/>
    </xf>
    <xf numFmtId="171" fontId="10" fillId="3" borderId="64" xfId="0" applyNumberFormat="1" applyFont="1" applyFill="1" applyBorder="1" applyAlignment="1">
      <alignment horizontal="left" vertical="center" indent="1"/>
    </xf>
    <xf numFmtId="0" fontId="10" fillId="0" borderId="144" xfId="85" applyFont="1" applyBorder="1" applyAlignment="1">
      <alignment horizontal="center" vertical="center" wrapText="1"/>
    </xf>
    <xf numFmtId="0" fontId="10" fillId="0" borderId="109" xfId="85" applyFont="1" applyBorder="1" applyAlignment="1">
      <alignment horizontal="center" vertical="center" wrapText="1"/>
    </xf>
    <xf numFmtId="0" fontId="248" fillId="116" borderId="0" xfId="0" applyFont="1" applyFill="1" applyAlignment="1">
      <alignment horizontal="left" vertical="top" wrapText="1"/>
    </xf>
    <xf numFmtId="0" fontId="287" fillId="137" borderId="190" xfId="51695" applyFont="1" applyFill="1" applyBorder="1" applyAlignment="1">
      <alignment horizontal="center" vertical="center" wrapText="1"/>
    </xf>
    <xf numFmtId="0" fontId="287" fillId="137" borderId="127" xfId="51695" applyFont="1" applyFill="1" applyBorder="1" applyAlignment="1">
      <alignment horizontal="center" vertical="center" wrapText="1"/>
    </xf>
    <xf numFmtId="0" fontId="2" fillId="0" borderId="142" xfId="51695" applyBorder="1" applyAlignment="1">
      <alignment horizontal="left"/>
    </xf>
    <xf numFmtId="0" fontId="2" fillId="0" borderId="146" xfId="51695"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48" fillId="116" borderId="153"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92" xfId="51695" applyFont="1" applyFill="1" applyBorder="1" applyAlignment="1">
      <alignment horizontal="center" vertical="center" wrapText="1"/>
    </xf>
    <xf numFmtId="0" fontId="287" fillId="137" borderId="153" xfId="51695" applyFont="1" applyFill="1" applyBorder="1" applyAlignment="1">
      <alignment horizontal="center" vertical="center" wrapText="1"/>
    </xf>
    <xf numFmtId="0" fontId="287" fillId="137" borderId="91" xfId="51695" applyFont="1" applyFill="1" applyBorder="1" applyAlignment="1">
      <alignment horizontal="center" vertical="center" wrapText="1"/>
    </xf>
    <xf numFmtId="0" fontId="289" fillId="137" borderId="190" xfId="51695" applyFont="1" applyFill="1" applyBorder="1" applyAlignment="1">
      <alignment horizontal="center" vertical="center" wrapText="1"/>
    </xf>
    <xf numFmtId="0" fontId="289" fillId="137" borderId="127" xfId="51695" applyFont="1" applyFill="1" applyBorder="1" applyAlignment="1">
      <alignment horizontal="center" vertical="center" wrapText="1"/>
    </xf>
    <xf numFmtId="176"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90" xfId="51695" applyFont="1" applyBorder="1" applyAlignment="1">
      <alignment horizontal="left" vertical="center"/>
    </xf>
    <xf numFmtId="0" fontId="290" fillId="0" borderId="91"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42" xfId="51695" applyFont="1" applyFill="1" applyBorder="1" applyAlignment="1">
      <alignment horizontal="left" vertical="center"/>
    </xf>
    <xf numFmtId="0" fontId="287" fillId="52" borderId="146" xfId="51695" applyFont="1" applyFill="1" applyBorder="1" applyAlignment="1">
      <alignment horizontal="left" vertical="center"/>
    </xf>
    <xf numFmtId="0" fontId="0" fillId="136" borderId="142" xfId="0" applyFill="1" applyBorder="1" applyAlignment="1">
      <alignment horizontal="center"/>
    </xf>
    <xf numFmtId="0" fontId="0" fillId="136" borderId="28" xfId="0" applyFill="1" applyBorder="1" applyAlignment="1">
      <alignment horizontal="center"/>
    </xf>
    <xf numFmtId="0" fontId="0" fillId="136" borderId="146" xfId="0" applyFill="1" applyBorder="1" applyAlignment="1">
      <alignment horizontal="center"/>
    </xf>
    <xf numFmtId="0" fontId="0" fillId="53" borderId="190" xfId="0" applyFill="1" applyBorder="1" applyAlignment="1">
      <alignment horizontal="center" vertical="top" wrapText="1"/>
    </xf>
    <xf numFmtId="0" fontId="0" fillId="53" borderId="188" xfId="0" applyFill="1" applyBorder="1" applyAlignment="1">
      <alignment horizontal="center" vertical="top" wrapText="1"/>
    </xf>
    <xf numFmtId="0" fontId="0" fillId="53" borderId="127" xfId="0" applyFill="1" applyBorder="1" applyAlignment="1">
      <alignment horizontal="center" vertical="top"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07">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theme="7" tint="0.79998168889431442"/>
        </patternFill>
      </fill>
    </dxf>
    <dxf>
      <fill>
        <patternFill patternType="lightDown"/>
      </fill>
    </dxf>
    <dxf>
      <fill>
        <patternFill patternType="lightDown"/>
      </fill>
    </dxf>
    <dxf>
      <fill>
        <patternFill patternType="lightDown"/>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ECFF"/>
      <color rgb="FFCCFFCC"/>
      <color rgb="FFFFFF99"/>
      <color rgb="FFFFFFAB"/>
      <color rgb="FFFFFFCC"/>
      <color rgb="FFFFCC99"/>
      <color rgb="FF99CCFF"/>
      <color rgb="FFFFF4D1"/>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2197385</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1055312</xdr:colOff>
      <xdr:row>0</xdr:row>
      <xdr:rowOff>561334</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Tax%20Reconciliation/Copy%20of%20RFPR%20draft%20template.v3.xlsx?11BD5F40" TargetMode="External"/><Relationship Id="rId1" Type="http://schemas.openxmlformats.org/officeDocument/2006/relationships/externalLinkPath" Target="file:///\\11BD5F40\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80" zoomScaleNormal="80" zoomScaleSheetLayoutView="90" workbookViewId="0">
      <selection activeCell="C26" sqref="C26"/>
    </sheetView>
  </sheetViews>
  <sheetFormatPr defaultRowHeight="13.5"/>
  <cols>
    <col min="1" max="1" width="8.3828125" customWidth="1"/>
    <col min="2" max="2" width="41.4609375" customWidth="1"/>
    <col min="3" max="6" width="14.15234375" customWidth="1"/>
    <col min="7" max="7" width="14.15234375" style="89" customWidth="1"/>
    <col min="8" max="11" width="14.15234375" customWidth="1"/>
  </cols>
  <sheetData>
    <row r="1" spans="1:11" s="1321" customFormat="1" ht="56.9" customHeight="1"/>
    <row r="2" spans="1:11" ht="20">
      <c r="A2" s="707" t="s">
        <v>0</v>
      </c>
      <c r="B2" s="708"/>
      <c r="C2" s="708"/>
      <c r="D2" s="709"/>
      <c r="E2" s="710"/>
      <c r="F2" s="708"/>
      <c r="G2" s="711"/>
      <c r="H2" s="708"/>
      <c r="I2" s="708"/>
      <c r="J2" s="708"/>
      <c r="K2" s="708"/>
    </row>
    <row r="3" spans="1:11" ht="20">
      <c r="A3" s="707" t="str">
        <f>Licensee</f>
        <v>ESO</v>
      </c>
      <c r="B3" s="708"/>
      <c r="C3" s="708"/>
      <c r="D3" s="710"/>
      <c r="E3" s="710"/>
      <c r="F3" s="708"/>
      <c r="G3" s="711"/>
      <c r="H3" s="708"/>
      <c r="I3" s="708"/>
      <c r="J3" s="708"/>
      <c r="K3" s="708"/>
    </row>
    <row r="4" spans="1:11" ht="20">
      <c r="A4" s="707" t="s">
        <v>1</v>
      </c>
      <c r="B4" s="708"/>
      <c r="C4" s="708"/>
      <c r="D4" s="710"/>
      <c r="E4" s="710"/>
      <c r="F4" s="708"/>
      <c r="G4" s="711"/>
      <c r="H4" s="708"/>
      <c r="I4" s="708"/>
      <c r="J4" s="708"/>
      <c r="K4" s="708"/>
    </row>
    <row r="5" spans="1:11" ht="20">
      <c r="A5" s="928"/>
      <c r="B5" s="929"/>
      <c r="C5" s="929"/>
      <c r="D5" s="930"/>
      <c r="E5" s="930"/>
      <c r="F5" s="929"/>
      <c r="G5" s="931"/>
      <c r="H5" s="929"/>
      <c r="I5" s="929"/>
      <c r="J5" s="929"/>
      <c r="K5" s="929"/>
    </row>
    <row r="6" spans="1:11" ht="14">
      <c r="A6" s="17"/>
      <c r="B6" s="1021" t="s">
        <v>2</v>
      </c>
      <c r="C6" s="1022">
        <v>2022</v>
      </c>
      <c r="D6" s="17"/>
      <c r="E6" s="17"/>
      <c r="H6" s="4"/>
      <c r="I6" s="4"/>
      <c r="J6" s="4"/>
    </row>
    <row r="7" spans="1:11" ht="13.5" customHeight="1">
      <c r="A7" s="17"/>
      <c r="B7" s="1021" t="s">
        <v>3</v>
      </c>
      <c r="C7" s="1023" t="s">
        <v>4</v>
      </c>
      <c r="D7" s="137"/>
      <c r="E7" s="10"/>
      <c r="F7" s="1024"/>
      <c r="G7" s="432" t="s">
        <v>5</v>
      </c>
      <c r="H7" s="4"/>
      <c r="I7" s="4"/>
      <c r="J7" s="4"/>
    </row>
    <row r="8" spans="1:11" ht="13.5" customHeight="1">
      <c r="A8" s="17"/>
      <c r="B8" s="1021" t="s">
        <v>6</v>
      </c>
      <c r="C8" s="1025" t="str">
        <f>INDEX(Data!$A$55:$A$83,MATCH($C$7,Data!$B$55:$B$83,0),0)&amp;"2"</f>
        <v>ESO2</v>
      </c>
      <c r="D8" s="137"/>
      <c r="E8" s="10"/>
      <c r="F8" s="1026"/>
      <c r="G8" s="432" t="s">
        <v>7</v>
      </c>
      <c r="H8" s="4"/>
      <c r="I8" s="4"/>
      <c r="J8" s="4"/>
    </row>
    <row r="9" spans="1:11" ht="27">
      <c r="A9" s="17"/>
      <c r="B9" s="1027" t="s">
        <v>8</v>
      </c>
      <c r="C9" s="1028">
        <v>2022</v>
      </c>
      <c r="D9" s="137"/>
      <c r="E9" s="10"/>
      <c r="F9" s="1029"/>
      <c r="G9" s="433" t="s">
        <v>9</v>
      </c>
      <c r="H9" s="4"/>
      <c r="I9" s="4"/>
      <c r="J9" s="4"/>
    </row>
    <row r="10" spans="1:11" ht="14">
      <c r="A10" s="17"/>
      <c r="B10" s="1021" t="s">
        <v>10</v>
      </c>
      <c r="C10" s="1028"/>
      <c r="D10" s="10"/>
      <c r="E10" s="9"/>
      <c r="F10" s="1030"/>
      <c r="G10" s="432" t="s">
        <v>11</v>
      </c>
      <c r="H10" s="4"/>
      <c r="I10" s="4"/>
      <c r="J10" s="4"/>
    </row>
    <row r="11" spans="1:11" ht="14">
      <c r="A11" s="17"/>
      <c r="B11" s="1021" t="s">
        <v>12</v>
      </c>
      <c r="C11" s="1031">
        <v>44804</v>
      </c>
      <c r="D11" s="9"/>
      <c r="E11" s="9"/>
      <c r="F11" s="1032"/>
      <c r="G11" s="432" t="s">
        <v>13</v>
      </c>
      <c r="H11" s="4"/>
      <c r="I11" s="4"/>
      <c r="J11" s="4"/>
    </row>
    <row r="12" spans="1:11" ht="14">
      <c r="A12" s="17"/>
      <c r="D12" s="9"/>
      <c r="E12" s="9"/>
      <c r="F12" s="1033"/>
      <c r="G12" s="432" t="s">
        <v>14</v>
      </c>
      <c r="H12" s="4"/>
      <c r="I12" s="4"/>
      <c r="J12" s="4"/>
    </row>
    <row r="13" spans="1:11" ht="14">
      <c r="A13" s="17"/>
      <c r="D13" s="10"/>
      <c r="E13" s="10"/>
      <c r="F13" s="1034"/>
      <c r="G13" s="432" t="s">
        <v>15</v>
      </c>
      <c r="H13" s="4"/>
      <c r="I13" s="4"/>
      <c r="J13" s="4"/>
    </row>
    <row r="14" spans="1:11">
      <c r="A14" s="17"/>
      <c r="D14" s="9"/>
      <c r="E14" s="9"/>
      <c r="F14" s="9"/>
      <c r="G14" s="434"/>
    </row>
    <row r="15" spans="1:11">
      <c r="A15" s="17"/>
      <c r="D15" s="9"/>
      <c r="E15" s="9"/>
    </row>
    <row r="16" spans="1:11">
      <c r="A16" s="17"/>
      <c r="D16" s="9"/>
      <c r="E16" s="9"/>
    </row>
    <row r="17" spans="1:7">
      <c r="A17" s="17"/>
      <c r="B17" s="9"/>
      <c r="C17" s="9"/>
      <c r="D17" s="9"/>
      <c r="E17" s="9"/>
      <c r="F17" s="9"/>
      <c r="G17" s="434"/>
    </row>
    <row r="87" spans="1:1">
      <c r="A87" s="34"/>
    </row>
  </sheetData>
  <sheetProtection algorithmName="SHA-512" hashValue="8YBqsaKof5qj72tpoZzyMlMHiMhRgb0aQJcMX1sjLTZeXX53zFbqJ+k+j/gvb1qTpTDzGChpqXSWAJBCzUu6cw==" saltValue="GZBM9Nkk783ry3hjP5qecQ==" spinCount="100000" sheet="1" objects="1" scenarios="1"/>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550"/>
  <sheetViews>
    <sheetView showGridLines="0" topLeftCell="F1" zoomScale="85" zoomScaleNormal="85" zoomScaleSheetLayoutView="70" workbookViewId="0">
      <pane ySplit="9" topLeftCell="A10" activePane="bottomLeft" state="frozen"/>
      <selection activeCell="B9" sqref="B9"/>
      <selection pane="bottomLeft" activeCell="I14" sqref="I14"/>
    </sheetView>
  </sheetViews>
  <sheetFormatPr defaultColWidth="0" defaultRowHeight="13.5" outlineLevelRow="1" outlineLevelCol="1"/>
  <cols>
    <col min="1" max="1" width="9.3828125" style="152" customWidth="1"/>
    <col min="2" max="2" width="5.3828125" style="152" customWidth="1"/>
    <col min="3" max="3" width="13.15234375" style="152" customWidth="1"/>
    <col min="4" max="4" width="16.3828125" style="152" customWidth="1"/>
    <col min="5" max="5" width="17.15234375" style="152" customWidth="1"/>
    <col min="6" max="6" width="16.61328125" style="152" customWidth="1"/>
    <col min="7" max="7" width="16.4609375" style="152" customWidth="1"/>
    <col min="8" max="8" width="15.765625" style="152" customWidth="1"/>
    <col min="9" max="9" width="14.765625" style="152" customWidth="1"/>
    <col min="10" max="11" width="2.84375" style="152" customWidth="1"/>
    <col min="12" max="12" width="9.15234375" style="152" customWidth="1"/>
    <col min="13" max="20" width="10.84375" style="152" customWidth="1" outlineLevel="1"/>
    <col min="21" max="21" width="10.84375" style="152" customWidth="1"/>
    <col min="22" max="22" width="10.84375" style="152" customWidth="1" outlineLevel="1"/>
    <col min="23" max="23" width="5" style="152" customWidth="1"/>
    <col min="24" max="16373" width="0" style="152" hidden="1"/>
    <col min="16374" max="16384" width="9.15234375" style="152" hidden="1"/>
  </cols>
  <sheetData>
    <row r="1" spans="1:34" customFormat="1" ht="20">
      <c r="A1" s="1275" t="s">
        <v>181</v>
      </c>
      <c r="B1" s="839"/>
      <c r="C1" s="839"/>
      <c r="D1" s="840"/>
      <c r="E1" s="840"/>
      <c r="F1" s="840"/>
      <c r="G1" s="840"/>
      <c r="H1" s="850"/>
      <c r="I1" s="850"/>
      <c r="J1" s="841"/>
      <c r="K1" s="841"/>
      <c r="L1" s="841"/>
      <c r="M1" s="841"/>
      <c r="N1" s="841"/>
      <c r="O1" s="841"/>
      <c r="P1" s="841"/>
      <c r="Q1" s="841"/>
      <c r="R1" s="841"/>
      <c r="S1" s="841"/>
      <c r="T1" s="841"/>
      <c r="U1" s="841"/>
      <c r="V1" s="841"/>
      <c r="W1" s="1284"/>
    </row>
    <row r="2" spans="1:34" customFormat="1" ht="20">
      <c r="A2" s="712" t="str">
        <f>Licensee</f>
        <v>ESO</v>
      </c>
      <c r="B2" s="707"/>
      <c r="C2" s="707"/>
      <c r="D2" s="16"/>
      <c r="E2" s="16"/>
      <c r="F2" s="16"/>
      <c r="G2" s="16"/>
      <c r="H2" s="15"/>
      <c r="I2" s="15"/>
      <c r="J2" s="15"/>
      <c r="K2" s="15"/>
      <c r="L2" s="15"/>
      <c r="M2" s="15"/>
      <c r="N2" s="15"/>
      <c r="O2" s="15"/>
      <c r="P2" s="15"/>
      <c r="Q2" s="15"/>
      <c r="R2" s="15"/>
      <c r="S2" s="15"/>
      <c r="T2" s="15"/>
      <c r="U2" s="15"/>
      <c r="V2" s="15"/>
      <c r="W2" s="66"/>
    </row>
    <row r="3" spans="1:34" customFormat="1" ht="20">
      <c r="A3" s="707">
        <f>Reporting_Year</f>
        <v>2022</v>
      </c>
      <c r="B3" s="1067" t="str">
        <f>'R5 - Financing'!B3</f>
        <v/>
      </c>
      <c r="C3" s="1063"/>
      <c r="D3" s="1063"/>
      <c r="E3" s="1063"/>
      <c r="F3" s="1063"/>
      <c r="G3" s="1054"/>
      <c r="H3" s="1055"/>
      <c r="I3" s="1055"/>
      <c r="J3" s="1055"/>
      <c r="K3" s="1055"/>
      <c r="L3" s="1055"/>
      <c r="M3" s="1055"/>
      <c r="N3" s="1055"/>
      <c r="O3" s="1055"/>
      <c r="P3" s="1055"/>
      <c r="Q3" s="1055"/>
      <c r="R3" s="1055"/>
      <c r="S3" s="1055"/>
      <c r="T3" s="1055"/>
      <c r="U3" s="1055"/>
      <c r="V3" s="1055"/>
      <c r="W3" s="120"/>
    </row>
    <row r="4" spans="1:34" s="142" customFormat="1" ht="16">
      <c r="A4" s="140"/>
      <c r="B4" s="147" t="s">
        <v>445</v>
      </c>
      <c r="C4" s="904"/>
      <c r="D4" s="905"/>
      <c r="E4" s="906"/>
      <c r="F4" s="906"/>
      <c r="G4" s="906"/>
      <c r="H4" s="906"/>
      <c r="I4" s="906"/>
      <c r="J4" s="906"/>
      <c r="K4" s="906"/>
      <c r="L4" s="907"/>
      <c r="M4" s="907"/>
      <c r="N4" s="907"/>
      <c r="O4" s="907"/>
      <c r="P4" s="907"/>
      <c r="R4" s="144"/>
      <c r="T4" s="145"/>
      <c r="U4" s="145"/>
      <c r="V4" s="145"/>
    </row>
    <row r="5" spans="1:34" s="146" customFormat="1" ht="16">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row>
    <row r="6" spans="1:34" s="146" customFormat="1" ht="16">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row>
    <row r="7" spans="1:34" s="143" customFormat="1" ht="15">
      <c r="A7" s="140"/>
      <c r="B7" s="141" t="s">
        <v>252</v>
      </c>
      <c r="C7" s="142"/>
      <c r="D7" s="140"/>
      <c r="M7" s="1372" t="s">
        <v>446</v>
      </c>
      <c r="N7" s="1373"/>
      <c r="O7" s="1373"/>
      <c r="P7" s="1373"/>
      <c r="Q7" s="1374"/>
      <c r="R7" s="1375" t="s">
        <v>447</v>
      </c>
      <c r="S7" s="1376"/>
      <c r="T7" s="1376"/>
      <c r="U7" s="1376"/>
      <c r="V7" s="1377"/>
    </row>
    <row r="8" spans="1:34" s="142" customFormat="1" ht="15">
      <c r="B8" s="150"/>
      <c r="C8" s="151"/>
      <c r="D8" s="152"/>
      <c r="E8" s="152"/>
      <c r="F8" s="152"/>
      <c r="G8" s="152"/>
      <c r="H8" s="152"/>
      <c r="I8" s="152"/>
      <c r="J8" s="152"/>
      <c r="K8" s="152"/>
      <c r="L8" s="152"/>
      <c r="M8" s="874" t="str">
        <f>IF(M9&lt;='RFPR cover'!$C$9,"Actuals","Forecast")</f>
        <v>Actuals</v>
      </c>
      <c r="N8" s="1071" t="str">
        <f>IF(N9&lt;='RFPR cover'!$C$9,"Actuals","Forecast")</f>
        <v>Forecast</v>
      </c>
      <c r="O8" s="1071" t="str">
        <f>IF(O9&lt;='RFPR cover'!$C$9,"Actuals","Forecast")</f>
        <v>Forecast</v>
      </c>
      <c r="P8" s="1071" t="str">
        <f>IF(P9&lt;='RFPR cover'!$C$9,"Actuals","Forecast")</f>
        <v>Forecast</v>
      </c>
      <c r="Q8" s="1071" t="str">
        <f>IF(Q9&lt;='RFPR cover'!$C$9,"Actuals","Forecast")</f>
        <v>Forecast</v>
      </c>
      <c r="R8" s="1071" t="str">
        <f>IF(R9&lt;='RFPR cover'!$C$9,"Actuals","Forecast")</f>
        <v>Forecast</v>
      </c>
      <c r="S8" s="1071" t="str">
        <f>IF(S9&lt;='RFPR cover'!$C$9,"Actuals","Forecast")</f>
        <v>Forecast</v>
      </c>
      <c r="T8" s="1071" t="str">
        <f>IF(T9&lt;='RFPR cover'!$C$9,"Actuals","Forecast")</f>
        <v>Forecast</v>
      </c>
      <c r="U8" s="392" t="str">
        <f>IF(U9&lt;='RFPR cover'!$C$9,"Actuals","Forecast")</f>
        <v>Forecast</v>
      </c>
      <c r="V8" s="875" t="str">
        <f>IF(V9&lt;='RFPR cover'!$C$9,"Actuals","Forecast")</f>
        <v>Forecast</v>
      </c>
    </row>
    <row r="9" spans="1:34" s="142" customFormat="1" ht="15">
      <c r="A9" s="152"/>
      <c r="B9" s="152"/>
      <c r="C9" s="151"/>
      <c r="D9" s="152"/>
      <c r="E9" s="152"/>
      <c r="F9" s="152"/>
      <c r="G9" s="152"/>
      <c r="H9" s="152"/>
      <c r="I9" s="152"/>
      <c r="J9" s="152"/>
      <c r="K9" s="152"/>
      <c r="L9" s="276" t="s">
        <v>448</v>
      </c>
      <c r="M9" s="256">
        <f>'RFPR cover'!$C$6</f>
        <v>2022</v>
      </c>
      <c r="N9" s="257">
        <f>M9+1</f>
        <v>2023</v>
      </c>
      <c r="O9" s="257">
        <f t="shared" ref="O9:T9" si="0">N9+1</f>
        <v>2024</v>
      </c>
      <c r="P9" s="257">
        <f t="shared" si="0"/>
        <v>2025</v>
      </c>
      <c r="Q9" s="257">
        <f t="shared" si="0"/>
        <v>2026</v>
      </c>
      <c r="R9" s="257">
        <f t="shared" si="0"/>
        <v>2027</v>
      </c>
      <c r="S9" s="257">
        <f t="shared" si="0"/>
        <v>2028</v>
      </c>
      <c r="T9" s="306">
        <f t="shared" si="0"/>
        <v>2029</v>
      </c>
      <c r="U9" s="307">
        <f>T9+1</f>
        <v>2030</v>
      </c>
      <c r="V9" s="257">
        <f>U9+1</f>
        <v>2031</v>
      </c>
    </row>
    <row r="10" spans="1:34">
      <c r="O10" s="153"/>
      <c r="P10" s="153"/>
      <c r="Q10" s="153"/>
      <c r="R10" s="153"/>
      <c r="S10" s="153"/>
      <c r="T10" s="153"/>
      <c r="U10" s="851"/>
      <c r="V10" s="153"/>
    </row>
    <row r="11" spans="1:34" ht="14">
      <c r="B11" s="259" t="s">
        <v>449</v>
      </c>
      <c r="C11" s="260" t="s">
        <v>450</v>
      </c>
      <c r="D11" s="261"/>
      <c r="E11" s="261"/>
      <c r="F11" s="261"/>
      <c r="G11" s="261"/>
      <c r="H11" s="261"/>
      <c r="I11" s="261"/>
      <c r="J11" s="261"/>
      <c r="K11" s="261"/>
      <c r="L11" s="261"/>
      <c r="M11" s="261"/>
      <c r="N11" s="261"/>
      <c r="O11" s="261"/>
      <c r="P11" s="261"/>
      <c r="Q11" s="261"/>
      <c r="R11" s="261"/>
      <c r="S11" s="261"/>
      <c r="T11" s="261"/>
      <c r="U11" s="285"/>
      <c r="V11" s="261"/>
    </row>
    <row r="12" spans="1:34" ht="14">
      <c r="B12" s="264"/>
      <c r="C12" s="265"/>
      <c r="D12" s="266"/>
      <c r="E12" s="266"/>
      <c r="F12" s="266"/>
      <c r="G12" s="266"/>
      <c r="H12" s="266"/>
      <c r="I12" s="266"/>
      <c r="J12" s="266"/>
      <c r="K12" s="266"/>
      <c r="L12" s="266"/>
      <c r="M12" s="266"/>
      <c r="N12" s="266"/>
      <c r="O12" s="266"/>
      <c r="P12" s="266"/>
      <c r="Q12" s="266"/>
      <c r="R12" s="266"/>
      <c r="S12" s="266"/>
      <c r="T12" s="266"/>
      <c r="U12" s="286"/>
      <c r="V12" s="266"/>
    </row>
    <row r="13" spans="1:34" ht="17.5" outlineLevel="1">
      <c r="B13" s="154"/>
      <c r="C13" s="267" t="s">
        <v>451</v>
      </c>
      <c r="D13" s="268"/>
      <c r="E13" s="268"/>
      <c r="F13" s="268"/>
      <c r="G13" s="268"/>
      <c r="H13" s="268"/>
      <c r="I13" s="268"/>
      <c r="J13" s="268"/>
      <c r="K13" s="268"/>
      <c r="L13" s="268"/>
      <c r="M13" s="268"/>
      <c r="N13" s="268"/>
      <c r="O13" s="268"/>
      <c r="P13" s="268"/>
      <c r="Q13" s="268"/>
      <c r="R13" s="268"/>
      <c r="S13" s="268"/>
      <c r="T13" s="268"/>
      <c r="U13" s="287"/>
      <c r="V13" s="268"/>
    </row>
    <row r="14" spans="1:34" ht="17.5" outlineLevel="1">
      <c r="B14" s="154"/>
      <c r="C14" s="155"/>
      <c r="U14" s="288"/>
    </row>
    <row r="15" spans="1:34" ht="17.5" outlineLevel="1">
      <c r="D15" s="270" t="s">
        <v>452</v>
      </c>
      <c r="E15" s="271"/>
      <c r="F15" s="271"/>
      <c r="G15" s="271"/>
      <c r="H15" s="271"/>
      <c r="I15" s="271"/>
      <c r="J15" s="271"/>
      <c r="K15" s="271"/>
      <c r="L15" s="271"/>
      <c r="M15" s="271"/>
      <c r="N15" s="271"/>
      <c r="O15" s="271"/>
      <c r="P15" s="271"/>
      <c r="Q15" s="271"/>
      <c r="R15" s="271"/>
      <c r="S15" s="271"/>
      <c r="T15" s="271"/>
      <c r="U15" s="289"/>
      <c r="V15" s="271"/>
    </row>
    <row r="16" spans="1:34" ht="17.5" outlineLevel="1">
      <c r="D16" s="155"/>
      <c r="U16" s="288"/>
    </row>
    <row r="17" spans="2:29" ht="40.5" outlineLevel="1">
      <c r="B17" s="1286" t="s">
        <v>453</v>
      </c>
      <c r="C17" s="852" t="str">
        <f>'R6a - Net Debt input'!D23</f>
        <v>Issue date</v>
      </c>
      <c r="D17" s="853" t="str">
        <f>'R6a - Net Debt input'!E23</f>
        <v>Maturity date</v>
      </c>
      <c r="E17" s="853" t="str">
        <f>'R6a - Net Debt input'!F23</f>
        <v>Description</v>
      </c>
      <c r="F17" s="853" t="str">
        <f>'R6a - Net Debt input'!G23</f>
        <v>Bond type</v>
      </c>
      <c r="G17" s="853" t="str">
        <f>'R6a - Net Debt input'!H23</f>
        <v>Payment rank</v>
      </c>
      <c r="H17" s="854" t="str">
        <f>'R6a - Net Debt input'!I23</f>
        <v>Reference rate</v>
      </c>
      <c r="I17" s="855" t="str">
        <f>'R6a - Net Debt input'!J23</f>
        <v>Coupon rate / margin spread on reference rate</v>
      </c>
      <c r="U17" s="288"/>
    </row>
    <row r="18" spans="2:29" outlineLevel="1">
      <c r="B18" s="611"/>
      <c r="C18" s="248" t="str">
        <f>IF('R6a - Net Debt input'!D24 = "","",'R6a - Net Debt input'!D24)</f>
        <v>dd/mm/yyyy</v>
      </c>
      <c r="D18" s="249" t="str">
        <f>IF('R6a - Net Debt input'!E24 = "","",'R6a - Net Debt input'!E24)</f>
        <v>dd/mm/yyyy</v>
      </c>
      <c r="E18" s="249" t="str">
        <f>IF('R6a - Net Debt input'!F24 = "","",'R6a - Net Debt input'!F24)</f>
        <v/>
      </c>
      <c r="F18" s="249" t="str">
        <f>IF('R6a - Net Debt input'!G24 = "","",'R6a - Net Debt input'!G24)</f>
        <v/>
      </c>
      <c r="G18" s="249" t="str">
        <f>IF('R6a - Net Debt input'!H24 = "","",'R6a - Net Debt input'!H24)</f>
        <v/>
      </c>
      <c r="H18" s="249" t="str">
        <f>IF('R6a - Net Debt input'!I24 = "","",'R6a - Net Debt input'!I24)</f>
        <v/>
      </c>
      <c r="I18" s="253" t="str">
        <f>IF('R6a - Net Debt input'!J24 = "","",'R6a - Net Debt input'!J24)</f>
        <v>%</v>
      </c>
      <c r="M18" s="856" t="s">
        <v>454</v>
      </c>
      <c r="N18" s="857" t="s">
        <v>454</v>
      </c>
      <c r="O18" s="857" t="s">
        <v>454</v>
      </c>
      <c r="P18" s="857" t="s">
        <v>454</v>
      </c>
      <c r="Q18" s="857" t="s">
        <v>454</v>
      </c>
      <c r="R18" s="857" t="s">
        <v>454</v>
      </c>
      <c r="S18" s="857" t="s">
        <v>454</v>
      </c>
      <c r="T18" s="858" t="s">
        <v>454</v>
      </c>
      <c r="U18" s="859" t="s">
        <v>454</v>
      </c>
      <c r="V18" s="857" t="s">
        <v>454</v>
      </c>
    </row>
    <row r="19" spans="2:29" outlineLevel="1">
      <c r="B19" s="241" t="s">
        <v>455</v>
      </c>
      <c r="C19" s="204" t="str">
        <f>IF('R6a - Net Debt input'!D25 = "","",'R6a - Net Debt input'!D25)</f>
        <v/>
      </c>
      <c r="D19" s="204" t="str">
        <f>IF('R6a - Net Debt input'!E25 = "","",'R6a - Net Debt input'!E25)</f>
        <v/>
      </c>
      <c r="E19" s="205" t="str">
        <f>IF('R6a - Net Debt input'!F25 = "","",'R6a - Net Debt input'!F25)</f>
        <v/>
      </c>
      <c r="F19" s="206" t="str">
        <f>IF('R6a - Net Debt input'!G25 = "","",'R6a - Net Debt input'!G25)</f>
        <v/>
      </c>
      <c r="G19" s="579" t="str">
        <f>IF('R6a - Net Debt input'!H25 = "","",'R6a - Net Debt input'!H25)</f>
        <v/>
      </c>
      <c r="H19" s="206" t="str">
        <f>IF('R6a - Net Debt input'!I25 = "","",'R6a - Net Debt input'!I25)</f>
        <v/>
      </c>
      <c r="I19" s="377" t="str">
        <f>IF('R6a - Net Debt input'!J25 = "","",'R6a - Net Debt input'!J25)</f>
        <v/>
      </c>
      <c r="J19" s="201"/>
      <c r="K19" s="202"/>
      <c r="L19" s="203"/>
      <c r="M19" s="487"/>
      <c r="N19" s="487"/>
      <c r="O19" s="487"/>
      <c r="P19" s="487"/>
      <c r="Q19" s="487"/>
      <c r="R19" s="487"/>
      <c r="S19" s="487"/>
      <c r="T19" s="487"/>
      <c r="U19" s="487"/>
      <c r="V19" s="487"/>
    </row>
    <row r="20" spans="2:29" outlineLevel="1">
      <c r="B20" s="242" t="s">
        <v>456</v>
      </c>
      <c r="C20" s="207" t="str">
        <f>IF('R6a - Net Debt input'!D26 = "","",'R6a - Net Debt input'!D26)</f>
        <v/>
      </c>
      <c r="D20" s="207" t="str">
        <f>IF('R6a - Net Debt input'!E26 = "","",'R6a - Net Debt input'!E26)</f>
        <v/>
      </c>
      <c r="E20" s="208" t="str">
        <f>IF('R6a - Net Debt input'!F26 = "","",'R6a - Net Debt input'!F26)</f>
        <v/>
      </c>
      <c r="F20" s="209" t="str">
        <f>IF('R6a - Net Debt input'!G26 = "","",'R6a - Net Debt input'!G26)</f>
        <v/>
      </c>
      <c r="G20" s="580" t="str">
        <f>IF('R6a - Net Debt input'!H26 = "","",'R6a - Net Debt input'!H26)</f>
        <v/>
      </c>
      <c r="H20" s="209" t="str">
        <f>IF('R6a - Net Debt input'!I26 = "","",'R6a - Net Debt input'!I26)</f>
        <v/>
      </c>
      <c r="I20" s="378" t="str">
        <f>IF('R6a - Net Debt input'!J26 = "","",'R6a - Net Debt input'!J26)</f>
        <v/>
      </c>
      <c r="J20" s="201"/>
      <c r="K20" s="202"/>
      <c r="L20" s="203"/>
      <c r="M20" s="487"/>
      <c r="N20" s="487"/>
      <c r="O20" s="487"/>
      <c r="P20" s="487"/>
      <c r="Q20" s="487"/>
      <c r="R20" s="487"/>
      <c r="S20" s="487"/>
      <c r="T20" s="487"/>
      <c r="U20" s="487"/>
      <c r="V20" s="487"/>
    </row>
    <row r="21" spans="2:29" outlineLevel="1">
      <c r="B21" s="242" t="s">
        <v>457</v>
      </c>
      <c r="C21" s="207" t="str">
        <f>IF('R6a - Net Debt input'!D27 = "","",'R6a - Net Debt input'!D27)</f>
        <v/>
      </c>
      <c r="D21" s="207" t="str">
        <f>IF('R6a - Net Debt input'!E27 = "","",'R6a - Net Debt input'!E27)</f>
        <v/>
      </c>
      <c r="E21" s="208" t="str">
        <f>IF('R6a - Net Debt input'!F27 = "","",'R6a - Net Debt input'!F27)</f>
        <v/>
      </c>
      <c r="F21" s="209" t="str">
        <f>IF('R6a - Net Debt input'!G27 = "","",'R6a - Net Debt input'!G27)</f>
        <v/>
      </c>
      <c r="G21" s="580" t="str">
        <f>IF('R6a - Net Debt input'!H27 = "","",'R6a - Net Debt input'!H27)</f>
        <v/>
      </c>
      <c r="H21" s="209" t="str">
        <f>IF('R6a - Net Debt input'!I27 = "","",'R6a - Net Debt input'!I27)</f>
        <v/>
      </c>
      <c r="I21" s="378" t="str">
        <f>IF('R6a - Net Debt input'!J27 = "","",'R6a - Net Debt input'!J27)</f>
        <v/>
      </c>
      <c r="J21" s="201"/>
      <c r="K21" s="202"/>
      <c r="L21" s="203"/>
      <c r="M21" s="487"/>
      <c r="N21" s="487"/>
      <c r="O21" s="487"/>
      <c r="P21" s="487"/>
      <c r="Q21" s="487"/>
      <c r="R21" s="487"/>
      <c r="S21" s="487"/>
      <c r="T21" s="487"/>
      <c r="U21" s="487"/>
      <c r="V21" s="487"/>
    </row>
    <row r="22" spans="2:29" outlineLevel="1">
      <c r="B22" s="242" t="s">
        <v>458</v>
      </c>
      <c r="C22" s="207" t="str">
        <f>IF('R6a - Net Debt input'!D28 = "","",'R6a - Net Debt input'!D28)</f>
        <v/>
      </c>
      <c r="D22" s="207" t="str">
        <f>IF('R6a - Net Debt input'!E28 = "","",'R6a - Net Debt input'!E28)</f>
        <v/>
      </c>
      <c r="E22" s="208" t="str">
        <f>IF('R6a - Net Debt input'!F28 = "","",'R6a - Net Debt input'!F28)</f>
        <v/>
      </c>
      <c r="F22" s="209" t="str">
        <f>IF('R6a - Net Debt input'!G28 = "","",'R6a - Net Debt input'!G28)</f>
        <v/>
      </c>
      <c r="G22" s="580" t="str">
        <f>IF('R6a - Net Debt input'!H28 = "","",'R6a - Net Debt input'!H28)</f>
        <v/>
      </c>
      <c r="H22" s="209" t="str">
        <f>IF('R6a - Net Debt input'!I28 = "","",'R6a - Net Debt input'!I28)</f>
        <v/>
      </c>
      <c r="I22" s="378" t="str">
        <f>IF('R6a - Net Debt input'!J28 = "","",'R6a - Net Debt input'!J28)</f>
        <v/>
      </c>
      <c r="J22" s="201"/>
      <c r="K22" s="202"/>
      <c r="L22" s="203"/>
      <c r="M22" s="487"/>
      <c r="N22" s="487"/>
      <c r="O22" s="487"/>
      <c r="P22" s="487"/>
      <c r="Q22" s="487"/>
      <c r="R22" s="487"/>
      <c r="S22" s="487"/>
      <c r="T22" s="487"/>
      <c r="U22" s="487"/>
      <c r="V22" s="487"/>
    </row>
    <row r="23" spans="2:29" outlineLevel="1">
      <c r="B23" s="242" t="s">
        <v>459</v>
      </c>
      <c r="C23" s="207" t="str">
        <f>IF('R6a - Net Debt input'!D29 = "","",'R6a - Net Debt input'!D29)</f>
        <v/>
      </c>
      <c r="D23" s="207" t="str">
        <f>IF('R6a - Net Debt input'!E29 = "","",'R6a - Net Debt input'!E29)</f>
        <v/>
      </c>
      <c r="E23" s="208" t="str">
        <f>IF('R6a - Net Debt input'!F29 = "","",'R6a - Net Debt input'!F29)</f>
        <v/>
      </c>
      <c r="F23" s="209" t="str">
        <f>IF('R6a - Net Debt input'!G29 = "","",'R6a - Net Debt input'!G29)</f>
        <v/>
      </c>
      <c r="G23" s="580" t="str">
        <f>IF('R6a - Net Debt input'!H29 = "","",'R6a - Net Debt input'!H29)</f>
        <v/>
      </c>
      <c r="H23" s="209" t="str">
        <f>IF('R6a - Net Debt input'!I29 = "","",'R6a - Net Debt input'!I29)</f>
        <v/>
      </c>
      <c r="I23" s="378" t="str">
        <f>IF('R6a - Net Debt input'!J29 = "","",'R6a - Net Debt input'!J29)</f>
        <v/>
      </c>
      <c r="J23" s="201"/>
      <c r="K23" s="202"/>
      <c r="L23" s="203"/>
      <c r="M23" s="487"/>
      <c r="N23" s="487"/>
      <c r="O23" s="487"/>
      <c r="P23" s="487"/>
      <c r="Q23" s="487"/>
      <c r="R23" s="487"/>
      <c r="S23" s="487"/>
      <c r="T23" s="487"/>
      <c r="U23" s="487"/>
      <c r="V23" s="487"/>
    </row>
    <row r="24" spans="2:29" outlineLevel="1">
      <c r="B24" s="242" t="s">
        <v>460</v>
      </c>
      <c r="C24" s="207" t="str">
        <f>IF('R6a - Net Debt input'!D30 = "","",'R6a - Net Debt input'!D30)</f>
        <v/>
      </c>
      <c r="D24" s="207" t="str">
        <f>IF('R6a - Net Debt input'!E30 = "","",'R6a - Net Debt input'!E30)</f>
        <v/>
      </c>
      <c r="E24" s="208" t="str">
        <f>IF('R6a - Net Debt input'!F30 = "","",'R6a - Net Debt input'!F30)</f>
        <v/>
      </c>
      <c r="F24" s="209" t="str">
        <f>IF('R6a - Net Debt input'!G30 = "","",'R6a - Net Debt input'!G30)</f>
        <v/>
      </c>
      <c r="G24" s="580" t="str">
        <f>IF('R6a - Net Debt input'!H30 = "","",'R6a - Net Debt input'!H30)</f>
        <v/>
      </c>
      <c r="H24" s="209" t="str">
        <f>IF('R6a - Net Debt input'!I30 = "","",'R6a - Net Debt input'!I30)</f>
        <v/>
      </c>
      <c r="I24" s="378" t="str">
        <f>IF('R6a - Net Debt input'!J30 = "","",'R6a - Net Debt input'!J30)</f>
        <v/>
      </c>
      <c r="J24" s="201"/>
      <c r="K24" s="202"/>
      <c r="L24" s="203"/>
      <c r="M24" s="487"/>
      <c r="N24" s="487"/>
      <c r="O24" s="487"/>
      <c r="P24" s="487"/>
      <c r="Q24" s="487"/>
      <c r="R24" s="487"/>
      <c r="S24" s="487"/>
      <c r="T24" s="487"/>
      <c r="U24" s="487"/>
      <c r="V24" s="487"/>
    </row>
    <row r="25" spans="2:29" outlineLevel="1">
      <c r="B25" s="242" t="s">
        <v>461</v>
      </c>
      <c r="C25" s="207" t="str">
        <f>IF('R6a - Net Debt input'!D31 = "","",'R6a - Net Debt input'!D31)</f>
        <v/>
      </c>
      <c r="D25" s="207" t="str">
        <f>IF('R6a - Net Debt input'!E31 = "","",'R6a - Net Debt input'!E31)</f>
        <v/>
      </c>
      <c r="E25" s="208" t="str">
        <f>IF('R6a - Net Debt input'!F31 = "","",'R6a - Net Debt input'!F31)</f>
        <v/>
      </c>
      <c r="F25" s="209" t="str">
        <f>IF('R6a - Net Debt input'!G31 = "","",'R6a - Net Debt input'!G31)</f>
        <v/>
      </c>
      <c r="G25" s="580" t="str">
        <f>IF('R6a - Net Debt input'!H31 = "","",'R6a - Net Debt input'!H31)</f>
        <v/>
      </c>
      <c r="H25" s="209" t="str">
        <f>IF('R6a - Net Debt input'!I31 = "","",'R6a - Net Debt input'!I31)</f>
        <v/>
      </c>
      <c r="I25" s="378" t="str">
        <f>IF('R6a - Net Debt input'!J31 = "","",'R6a - Net Debt input'!J31)</f>
        <v/>
      </c>
      <c r="J25" s="201"/>
      <c r="K25" s="202"/>
      <c r="L25" s="203"/>
      <c r="M25" s="487"/>
      <c r="N25" s="487"/>
      <c r="O25" s="487"/>
      <c r="P25" s="487"/>
      <c r="Q25" s="487"/>
      <c r="R25" s="487"/>
      <c r="S25" s="487"/>
      <c r="T25" s="487"/>
      <c r="U25" s="487"/>
      <c r="V25" s="487"/>
    </row>
    <row r="26" spans="2:29" outlineLevel="1">
      <c r="B26" s="242" t="s">
        <v>462</v>
      </c>
      <c r="C26" s="207" t="str">
        <f>IF('R6a - Net Debt input'!D32 = "","",'R6a - Net Debt input'!D32)</f>
        <v/>
      </c>
      <c r="D26" s="207" t="str">
        <f>IF('R6a - Net Debt input'!E32 = "","",'R6a - Net Debt input'!E32)</f>
        <v/>
      </c>
      <c r="E26" s="208" t="str">
        <f>IF('R6a - Net Debt input'!F32 = "","",'R6a - Net Debt input'!F32)</f>
        <v/>
      </c>
      <c r="F26" s="209" t="str">
        <f>IF('R6a - Net Debt input'!G32 = "","",'R6a - Net Debt input'!G32)</f>
        <v/>
      </c>
      <c r="G26" s="580" t="str">
        <f>IF('R6a - Net Debt input'!H32 = "","",'R6a - Net Debt input'!H32)</f>
        <v/>
      </c>
      <c r="H26" s="209" t="str">
        <f>IF('R6a - Net Debt input'!I32 = "","",'R6a - Net Debt input'!I32)</f>
        <v/>
      </c>
      <c r="I26" s="378" t="str">
        <f>IF('R6a - Net Debt input'!J32 = "","",'R6a - Net Debt input'!J32)</f>
        <v/>
      </c>
      <c r="J26" s="201"/>
      <c r="K26" s="202"/>
      <c r="L26" s="203"/>
      <c r="M26" s="487"/>
      <c r="N26" s="487"/>
      <c r="O26" s="487"/>
      <c r="P26" s="487"/>
      <c r="Q26" s="487"/>
      <c r="R26" s="487"/>
      <c r="S26" s="487"/>
      <c r="T26" s="487"/>
      <c r="U26" s="487"/>
      <c r="V26" s="487"/>
    </row>
    <row r="27" spans="2:29" outlineLevel="1">
      <c r="B27" s="243" t="s">
        <v>463</v>
      </c>
      <c r="C27" s="210" t="str">
        <f>IF('R6a - Net Debt input'!D33 = "","",'R6a - Net Debt input'!D33)</f>
        <v/>
      </c>
      <c r="D27" s="210" t="str">
        <f>IF('R6a - Net Debt input'!E33 = "","",'R6a - Net Debt input'!E33)</f>
        <v/>
      </c>
      <c r="E27" s="211" t="str">
        <f>IF('R6a - Net Debt input'!F33 = "","",'R6a - Net Debt input'!F33)</f>
        <v/>
      </c>
      <c r="F27" s="212" t="str">
        <f>IF('R6a - Net Debt input'!G33 = "","",'R6a - Net Debt input'!G33)</f>
        <v/>
      </c>
      <c r="G27" s="581" t="str">
        <f>IF('R6a - Net Debt input'!H33 = "","",'R6a - Net Debt input'!H33)</f>
        <v/>
      </c>
      <c r="H27" s="212" t="str">
        <f>IF('R6a - Net Debt input'!I33 = "","",'R6a - Net Debt input'!I33)</f>
        <v/>
      </c>
      <c r="I27" s="379" t="str">
        <f>IF('R6a - Net Debt input'!J33 = "","",'R6a - Net Debt input'!J33)</f>
        <v/>
      </c>
      <c r="J27" s="201"/>
      <c r="K27" s="202"/>
      <c r="L27" s="203"/>
      <c r="M27" s="487"/>
      <c r="N27" s="487"/>
      <c r="O27" s="487"/>
      <c r="P27" s="487"/>
      <c r="Q27" s="487"/>
      <c r="R27" s="487"/>
      <c r="S27" s="487"/>
      <c r="T27" s="487"/>
      <c r="U27" s="487"/>
      <c r="V27" s="487"/>
    </row>
    <row r="28" spans="2:29" outlineLevel="1">
      <c r="C28" s="151"/>
      <c r="E28" s="151"/>
      <c r="F28" s="151"/>
      <c r="L28" s="1072" t="s">
        <v>339</v>
      </c>
      <c r="M28" s="499">
        <f t="shared" ref="M28:V28" si="1">SUM(M19:M27)</f>
        <v>0</v>
      </c>
      <c r="N28" s="500">
        <f t="shared" si="1"/>
        <v>0</v>
      </c>
      <c r="O28" s="500">
        <f t="shared" si="1"/>
        <v>0</v>
      </c>
      <c r="P28" s="500">
        <f t="shared" si="1"/>
        <v>0</v>
      </c>
      <c r="Q28" s="500">
        <f t="shared" si="1"/>
        <v>0</v>
      </c>
      <c r="R28" s="500">
        <f t="shared" si="1"/>
        <v>0</v>
      </c>
      <c r="S28" s="500">
        <f t="shared" si="1"/>
        <v>0</v>
      </c>
      <c r="T28" s="501">
        <f t="shared" si="1"/>
        <v>0</v>
      </c>
      <c r="U28" s="502">
        <f t="shared" si="1"/>
        <v>0</v>
      </c>
      <c r="V28" s="500">
        <f t="shared" si="1"/>
        <v>0</v>
      </c>
    </row>
    <row r="29" spans="2:29" outlineLevel="1">
      <c r="C29" s="151"/>
      <c r="E29" s="156"/>
      <c r="F29" s="156"/>
      <c r="L29" s="308"/>
      <c r="M29" s="156"/>
      <c r="N29" s="156"/>
      <c r="O29" s="156"/>
      <c r="P29" s="156"/>
      <c r="Q29" s="156"/>
      <c r="R29" s="156"/>
      <c r="S29" s="156"/>
      <c r="T29" s="156"/>
      <c r="U29" s="290"/>
      <c r="V29" s="156"/>
      <c r="W29" s="156"/>
      <c r="X29" s="156"/>
      <c r="Y29" s="156"/>
      <c r="Z29" s="156"/>
      <c r="AA29" s="156"/>
      <c r="AB29" s="156"/>
      <c r="AC29" s="156"/>
    </row>
    <row r="30" spans="2:29" ht="17.5" outlineLevel="1">
      <c r="D30" s="270" t="s">
        <v>464</v>
      </c>
      <c r="E30" s="271"/>
      <c r="F30" s="271"/>
      <c r="G30" s="271"/>
      <c r="H30" s="271"/>
      <c r="I30" s="271"/>
      <c r="J30" s="271"/>
      <c r="K30" s="271"/>
      <c r="L30" s="309"/>
      <c r="M30" s="271"/>
      <c r="N30" s="271"/>
      <c r="O30" s="271"/>
      <c r="P30" s="271"/>
      <c r="Q30" s="271"/>
      <c r="R30" s="271"/>
      <c r="S30" s="271"/>
      <c r="T30" s="271"/>
      <c r="U30" s="289"/>
      <c r="V30" s="271"/>
    </row>
    <row r="31" spans="2:29" ht="17.5" outlineLevel="1">
      <c r="D31" s="155"/>
      <c r="L31" s="167"/>
      <c r="U31" s="288"/>
    </row>
    <row r="32" spans="2:29" ht="40.5" outlineLevel="1">
      <c r="B32" s="1286" t="s">
        <v>465</v>
      </c>
      <c r="C32" s="852" t="str">
        <f t="shared" ref="C32:I42" si="2">C17</f>
        <v>Issue date</v>
      </c>
      <c r="D32" s="853" t="str">
        <f t="shared" si="2"/>
        <v>Maturity date</v>
      </c>
      <c r="E32" s="853" t="str">
        <f t="shared" si="2"/>
        <v>Description</v>
      </c>
      <c r="F32" s="853" t="str">
        <f t="shared" si="2"/>
        <v>Bond type</v>
      </c>
      <c r="G32" s="853" t="str">
        <f t="shared" si="2"/>
        <v>Payment rank</v>
      </c>
      <c r="H32" s="854" t="str">
        <f t="shared" si="2"/>
        <v>Reference rate</v>
      </c>
      <c r="I32" s="855" t="str">
        <f t="shared" si="2"/>
        <v>Coupon rate / margin spread on reference rate</v>
      </c>
      <c r="L32" s="167"/>
      <c r="U32" s="288"/>
    </row>
    <row r="33" spans="2:22" outlineLevel="1">
      <c r="B33" s="1073"/>
      <c r="C33" s="251" t="str">
        <f t="shared" si="2"/>
        <v>dd/mm/yyyy</v>
      </c>
      <c r="D33" s="269" t="str">
        <f t="shared" si="2"/>
        <v>dd/mm/yyyy</v>
      </c>
      <c r="E33" s="252" t="str">
        <f t="shared" si="2"/>
        <v/>
      </c>
      <c r="F33" s="252" t="str">
        <f t="shared" si="2"/>
        <v/>
      </c>
      <c r="G33" s="252" t="str">
        <f t="shared" si="2"/>
        <v/>
      </c>
      <c r="H33" s="252" t="str">
        <f t="shared" si="2"/>
        <v/>
      </c>
      <c r="I33" s="253" t="str">
        <f t="shared" si="2"/>
        <v>%</v>
      </c>
      <c r="L33" s="167"/>
      <c r="M33" s="191" t="s">
        <v>454</v>
      </c>
      <c r="N33" s="192" t="s">
        <v>454</v>
      </c>
      <c r="O33" s="192" t="s">
        <v>454</v>
      </c>
      <c r="P33" s="192" t="s">
        <v>454</v>
      </c>
      <c r="Q33" s="192" t="s">
        <v>454</v>
      </c>
      <c r="R33" s="192" t="s">
        <v>454</v>
      </c>
      <c r="S33" s="192" t="s">
        <v>454</v>
      </c>
      <c r="T33" s="280" t="s">
        <v>454</v>
      </c>
      <c r="U33" s="291" t="s">
        <v>454</v>
      </c>
      <c r="V33" s="192" t="s">
        <v>454</v>
      </c>
    </row>
    <row r="34" spans="2:22" outlineLevel="1">
      <c r="B34" s="241" t="s">
        <v>455</v>
      </c>
      <c r="C34" s="659" t="str">
        <f t="shared" si="2"/>
        <v/>
      </c>
      <c r="D34" s="659" t="str">
        <f t="shared" si="2"/>
        <v/>
      </c>
      <c r="E34" s="660" t="str">
        <f t="shared" si="2"/>
        <v/>
      </c>
      <c r="F34" s="661" t="str">
        <f t="shared" si="2"/>
        <v/>
      </c>
      <c r="G34" s="662" t="str">
        <f t="shared" si="2"/>
        <v/>
      </c>
      <c r="H34" s="661" t="str">
        <f t="shared" si="2"/>
        <v/>
      </c>
      <c r="I34" s="663" t="str">
        <f t="shared" si="2"/>
        <v/>
      </c>
      <c r="J34" s="201"/>
      <c r="K34" s="202"/>
      <c r="L34" s="203"/>
      <c r="M34" s="487"/>
      <c r="N34" s="487"/>
      <c r="O34" s="487"/>
      <c r="P34" s="487"/>
      <c r="Q34" s="487"/>
      <c r="R34" s="487"/>
      <c r="S34" s="487"/>
      <c r="T34" s="487"/>
      <c r="U34" s="487"/>
      <c r="V34" s="487"/>
    </row>
    <row r="35" spans="2:22" outlineLevel="1">
      <c r="B35" s="242" t="s">
        <v>456</v>
      </c>
      <c r="C35" s="664" t="str">
        <f t="shared" si="2"/>
        <v/>
      </c>
      <c r="D35" s="664" t="str">
        <f t="shared" si="2"/>
        <v/>
      </c>
      <c r="E35" s="665" t="str">
        <f t="shared" si="2"/>
        <v/>
      </c>
      <c r="F35" s="666" t="str">
        <f t="shared" si="2"/>
        <v/>
      </c>
      <c r="G35" s="667" t="str">
        <f t="shared" si="2"/>
        <v/>
      </c>
      <c r="H35" s="666" t="str">
        <f t="shared" si="2"/>
        <v/>
      </c>
      <c r="I35" s="668" t="str">
        <f t="shared" si="2"/>
        <v/>
      </c>
      <c r="J35" s="201"/>
      <c r="K35" s="202"/>
      <c r="L35" s="203"/>
      <c r="M35" s="487"/>
      <c r="N35" s="487"/>
      <c r="O35" s="487"/>
      <c r="P35" s="487"/>
      <c r="Q35" s="487"/>
      <c r="R35" s="487"/>
      <c r="S35" s="487"/>
      <c r="T35" s="487"/>
      <c r="U35" s="487"/>
      <c r="V35" s="487"/>
    </row>
    <row r="36" spans="2:22" outlineLevel="1">
      <c r="B36" s="242" t="s">
        <v>457</v>
      </c>
      <c r="C36" s="664" t="str">
        <f t="shared" si="2"/>
        <v/>
      </c>
      <c r="D36" s="664" t="str">
        <f t="shared" si="2"/>
        <v/>
      </c>
      <c r="E36" s="665" t="str">
        <f t="shared" si="2"/>
        <v/>
      </c>
      <c r="F36" s="666" t="str">
        <f t="shared" si="2"/>
        <v/>
      </c>
      <c r="G36" s="667" t="str">
        <f t="shared" si="2"/>
        <v/>
      </c>
      <c r="H36" s="666" t="str">
        <f t="shared" si="2"/>
        <v/>
      </c>
      <c r="I36" s="668" t="str">
        <f t="shared" si="2"/>
        <v/>
      </c>
      <c r="J36" s="201"/>
      <c r="K36" s="202"/>
      <c r="L36" s="203"/>
      <c r="M36" s="487"/>
      <c r="N36" s="487"/>
      <c r="O36" s="487"/>
      <c r="P36" s="487"/>
      <c r="Q36" s="487"/>
      <c r="R36" s="487"/>
      <c r="S36" s="487"/>
      <c r="T36" s="487"/>
      <c r="U36" s="487"/>
      <c r="V36" s="487"/>
    </row>
    <row r="37" spans="2:22" outlineLevel="1">
      <c r="B37" s="242" t="s">
        <v>458</v>
      </c>
      <c r="C37" s="664" t="str">
        <f t="shared" si="2"/>
        <v/>
      </c>
      <c r="D37" s="664" t="str">
        <f t="shared" si="2"/>
        <v/>
      </c>
      <c r="E37" s="665" t="str">
        <f t="shared" si="2"/>
        <v/>
      </c>
      <c r="F37" s="666" t="str">
        <f t="shared" si="2"/>
        <v/>
      </c>
      <c r="G37" s="667" t="str">
        <f t="shared" si="2"/>
        <v/>
      </c>
      <c r="H37" s="666" t="str">
        <f t="shared" si="2"/>
        <v/>
      </c>
      <c r="I37" s="668" t="str">
        <f t="shared" si="2"/>
        <v/>
      </c>
      <c r="J37" s="201"/>
      <c r="K37" s="202"/>
      <c r="L37" s="203"/>
      <c r="M37" s="487"/>
      <c r="N37" s="487"/>
      <c r="O37" s="487"/>
      <c r="P37" s="487"/>
      <c r="Q37" s="487"/>
      <c r="R37" s="487"/>
      <c r="S37" s="487"/>
      <c r="T37" s="487"/>
      <c r="U37" s="487"/>
      <c r="V37" s="487"/>
    </row>
    <row r="38" spans="2:22" outlineLevel="1">
      <c r="B38" s="242" t="s">
        <v>459</v>
      </c>
      <c r="C38" s="664" t="str">
        <f t="shared" si="2"/>
        <v/>
      </c>
      <c r="D38" s="664" t="str">
        <f t="shared" si="2"/>
        <v/>
      </c>
      <c r="E38" s="665" t="str">
        <f t="shared" si="2"/>
        <v/>
      </c>
      <c r="F38" s="666" t="str">
        <f t="shared" si="2"/>
        <v/>
      </c>
      <c r="G38" s="667" t="str">
        <f t="shared" si="2"/>
        <v/>
      </c>
      <c r="H38" s="666" t="str">
        <f t="shared" si="2"/>
        <v/>
      </c>
      <c r="I38" s="668" t="str">
        <f t="shared" si="2"/>
        <v/>
      </c>
      <c r="J38" s="201"/>
      <c r="K38" s="202"/>
      <c r="L38" s="203"/>
      <c r="M38" s="487"/>
      <c r="N38" s="487"/>
      <c r="O38" s="487"/>
      <c r="P38" s="487"/>
      <c r="Q38" s="487"/>
      <c r="R38" s="487"/>
      <c r="S38" s="487"/>
      <c r="T38" s="487"/>
      <c r="U38" s="487"/>
      <c r="V38" s="487"/>
    </row>
    <row r="39" spans="2:22" outlineLevel="1">
      <c r="B39" s="242" t="s">
        <v>460</v>
      </c>
      <c r="C39" s="664" t="str">
        <f t="shared" si="2"/>
        <v/>
      </c>
      <c r="D39" s="664" t="str">
        <f t="shared" si="2"/>
        <v/>
      </c>
      <c r="E39" s="665" t="str">
        <f t="shared" si="2"/>
        <v/>
      </c>
      <c r="F39" s="666" t="str">
        <f t="shared" si="2"/>
        <v/>
      </c>
      <c r="G39" s="667" t="str">
        <f t="shared" si="2"/>
        <v/>
      </c>
      <c r="H39" s="666" t="str">
        <f t="shared" si="2"/>
        <v/>
      </c>
      <c r="I39" s="668" t="str">
        <f t="shared" si="2"/>
        <v/>
      </c>
      <c r="J39" s="201"/>
      <c r="K39" s="202"/>
      <c r="L39" s="203"/>
      <c r="M39" s="487"/>
      <c r="N39" s="487"/>
      <c r="O39" s="487"/>
      <c r="P39" s="487"/>
      <c r="Q39" s="487"/>
      <c r="R39" s="487"/>
      <c r="S39" s="487"/>
      <c r="T39" s="487"/>
      <c r="U39" s="487"/>
      <c r="V39" s="487"/>
    </row>
    <row r="40" spans="2:22" outlineLevel="1">
      <c r="B40" s="242" t="s">
        <v>461</v>
      </c>
      <c r="C40" s="664" t="str">
        <f t="shared" si="2"/>
        <v/>
      </c>
      <c r="D40" s="664" t="str">
        <f t="shared" si="2"/>
        <v/>
      </c>
      <c r="E40" s="665" t="str">
        <f t="shared" si="2"/>
        <v/>
      </c>
      <c r="F40" s="666" t="str">
        <f t="shared" si="2"/>
        <v/>
      </c>
      <c r="G40" s="667" t="str">
        <f t="shared" si="2"/>
        <v/>
      </c>
      <c r="H40" s="666" t="str">
        <f t="shared" si="2"/>
        <v/>
      </c>
      <c r="I40" s="668" t="str">
        <f t="shared" si="2"/>
        <v/>
      </c>
      <c r="J40" s="201"/>
      <c r="K40" s="202"/>
      <c r="L40" s="203"/>
      <c r="M40" s="487"/>
      <c r="N40" s="487"/>
      <c r="O40" s="487"/>
      <c r="P40" s="487"/>
      <c r="Q40" s="487"/>
      <c r="R40" s="487"/>
      <c r="S40" s="487"/>
      <c r="T40" s="487"/>
      <c r="U40" s="487"/>
      <c r="V40" s="487"/>
    </row>
    <row r="41" spans="2:22" outlineLevel="1">
      <c r="B41" s="242" t="s">
        <v>462</v>
      </c>
      <c r="C41" s="664" t="str">
        <f t="shared" si="2"/>
        <v/>
      </c>
      <c r="D41" s="664" t="str">
        <f t="shared" si="2"/>
        <v/>
      </c>
      <c r="E41" s="665" t="str">
        <f t="shared" si="2"/>
        <v/>
      </c>
      <c r="F41" s="666" t="str">
        <f t="shared" si="2"/>
        <v/>
      </c>
      <c r="G41" s="667" t="str">
        <f t="shared" si="2"/>
        <v/>
      </c>
      <c r="H41" s="666" t="str">
        <f t="shared" si="2"/>
        <v/>
      </c>
      <c r="I41" s="668" t="str">
        <f t="shared" si="2"/>
        <v/>
      </c>
      <c r="J41" s="201"/>
      <c r="K41" s="202"/>
      <c r="L41" s="203"/>
      <c r="M41" s="487"/>
      <c r="N41" s="487"/>
      <c r="O41" s="487"/>
      <c r="P41" s="487"/>
      <c r="Q41" s="487"/>
      <c r="R41" s="487"/>
      <c r="S41" s="487"/>
      <c r="T41" s="487"/>
      <c r="U41" s="487"/>
      <c r="V41" s="487"/>
    </row>
    <row r="42" spans="2:22" outlineLevel="1">
      <c r="B42" s="243" t="s">
        <v>463</v>
      </c>
      <c r="C42" s="669" t="str">
        <f t="shared" si="2"/>
        <v/>
      </c>
      <c r="D42" s="669" t="str">
        <f t="shared" si="2"/>
        <v/>
      </c>
      <c r="E42" s="670" t="str">
        <f t="shared" si="2"/>
        <v/>
      </c>
      <c r="F42" s="671" t="str">
        <f t="shared" si="2"/>
        <v/>
      </c>
      <c r="G42" s="672" t="str">
        <f t="shared" si="2"/>
        <v/>
      </c>
      <c r="H42" s="671" t="str">
        <f t="shared" si="2"/>
        <v/>
      </c>
      <c r="I42" s="673" t="str">
        <f t="shared" si="2"/>
        <v/>
      </c>
      <c r="J42" s="201"/>
      <c r="K42" s="202"/>
      <c r="L42" s="203"/>
      <c r="M42" s="487"/>
      <c r="N42" s="487"/>
      <c r="O42" s="487"/>
      <c r="P42" s="487"/>
      <c r="Q42" s="487"/>
      <c r="R42" s="487"/>
      <c r="S42" s="487"/>
      <c r="T42" s="487"/>
      <c r="U42" s="487"/>
      <c r="V42" s="487"/>
    </row>
    <row r="43" spans="2:22" outlineLevel="1">
      <c r="C43" s="151"/>
      <c r="D43" s="151"/>
      <c r="E43" s="151"/>
      <c r="F43" s="151"/>
      <c r="L43" s="1072" t="s">
        <v>339</v>
      </c>
      <c r="M43" s="503">
        <f>SUM(M34:M42)</f>
        <v>0</v>
      </c>
      <c r="N43" s="504">
        <f t="shared" ref="N43:V43" si="3">SUM(N34:N42)</f>
        <v>0</v>
      </c>
      <c r="O43" s="504">
        <f t="shared" si="3"/>
        <v>0</v>
      </c>
      <c r="P43" s="504">
        <f t="shared" si="3"/>
        <v>0</v>
      </c>
      <c r="Q43" s="504">
        <f t="shared" si="3"/>
        <v>0</v>
      </c>
      <c r="R43" s="504">
        <f t="shared" si="3"/>
        <v>0</v>
      </c>
      <c r="S43" s="504">
        <f t="shared" si="3"/>
        <v>0</v>
      </c>
      <c r="T43" s="505">
        <f t="shared" si="3"/>
        <v>0</v>
      </c>
      <c r="U43" s="506">
        <f t="shared" si="3"/>
        <v>0</v>
      </c>
      <c r="V43" s="504">
        <f t="shared" si="3"/>
        <v>0</v>
      </c>
    </row>
    <row r="44" spans="2:22" outlineLevel="1">
      <c r="B44" s="154"/>
      <c r="C44" s="151"/>
      <c r="L44" s="167"/>
      <c r="U44" s="288"/>
    </row>
    <row r="45" spans="2:22" ht="17.5" outlineLevel="1">
      <c r="B45" s="154"/>
      <c r="C45" s="267" t="s">
        <v>466</v>
      </c>
      <c r="D45" s="268"/>
      <c r="E45" s="268"/>
      <c r="F45" s="268"/>
      <c r="G45" s="268"/>
      <c r="H45" s="268"/>
      <c r="I45" s="268"/>
      <c r="J45" s="268"/>
      <c r="K45" s="268"/>
      <c r="L45" s="310"/>
      <c r="M45" s="268"/>
      <c r="N45" s="268"/>
      <c r="O45" s="268"/>
      <c r="P45" s="268"/>
      <c r="Q45" s="268"/>
      <c r="R45" s="268"/>
      <c r="S45" s="268"/>
      <c r="T45" s="268"/>
      <c r="U45" s="287"/>
      <c r="V45" s="268"/>
    </row>
    <row r="46" spans="2:22" ht="17.5" outlineLevel="1">
      <c r="B46" s="154"/>
      <c r="C46" s="155"/>
      <c r="L46" s="167"/>
      <c r="U46" s="288"/>
    </row>
    <row r="47" spans="2:22" ht="17.5" outlineLevel="1">
      <c r="B47" s="154"/>
      <c r="C47" s="151"/>
      <c r="D47" s="270" t="s">
        <v>452</v>
      </c>
      <c r="E47" s="271"/>
      <c r="F47" s="271"/>
      <c r="G47" s="271"/>
      <c r="H47" s="271"/>
      <c r="I47" s="271"/>
      <c r="J47" s="271"/>
      <c r="K47" s="271"/>
      <c r="L47" s="309"/>
      <c r="M47" s="271"/>
      <c r="N47" s="271"/>
      <c r="O47" s="271"/>
      <c r="P47" s="271"/>
      <c r="Q47" s="271"/>
      <c r="R47" s="271"/>
      <c r="S47" s="271"/>
      <c r="T47" s="271"/>
      <c r="U47" s="289"/>
      <c r="V47" s="271"/>
    </row>
    <row r="48" spans="2:22" ht="17.5" outlineLevel="1">
      <c r="B48" s="154"/>
      <c r="C48" s="151"/>
      <c r="D48" s="155"/>
      <c r="L48" s="167"/>
      <c r="U48" s="288"/>
    </row>
    <row r="49" spans="2:22" ht="40.5" outlineLevel="1">
      <c r="B49" s="1286" t="s">
        <v>453</v>
      </c>
      <c r="C49" s="860" t="str">
        <f>IF('R6a - Net Debt input'!D37 = "","",'R6a - Net Debt input'!D37)</f>
        <v>Issue date</v>
      </c>
      <c r="D49" s="861" t="str">
        <f>IF('R6a - Net Debt input'!E37 = "","",'R6a - Net Debt input'!E37)</f>
        <v>Maturity date</v>
      </c>
      <c r="E49" s="861" t="str">
        <f>IF('R6a - Net Debt input'!F37 = "","",'R6a - Net Debt input'!F37)</f>
        <v>Description</v>
      </c>
      <c r="F49" s="861" t="str">
        <f>IF('R6a - Net Debt input'!G37 = "","",'R6a - Net Debt input'!G37)</f>
        <v>Loan type</v>
      </c>
      <c r="G49" s="861" t="str">
        <f>IF('R6a - Net Debt input'!H37 = "","",'R6a - Net Debt input'!H37)</f>
        <v>Payment rank</v>
      </c>
      <c r="H49" s="862" t="str">
        <f>IF('R6a - Net Debt input'!I37 = "","",'R6a - Net Debt input'!I37)</f>
        <v>Reference rate</v>
      </c>
      <c r="I49" s="863" t="str">
        <f>IF('R6a - Net Debt input'!J37 = "","",'R6a - Net Debt input'!J37)</f>
        <v>Interest rate / margin spread on reference rate</v>
      </c>
      <c r="L49" s="167"/>
      <c r="U49" s="288"/>
    </row>
    <row r="50" spans="2:22" outlineLevel="1">
      <c r="B50" s="1073"/>
      <c r="C50" s="248" t="str">
        <f>IF('R6a - Net Debt input'!D38 = "","",'R6a - Net Debt input'!D38)</f>
        <v>dd/mm/yyyy</v>
      </c>
      <c r="D50" s="249" t="str">
        <f>IF('R6a - Net Debt input'!E38 = "","",'R6a - Net Debt input'!E38)</f>
        <v>dd/mm/yyyy</v>
      </c>
      <c r="E50" s="249" t="str">
        <f>IF('R6a - Net Debt input'!F38 = "","",'R6a - Net Debt input'!F38)</f>
        <v/>
      </c>
      <c r="F50" s="249" t="str">
        <f>IF('R6a - Net Debt input'!G38 = "","",'R6a - Net Debt input'!G38)</f>
        <v/>
      </c>
      <c r="G50" s="249" t="str">
        <f>IF('R6a - Net Debt input'!H38 = "","",'R6a - Net Debt input'!H38)</f>
        <v/>
      </c>
      <c r="H50" s="249" t="str">
        <f>IF('R6a - Net Debt input'!I38 = "","",'R6a - Net Debt input'!I38)</f>
        <v/>
      </c>
      <c r="I50" s="250" t="str">
        <f>IF('R6a - Net Debt input'!J38 = "","",'R6a - Net Debt input'!J38)</f>
        <v xml:space="preserve">% </v>
      </c>
      <c r="L50" s="167"/>
      <c r="M50" s="191" t="s">
        <v>454</v>
      </c>
      <c r="N50" s="192" t="s">
        <v>454</v>
      </c>
      <c r="O50" s="192" t="s">
        <v>454</v>
      </c>
      <c r="P50" s="192" t="s">
        <v>454</v>
      </c>
      <c r="Q50" s="192" t="s">
        <v>454</v>
      </c>
      <c r="R50" s="192" t="s">
        <v>454</v>
      </c>
      <c r="S50" s="192" t="s">
        <v>454</v>
      </c>
      <c r="T50" s="280" t="s">
        <v>454</v>
      </c>
      <c r="U50" s="291" t="s">
        <v>454</v>
      </c>
      <c r="V50" s="192" t="s">
        <v>454</v>
      </c>
    </row>
    <row r="51" spans="2:22" outlineLevel="1">
      <c r="B51" s="241" t="s">
        <v>467</v>
      </c>
      <c r="C51" s="207" t="str">
        <f>IF('R6a - Net Debt input'!D39 = "","",'R6a - Net Debt input'!D39)</f>
        <v/>
      </c>
      <c r="D51" s="207" t="str">
        <f>IF('R6a - Net Debt input'!E39 = "","",'R6a - Net Debt input'!E39)</f>
        <v/>
      </c>
      <c r="E51" s="207" t="str">
        <f>IF('R6a - Net Debt input'!F39 = "","",'R6a - Net Debt input'!F39)</f>
        <v/>
      </c>
      <c r="F51" s="207" t="str">
        <f>IF('R6a - Net Debt input'!G39 = "","",'R6a - Net Debt input'!G39)</f>
        <v/>
      </c>
      <c r="G51" s="207" t="str">
        <f>IF('R6a - Net Debt input'!H39 = "","",'R6a - Net Debt input'!H39)</f>
        <v/>
      </c>
      <c r="H51" s="207" t="str">
        <f>IF('R6a - Net Debt input'!I39 = "","",'R6a - Net Debt input'!I39)</f>
        <v/>
      </c>
      <c r="I51" s="207" t="str">
        <f>IF('R6a - Net Debt input'!J39 = "","",'R6a - Net Debt input'!J39)</f>
        <v/>
      </c>
      <c r="J51" s="201"/>
      <c r="K51" s="202"/>
      <c r="L51" s="203"/>
      <c r="M51" s="487"/>
      <c r="N51" s="487"/>
      <c r="O51" s="487"/>
      <c r="P51" s="487"/>
      <c r="Q51" s="487"/>
      <c r="R51" s="487"/>
      <c r="S51" s="487"/>
      <c r="T51" s="487"/>
      <c r="U51" s="487"/>
      <c r="V51" s="487"/>
    </row>
    <row r="52" spans="2:22" outlineLevel="1">
      <c r="B52" s="242" t="s">
        <v>468</v>
      </c>
      <c r="C52" s="207" t="str">
        <f>IF('R6a - Net Debt input'!D40 = "","",'R6a - Net Debt input'!D40)</f>
        <v/>
      </c>
      <c r="D52" s="207" t="str">
        <f>IF('R6a - Net Debt input'!E40 = "","",'R6a - Net Debt input'!E40)</f>
        <v/>
      </c>
      <c r="E52" s="215" t="str">
        <f>IF('R6a - Net Debt input'!F40 = "","",'R6a - Net Debt input'!F40)</f>
        <v/>
      </c>
      <c r="F52" s="216" t="str">
        <f>IF('R6a - Net Debt input'!G40 = "","",'R6a - Net Debt input'!G40)</f>
        <v/>
      </c>
      <c r="G52" s="585" t="str">
        <f>IF('R6a - Net Debt input'!H40 = "","",'R6a - Net Debt input'!H40)</f>
        <v/>
      </c>
      <c r="H52" s="216" t="str">
        <f>IF('R6a - Net Debt input'!I40 = "","",'R6a - Net Debt input'!I40)</f>
        <v/>
      </c>
      <c r="I52" s="378" t="str">
        <f>IF('R6a - Net Debt input'!J40 = "","",'R6a - Net Debt input'!J40)</f>
        <v/>
      </c>
      <c r="J52" s="201"/>
      <c r="K52" s="202"/>
      <c r="L52" s="203"/>
      <c r="M52" s="487"/>
      <c r="N52" s="487"/>
      <c r="O52" s="487"/>
      <c r="P52" s="487"/>
      <c r="Q52" s="487"/>
      <c r="R52" s="487"/>
      <c r="S52" s="487"/>
      <c r="T52" s="487"/>
      <c r="U52" s="487"/>
      <c r="V52" s="487"/>
    </row>
    <row r="53" spans="2:22" outlineLevel="1">
      <c r="B53" s="241" t="s">
        <v>469</v>
      </c>
      <c r="C53" s="207" t="str">
        <f>IF('R6a - Net Debt input'!D41 = "","",'R6a - Net Debt input'!D41)</f>
        <v/>
      </c>
      <c r="D53" s="207" t="str">
        <f>IF('R6a - Net Debt input'!E41 = "","",'R6a - Net Debt input'!E41)</f>
        <v/>
      </c>
      <c r="E53" s="215" t="str">
        <f>IF('R6a - Net Debt input'!F41 = "","",'R6a - Net Debt input'!F41)</f>
        <v/>
      </c>
      <c r="F53" s="216" t="str">
        <f>IF('R6a - Net Debt input'!G41 = "","",'R6a - Net Debt input'!G41)</f>
        <v/>
      </c>
      <c r="G53" s="585" t="str">
        <f>IF('R6a - Net Debt input'!H41 = "","",'R6a - Net Debt input'!H41)</f>
        <v/>
      </c>
      <c r="H53" s="216" t="str">
        <f>IF('R6a - Net Debt input'!I41 = "","",'R6a - Net Debt input'!I41)</f>
        <v/>
      </c>
      <c r="I53" s="378" t="str">
        <f>IF('R6a - Net Debt input'!J41 = "","",'R6a - Net Debt input'!J41)</f>
        <v/>
      </c>
      <c r="J53" s="201"/>
      <c r="K53" s="202"/>
      <c r="L53" s="203"/>
      <c r="M53" s="487"/>
      <c r="N53" s="487"/>
      <c r="O53" s="487"/>
      <c r="P53" s="487"/>
      <c r="Q53" s="487"/>
      <c r="R53" s="487"/>
      <c r="S53" s="487"/>
      <c r="T53" s="487"/>
      <c r="U53" s="487"/>
      <c r="V53" s="487"/>
    </row>
    <row r="54" spans="2:22" outlineLevel="1">
      <c r="B54" s="242" t="s">
        <v>470</v>
      </c>
      <c r="C54" s="207" t="str">
        <f>IF('R6a - Net Debt input'!D42 = "","",'R6a - Net Debt input'!D42)</f>
        <v/>
      </c>
      <c r="D54" s="207" t="str">
        <f>IF('R6a - Net Debt input'!E42 = "","",'R6a - Net Debt input'!E42)</f>
        <v/>
      </c>
      <c r="E54" s="215" t="str">
        <f>IF('R6a - Net Debt input'!F42 = "","",'R6a - Net Debt input'!F42)</f>
        <v/>
      </c>
      <c r="F54" s="216" t="str">
        <f>IF('R6a - Net Debt input'!G42 = "","",'R6a - Net Debt input'!G42)</f>
        <v/>
      </c>
      <c r="G54" s="585" t="str">
        <f>IF('R6a - Net Debt input'!H42 = "","",'R6a - Net Debt input'!H42)</f>
        <v/>
      </c>
      <c r="H54" s="216" t="str">
        <f>IF('R6a - Net Debt input'!I42 = "","",'R6a - Net Debt input'!I42)</f>
        <v/>
      </c>
      <c r="I54" s="378" t="str">
        <f>IF('R6a - Net Debt input'!J42 = "","",'R6a - Net Debt input'!J42)</f>
        <v/>
      </c>
      <c r="J54" s="201"/>
      <c r="K54" s="202"/>
      <c r="L54" s="203"/>
      <c r="M54" s="487"/>
      <c r="N54" s="487"/>
      <c r="O54" s="487"/>
      <c r="P54" s="487"/>
      <c r="Q54" s="487"/>
      <c r="R54" s="487"/>
      <c r="S54" s="487"/>
      <c r="T54" s="487"/>
      <c r="U54" s="487"/>
      <c r="V54" s="487"/>
    </row>
    <row r="55" spans="2:22" outlineLevel="1">
      <c r="B55" s="241" t="s">
        <v>471</v>
      </c>
      <c r="C55" s="207" t="str">
        <f>IF('R6a - Net Debt input'!D43 = "","",'R6a - Net Debt input'!D43)</f>
        <v/>
      </c>
      <c r="D55" s="207" t="str">
        <f>IF('R6a - Net Debt input'!E43 = "","",'R6a - Net Debt input'!E43)</f>
        <v/>
      </c>
      <c r="E55" s="215" t="str">
        <f>IF('R6a - Net Debt input'!F43 = "","",'R6a - Net Debt input'!F43)</f>
        <v/>
      </c>
      <c r="F55" s="216" t="str">
        <f>IF('R6a - Net Debt input'!G43 = "","",'R6a - Net Debt input'!G43)</f>
        <v/>
      </c>
      <c r="G55" s="585" t="str">
        <f>IF('R6a - Net Debt input'!H43 = "","",'R6a - Net Debt input'!H43)</f>
        <v/>
      </c>
      <c r="H55" s="216" t="str">
        <f>IF('R6a - Net Debt input'!I43 = "","",'R6a - Net Debt input'!I43)</f>
        <v/>
      </c>
      <c r="I55" s="378" t="str">
        <f>IF('R6a - Net Debt input'!J43 = "","",'R6a - Net Debt input'!J43)</f>
        <v/>
      </c>
      <c r="J55" s="201"/>
      <c r="K55" s="202"/>
      <c r="L55" s="203"/>
      <c r="M55" s="487"/>
      <c r="N55" s="487"/>
      <c r="O55" s="487"/>
      <c r="P55" s="487"/>
      <c r="Q55" s="487"/>
      <c r="R55" s="487"/>
      <c r="S55" s="487"/>
      <c r="T55" s="487"/>
      <c r="U55" s="487"/>
      <c r="V55" s="487"/>
    </row>
    <row r="56" spans="2:22" outlineLevel="1">
      <c r="B56" s="242" t="s">
        <v>472</v>
      </c>
      <c r="C56" s="207" t="str">
        <f>IF('R6a - Net Debt input'!D44 = "","",'R6a - Net Debt input'!D44)</f>
        <v/>
      </c>
      <c r="D56" s="207" t="str">
        <f>IF('R6a - Net Debt input'!E44 = "","",'R6a - Net Debt input'!E44)</f>
        <v/>
      </c>
      <c r="E56" s="215" t="str">
        <f>IF('R6a - Net Debt input'!F44 = "","",'R6a - Net Debt input'!F44)</f>
        <v/>
      </c>
      <c r="F56" s="216" t="str">
        <f>IF('R6a - Net Debt input'!G44 = "","",'R6a - Net Debt input'!G44)</f>
        <v/>
      </c>
      <c r="G56" s="585" t="str">
        <f>IF('R6a - Net Debt input'!H44 = "","",'R6a - Net Debt input'!H44)</f>
        <v/>
      </c>
      <c r="H56" s="216" t="str">
        <f>IF('R6a - Net Debt input'!I44 = "","",'R6a - Net Debt input'!I44)</f>
        <v/>
      </c>
      <c r="I56" s="378" t="str">
        <f>IF('R6a - Net Debt input'!J44 = "","",'R6a - Net Debt input'!J44)</f>
        <v/>
      </c>
      <c r="J56" s="201"/>
      <c r="K56" s="202"/>
      <c r="L56" s="203"/>
      <c r="M56" s="487"/>
      <c r="N56" s="487"/>
      <c r="O56" s="487"/>
      <c r="P56" s="487"/>
      <c r="Q56" s="487"/>
      <c r="R56" s="487"/>
      <c r="S56" s="487"/>
      <c r="T56" s="487"/>
      <c r="U56" s="487"/>
      <c r="V56" s="487"/>
    </row>
    <row r="57" spans="2:22" outlineLevel="1">
      <c r="B57" s="241" t="s">
        <v>473</v>
      </c>
      <c r="C57" s="207" t="str">
        <f>IF('R6a - Net Debt input'!D45 = "","",'R6a - Net Debt input'!D45)</f>
        <v/>
      </c>
      <c r="D57" s="207" t="str">
        <f>IF('R6a - Net Debt input'!E45 = "","",'R6a - Net Debt input'!E45)</f>
        <v/>
      </c>
      <c r="E57" s="215" t="str">
        <f>IF('R6a - Net Debt input'!F45 = "","",'R6a - Net Debt input'!F45)</f>
        <v/>
      </c>
      <c r="F57" s="216" t="str">
        <f>IF('R6a - Net Debt input'!G45 = "","",'R6a - Net Debt input'!G45)</f>
        <v/>
      </c>
      <c r="G57" s="585" t="str">
        <f>IF('R6a - Net Debt input'!H45 = "","",'R6a - Net Debt input'!H45)</f>
        <v/>
      </c>
      <c r="H57" s="216" t="str">
        <f>IF('R6a - Net Debt input'!I45 = "","",'R6a - Net Debt input'!I45)</f>
        <v/>
      </c>
      <c r="I57" s="378" t="str">
        <f>IF('R6a - Net Debt input'!J45 = "","",'R6a - Net Debt input'!J45)</f>
        <v/>
      </c>
      <c r="J57" s="201"/>
      <c r="K57" s="202"/>
      <c r="L57" s="203"/>
      <c r="M57" s="487"/>
      <c r="N57" s="487"/>
      <c r="O57" s="487"/>
      <c r="P57" s="487"/>
      <c r="Q57" s="487"/>
      <c r="R57" s="487"/>
      <c r="S57" s="487"/>
      <c r="T57" s="487"/>
      <c r="U57" s="487"/>
      <c r="V57" s="487"/>
    </row>
    <row r="58" spans="2:22" outlineLevel="1">
      <c r="B58" s="242" t="s">
        <v>474</v>
      </c>
      <c r="C58" s="207" t="str">
        <f>IF('R6a - Net Debt input'!D46 = "","",'R6a - Net Debt input'!D46)</f>
        <v/>
      </c>
      <c r="D58" s="207" t="str">
        <f>IF('R6a - Net Debt input'!E46 = "","",'R6a - Net Debt input'!E46)</f>
        <v/>
      </c>
      <c r="E58" s="215" t="str">
        <f>IF('R6a - Net Debt input'!F46 = "","",'R6a - Net Debt input'!F46)</f>
        <v/>
      </c>
      <c r="F58" s="216" t="str">
        <f>IF('R6a - Net Debt input'!G46 = "","",'R6a - Net Debt input'!G46)</f>
        <v/>
      </c>
      <c r="G58" s="585" t="str">
        <f>IF('R6a - Net Debt input'!H46 = "","",'R6a - Net Debt input'!H46)</f>
        <v/>
      </c>
      <c r="H58" s="216" t="str">
        <f>IF('R6a - Net Debt input'!I46 = "","",'R6a - Net Debt input'!I46)</f>
        <v/>
      </c>
      <c r="I58" s="378" t="str">
        <f>IF('R6a - Net Debt input'!J46 = "","",'R6a - Net Debt input'!J46)</f>
        <v/>
      </c>
      <c r="J58" s="201"/>
      <c r="K58" s="202"/>
      <c r="L58" s="203"/>
      <c r="M58" s="487"/>
      <c r="N58" s="487"/>
      <c r="O58" s="487"/>
      <c r="P58" s="487"/>
      <c r="Q58" s="487"/>
      <c r="R58" s="487"/>
      <c r="S58" s="487"/>
      <c r="T58" s="487"/>
      <c r="U58" s="487"/>
      <c r="V58" s="487"/>
    </row>
    <row r="59" spans="2:22" outlineLevel="1">
      <c r="B59" s="241" t="s">
        <v>475</v>
      </c>
      <c r="C59" s="207" t="str">
        <f>IF('R6a - Net Debt input'!D47 = "","",'R6a - Net Debt input'!D47)</f>
        <v/>
      </c>
      <c r="D59" s="207" t="str">
        <f>IF('R6a - Net Debt input'!E47 = "","",'R6a - Net Debt input'!E47)</f>
        <v/>
      </c>
      <c r="E59" s="215" t="str">
        <f>IF('R6a - Net Debt input'!F47 = "","",'R6a - Net Debt input'!F47)</f>
        <v/>
      </c>
      <c r="F59" s="216" t="str">
        <f>IF('R6a - Net Debt input'!G47 = "","",'R6a - Net Debt input'!G47)</f>
        <v/>
      </c>
      <c r="G59" s="585" t="str">
        <f>IF('R6a - Net Debt input'!H47 = "","",'R6a - Net Debt input'!H47)</f>
        <v/>
      </c>
      <c r="H59" s="216" t="str">
        <f>IF('R6a - Net Debt input'!I47 = "","",'R6a - Net Debt input'!I47)</f>
        <v/>
      </c>
      <c r="I59" s="378" t="str">
        <f>IF('R6a - Net Debt input'!J47 = "","",'R6a - Net Debt input'!J47)</f>
        <v/>
      </c>
      <c r="J59" s="201"/>
      <c r="K59" s="202"/>
      <c r="L59" s="203"/>
      <c r="M59" s="487"/>
      <c r="N59" s="487"/>
      <c r="O59" s="487"/>
      <c r="P59" s="487"/>
      <c r="Q59" s="487"/>
      <c r="R59" s="487"/>
      <c r="S59" s="487"/>
      <c r="T59" s="487"/>
      <c r="U59" s="487"/>
      <c r="V59" s="487"/>
    </row>
    <row r="60" spans="2:22" outlineLevel="1">
      <c r="B60" s="242" t="s">
        <v>476</v>
      </c>
      <c r="C60" s="207" t="str">
        <f>IF('R6a - Net Debt input'!D48 = "","",'R6a - Net Debt input'!D48)</f>
        <v/>
      </c>
      <c r="D60" s="207" t="str">
        <f>IF('R6a - Net Debt input'!E48 = "","",'R6a - Net Debt input'!E48)</f>
        <v/>
      </c>
      <c r="E60" s="215" t="str">
        <f>IF('R6a - Net Debt input'!F48 = "","",'R6a - Net Debt input'!F48)</f>
        <v/>
      </c>
      <c r="F60" s="216" t="str">
        <f>IF('R6a - Net Debt input'!G48 = "","",'R6a - Net Debt input'!G48)</f>
        <v/>
      </c>
      <c r="G60" s="585" t="str">
        <f>IF('R6a - Net Debt input'!H48 = "","",'R6a - Net Debt input'!H48)</f>
        <v/>
      </c>
      <c r="H60" s="216" t="str">
        <f>IF('R6a - Net Debt input'!I48 = "","",'R6a - Net Debt input'!I48)</f>
        <v/>
      </c>
      <c r="I60" s="378" t="str">
        <f>IF('R6a - Net Debt input'!J48 = "","",'R6a - Net Debt input'!J48)</f>
        <v/>
      </c>
      <c r="J60" s="201"/>
      <c r="K60" s="202"/>
      <c r="L60" s="203"/>
      <c r="M60" s="487"/>
      <c r="N60" s="487"/>
      <c r="O60" s="487"/>
      <c r="P60" s="487"/>
      <c r="Q60" s="487"/>
      <c r="R60" s="487"/>
      <c r="S60" s="487"/>
      <c r="T60" s="487"/>
      <c r="U60" s="487"/>
      <c r="V60" s="487"/>
    </row>
    <row r="61" spans="2:22" outlineLevel="1">
      <c r="B61" s="241" t="s">
        <v>477</v>
      </c>
      <c r="C61" s="207" t="str">
        <f>IF('R6a - Net Debt input'!D49 = "","",'R6a - Net Debt input'!D49)</f>
        <v/>
      </c>
      <c r="D61" s="207" t="str">
        <f>IF('R6a - Net Debt input'!E49 = "","",'R6a - Net Debt input'!E49)</f>
        <v/>
      </c>
      <c r="E61" s="215" t="str">
        <f>IF('R6a - Net Debt input'!F49 = "","",'R6a - Net Debt input'!F49)</f>
        <v/>
      </c>
      <c r="F61" s="216" t="str">
        <f>IF('R6a - Net Debt input'!G49 = "","",'R6a - Net Debt input'!G49)</f>
        <v/>
      </c>
      <c r="G61" s="585" t="str">
        <f>IF('R6a - Net Debt input'!H49 = "","",'R6a - Net Debt input'!H49)</f>
        <v/>
      </c>
      <c r="H61" s="216" t="str">
        <f>IF('R6a - Net Debt input'!I49 = "","",'R6a - Net Debt input'!I49)</f>
        <v/>
      </c>
      <c r="I61" s="378" t="str">
        <f>IF('R6a - Net Debt input'!J49 = "","",'R6a - Net Debt input'!J49)</f>
        <v/>
      </c>
      <c r="J61" s="201"/>
      <c r="K61" s="202"/>
      <c r="L61" s="203"/>
      <c r="M61" s="487"/>
      <c r="N61" s="487"/>
      <c r="O61" s="487"/>
      <c r="P61" s="487"/>
      <c r="Q61" s="487"/>
      <c r="R61" s="487"/>
      <c r="S61" s="487"/>
      <c r="T61" s="487"/>
      <c r="U61" s="487"/>
      <c r="V61" s="487"/>
    </row>
    <row r="62" spans="2:22" outlineLevel="1">
      <c r="B62" s="242" t="s">
        <v>478</v>
      </c>
      <c r="C62" s="207" t="str">
        <f>IF('R6a - Net Debt input'!D50 = "","",'R6a - Net Debt input'!D50)</f>
        <v/>
      </c>
      <c r="D62" s="207" t="str">
        <f>IF('R6a - Net Debt input'!E50 = "","",'R6a - Net Debt input'!E50)</f>
        <v/>
      </c>
      <c r="E62" s="215" t="str">
        <f>IF('R6a - Net Debt input'!F50 = "","",'R6a - Net Debt input'!F50)</f>
        <v/>
      </c>
      <c r="F62" s="216" t="str">
        <f>IF('R6a - Net Debt input'!G50 = "","",'R6a - Net Debt input'!G50)</f>
        <v/>
      </c>
      <c r="G62" s="585" t="str">
        <f>IF('R6a - Net Debt input'!H50 = "","",'R6a - Net Debt input'!H50)</f>
        <v/>
      </c>
      <c r="H62" s="216" t="str">
        <f>IF('R6a - Net Debt input'!I50 = "","",'R6a - Net Debt input'!I50)</f>
        <v/>
      </c>
      <c r="I62" s="378" t="str">
        <f>IF('R6a - Net Debt input'!J50 = "","",'R6a - Net Debt input'!J50)</f>
        <v/>
      </c>
      <c r="J62" s="201"/>
      <c r="K62" s="202"/>
      <c r="L62" s="203"/>
      <c r="M62" s="487"/>
      <c r="N62" s="487"/>
      <c r="O62" s="487"/>
      <c r="P62" s="487"/>
      <c r="Q62" s="487"/>
      <c r="R62" s="487"/>
      <c r="S62" s="487"/>
      <c r="T62" s="487"/>
      <c r="U62" s="487"/>
      <c r="V62" s="487"/>
    </row>
    <row r="63" spans="2:22" outlineLevel="1">
      <c r="B63" s="241" t="s">
        <v>479</v>
      </c>
      <c r="C63" s="207" t="str">
        <f>IF('R6a - Net Debt input'!D51 = "","",'R6a - Net Debt input'!D51)</f>
        <v/>
      </c>
      <c r="D63" s="207" t="str">
        <f>IF('R6a - Net Debt input'!E51 = "","",'R6a - Net Debt input'!E51)</f>
        <v/>
      </c>
      <c r="E63" s="215" t="str">
        <f>IF('R6a - Net Debt input'!F51 = "","",'R6a - Net Debt input'!F51)</f>
        <v/>
      </c>
      <c r="F63" s="216" t="str">
        <f>IF('R6a - Net Debt input'!G51 = "","",'R6a - Net Debt input'!G51)</f>
        <v/>
      </c>
      <c r="G63" s="585" t="str">
        <f>IF('R6a - Net Debt input'!H51 = "","",'R6a - Net Debt input'!H51)</f>
        <v/>
      </c>
      <c r="H63" s="216" t="str">
        <f>IF('R6a - Net Debt input'!I51 = "","",'R6a - Net Debt input'!I51)</f>
        <v/>
      </c>
      <c r="I63" s="378" t="str">
        <f>IF('R6a - Net Debt input'!J51 = "","",'R6a - Net Debt input'!J51)</f>
        <v/>
      </c>
      <c r="J63" s="201"/>
      <c r="K63" s="202"/>
      <c r="L63" s="203"/>
      <c r="M63" s="487"/>
      <c r="N63" s="487"/>
      <c r="O63" s="487"/>
      <c r="P63" s="487"/>
      <c r="Q63" s="487"/>
      <c r="R63" s="487"/>
      <c r="S63" s="487"/>
      <c r="T63" s="487"/>
      <c r="U63" s="487"/>
      <c r="V63" s="487"/>
    </row>
    <row r="64" spans="2:22" outlineLevel="1">
      <c r="B64" s="242" t="s">
        <v>480</v>
      </c>
      <c r="C64" s="207" t="str">
        <f>IF('R6a - Net Debt input'!D52 = "","",'R6a - Net Debt input'!D52)</f>
        <v/>
      </c>
      <c r="D64" s="207" t="str">
        <f>IF('R6a - Net Debt input'!E52 = "","",'R6a - Net Debt input'!E52)</f>
        <v/>
      </c>
      <c r="E64" s="215" t="str">
        <f>IF('R6a - Net Debt input'!F52 = "","",'R6a - Net Debt input'!F52)</f>
        <v/>
      </c>
      <c r="F64" s="216" t="str">
        <f>IF('R6a - Net Debt input'!G52 = "","",'R6a - Net Debt input'!G52)</f>
        <v/>
      </c>
      <c r="G64" s="585" t="str">
        <f>IF('R6a - Net Debt input'!H52 = "","",'R6a - Net Debt input'!H52)</f>
        <v/>
      </c>
      <c r="H64" s="216" t="str">
        <f>IF('R6a - Net Debt input'!I52 = "","",'R6a - Net Debt input'!I52)</f>
        <v/>
      </c>
      <c r="I64" s="378" t="str">
        <f>IF('R6a - Net Debt input'!J52 = "","",'R6a - Net Debt input'!J52)</f>
        <v/>
      </c>
      <c r="J64" s="201"/>
      <c r="K64" s="202"/>
      <c r="L64" s="203"/>
      <c r="M64" s="487"/>
      <c r="N64" s="487"/>
      <c r="O64" s="487"/>
      <c r="P64" s="487"/>
      <c r="Q64" s="487"/>
      <c r="R64" s="487"/>
      <c r="S64" s="487"/>
      <c r="T64" s="487"/>
      <c r="U64" s="487"/>
      <c r="V64" s="487"/>
    </row>
    <row r="65" spans="2:22" outlineLevel="1">
      <c r="B65" s="241" t="s">
        <v>481</v>
      </c>
      <c r="C65" s="207" t="str">
        <f>IF('R6a - Net Debt input'!D53 = "","",'R6a - Net Debt input'!D53)</f>
        <v/>
      </c>
      <c r="D65" s="207" t="str">
        <f>IF('R6a - Net Debt input'!E53 = "","",'R6a - Net Debt input'!E53)</f>
        <v/>
      </c>
      <c r="E65" s="215" t="str">
        <f>IF('R6a - Net Debt input'!F53 = "","",'R6a - Net Debt input'!F53)</f>
        <v/>
      </c>
      <c r="F65" s="216" t="str">
        <f>IF('R6a - Net Debt input'!G53 = "","",'R6a - Net Debt input'!G53)</f>
        <v/>
      </c>
      <c r="G65" s="585" t="str">
        <f>IF('R6a - Net Debt input'!H53 = "","",'R6a - Net Debt input'!H53)</f>
        <v/>
      </c>
      <c r="H65" s="216" t="str">
        <f>IF('R6a - Net Debt input'!I53 = "","",'R6a - Net Debt input'!I53)</f>
        <v/>
      </c>
      <c r="I65" s="378" t="str">
        <f>IF('R6a - Net Debt input'!J53 = "","",'R6a - Net Debt input'!J53)</f>
        <v/>
      </c>
      <c r="J65" s="201"/>
      <c r="K65" s="202"/>
      <c r="L65" s="203"/>
      <c r="M65" s="487"/>
      <c r="N65" s="487"/>
      <c r="O65" s="487"/>
      <c r="P65" s="487"/>
      <c r="Q65" s="487"/>
      <c r="R65" s="487"/>
      <c r="S65" s="487"/>
      <c r="T65" s="487"/>
      <c r="U65" s="487"/>
      <c r="V65" s="487"/>
    </row>
    <row r="66" spans="2:22" outlineLevel="1">
      <c r="C66" s="151"/>
      <c r="D66" s="151"/>
      <c r="E66" s="151"/>
      <c r="F66" s="151"/>
      <c r="L66" s="1072" t="s">
        <v>339</v>
      </c>
      <c r="M66" s="503">
        <f t="shared" ref="M66:V66" si="4">SUM(M51:M65)</f>
        <v>0</v>
      </c>
      <c r="N66" s="504">
        <f t="shared" si="4"/>
        <v>0</v>
      </c>
      <c r="O66" s="504">
        <f t="shared" si="4"/>
        <v>0</v>
      </c>
      <c r="P66" s="504">
        <f t="shared" si="4"/>
        <v>0</v>
      </c>
      <c r="Q66" s="504">
        <f t="shared" si="4"/>
        <v>0</v>
      </c>
      <c r="R66" s="504">
        <f t="shared" si="4"/>
        <v>0</v>
      </c>
      <c r="S66" s="504">
        <f t="shared" si="4"/>
        <v>0</v>
      </c>
      <c r="T66" s="505">
        <f t="shared" si="4"/>
        <v>0</v>
      </c>
      <c r="U66" s="506">
        <f t="shared" si="4"/>
        <v>0</v>
      </c>
      <c r="V66" s="504">
        <f t="shared" si="4"/>
        <v>0</v>
      </c>
    </row>
    <row r="67" spans="2:22" outlineLevel="1">
      <c r="C67" s="151"/>
      <c r="D67" s="156"/>
      <c r="E67" s="156"/>
      <c r="F67" s="156"/>
      <c r="L67" s="308"/>
      <c r="M67" s="156"/>
      <c r="N67" s="156"/>
      <c r="O67" s="156"/>
      <c r="P67" s="156"/>
      <c r="Q67" s="156"/>
      <c r="R67" s="156"/>
      <c r="S67" s="156"/>
      <c r="T67" s="156"/>
      <c r="U67" s="290"/>
      <c r="V67" s="156"/>
    </row>
    <row r="68" spans="2:22" ht="17.5" outlineLevel="1">
      <c r="D68" s="270" t="s">
        <v>464</v>
      </c>
      <c r="E68" s="271"/>
      <c r="F68" s="271"/>
      <c r="G68" s="271"/>
      <c r="H68" s="271"/>
      <c r="I68" s="271"/>
      <c r="J68" s="271"/>
      <c r="K68" s="271"/>
      <c r="L68" s="309"/>
      <c r="M68" s="271"/>
      <c r="N68" s="271"/>
      <c r="O68" s="271"/>
      <c r="P68" s="271"/>
      <c r="Q68" s="271"/>
      <c r="R68" s="271"/>
      <c r="S68" s="271"/>
      <c r="T68" s="271"/>
      <c r="U68" s="289"/>
      <c r="V68" s="271"/>
    </row>
    <row r="69" spans="2:22" ht="17.5" outlineLevel="1">
      <c r="D69" s="155"/>
      <c r="L69" s="167"/>
      <c r="U69" s="288"/>
    </row>
    <row r="70" spans="2:22" ht="40.5" outlineLevel="1">
      <c r="B70" s="1286" t="s">
        <v>453</v>
      </c>
      <c r="C70" s="860" t="str">
        <f t="shared" ref="C70:I72" si="5">C49</f>
        <v>Issue date</v>
      </c>
      <c r="D70" s="861" t="str">
        <f t="shared" si="5"/>
        <v>Maturity date</v>
      </c>
      <c r="E70" s="861" t="str">
        <f t="shared" si="5"/>
        <v>Description</v>
      </c>
      <c r="F70" s="861" t="str">
        <f t="shared" si="5"/>
        <v>Loan type</v>
      </c>
      <c r="G70" s="861" t="str">
        <f t="shared" si="5"/>
        <v>Payment rank</v>
      </c>
      <c r="H70" s="862" t="str">
        <f t="shared" si="5"/>
        <v>Reference rate</v>
      </c>
      <c r="I70" s="863" t="str">
        <f t="shared" si="5"/>
        <v>Interest rate / margin spread on reference rate</v>
      </c>
      <c r="L70" s="167"/>
      <c r="U70" s="288"/>
    </row>
    <row r="71" spans="2:22" outlineLevel="1">
      <c r="B71" s="611"/>
      <c r="C71" s="248" t="str">
        <f t="shared" si="5"/>
        <v>dd/mm/yyyy</v>
      </c>
      <c r="D71" s="249" t="str">
        <f t="shared" si="5"/>
        <v>dd/mm/yyyy</v>
      </c>
      <c r="E71" s="249" t="str">
        <f t="shared" si="5"/>
        <v/>
      </c>
      <c r="F71" s="249" t="str">
        <f t="shared" si="5"/>
        <v/>
      </c>
      <c r="G71" s="249" t="str">
        <f t="shared" si="5"/>
        <v/>
      </c>
      <c r="H71" s="249" t="str">
        <f t="shared" si="5"/>
        <v/>
      </c>
      <c r="I71" s="250" t="str">
        <f t="shared" si="5"/>
        <v xml:space="preserve">% </v>
      </c>
      <c r="L71" s="167"/>
      <c r="M71" s="191" t="s">
        <v>454</v>
      </c>
      <c r="N71" s="192" t="s">
        <v>454</v>
      </c>
      <c r="O71" s="192" t="s">
        <v>454</v>
      </c>
      <c r="P71" s="192" t="s">
        <v>454</v>
      </c>
      <c r="Q71" s="192" t="s">
        <v>454</v>
      </c>
      <c r="R71" s="192" t="s">
        <v>454</v>
      </c>
      <c r="S71" s="192" t="s">
        <v>454</v>
      </c>
      <c r="T71" s="280" t="s">
        <v>454</v>
      </c>
      <c r="U71" s="291" t="s">
        <v>454</v>
      </c>
      <c r="V71" s="192" t="s">
        <v>454</v>
      </c>
    </row>
    <row r="72" spans="2:22" outlineLevel="1">
      <c r="B72" s="241" t="s">
        <v>467</v>
      </c>
      <c r="C72" s="674" t="str">
        <f t="shared" si="5"/>
        <v/>
      </c>
      <c r="D72" s="659" t="str">
        <f t="shared" ref="D72:I72" si="6">D51</f>
        <v/>
      </c>
      <c r="E72" s="675" t="str">
        <f t="shared" si="6"/>
        <v/>
      </c>
      <c r="F72" s="676" t="str">
        <f t="shared" si="6"/>
        <v/>
      </c>
      <c r="G72" s="677" t="str">
        <f t="shared" si="6"/>
        <v/>
      </c>
      <c r="H72" s="676" t="str">
        <f t="shared" si="6"/>
        <v/>
      </c>
      <c r="I72" s="663" t="str">
        <f t="shared" si="6"/>
        <v/>
      </c>
      <c r="J72" s="201"/>
      <c r="K72" s="202"/>
      <c r="L72" s="203"/>
      <c r="M72" s="535">
        <v>0</v>
      </c>
      <c r="N72" s="487"/>
      <c r="O72" s="487"/>
      <c r="P72" s="487"/>
      <c r="Q72" s="487"/>
      <c r="R72" s="487"/>
      <c r="S72" s="487"/>
      <c r="T72" s="487"/>
      <c r="U72" s="487"/>
      <c r="V72" s="487"/>
    </row>
    <row r="73" spans="2:22" outlineLevel="1">
      <c r="B73" s="242" t="s">
        <v>468</v>
      </c>
      <c r="C73" s="678" t="str">
        <f t="shared" ref="C73:I73" si="7">C52</f>
        <v/>
      </c>
      <c r="D73" s="678" t="str">
        <f t="shared" si="7"/>
        <v/>
      </c>
      <c r="E73" s="679" t="str">
        <f t="shared" si="7"/>
        <v/>
      </c>
      <c r="F73" s="680" t="str">
        <f t="shared" si="7"/>
        <v/>
      </c>
      <c r="G73" s="681" t="str">
        <f t="shared" si="7"/>
        <v/>
      </c>
      <c r="H73" s="680" t="str">
        <f t="shared" si="7"/>
        <v/>
      </c>
      <c r="I73" s="668" t="str">
        <f t="shared" si="7"/>
        <v/>
      </c>
      <c r="J73" s="201"/>
      <c r="K73" s="202"/>
      <c r="L73" s="203"/>
      <c r="M73" s="487"/>
      <c r="N73" s="487"/>
      <c r="O73" s="487"/>
      <c r="P73" s="487"/>
      <c r="Q73" s="487"/>
      <c r="R73" s="487"/>
      <c r="S73" s="487"/>
      <c r="T73" s="487"/>
      <c r="U73" s="487"/>
      <c r="V73" s="487"/>
    </row>
    <row r="74" spans="2:22" outlineLevel="1">
      <c r="B74" s="241" t="s">
        <v>469</v>
      </c>
      <c r="C74" s="678" t="str">
        <f t="shared" ref="C74:I74" si="8">C53</f>
        <v/>
      </c>
      <c r="D74" s="678" t="str">
        <f t="shared" si="8"/>
        <v/>
      </c>
      <c r="E74" s="679" t="str">
        <f t="shared" si="8"/>
        <v/>
      </c>
      <c r="F74" s="680" t="str">
        <f t="shared" si="8"/>
        <v/>
      </c>
      <c r="G74" s="681" t="str">
        <f t="shared" si="8"/>
        <v/>
      </c>
      <c r="H74" s="680" t="str">
        <f t="shared" si="8"/>
        <v/>
      </c>
      <c r="I74" s="668" t="str">
        <f t="shared" si="8"/>
        <v/>
      </c>
      <c r="J74" s="201"/>
      <c r="K74" s="202"/>
      <c r="L74" s="203"/>
      <c r="M74" s="487"/>
      <c r="N74" s="487"/>
      <c r="O74" s="487"/>
      <c r="P74" s="487"/>
      <c r="Q74" s="487"/>
      <c r="R74" s="487"/>
      <c r="S74" s="487"/>
      <c r="T74" s="487"/>
      <c r="U74" s="487"/>
      <c r="V74" s="487"/>
    </row>
    <row r="75" spans="2:22" outlineLevel="1">
      <c r="B75" s="242" t="s">
        <v>470</v>
      </c>
      <c r="C75" s="678" t="str">
        <f t="shared" ref="C75:I75" si="9">C54</f>
        <v/>
      </c>
      <c r="D75" s="678" t="str">
        <f t="shared" si="9"/>
        <v/>
      </c>
      <c r="E75" s="679" t="str">
        <f t="shared" si="9"/>
        <v/>
      </c>
      <c r="F75" s="680" t="str">
        <f t="shared" si="9"/>
        <v/>
      </c>
      <c r="G75" s="681" t="str">
        <f t="shared" si="9"/>
        <v/>
      </c>
      <c r="H75" s="680" t="str">
        <f t="shared" si="9"/>
        <v/>
      </c>
      <c r="I75" s="668" t="str">
        <f t="shared" si="9"/>
        <v/>
      </c>
      <c r="J75" s="201"/>
      <c r="K75" s="202"/>
      <c r="L75" s="203"/>
      <c r="M75" s="487"/>
      <c r="N75" s="487"/>
      <c r="O75" s="487"/>
      <c r="P75" s="487"/>
      <c r="Q75" s="487"/>
      <c r="R75" s="487"/>
      <c r="S75" s="487"/>
      <c r="T75" s="487"/>
      <c r="U75" s="487"/>
      <c r="V75" s="487"/>
    </row>
    <row r="76" spans="2:22" outlineLevel="1">
      <c r="B76" s="241" t="s">
        <v>471</v>
      </c>
      <c r="C76" s="678" t="str">
        <f t="shared" ref="C76:I76" si="10">C55</f>
        <v/>
      </c>
      <c r="D76" s="678" t="str">
        <f t="shared" si="10"/>
        <v/>
      </c>
      <c r="E76" s="679" t="str">
        <f t="shared" si="10"/>
        <v/>
      </c>
      <c r="F76" s="680" t="str">
        <f t="shared" si="10"/>
        <v/>
      </c>
      <c r="G76" s="681" t="str">
        <f t="shared" si="10"/>
        <v/>
      </c>
      <c r="H76" s="680" t="str">
        <f t="shared" si="10"/>
        <v/>
      </c>
      <c r="I76" s="668" t="str">
        <f t="shared" si="10"/>
        <v/>
      </c>
      <c r="J76" s="201"/>
      <c r="K76" s="202"/>
      <c r="L76" s="203"/>
      <c r="M76" s="487"/>
      <c r="N76" s="487"/>
      <c r="O76" s="487"/>
      <c r="P76" s="487"/>
      <c r="Q76" s="487"/>
      <c r="R76" s="487"/>
      <c r="S76" s="487"/>
      <c r="T76" s="487"/>
      <c r="U76" s="487"/>
      <c r="V76" s="487"/>
    </row>
    <row r="77" spans="2:22" outlineLevel="1">
      <c r="B77" s="242" t="s">
        <v>472</v>
      </c>
      <c r="C77" s="678" t="str">
        <f t="shared" ref="C77:I77" si="11">C56</f>
        <v/>
      </c>
      <c r="D77" s="678" t="str">
        <f t="shared" si="11"/>
        <v/>
      </c>
      <c r="E77" s="679" t="str">
        <f t="shared" si="11"/>
        <v/>
      </c>
      <c r="F77" s="680" t="str">
        <f t="shared" si="11"/>
        <v/>
      </c>
      <c r="G77" s="681" t="str">
        <f t="shared" si="11"/>
        <v/>
      </c>
      <c r="H77" s="680" t="str">
        <f t="shared" si="11"/>
        <v/>
      </c>
      <c r="I77" s="668" t="str">
        <f t="shared" si="11"/>
        <v/>
      </c>
      <c r="J77" s="201"/>
      <c r="K77" s="202"/>
      <c r="L77" s="203"/>
      <c r="M77" s="487"/>
      <c r="N77" s="487"/>
      <c r="O77" s="487"/>
      <c r="P77" s="487"/>
      <c r="Q77" s="487"/>
      <c r="R77" s="487"/>
      <c r="S77" s="487"/>
      <c r="T77" s="487"/>
      <c r="U77" s="487"/>
      <c r="V77" s="487"/>
    </row>
    <row r="78" spans="2:22" outlineLevel="1">
      <c r="B78" s="241" t="s">
        <v>473</v>
      </c>
      <c r="C78" s="678" t="str">
        <f t="shared" ref="C78:I78" si="12">C57</f>
        <v/>
      </c>
      <c r="D78" s="678" t="str">
        <f t="shared" si="12"/>
        <v/>
      </c>
      <c r="E78" s="679" t="str">
        <f t="shared" si="12"/>
        <v/>
      </c>
      <c r="F78" s="680" t="str">
        <f t="shared" si="12"/>
        <v/>
      </c>
      <c r="G78" s="681" t="str">
        <f t="shared" si="12"/>
        <v/>
      </c>
      <c r="H78" s="680" t="str">
        <f t="shared" si="12"/>
        <v/>
      </c>
      <c r="I78" s="668" t="str">
        <f t="shared" si="12"/>
        <v/>
      </c>
      <c r="J78" s="201"/>
      <c r="K78" s="202"/>
      <c r="L78" s="203"/>
      <c r="M78" s="487"/>
      <c r="N78" s="487"/>
      <c r="O78" s="487"/>
      <c r="P78" s="487"/>
      <c r="Q78" s="487"/>
      <c r="R78" s="487"/>
      <c r="S78" s="487"/>
      <c r="T78" s="487"/>
      <c r="U78" s="487"/>
      <c r="V78" s="487"/>
    </row>
    <row r="79" spans="2:22" outlineLevel="1">
      <c r="B79" s="242" t="s">
        <v>474</v>
      </c>
      <c r="C79" s="678" t="str">
        <f t="shared" ref="C79:I79" si="13">C58</f>
        <v/>
      </c>
      <c r="D79" s="678" t="str">
        <f t="shared" si="13"/>
        <v/>
      </c>
      <c r="E79" s="679" t="str">
        <f t="shared" si="13"/>
        <v/>
      </c>
      <c r="F79" s="680" t="str">
        <f t="shared" si="13"/>
        <v/>
      </c>
      <c r="G79" s="681" t="str">
        <f t="shared" si="13"/>
        <v/>
      </c>
      <c r="H79" s="680" t="str">
        <f t="shared" si="13"/>
        <v/>
      </c>
      <c r="I79" s="668" t="str">
        <f t="shared" si="13"/>
        <v/>
      </c>
      <c r="J79" s="201"/>
      <c r="K79" s="202"/>
      <c r="L79" s="203"/>
      <c r="M79" s="487"/>
      <c r="N79" s="487"/>
      <c r="O79" s="487"/>
      <c r="P79" s="487"/>
      <c r="Q79" s="487"/>
      <c r="R79" s="487"/>
      <c r="S79" s="487"/>
      <c r="T79" s="487"/>
      <c r="U79" s="487"/>
      <c r="V79" s="487"/>
    </row>
    <row r="80" spans="2:22" outlineLevel="1">
      <c r="B80" s="241" t="s">
        <v>475</v>
      </c>
      <c r="C80" s="678" t="str">
        <f t="shared" ref="C80:I80" si="14">C59</f>
        <v/>
      </c>
      <c r="D80" s="678" t="str">
        <f t="shared" si="14"/>
        <v/>
      </c>
      <c r="E80" s="679" t="str">
        <f t="shared" si="14"/>
        <v/>
      </c>
      <c r="F80" s="680" t="str">
        <f t="shared" si="14"/>
        <v/>
      </c>
      <c r="G80" s="681" t="str">
        <f t="shared" si="14"/>
        <v/>
      </c>
      <c r="H80" s="680" t="str">
        <f t="shared" si="14"/>
        <v/>
      </c>
      <c r="I80" s="668" t="str">
        <f t="shared" si="14"/>
        <v/>
      </c>
      <c r="J80" s="201"/>
      <c r="K80" s="202"/>
      <c r="L80" s="203"/>
      <c r="M80" s="487"/>
      <c r="N80" s="487"/>
      <c r="O80" s="487"/>
      <c r="P80" s="487"/>
      <c r="Q80" s="487"/>
      <c r="R80" s="487"/>
      <c r="S80" s="487"/>
      <c r="T80" s="487"/>
      <c r="U80" s="487"/>
      <c r="V80" s="487"/>
    </row>
    <row r="81" spans="2:29" outlineLevel="1">
      <c r="B81" s="242" t="s">
        <v>476</v>
      </c>
      <c r="C81" s="678" t="str">
        <f t="shared" ref="C81:I81" si="15">C60</f>
        <v/>
      </c>
      <c r="D81" s="678" t="str">
        <f t="shared" si="15"/>
        <v/>
      </c>
      <c r="E81" s="679" t="str">
        <f t="shared" si="15"/>
        <v/>
      </c>
      <c r="F81" s="680" t="str">
        <f t="shared" si="15"/>
        <v/>
      </c>
      <c r="G81" s="681" t="str">
        <f t="shared" si="15"/>
        <v/>
      </c>
      <c r="H81" s="680" t="str">
        <f t="shared" si="15"/>
        <v/>
      </c>
      <c r="I81" s="668" t="str">
        <f t="shared" si="15"/>
        <v/>
      </c>
      <c r="J81" s="201"/>
      <c r="K81" s="202"/>
      <c r="L81" s="203"/>
      <c r="M81" s="487"/>
      <c r="N81" s="487"/>
      <c r="O81" s="487"/>
      <c r="P81" s="487"/>
      <c r="Q81" s="487"/>
      <c r="R81" s="487"/>
      <c r="S81" s="487"/>
      <c r="T81" s="487"/>
      <c r="U81" s="487"/>
      <c r="V81" s="487"/>
    </row>
    <row r="82" spans="2:29" outlineLevel="1">
      <c r="B82" s="241" t="s">
        <v>477</v>
      </c>
      <c r="C82" s="678" t="str">
        <f t="shared" ref="C82:I82" si="16">C61</f>
        <v/>
      </c>
      <c r="D82" s="678" t="str">
        <f t="shared" si="16"/>
        <v/>
      </c>
      <c r="E82" s="679" t="str">
        <f t="shared" si="16"/>
        <v/>
      </c>
      <c r="F82" s="680" t="str">
        <f t="shared" si="16"/>
        <v/>
      </c>
      <c r="G82" s="681" t="str">
        <f t="shared" si="16"/>
        <v/>
      </c>
      <c r="H82" s="680" t="str">
        <f t="shared" si="16"/>
        <v/>
      </c>
      <c r="I82" s="668" t="str">
        <f t="shared" si="16"/>
        <v/>
      </c>
      <c r="J82" s="201"/>
      <c r="K82" s="202"/>
      <c r="L82" s="203"/>
      <c r="M82" s="487"/>
      <c r="N82" s="487"/>
      <c r="O82" s="487"/>
      <c r="P82" s="487"/>
      <c r="Q82" s="487"/>
      <c r="R82" s="487"/>
      <c r="S82" s="487"/>
      <c r="T82" s="487"/>
      <c r="U82" s="487"/>
      <c r="V82" s="487"/>
    </row>
    <row r="83" spans="2:29" outlineLevel="1">
      <c r="B83" s="242" t="s">
        <v>478</v>
      </c>
      <c r="C83" s="664" t="str">
        <f t="shared" ref="C83:I83" si="17">C62</f>
        <v/>
      </c>
      <c r="D83" s="664" t="str">
        <f t="shared" si="17"/>
        <v/>
      </c>
      <c r="E83" s="682" t="str">
        <f t="shared" si="17"/>
        <v/>
      </c>
      <c r="F83" s="683" t="str">
        <f t="shared" si="17"/>
        <v/>
      </c>
      <c r="G83" s="684" t="str">
        <f t="shared" si="17"/>
        <v/>
      </c>
      <c r="H83" s="683" t="str">
        <f t="shared" si="17"/>
        <v/>
      </c>
      <c r="I83" s="668" t="str">
        <f t="shared" si="17"/>
        <v/>
      </c>
      <c r="J83" s="201"/>
      <c r="K83" s="202"/>
      <c r="L83" s="203"/>
      <c r="M83" s="487"/>
      <c r="N83" s="487"/>
      <c r="O83" s="487"/>
      <c r="P83" s="487"/>
      <c r="Q83" s="487"/>
      <c r="R83" s="487"/>
      <c r="S83" s="487"/>
      <c r="T83" s="487"/>
      <c r="U83" s="487"/>
      <c r="V83" s="487"/>
    </row>
    <row r="84" spans="2:29" outlineLevel="1">
      <c r="B84" s="241" t="s">
        <v>479</v>
      </c>
      <c r="C84" s="664" t="str">
        <f t="shared" ref="C84:I84" si="18">C63</f>
        <v/>
      </c>
      <c r="D84" s="664" t="str">
        <f t="shared" si="18"/>
        <v/>
      </c>
      <c r="E84" s="682" t="str">
        <f t="shared" si="18"/>
        <v/>
      </c>
      <c r="F84" s="683" t="str">
        <f t="shared" si="18"/>
        <v/>
      </c>
      <c r="G84" s="684" t="str">
        <f t="shared" si="18"/>
        <v/>
      </c>
      <c r="H84" s="683" t="str">
        <f t="shared" si="18"/>
        <v/>
      </c>
      <c r="I84" s="668" t="str">
        <f t="shared" si="18"/>
        <v/>
      </c>
      <c r="J84" s="201"/>
      <c r="K84" s="202"/>
      <c r="L84" s="203"/>
      <c r="M84" s="487"/>
      <c r="N84" s="487"/>
      <c r="O84" s="487"/>
      <c r="P84" s="487"/>
      <c r="Q84" s="487"/>
      <c r="R84" s="487"/>
      <c r="S84" s="487"/>
      <c r="T84" s="487"/>
      <c r="U84" s="487"/>
      <c r="V84" s="487"/>
    </row>
    <row r="85" spans="2:29" outlineLevel="1">
      <c r="B85" s="242" t="s">
        <v>480</v>
      </c>
      <c r="C85" s="664" t="str">
        <f t="shared" ref="C85:I85" si="19">C64</f>
        <v/>
      </c>
      <c r="D85" s="664" t="str">
        <f t="shared" si="19"/>
        <v/>
      </c>
      <c r="E85" s="682" t="str">
        <f t="shared" si="19"/>
        <v/>
      </c>
      <c r="F85" s="683" t="str">
        <f t="shared" si="19"/>
        <v/>
      </c>
      <c r="G85" s="684" t="str">
        <f t="shared" si="19"/>
        <v/>
      </c>
      <c r="H85" s="683" t="str">
        <f t="shared" si="19"/>
        <v/>
      </c>
      <c r="I85" s="668" t="str">
        <f t="shared" si="19"/>
        <v/>
      </c>
      <c r="J85" s="201"/>
      <c r="K85" s="202"/>
      <c r="L85" s="203"/>
      <c r="M85" s="487"/>
      <c r="N85" s="487"/>
      <c r="O85" s="487"/>
      <c r="P85" s="487"/>
      <c r="Q85" s="487"/>
      <c r="R85" s="487"/>
      <c r="S85" s="487"/>
      <c r="T85" s="487"/>
      <c r="U85" s="487"/>
      <c r="V85" s="487"/>
    </row>
    <row r="86" spans="2:29" outlineLevel="1">
      <c r="B86" s="241" t="s">
        <v>481</v>
      </c>
      <c r="C86" s="664" t="str">
        <f t="shared" ref="C86:I86" si="20">C65</f>
        <v/>
      </c>
      <c r="D86" s="664" t="str">
        <f t="shared" si="20"/>
        <v/>
      </c>
      <c r="E86" s="682" t="str">
        <f t="shared" si="20"/>
        <v/>
      </c>
      <c r="F86" s="683" t="str">
        <f t="shared" si="20"/>
        <v/>
      </c>
      <c r="G86" s="684" t="str">
        <f t="shared" si="20"/>
        <v/>
      </c>
      <c r="H86" s="683" t="str">
        <f t="shared" si="20"/>
        <v/>
      </c>
      <c r="I86" s="668" t="str">
        <f t="shared" si="20"/>
        <v/>
      </c>
      <c r="J86" s="201"/>
      <c r="K86" s="202"/>
      <c r="L86" s="203"/>
      <c r="M86" s="487"/>
      <c r="N86" s="487"/>
      <c r="O86" s="487"/>
      <c r="P86" s="487"/>
      <c r="Q86" s="487"/>
      <c r="R86" s="487"/>
      <c r="S86" s="487"/>
      <c r="T86" s="487"/>
      <c r="U86" s="487"/>
      <c r="V86" s="487"/>
    </row>
    <row r="87" spans="2:29" outlineLevel="1">
      <c r="C87" s="151"/>
      <c r="D87" s="151"/>
      <c r="E87" s="151"/>
      <c r="F87" s="151"/>
      <c r="L87" s="1072" t="s">
        <v>339</v>
      </c>
      <c r="M87" s="503">
        <f t="shared" ref="M87:V87" si="21">SUM(M72:M86)</f>
        <v>0</v>
      </c>
      <c r="N87" s="504">
        <f t="shared" si="21"/>
        <v>0</v>
      </c>
      <c r="O87" s="504">
        <f t="shared" si="21"/>
        <v>0</v>
      </c>
      <c r="P87" s="504">
        <f t="shared" si="21"/>
        <v>0</v>
      </c>
      <c r="Q87" s="504">
        <f t="shared" si="21"/>
        <v>0</v>
      </c>
      <c r="R87" s="504">
        <f t="shared" si="21"/>
        <v>0</v>
      </c>
      <c r="S87" s="504">
        <f t="shared" si="21"/>
        <v>0</v>
      </c>
      <c r="T87" s="505">
        <f t="shared" si="21"/>
        <v>0</v>
      </c>
      <c r="U87" s="506">
        <f t="shared" si="21"/>
        <v>0</v>
      </c>
      <c r="V87" s="504">
        <f t="shared" si="21"/>
        <v>0</v>
      </c>
    </row>
    <row r="88" spans="2:29" outlineLevel="1">
      <c r="C88" s="151"/>
      <c r="D88" s="156"/>
      <c r="E88" s="156"/>
      <c r="F88" s="156"/>
      <c r="L88" s="308"/>
      <c r="M88" s="156"/>
      <c r="N88" s="156"/>
      <c r="O88" s="156"/>
      <c r="P88" s="156"/>
      <c r="Q88" s="156"/>
      <c r="R88" s="156"/>
      <c r="S88" s="156"/>
      <c r="T88" s="156"/>
      <c r="U88" s="290"/>
      <c r="V88" s="156"/>
    </row>
    <row r="89" spans="2:29">
      <c r="C89" s="151"/>
      <c r="D89" s="151"/>
      <c r="E89" s="151"/>
      <c r="F89" s="151"/>
      <c r="L89" s="154"/>
      <c r="M89" s="151"/>
      <c r="N89" s="151"/>
      <c r="O89" s="151"/>
      <c r="P89" s="151"/>
      <c r="Q89" s="151"/>
      <c r="R89" s="151"/>
      <c r="S89" s="151"/>
      <c r="T89" s="151"/>
      <c r="U89" s="292"/>
      <c r="V89" s="151"/>
      <c r="W89" s="151"/>
      <c r="X89" s="151"/>
      <c r="Y89" s="151"/>
      <c r="Z89" s="151"/>
      <c r="AA89" s="151"/>
      <c r="AB89" s="151"/>
      <c r="AC89" s="151"/>
    </row>
    <row r="90" spans="2:29" ht="14">
      <c r="B90" s="259" t="s">
        <v>482</v>
      </c>
      <c r="C90" s="260" t="s">
        <v>483</v>
      </c>
      <c r="D90" s="260"/>
      <c r="E90" s="260"/>
      <c r="F90" s="260"/>
      <c r="G90" s="261"/>
      <c r="H90" s="261"/>
      <c r="I90" s="261"/>
      <c r="J90" s="261"/>
      <c r="K90" s="261"/>
      <c r="L90" s="259"/>
      <c r="M90" s="260"/>
      <c r="N90" s="260"/>
      <c r="O90" s="260"/>
      <c r="P90" s="260"/>
      <c r="Q90" s="260"/>
      <c r="R90" s="260"/>
      <c r="S90" s="260"/>
      <c r="T90" s="260"/>
      <c r="U90" s="293"/>
      <c r="V90" s="260"/>
      <c r="W90" s="151"/>
      <c r="X90" s="151"/>
      <c r="Y90" s="151"/>
      <c r="Z90" s="151"/>
      <c r="AA90" s="151"/>
      <c r="AB90" s="151"/>
      <c r="AC90" s="151"/>
    </row>
    <row r="91" spans="2:29" ht="14">
      <c r="B91" s="264"/>
      <c r="C91" s="265"/>
      <c r="D91" s="265"/>
      <c r="E91" s="265"/>
      <c r="F91" s="265"/>
      <c r="G91" s="266"/>
      <c r="H91" s="266"/>
      <c r="I91" s="266"/>
      <c r="J91" s="266"/>
      <c r="K91" s="266"/>
      <c r="L91" s="264"/>
      <c r="M91" s="265"/>
      <c r="N91" s="265"/>
      <c r="O91" s="265"/>
      <c r="P91" s="265"/>
      <c r="Q91" s="265"/>
      <c r="R91" s="265"/>
      <c r="S91" s="265"/>
      <c r="T91" s="265"/>
      <c r="U91" s="294"/>
      <c r="V91" s="265"/>
      <c r="W91" s="151"/>
      <c r="X91" s="151"/>
      <c r="Y91" s="151"/>
      <c r="Z91" s="151"/>
      <c r="AA91" s="151"/>
      <c r="AB91" s="151"/>
      <c r="AC91" s="151"/>
    </row>
    <row r="92" spans="2:29" ht="17.5" outlineLevel="1">
      <c r="D92" s="270" t="s">
        <v>452</v>
      </c>
      <c r="E92" s="271"/>
      <c r="F92" s="271"/>
      <c r="G92" s="271"/>
      <c r="H92" s="271"/>
      <c r="I92" s="271"/>
      <c r="J92" s="271"/>
      <c r="K92" s="271"/>
      <c r="L92" s="311"/>
      <c r="M92" s="272"/>
      <c r="N92" s="272"/>
      <c r="O92" s="272"/>
      <c r="P92" s="272"/>
      <c r="Q92" s="272"/>
      <c r="R92" s="272"/>
      <c r="S92" s="272"/>
      <c r="T92" s="272"/>
      <c r="U92" s="295"/>
      <c r="V92" s="272"/>
    </row>
    <row r="93" spans="2:29" ht="17.5" outlineLevel="1">
      <c r="C93" s="273"/>
      <c r="D93" s="155"/>
      <c r="L93" s="154"/>
      <c r="M93" s="151"/>
      <c r="N93" s="151"/>
      <c r="O93" s="151"/>
      <c r="P93" s="151"/>
      <c r="Q93" s="151"/>
      <c r="R93" s="151"/>
      <c r="S93" s="151"/>
      <c r="T93" s="151"/>
      <c r="U93" s="292"/>
      <c r="V93" s="151"/>
    </row>
    <row r="94" spans="2:29" ht="40.5" outlineLevel="1">
      <c r="B94" s="1286" t="s">
        <v>453</v>
      </c>
      <c r="C94" s="860" t="str">
        <f>IF('R6a - Net Debt input'!D58 = "","",'R6a - Net Debt input'!D58)</f>
        <v>Issue date</v>
      </c>
      <c r="D94" s="861" t="str">
        <f>IF('R6a - Net Debt input'!E58 = "","",'R6a - Net Debt input'!E58)</f>
        <v>Maturity date</v>
      </c>
      <c r="E94" s="861" t="str">
        <f>IF('R6a - Net Debt input'!F58 = "","",'R6a - Net Debt input'!F58)</f>
        <v>Description</v>
      </c>
      <c r="F94" s="861" t="str">
        <f>IF('R6a - Net Debt input'!G58 = "","",'R6a - Net Debt input'!G58)</f>
        <v>Loan type</v>
      </c>
      <c r="G94" s="861" t="str">
        <f>IF('R6a - Net Debt input'!H58 = "","",'R6a - Net Debt input'!H58)</f>
        <v>Payment rank</v>
      </c>
      <c r="H94" s="862" t="str">
        <f>IF('R6a - Net Debt input'!I58 = "","",'R6a - Net Debt input'!I58)</f>
        <v>Reference rate</v>
      </c>
      <c r="I94" s="863" t="str">
        <f>IF('R6a - Net Debt input'!J58 = "","",'R6a - Net Debt input'!J58)</f>
        <v>Coupon rate / margin spread on reference rate</v>
      </c>
      <c r="L94" s="167"/>
      <c r="U94" s="288"/>
    </row>
    <row r="95" spans="2:29" outlineLevel="1">
      <c r="B95" s="1073"/>
      <c r="C95" s="248" t="str">
        <f>IF('R6a - Net Debt input'!D59 = "","",'R6a - Net Debt input'!D59)</f>
        <v>dd/mm/yyyy</v>
      </c>
      <c r="D95" s="249" t="str">
        <f>IF('R6a - Net Debt input'!E59 = "","",'R6a - Net Debt input'!E59)</f>
        <v>dd/mm/yyyy</v>
      </c>
      <c r="E95" s="249" t="str">
        <f>IF('R6a - Net Debt input'!F59 = "","",'R6a - Net Debt input'!F59)</f>
        <v/>
      </c>
      <c r="F95" s="249" t="str">
        <f>IF('R6a - Net Debt input'!G59 = "","",'R6a - Net Debt input'!G59)</f>
        <v/>
      </c>
      <c r="G95" s="249" t="str">
        <f>IF('R6a - Net Debt input'!H59 = "","",'R6a - Net Debt input'!H59)</f>
        <v/>
      </c>
      <c r="H95" s="249" t="str">
        <f>IF('R6a - Net Debt input'!I59 = "","",'R6a - Net Debt input'!I59)</f>
        <v/>
      </c>
      <c r="I95" s="250" t="str">
        <f>IF('R6a - Net Debt input'!J59 = "","",'R6a - Net Debt input'!J59)</f>
        <v xml:space="preserve">% </v>
      </c>
      <c r="L95" s="167"/>
      <c r="M95" s="191" t="s">
        <v>454</v>
      </c>
      <c r="N95" s="192" t="s">
        <v>454</v>
      </c>
      <c r="O95" s="192" t="s">
        <v>454</v>
      </c>
      <c r="P95" s="192" t="s">
        <v>454</v>
      </c>
      <c r="Q95" s="192" t="s">
        <v>454</v>
      </c>
      <c r="R95" s="192" t="s">
        <v>454</v>
      </c>
      <c r="S95" s="192" t="s">
        <v>454</v>
      </c>
      <c r="T95" s="280" t="s">
        <v>454</v>
      </c>
      <c r="U95" s="291" t="s">
        <v>454</v>
      </c>
      <c r="V95" s="192" t="s">
        <v>454</v>
      </c>
    </row>
    <row r="96" spans="2:29" outlineLevel="1">
      <c r="B96" s="241" t="s">
        <v>484</v>
      </c>
      <c r="C96" s="204">
        <f>IF('R6a - Net Debt input'!D60 = "","",'R6a - Net Debt input'!D60)</f>
        <v>43556</v>
      </c>
      <c r="D96" s="204">
        <f>IF('R6a - Net Debt input'!E60 = "","",'R6a - Net Debt input'!E60)</f>
        <v>44652</v>
      </c>
      <c r="E96" s="213" t="str">
        <f>IF('R6a - Net Debt input'!F60 = "","",'R6a - Net Debt input'!F60)</f>
        <v>National Grid plc</v>
      </c>
      <c r="F96" s="214" t="str">
        <f>IF('R6a - Net Debt input'!G60 = "","",'R6a - Net Debt input'!G60)</f>
        <v>Intercompany</v>
      </c>
      <c r="G96" s="582" t="str">
        <f>IF('R6a - Net Debt input'!H60 = "","",'R6a - Net Debt input'!H60)</f>
        <v/>
      </c>
      <c r="H96" s="214" t="str">
        <f>IF('R6a - Net Debt input'!I60 = "","",'R6a - Net Debt input'!I60)</f>
        <v>1 day GBP SONIA</v>
      </c>
      <c r="I96" s="377">
        <f>IF('R6a - Net Debt input'!J60 = "","",'R6a - Net Debt input'!J60)</f>
        <v>1.0829999999999999E-2</v>
      </c>
      <c r="J96" s="201"/>
      <c r="K96" s="202"/>
      <c r="L96" s="203"/>
      <c r="M96" s="487">
        <v>1.1857912399999999</v>
      </c>
      <c r="N96" s="487">
        <v>1.1857912399999999</v>
      </c>
      <c r="O96" s="487">
        <v>1.1857912399999999</v>
      </c>
      <c r="P96" s="487">
        <v>1.1857912399999999</v>
      </c>
      <c r="Q96" s="487">
        <v>1.1857912399999999</v>
      </c>
      <c r="R96" s="487">
        <v>1.1857912399999999</v>
      </c>
      <c r="S96" s="487">
        <v>0</v>
      </c>
      <c r="T96" s="489">
        <v>0</v>
      </c>
      <c r="U96" s="490">
        <v>0</v>
      </c>
      <c r="V96" s="488">
        <v>0</v>
      </c>
    </row>
    <row r="97" spans="2:22" outlineLevel="1">
      <c r="B97" s="244" t="s">
        <v>485</v>
      </c>
      <c r="C97" s="207" t="str">
        <f>IF('R6a - Net Debt input'!D61 = "","",'R6a - Net Debt input'!D61)</f>
        <v/>
      </c>
      <c r="D97" s="207" t="str">
        <f>IF('R6a - Net Debt input'!E61 = "","",'R6a - Net Debt input'!E61)</f>
        <v/>
      </c>
      <c r="E97" s="215" t="str">
        <f>IF('R6a - Net Debt input'!F61 = "","",'R6a - Net Debt input'!F61)</f>
        <v/>
      </c>
      <c r="F97" s="216" t="str">
        <f>IF('R6a - Net Debt input'!G61 = "","",'R6a - Net Debt input'!G61)</f>
        <v/>
      </c>
      <c r="G97" s="583" t="str">
        <f>IF('R6a - Net Debt input'!H61 = "","",'R6a - Net Debt input'!H61)</f>
        <v/>
      </c>
      <c r="H97" s="216" t="str">
        <f>IF('R6a - Net Debt input'!I61 = "","",'R6a - Net Debt input'!I61)</f>
        <v/>
      </c>
      <c r="I97" s="378" t="str">
        <f>IF('R6a - Net Debt input'!J61 = "","",'R6a - Net Debt input'!J61)</f>
        <v/>
      </c>
      <c r="J97" s="201"/>
      <c r="K97" s="202"/>
      <c r="L97" s="203"/>
      <c r="M97" s="491"/>
      <c r="N97" s="492"/>
      <c r="O97" s="492"/>
      <c r="P97" s="492"/>
      <c r="Q97" s="492"/>
      <c r="R97" s="492"/>
      <c r="S97" s="492"/>
      <c r="T97" s="493"/>
      <c r="U97" s="494"/>
      <c r="V97" s="492"/>
    </row>
    <row r="98" spans="2:22" outlineLevel="1">
      <c r="B98" s="242" t="s">
        <v>486</v>
      </c>
      <c r="C98" s="207" t="str">
        <f>IF('R6a - Net Debt input'!D62 = "","",'R6a - Net Debt input'!D62)</f>
        <v/>
      </c>
      <c r="D98" s="207" t="str">
        <f>IF('R6a - Net Debt input'!E62 = "","",'R6a - Net Debt input'!E62)</f>
        <v/>
      </c>
      <c r="E98" s="215" t="str">
        <f>IF('R6a - Net Debt input'!F62 = "","",'R6a - Net Debt input'!F62)</f>
        <v/>
      </c>
      <c r="F98" s="216" t="str">
        <f>IF('R6a - Net Debt input'!G62 = "","",'R6a - Net Debt input'!G62)</f>
        <v/>
      </c>
      <c r="G98" s="583" t="str">
        <f>IF('R6a - Net Debt input'!H62 = "","",'R6a - Net Debt input'!H62)</f>
        <v/>
      </c>
      <c r="H98" s="216" t="str">
        <f>IF('R6a - Net Debt input'!I62 = "","",'R6a - Net Debt input'!I62)</f>
        <v/>
      </c>
      <c r="I98" s="378" t="str">
        <f>IF('R6a - Net Debt input'!J62 = "","",'R6a - Net Debt input'!J62)</f>
        <v/>
      </c>
      <c r="J98" s="201"/>
      <c r="K98" s="202"/>
      <c r="L98" s="203"/>
      <c r="M98" s="491"/>
      <c r="N98" s="492"/>
      <c r="O98" s="492"/>
      <c r="P98" s="492"/>
      <c r="Q98" s="492"/>
      <c r="R98" s="492"/>
      <c r="S98" s="492"/>
      <c r="T98" s="493"/>
      <c r="U98" s="494"/>
      <c r="V98" s="492"/>
    </row>
    <row r="99" spans="2:22" outlineLevel="1">
      <c r="B99" s="244" t="s">
        <v>487</v>
      </c>
      <c r="C99" s="207" t="str">
        <f>IF('R6a - Net Debt input'!D63 = "","",'R6a - Net Debt input'!D63)</f>
        <v/>
      </c>
      <c r="D99" s="207" t="str">
        <f>IF('R6a - Net Debt input'!E63 = "","",'R6a - Net Debt input'!E63)</f>
        <v/>
      </c>
      <c r="E99" s="215" t="str">
        <f>IF('R6a - Net Debt input'!F63 = "","",'R6a - Net Debt input'!F63)</f>
        <v/>
      </c>
      <c r="F99" s="216" t="str">
        <f>IF('R6a - Net Debt input'!G63 = "","",'R6a - Net Debt input'!G63)</f>
        <v/>
      </c>
      <c r="G99" s="583" t="str">
        <f>IF('R6a - Net Debt input'!H63 = "","",'R6a - Net Debt input'!H63)</f>
        <v/>
      </c>
      <c r="H99" s="216" t="str">
        <f>IF('R6a - Net Debt input'!I63 = "","",'R6a - Net Debt input'!I63)</f>
        <v/>
      </c>
      <c r="I99" s="378" t="str">
        <f>IF('R6a - Net Debt input'!J63 = "","",'R6a - Net Debt input'!J63)</f>
        <v/>
      </c>
      <c r="J99" s="201"/>
      <c r="K99" s="202"/>
      <c r="L99" s="203"/>
      <c r="M99" s="491"/>
      <c r="N99" s="492"/>
      <c r="O99" s="492"/>
      <c r="P99" s="492"/>
      <c r="Q99" s="492"/>
      <c r="R99" s="492"/>
      <c r="S99" s="492"/>
      <c r="T99" s="493"/>
      <c r="U99" s="494"/>
      <c r="V99" s="492"/>
    </row>
    <row r="100" spans="2:22" outlineLevel="1">
      <c r="B100" s="242" t="s">
        <v>488</v>
      </c>
      <c r="C100" s="207" t="str">
        <f>IF('R6a - Net Debt input'!D64 = "","",'R6a - Net Debt input'!D64)</f>
        <v/>
      </c>
      <c r="D100" s="207" t="str">
        <f>IF('R6a - Net Debt input'!E64 = "","",'R6a - Net Debt input'!E64)</f>
        <v/>
      </c>
      <c r="E100" s="215" t="str">
        <f>IF('R6a - Net Debt input'!F64 = "","",'R6a - Net Debt input'!F64)</f>
        <v/>
      </c>
      <c r="F100" s="216" t="str">
        <f>IF('R6a - Net Debt input'!G64 = "","",'R6a - Net Debt input'!G64)</f>
        <v/>
      </c>
      <c r="G100" s="583" t="str">
        <f>IF('R6a - Net Debt input'!H64 = "","",'R6a - Net Debt input'!H64)</f>
        <v/>
      </c>
      <c r="H100" s="216" t="str">
        <f>IF('R6a - Net Debt input'!I64 = "","",'R6a - Net Debt input'!I64)</f>
        <v/>
      </c>
      <c r="I100" s="378" t="str">
        <f>IF('R6a - Net Debt input'!J64 = "","",'R6a - Net Debt input'!J64)</f>
        <v/>
      </c>
      <c r="J100" s="201"/>
      <c r="K100" s="202"/>
      <c r="L100" s="203"/>
      <c r="M100" s="491"/>
      <c r="N100" s="492"/>
      <c r="O100" s="492"/>
      <c r="P100" s="492"/>
      <c r="Q100" s="492"/>
      <c r="R100" s="492"/>
      <c r="S100" s="492"/>
      <c r="T100" s="493"/>
      <c r="U100" s="494"/>
      <c r="V100" s="492"/>
    </row>
    <row r="101" spans="2:22" outlineLevel="1">
      <c r="B101" s="244" t="s">
        <v>489</v>
      </c>
      <c r="C101" s="207" t="str">
        <f>IF('R6a - Net Debt input'!D65 = "","",'R6a - Net Debt input'!D65)</f>
        <v/>
      </c>
      <c r="D101" s="207" t="str">
        <f>IF('R6a - Net Debt input'!E65 = "","",'R6a - Net Debt input'!E65)</f>
        <v/>
      </c>
      <c r="E101" s="215" t="str">
        <f>IF('R6a - Net Debt input'!F65 = "","",'R6a - Net Debt input'!F65)</f>
        <v/>
      </c>
      <c r="F101" s="216" t="str">
        <f>IF('R6a - Net Debt input'!G65 = "","",'R6a - Net Debt input'!G65)</f>
        <v/>
      </c>
      <c r="G101" s="583" t="str">
        <f>IF('R6a - Net Debt input'!H65 = "","",'R6a - Net Debt input'!H65)</f>
        <v/>
      </c>
      <c r="H101" s="216" t="str">
        <f>IF('R6a - Net Debt input'!I65 = "","",'R6a - Net Debt input'!I65)</f>
        <v/>
      </c>
      <c r="I101" s="378" t="str">
        <f>IF('R6a - Net Debt input'!J65 = "","",'R6a - Net Debt input'!J65)</f>
        <v/>
      </c>
      <c r="J101" s="201"/>
      <c r="K101" s="202"/>
      <c r="L101" s="203"/>
      <c r="M101" s="491"/>
      <c r="N101" s="492"/>
      <c r="O101" s="492"/>
      <c r="P101" s="492"/>
      <c r="Q101" s="492"/>
      <c r="R101" s="492"/>
      <c r="S101" s="492"/>
      <c r="T101" s="493"/>
      <c r="U101" s="494"/>
      <c r="V101" s="492"/>
    </row>
    <row r="102" spans="2:22" outlineLevel="1">
      <c r="B102" s="242" t="s">
        <v>490</v>
      </c>
      <c r="C102" s="207" t="str">
        <f>IF('R6a - Net Debt input'!D66 = "","",'R6a - Net Debt input'!D66)</f>
        <v/>
      </c>
      <c r="D102" s="207" t="str">
        <f>IF('R6a - Net Debt input'!E66 = "","",'R6a - Net Debt input'!E66)</f>
        <v/>
      </c>
      <c r="E102" s="215" t="str">
        <f>IF('R6a - Net Debt input'!F66 = "","",'R6a - Net Debt input'!F66)</f>
        <v/>
      </c>
      <c r="F102" s="216" t="str">
        <f>IF('R6a - Net Debt input'!G66 = "","",'R6a - Net Debt input'!G66)</f>
        <v/>
      </c>
      <c r="G102" s="583" t="str">
        <f>IF('R6a - Net Debt input'!H66 = "","",'R6a - Net Debt input'!H66)</f>
        <v/>
      </c>
      <c r="H102" s="216" t="str">
        <f>IF('R6a - Net Debt input'!I66 = "","",'R6a - Net Debt input'!I66)</f>
        <v/>
      </c>
      <c r="I102" s="378" t="str">
        <f>IF('R6a - Net Debt input'!J66 = "","",'R6a - Net Debt input'!J66)</f>
        <v/>
      </c>
      <c r="J102" s="201"/>
      <c r="K102" s="202"/>
      <c r="L102" s="203"/>
      <c r="M102" s="491"/>
      <c r="N102" s="492"/>
      <c r="O102" s="492"/>
      <c r="P102" s="492"/>
      <c r="Q102" s="492"/>
      <c r="R102" s="492"/>
      <c r="S102" s="492"/>
      <c r="T102" s="493"/>
      <c r="U102" s="494"/>
      <c r="V102" s="492"/>
    </row>
    <row r="103" spans="2:22" outlineLevel="1">
      <c r="B103" s="244" t="s">
        <v>491</v>
      </c>
      <c r="C103" s="207" t="str">
        <f>IF('R6a - Net Debt input'!D67 = "","",'R6a - Net Debt input'!D67)</f>
        <v/>
      </c>
      <c r="D103" s="207" t="str">
        <f>IF('R6a - Net Debt input'!E67 = "","",'R6a - Net Debt input'!E67)</f>
        <v/>
      </c>
      <c r="E103" s="215" t="str">
        <f>IF('R6a - Net Debt input'!F67 = "","",'R6a - Net Debt input'!F67)</f>
        <v/>
      </c>
      <c r="F103" s="216" t="str">
        <f>IF('R6a - Net Debt input'!G67 = "","",'R6a - Net Debt input'!G67)</f>
        <v/>
      </c>
      <c r="G103" s="583" t="str">
        <f>IF('R6a - Net Debt input'!H67 = "","",'R6a - Net Debt input'!H67)</f>
        <v/>
      </c>
      <c r="H103" s="216" t="str">
        <f>IF('R6a - Net Debt input'!I67 = "","",'R6a - Net Debt input'!I67)</f>
        <v/>
      </c>
      <c r="I103" s="378" t="str">
        <f>IF('R6a - Net Debt input'!J67 = "","",'R6a - Net Debt input'!J67)</f>
        <v/>
      </c>
      <c r="J103" s="201"/>
      <c r="K103" s="202"/>
      <c r="L103" s="203"/>
      <c r="M103" s="491"/>
      <c r="N103" s="492"/>
      <c r="O103" s="492"/>
      <c r="P103" s="492"/>
      <c r="Q103" s="492"/>
      <c r="R103" s="492"/>
      <c r="S103" s="492"/>
      <c r="T103" s="493"/>
      <c r="U103" s="494"/>
      <c r="V103" s="492"/>
    </row>
    <row r="104" spans="2:22" outlineLevel="1">
      <c r="B104" s="243" t="s">
        <v>492</v>
      </c>
      <c r="C104" s="210" t="str">
        <f>IF('R6a - Net Debt input'!D68 = "","",'R6a - Net Debt input'!D68)</f>
        <v/>
      </c>
      <c r="D104" s="210" t="str">
        <f>IF('R6a - Net Debt input'!E68 = "","",'R6a - Net Debt input'!E68)</f>
        <v/>
      </c>
      <c r="E104" s="217" t="str">
        <f>IF('R6a - Net Debt input'!F68 = "","",'R6a - Net Debt input'!F68)</f>
        <v/>
      </c>
      <c r="F104" s="218" t="str">
        <f>IF('R6a - Net Debt input'!G68 = "","",'R6a - Net Debt input'!G68)</f>
        <v/>
      </c>
      <c r="G104" s="584" t="str">
        <f>IF('R6a - Net Debt input'!H68 = "","",'R6a - Net Debt input'!H68)</f>
        <v/>
      </c>
      <c r="H104" s="218" t="str">
        <f>IF('R6a - Net Debt input'!I68 = "","",'R6a - Net Debt input'!I68)</f>
        <v/>
      </c>
      <c r="I104" s="379" t="str">
        <f>IF('R6a - Net Debt input'!J68 = "","",'R6a - Net Debt input'!J68)</f>
        <v/>
      </c>
      <c r="J104" s="201"/>
      <c r="K104" s="202"/>
      <c r="L104" s="203"/>
      <c r="M104" s="495"/>
      <c r="N104" s="496"/>
      <c r="O104" s="496"/>
      <c r="P104" s="496"/>
      <c r="Q104" s="496"/>
      <c r="R104" s="496"/>
      <c r="S104" s="496"/>
      <c r="T104" s="497"/>
      <c r="U104" s="498"/>
      <c r="V104" s="496"/>
    </row>
    <row r="105" spans="2:22" outlineLevel="1">
      <c r="C105" s="154"/>
      <c r="D105" s="151"/>
      <c r="E105" s="151"/>
      <c r="F105" s="151"/>
      <c r="H105" s="170"/>
      <c r="L105" s="1072" t="s">
        <v>339</v>
      </c>
      <c r="M105" s="503">
        <f t="shared" ref="M105:V105" si="22">SUM(M96:M104)</f>
        <v>1.1857912399999999</v>
      </c>
      <c r="N105" s="504">
        <f t="shared" si="22"/>
        <v>1.1857912399999999</v>
      </c>
      <c r="O105" s="504">
        <f t="shared" si="22"/>
        <v>1.1857912399999999</v>
      </c>
      <c r="P105" s="504">
        <f t="shared" si="22"/>
        <v>1.1857912399999999</v>
      </c>
      <c r="Q105" s="504">
        <f t="shared" si="22"/>
        <v>1.1857912399999999</v>
      </c>
      <c r="R105" s="504">
        <f t="shared" si="22"/>
        <v>1.1857912399999999</v>
      </c>
      <c r="S105" s="504">
        <f t="shared" si="22"/>
        <v>0</v>
      </c>
      <c r="T105" s="505">
        <f t="shared" si="22"/>
        <v>0</v>
      </c>
      <c r="U105" s="506">
        <f t="shared" si="22"/>
        <v>0</v>
      </c>
      <c r="V105" s="504">
        <f t="shared" si="22"/>
        <v>0</v>
      </c>
    </row>
    <row r="106" spans="2:22" outlineLevel="1">
      <c r="L106" s="167"/>
      <c r="U106" s="288"/>
    </row>
    <row r="107" spans="2:22" ht="17.5" outlineLevel="1">
      <c r="D107" s="270" t="s">
        <v>464</v>
      </c>
      <c r="E107" s="271"/>
      <c r="F107" s="271"/>
      <c r="G107" s="271"/>
      <c r="H107" s="271"/>
      <c r="I107" s="271"/>
      <c r="J107" s="271"/>
      <c r="K107" s="271"/>
      <c r="L107" s="309"/>
      <c r="M107" s="271"/>
      <c r="N107" s="271"/>
      <c r="O107" s="271"/>
      <c r="P107" s="271"/>
      <c r="Q107" s="271"/>
      <c r="R107" s="271"/>
      <c r="S107" s="271"/>
      <c r="T107" s="271"/>
      <c r="U107" s="289"/>
      <c r="V107" s="271"/>
    </row>
    <row r="108" spans="2:22" ht="17.5" outlineLevel="1">
      <c r="D108" s="155"/>
      <c r="L108" s="167"/>
      <c r="U108" s="288"/>
    </row>
    <row r="109" spans="2:22" ht="40.5" outlineLevel="1">
      <c r="B109" s="1286" t="s">
        <v>453</v>
      </c>
      <c r="C109" s="860" t="str">
        <f t="shared" ref="C109:I119" si="23">C94</f>
        <v>Issue date</v>
      </c>
      <c r="D109" s="861" t="str">
        <f t="shared" si="23"/>
        <v>Maturity date</v>
      </c>
      <c r="E109" s="861" t="str">
        <f t="shared" si="23"/>
        <v>Description</v>
      </c>
      <c r="F109" s="861" t="str">
        <f t="shared" si="23"/>
        <v>Loan type</v>
      </c>
      <c r="G109" s="861" t="str">
        <f t="shared" si="23"/>
        <v>Payment rank</v>
      </c>
      <c r="H109" s="862" t="str">
        <f t="shared" si="23"/>
        <v>Reference rate</v>
      </c>
      <c r="I109" s="863" t="str">
        <f t="shared" si="23"/>
        <v>Coupon rate / margin spread on reference rate</v>
      </c>
      <c r="L109" s="167"/>
      <c r="U109" s="288"/>
    </row>
    <row r="110" spans="2:22" outlineLevel="1">
      <c r="B110" s="1074"/>
      <c r="C110" s="248" t="str">
        <f t="shared" si="23"/>
        <v>dd/mm/yyyy</v>
      </c>
      <c r="D110" s="249" t="str">
        <f t="shared" si="23"/>
        <v>dd/mm/yyyy</v>
      </c>
      <c r="E110" s="249" t="str">
        <f t="shared" si="23"/>
        <v/>
      </c>
      <c r="F110" s="249" t="str">
        <f t="shared" si="23"/>
        <v/>
      </c>
      <c r="G110" s="249" t="str">
        <f t="shared" si="23"/>
        <v/>
      </c>
      <c r="H110" s="249" t="str">
        <f t="shared" si="23"/>
        <v/>
      </c>
      <c r="I110" s="250" t="str">
        <f t="shared" si="23"/>
        <v xml:space="preserve">% </v>
      </c>
      <c r="L110" s="167"/>
      <c r="M110" s="191" t="s">
        <v>454</v>
      </c>
      <c r="N110" s="192" t="s">
        <v>454</v>
      </c>
      <c r="O110" s="192" t="s">
        <v>454</v>
      </c>
      <c r="P110" s="192" t="s">
        <v>454</v>
      </c>
      <c r="Q110" s="192" t="s">
        <v>454</v>
      </c>
      <c r="R110" s="192" t="s">
        <v>454</v>
      </c>
      <c r="S110" s="192" t="s">
        <v>454</v>
      </c>
      <c r="T110" s="280" t="s">
        <v>454</v>
      </c>
      <c r="U110" s="291" t="s">
        <v>454</v>
      </c>
      <c r="V110" s="192" t="s">
        <v>454</v>
      </c>
    </row>
    <row r="111" spans="2:22" outlineLevel="1">
      <c r="B111" s="241" t="s">
        <v>484</v>
      </c>
      <c r="C111" s="659">
        <f t="shared" si="23"/>
        <v>43556</v>
      </c>
      <c r="D111" s="659">
        <f t="shared" si="23"/>
        <v>44652</v>
      </c>
      <c r="E111" s="675" t="str">
        <f t="shared" si="23"/>
        <v>National Grid plc</v>
      </c>
      <c r="F111" s="676" t="str">
        <f t="shared" si="23"/>
        <v>Intercompany</v>
      </c>
      <c r="G111" s="675" t="str">
        <f t="shared" si="23"/>
        <v/>
      </c>
      <c r="H111" s="676" t="str">
        <f t="shared" si="23"/>
        <v>1 day GBP SONIA</v>
      </c>
      <c r="I111" s="663">
        <f t="shared" si="23"/>
        <v>1.0829999999999999E-2</v>
      </c>
      <c r="J111" s="201"/>
      <c r="K111" s="202"/>
      <c r="L111" s="203"/>
      <c r="M111" s="487">
        <v>1.1403458630136987</v>
      </c>
      <c r="N111" s="487">
        <v>1.1857912399999999</v>
      </c>
      <c r="O111" s="487">
        <v>1.1857912399999999</v>
      </c>
      <c r="P111" s="487">
        <v>1.1857912399999999</v>
      </c>
      <c r="Q111" s="487">
        <v>1.1857912399999999</v>
      </c>
      <c r="R111" s="487">
        <v>1.1857912399999999</v>
      </c>
      <c r="S111" s="487">
        <v>4.5445376986301245E-2</v>
      </c>
      <c r="T111" s="489">
        <v>0</v>
      </c>
      <c r="U111" s="490">
        <v>0</v>
      </c>
      <c r="V111" s="488">
        <v>0</v>
      </c>
    </row>
    <row r="112" spans="2:22" outlineLevel="1">
      <c r="B112" s="244" t="s">
        <v>485</v>
      </c>
      <c r="C112" s="664" t="str">
        <f t="shared" si="23"/>
        <v/>
      </c>
      <c r="D112" s="664" t="str">
        <f t="shared" si="23"/>
        <v/>
      </c>
      <c r="E112" s="682" t="str">
        <f t="shared" si="23"/>
        <v/>
      </c>
      <c r="F112" s="683" t="str">
        <f t="shared" si="23"/>
        <v/>
      </c>
      <c r="G112" s="682" t="str">
        <f t="shared" si="23"/>
        <v/>
      </c>
      <c r="H112" s="683" t="str">
        <f t="shared" si="23"/>
        <v/>
      </c>
      <c r="I112" s="668" t="str">
        <f t="shared" si="23"/>
        <v/>
      </c>
      <c r="J112" s="201"/>
      <c r="K112" s="202"/>
      <c r="L112" s="203"/>
      <c r="M112" s="491"/>
      <c r="N112" s="492"/>
      <c r="O112" s="492"/>
      <c r="P112" s="492"/>
      <c r="Q112" s="492"/>
      <c r="R112" s="492"/>
      <c r="S112" s="492"/>
      <c r="T112" s="493"/>
      <c r="U112" s="494"/>
      <c r="V112" s="492"/>
    </row>
    <row r="113" spans="2:24" outlineLevel="1">
      <c r="B113" s="242" t="s">
        <v>486</v>
      </c>
      <c r="C113" s="664" t="str">
        <f t="shared" si="23"/>
        <v/>
      </c>
      <c r="D113" s="664" t="str">
        <f t="shared" si="23"/>
        <v/>
      </c>
      <c r="E113" s="682" t="str">
        <f t="shared" si="23"/>
        <v/>
      </c>
      <c r="F113" s="683" t="str">
        <f t="shared" si="23"/>
        <v/>
      </c>
      <c r="G113" s="682" t="str">
        <f t="shared" si="23"/>
        <v/>
      </c>
      <c r="H113" s="683" t="str">
        <f t="shared" si="23"/>
        <v/>
      </c>
      <c r="I113" s="668" t="str">
        <f t="shared" si="23"/>
        <v/>
      </c>
      <c r="J113" s="201"/>
      <c r="K113" s="202"/>
      <c r="L113" s="203"/>
      <c r="M113" s="491"/>
      <c r="N113" s="492"/>
      <c r="O113" s="492"/>
      <c r="P113" s="492"/>
      <c r="Q113" s="492"/>
      <c r="R113" s="492"/>
      <c r="S113" s="492"/>
      <c r="T113" s="493"/>
      <c r="U113" s="494"/>
      <c r="V113" s="492"/>
    </row>
    <row r="114" spans="2:24" outlineLevel="1">
      <c r="B114" s="244" t="s">
        <v>487</v>
      </c>
      <c r="C114" s="664" t="str">
        <f t="shared" si="23"/>
        <v/>
      </c>
      <c r="D114" s="664" t="str">
        <f t="shared" si="23"/>
        <v/>
      </c>
      <c r="E114" s="682" t="str">
        <f t="shared" si="23"/>
        <v/>
      </c>
      <c r="F114" s="683" t="str">
        <f t="shared" si="23"/>
        <v/>
      </c>
      <c r="G114" s="682" t="str">
        <f t="shared" si="23"/>
        <v/>
      </c>
      <c r="H114" s="683" t="str">
        <f t="shared" si="23"/>
        <v/>
      </c>
      <c r="I114" s="668" t="str">
        <f t="shared" si="23"/>
        <v/>
      </c>
      <c r="J114" s="201"/>
      <c r="K114" s="202"/>
      <c r="L114" s="203"/>
      <c r="M114" s="491"/>
      <c r="N114" s="492"/>
      <c r="O114" s="492"/>
      <c r="P114" s="492"/>
      <c r="Q114" s="492"/>
      <c r="R114" s="492"/>
      <c r="S114" s="492"/>
      <c r="T114" s="493"/>
      <c r="U114" s="494"/>
      <c r="V114" s="492"/>
    </row>
    <row r="115" spans="2:24" outlineLevel="1">
      <c r="B115" s="242" t="s">
        <v>488</v>
      </c>
      <c r="C115" s="664" t="str">
        <f t="shared" si="23"/>
        <v/>
      </c>
      <c r="D115" s="664" t="str">
        <f t="shared" si="23"/>
        <v/>
      </c>
      <c r="E115" s="682" t="str">
        <f t="shared" si="23"/>
        <v/>
      </c>
      <c r="F115" s="683" t="str">
        <f t="shared" si="23"/>
        <v/>
      </c>
      <c r="G115" s="682" t="str">
        <f t="shared" si="23"/>
        <v/>
      </c>
      <c r="H115" s="683" t="str">
        <f t="shared" si="23"/>
        <v/>
      </c>
      <c r="I115" s="668" t="str">
        <f t="shared" si="23"/>
        <v/>
      </c>
      <c r="J115" s="201"/>
      <c r="K115" s="202"/>
      <c r="L115" s="203"/>
      <c r="M115" s="491"/>
      <c r="N115" s="492"/>
      <c r="O115" s="492"/>
      <c r="P115" s="492"/>
      <c r="Q115" s="492"/>
      <c r="R115" s="492"/>
      <c r="S115" s="492"/>
      <c r="T115" s="493"/>
      <c r="U115" s="494"/>
      <c r="V115" s="492"/>
    </row>
    <row r="116" spans="2:24" outlineLevel="1">
      <c r="B116" s="244" t="s">
        <v>489</v>
      </c>
      <c r="C116" s="664" t="str">
        <f t="shared" si="23"/>
        <v/>
      </c>
      <c r="D116" s="664" t="str">
        <f t="shared" si="23"/>
        <v/>
      </c>
      <c r="E116" s="682" t="str">
        <f t="shared" si="23"/>
        <v/>
      </c>
      <c r="F116" s="683" t="str">
        <f t="shared" si="23"/>
        <v/>
      </c>
      <c r="G116" s="682" t="str">
        <f t="shared" si="23"/>
        <v/>
      </c>
      <c r="H116" s="683" t="str">
        <f t="shared" si="23"/>
        <v/>
      </c>
      <c r="I116" s="668" t="str">
        <f t="shared" si="23"/>
        <v/>
      </c>
      <c r="J116" s="201"/>
      <c r="K116" s="202"/>
      <c r="L116" s="203"/>
      <c r="M116" s="491"/>
      <c r="N116" s="492"/>
      <c r="O116" s="492"/>
      <c r="P116" s="492"/>
      <c r="Q116" s="492"/>
      <c r="R116" s="492"/>
      <c r="S116" s="492"/>
      <c r="T116" s="493"/>
      <c r="U116" s="494"/>
      <c r="V116" s="492"/>
    </row>
    <row r="117" spans="2:24" outlineLevel="1">
      <c r="B117" s="242" t="s">
        <v>490</v>
      </c>
      <c r="C117" s="664" t="str">
        <f t="shared" si="23"/>
        <v/>
      </c>
      <c r="D117" s="664" t="str">
        <f t="shared" si="23"/>
        <v/>
      </c>
      <c r="E117" s="682" t="str">
        <f t="shared" si="23"/>
        <v/>
      </c>
      <c r="F117" s="683" t="str">
        <f t="shared" si="23"/>
        <v/>
      </c>
      <c r="G117" s="682" t="str">
        <f t="shared" si="23"/>
        <v/>
      </c>
      <c r="H117" s="683" t="str">
        <f t="shared" si="23"/>
        <v/>
      </c>
      <c r="I117" s="668" t="str">
        <f t="shared" si="23"/>
        <v/>
      </c>
      <c r="J117" s="201"/>
      <c r="K117" s="202"/>
      <c r="L117" s="203"/>
      <c r="M117" s="491"/>
      <c r="N117" s="492"/>
      <c r="O117" s="492"/>
      <c r="P117" s="492"/>
      <c r="Q117" s="492"/>
      <c r="R117" s="492"/>
      <c r="S117" s="492"/>
      <c r="T117" s="493"/>
      <c r="U117" s="494"/>
      <c r="V117" s="492"/>
    </row>
    <row r="118" spans="2:24" outlineLevel="1">
      <c r="B118" s="244" t="s">
        <v>491</v>
      </c>
      <c r="C118" s="664" t="str">
        <f t="shared" si="23"/>
        <v/>
      </c>
      <c r="D118" s="664" t="str">
        <f t="shared" si="23"/>
        <v/>
      </c>
      <c r="E118" s="682" t="str">
        <f t="shared" si="23"/>
        <v/>
      </c>
      <c r="F118" s="683" t="str">
        <f t="shared" si="23"/>
        <v/>
      </c>
      <c r="G118" s="682" t="str">
        <f t="shared" si="23"/>
        <v/>
      </c>
      <c r="H118" s="683" t="str">
        <f t="shared" si="23"/>
        <v/>
      </c>
      <c r="I118" s="668" t="str">
        <f t="shared" si="23"/>
        <v/>
      </c>
      <c r="J118" s="201"/>
      <c r="K118" s="202"/>
      <c r="L118" s="203"/>
      <c r="M118" s="491"/>
      <c r="N118" s="492"/>
      <c r="O118" s="492"/>
      <c r="P118" s="492"/>
      <c r="Q118" s="492"/>
      <c r="R118" s="492"/>
      <c r="S118" s="492"/>
      <c r="T118" s="493"/>
      <c r="U118" s="494"/>
      <c r="V118" s="492"/>
    </row>
    <row r="119" spans="2:24" outlineLevel="1">
      <c r="B119" s="243" t="s">
        <v>492</v>
      </c>
      <c r="C119" s="669" t="str">
        <f t="shared" si="23"/>
        <v/>
      </c>
      <c r="D119" s="669" t="str">
        <f t="shared" si="23"/>
        <v/>
      </c>
      <c r="E119" s="685" t="str">
        <f t="shared" si="23"/>
        <v/>
      </c>
      <c r="F119" s="686" t="str">
        <f t="shared" si="23"/>
        <v/>
      </c>
      <c r="G119" s="685" t="str">
        <f t="shared" si="23"/>
        <v/>
      </c>
      <c r="H119" s="686" t="str">
        <f t="shared" si="23"/>
        <v/>
      </c>
      <c r="I119" s="673" t="str">
        <f t="shared" si="23"/>
        <v/>
      </c>
      <c r="J119" s="201"/>
      <c r="K119" s="202"/>
      <c r="L119" s="203"/>
      <c r="M119" s="495"/>
      <c r="N119" s="496"/>
      <c r="O119" s="496"/>
      <c r="P119" s="496"/>
      <c r="Q119" s="496"/>
      <c r="R119" s="496"/>
      <c r="S119" s="496"/>
      <c r="T119" s="497"/>
      <c r="U119" s="498"/>
      <c r="V119" s="496"/>
    </row>
    <row r="120" spans="2:24" outlineLevel="1">
      <c r="C120" s="151"/>
      <c r="D120" s="151"/>
      <c r="E120" s="151"/>
      <c r="F120" s="151"/>
      <c r="L120" s="1072" t="s">
        <v>339</v>
      </c>
      <c r="M120" s="503">
        <f t="shared" ref="M120:V120" si="24">SUM(M111:M119)</f>
        <v>1.1403458630136987</v>
      </c>
      <c r="N120" s="504">
        <f t="shared" si="24"/>
        <v>1.1857912399999999</v>
      </c>
      <c r="O120" s="504">
        <f t="shared" si="24"/>
        <v>1.1857912399999999</v>
      </c>
      <c r="P120" s="504">
        <f t="shared" si="24"/>
        <v>1.1857912399999999</v>
      </c>
      <c r="Q120" s="504">
        <f t="shared" si="24"/>
        <v>1.1857912399999999</v>
      </c>
      <c r="R120" s="504">
        <f t="shared" si="24"/>
        <v>1.1857912399999999</v>
      </c>
      <c r="S120" s="504">
        <f t="shared" si="24"/>
        <v>4.5445376986301245E-2</v>
      </c>
      <c r="T120" s="505">
        <f t="shared" si="24"/>
        <v>0</v>
      </c>
      <c r="U120" s="506">
        <f t="shared" si="24"/>
        <v>0</v>
      </c>
      <c r="V120" s="504">
        <f t="shared" si="24"/>
        <v>0</v>
      </c>
    </row>
    <row r="121" spans="2:24" outlineLevel="1">
      <c r="C121" s="151"/>
      <c r="D121" s="156"/>
      <c r="E121" s="156"/>
      <c r="F121" s="156"/>
      <c r="L121" s="167"/>
      <c r="M121" s="156"/>
      <c r="N121" s="156"/>
      <c r="O121" s="156"/>
      <c r="P121" s="156"/>
      <c r="Q121" s="156"/>
      <c r="R121" s="156"/>
      <c r="S121" s="156"/>
      <c r="T121" s="156"/>
      <c r="U121" s="290"/>
      <c r="V121" s="156"/>
      <c r="W121" s="156"/>
      <c r="X121" s="156"/>
    </row>
    <row r="122" spans="2:24">
      <c r="C122" s="151"/>
      <c r="D122" s="156"/>
      <c r="E122" s="156"/>
      <c r="F122" s="156"/>
      <c r="L122" s="167"/>
      <c r="M122" s="156"/>
      <c r="N122" s="156"/>
      <c r="O122" s="156"/>
      <c r="P122" s="156"/>
      <c r="Q122" s="156"/>
      <c r="R122" s="156"/>
      <c r="S122" s="156"/>
      <c r="T122" s="156"/>
      <c r="U122" s="290"/>
      <c r="V122" s="156"/>
      <c r="W122" s="156"/>
      <c r="X122" s="156"/>
    </row>
    <row r="123" spans="2:24" ht="14">
      <c r="B123" s="259" t="s">
        <v>493</v>
      </c>
      <c r="C123" s="260" t="s">
        <v>494</v>
      </c>
      <c r="D123" s="260"/>
      <c r="E123" s="260"/>
      <c r="F123" s="260"/>
      <c r="G123" s="261"/>
      <c r="H123" s="261"/>
      <c r="I123" s="261"/>
      <c r="J123" s="261"/>
      <c r="K123" s="261"/>
      <c r="L123" s="312"/>
      <c r="M123" s="260"/>
      <c r="N123" s="260"/>
      <c r="O123" s="260"/>
      <c r="P123" s="260"/>
      <c r="Q123" s="260"/>
      <c r="R123" s="260"/>
      <c r="S123" s="260"/>
      <c r="T123" s="260"/>
      <c r="U123" s="293"/>
      <c r="V123" s="260"/>
    </row>
    <row r="124" spans="2:24" ht="14">
      <c r="B124" s="264"/>
      <c r="C124" s="265"/>
      <c r="D124" s="265"/>
      <c r="E124" s="265"/>
      <c r="F124" s="265"/>
      <c r="G124" s="266"/>
      <c r="H124" s="266"/>
      <c r="I124" s="266"/>
      <c r="J124" s="266"/>
      <c r="K124" s="266"/>
      <c r="L124" s="313"/>
      <c r="M124" s="265"/>
      <c r="N124" s="265"/>
      <c r="O124" s="265"/>
      <c r="P124" s="265"/>
      <c r="Q124" s="265"/>
      <c r="R124" s="265"/>
      <c r="S124" s="265"/>
      <c r="T124" s="265"/>
      <c r="U124" s="294"/>
      <c r="V124" s="265"/>
    </row>
    <row r="125" spans="2:24" ht="17.5" outlineLevel="1">
      <c r="B125" s="154"/>
      <c r="C125" s="151"/>
      <c r="D125" s="270" t="s">
        <v>452</v>
      </c>
      <c r="E125" s="272"/>
      <c r="F125" s="272"/>
      <c r="G125" s="271"/>
      <c r="H125" s="271"/>
      <c r="I125" s="271"/>
      <c r="J125" s="271"/>
      <c r="K125" s="271"/>
      <c r="L125" s="309"/>
      <c r="M125" s="272"/>
      <c r="N125" s="272"/>
      <c r="O125" s="272"/>
      <c r="P125" s="272"/>
      <c r="Q125" s="272"/>
      <c r="R125" s="272"/>
      <c r="S125" s="272"/>
      <c r="T125" s="272"/>
      <c r="U125" s="295"/>
      <c r="V125" s="272"/>
    </row>
    <row r="126" spans="2:24" ht="17.5" outlineLevel="1">
      <c r="B126" s="154"/>
      <c r="C126" s="151"/>
      <c r="D126" s="155"/>
      <c r="E126" s="151"/>
      <c r="F126" s="151"/>
      <c r="L126" s="167"/>
      <c r="M126" s="151"/>
      <c r="N126" s="151"/>
      <c r="O126" s="151"/>
      <c r="P126" s="151"/>
      <c r="Q126" s="151"/>
      <c r="R126" s="151"/>
      <c r="S126" s="151"/>
      <c r="T126" s="151"/>
      <c r="U126" s="292"/>
      <c r="V126" s="151"/>
    </row>
    <row r="127" spans="2:24" ht="40.5" outlineLevel="1">
      <c r="B127" s="1286" t="s">
        <v>453</v>
      </c>
      <c r="C127" s="864" t="str">
        <f>IF('R6a - Net Debt input'!D73 = "","",'R6a - Net Debt input'!D73)</f>
        <v>Issue date</v>
      </c>
      <c r="D127" s="862" t="str">
        <f>IF('R6a - Net Debt input'!E73 = "","",'R6a - Net Debt input'!E73)</f>
        <v>Maturity date</v>
      </c>
      <c r="E127" s="862" t="str">
        <f>IF('R6a - Net Debt input'!F73 = "","",'R6a - Net Debt input'!F73)</f>
        <v>Description</v>
      </c>
      <c r="F127" s="862" t="str">
        <f>IF('R6a - Net Debt input'!G73 = "","",'R6a - Net Debt input'!G73)</f>
        <v>Loan type</v>
      </c>
      <c r="G127" s="862" t="str">
        <f>IF('R6a - Net Debt input'!H73 = "","",'R6a - Net Debt input'!H73)</f>
        <v>Payment rank</v>
      </c>
      <c r="H127" s="862" t="str">
        <f>IF('R6a - Net Debt input'!I73 = "","",'R6a - Net Debt input'!I73)</f>
        <v>Reference rate</v>
      </c>
      <c r="I127" s="863" t="str">
        <f>IF('R6a - Net Debt input'!J73 = "","",'R6a - Net Debt input'!J73)</f>
        <v>Coupon rate / margin spread on reference rate</v>
      </c>
      <c r="L127" s="167"/>
      <c r="U127" s="288"/>
    </row>
    <row r="128" spans="2:24" outlineLevel="1">
      <c r="B128" s="1073"/>
      <c r="C128" s="245" t="str">
        <f>IF('R6a - Net Debt input'!D74 = "","",'R6a - Net Debt input'!D74)</f>
        <v>dd/mm/yyyy</v>
      </c>
      <c r="D128" s="246" t="str">
        <f>IF('R6a - Net Debt input'!E74 = "","",'R6a - Net Debt input'!E74)</f>
        <v>dd/mm/yyyy</v>
      </c>
      <c r="E128" s="246" t="str">
        <f>IF('R6a - Net Debt input'!F74 = "","",'R6a - Net Debt input'!F74)</f>
        <v/>
      </c>
      <c r="F128" s="246" t="str">
        <f>IF('R6a - Net Debt input'!G74 = "","",'R6a - Net Debt input'!G74)</f>
        <v/>
      </c>
      <c r="G128" s="246" t="str">
        <f>IF('R6a - Net Debt input'!H74 = "","",'R6a - Net Debt input'!H74)</f>
        <v/>
      </c>
      <c r="H128" s="246" t="str">
        <f>IF('R6a - Net Debt input'!I74 = "","",'R6a - Net Debt input'!I74)</f>
        <v/>
      </c>
      <c r="I128" s="247" t="str">
        <f>IF('R6a - Net Debt input'!J74 = "","",'R6a - Net Debt input'!J74)</f>
        <v xml:space="preserve">% </v>
      </c>
      <c r="L128" s="167"/>
      <c r="M128" s="191" t="s">
        <v>454</v>
      </c>
      <c r="N128" s="192" t="s">
        <v>454</v>
      </c>
      <c r="O128" s="192" t="s">
        <v>454</v>
      </c>
      <c r="P128" s="192" t="s">
        <v>454</v>
      </c>
      <c r="Q128" s="192" t="s">
        <v>454</v>
      </c>
      <c r="R128" s="192" t="s">
        <v>454</v>
      </c>
      <c r="S128" s="192" t="s">
        <v>454</v>
      </c>
      <c r="T128" s="280" t="s">
        <v>454</v>
      </c>
      <c r="U128" s="291" t="s">
        <v>454</v>
      </c>
      <c r="V128" s="192" t="s">
        <v>454</v>
      </c>
    </row>
    <row r="129" spans="2:22" outlineLevel="1">
      <c r="B129" s="241" t="s">
        <v>495</v>
      </c>
      <c r="C129" s="204">
        <f>IF('R6a - Net Debt input'!D75 = "","",'R6a - Net Debt input'!D75)</f>
        <v>43556</v>
      </c>
      <c r="D129" s="204" t="str">
        <f>IF('R6a - Net Debt input'!E75 = "","",'R6a - Net Debt input'!E75)</f>
        <v>On Demand</v>
      </c>
      <c r="E129" s="213" t="str">
        <f>IF('R6a - Net Debt input'!F75 = "","",'R6a - Net Debt input'!F75)</f>
        <v>National Grid plc</v>
      </c>
      <c r="F129" s="214" t="str">
        <f>IF('R6a - Net Debt input'!G75 = "","",'R6a - Net Debt input'!G75)</f>
        <v>RCF (Revolving Credit Facility)</v>
      </c>
      <c r="G129" s="213" t="str">
        <f>IF('R6a - Net Debt input'!H75 = "","",'R6a - Net Debt input'!H75)</f>
        <v/>
      </c>
      <c r="H129" s="214" t="str">
        <f>IF('R6a - Net Debt input'!I75 = "","",'R6a - Net Debt input'!I75)</f>
        <v>1 day GBP SONIA</v>
      </c>
      <c r="I129" s="377">
        <f>IF('R6a - Net Debt input'!J75 = "","",'R6a - Net Debt input'!J75)</f>
        <v>2.5000000000000001E-3</v>
      </c>
      <c r="J129" s="201"/>
      <c r="K129" s="202"/>
      <c r="L129" s="203"/>
      <c r="M129" s="487">
        <v>-0.95578613000000001</v>
      </c>
      <c r="N129" s="487">
        <v>0</v>
      </c>
      <c r="O129" s="487">
        <v>0</v>
      </c>
      <c r="P129" s="487">
        <v>0</v>
      </c>
      <c r="Q129" s="487">
        <v>0</v>
      </c>
      <c r="R129" s="488">
        <v>0</v>
      </c>
      <c r="S129" s="488">
        <v>0</v>
      </c>
      <c r="T129" s="489">
        <v>0</v>
      </c>
      <c r="U129" s="490">
        <v>0</v>
      </c>
      <c r="V129" s="488">
        <v>0</v>
      </c>
    </row>
    <row r="130" spans="2:22" outlineLevel="1">
      <c r="B130" s="244" t="s">
        <v>496</v>
      </c>
      <c r="C130" s="207" t="str">
        <f>IF('R6a - Net Debt input'!D76 = "","",'R6a - Net Debt input'!D76)</f>
        <v/>
      </c>
      <c r="D130" s="207" t="str">
        <f>IF('R6a - Net Debt input'!E76 = "","",'R6a - Net Debt input'!E76)</f>
        <v/>
      </c>
      <c r="E130" s="215" t="str">
        <f>IF('R6a - Net Debt input'!F76 = "","",'R6a - Net Debt input'!F76)</f>
        <v/>
      </c>
      <c r="F130" s="216" t="str">
        <f>IF('R6a - Net Debt input'!G76 = "","",'R6a - Net Debt input'!G76)</f>
        <v/>
      </c>
      <c r="G130" s="215" t="str">
        <f>IF('R6a - Net Debt input'!H76 = "","",'R6a - Net Debt input'!H76)</f>
        <v/>
      </c>
      <c r="H130" s="216" t="str">
        <f>IF('R6a - Net Debt input'!I76 = "","",'R6a - Net Debt input'!I76)</f>
        <v/>
      </c>
      <c r="I130" s="378" t="str">
        <f>IF('R6a - Net Debt input'!J76 = "","",'R6a - Net Debt input'!J76)</f>
        <v/>
      </c>
      <c r="J130" s="201"/>
      <c r="K130" s="202"/>
      <c r="L130" s="203"/>
      <c r="M130" s="491"/>
      <c r="N130" s="492"/>
      <c r="O130" s="492"/>
      <c r="P130" s="492"/>
      <c r="Q130" s="492"/>
      <c r="R130" s="492"/>
      <c r="S130" s="492"/>
      <c r="T130" s="493"/>
      <c r="U130" s="494"/>
      <c r="V130" s="492"/>
    </row>
    <row r="131" spans="2:22" outlineLevel="1">
      <c r="B131" s="242" t="s">
        <v>497</v>
      </c>
      <c r="C131" s="207" t="str">
        <f>IF('R6a - Net Debt input'!D77 = "","",'R6a - Net Debt input'!D77)</f>
        <v/>
      </c>
      <c r="D131" s="207" t="str">
        <f>IF('R6a - Net Debt input'!E77 = "","",'R6a - Net Debt input'!E77)</f>
        <v/>
      </c>
      <c r="E131" s="215" t="str">
        <f>IF('R6a - Net Debt input'!F77 = "","",'R6a - Net Debt input'!F77)</f>
        <v/>
      </c>
      <c r="F131" s="216" t="str">
        <f>IF('R6a - Net Debt input'!G77 = "","",'R6a - Net Debt input'!G77)</f>
        <v/>
      </c>
      <c r="G131" s="215" t="str">
        <f>IF('R6a - Net Debt input'!H77 = "","",'R6a - Net Debt input'!H77)</f>
        <v/>
      </c>
      <c r="H131" s="216" t="str">
        <f>IF('R6a - Net Debt input'!I77 = "","",'R6a - Net Debt input'!I77)</f>
        <v/>
      </c>
      <c r="I131" s="378" t="str">
        <f>IF('R6a - Net Debt input'!J77 = "","",'R6a - Net Debt input'!J77)</f>
        <v/>
      </c>
      <c r="J131" s="201"/>
      <c r="K131" s="202"/>
      <c r="L131" s="203"/>
      <c r="M131" s="491"/>
      <c r="N131" s="492"/>
      <c r="O131" s="492"/>
      <c r="P131" s="492"/>
      <c r="Q131" s="492"/>
      <c r="R131" s="492"/>
      <c r="S131" s="492"/>
      <c r="T131" s="493"/>
      <c r="U131" s="494"/>
      <c r="V131" s="492"/>
    </row>
    <row r="132" spans="2:22" outlineLevel="1">
      <c r="B132" s="244" t="s">
        <v>498</v>
      </c>
      <c r="C132" s="207" t="str">
        <f>IF('R6a - Net Debt input'!D78 = "","",'R6a - Net Debt input'!D78)</f>
        <v/>
      </c>
      <c r="D132" s="207" t="str">
        <f>IF('R6a - Net Debt input'!E78 = "","",'R6a - Net Debt input'!E78)</f>
        <v/>
      </c>
      <c r="E132" s="215" t="str">
        <f>IF('R6a - Net Debt input'!F78 = "","",'R6a - Net Debt input'!F78)</f>
        <v/>
      </c>
      <c r="F132" s="216" t="str">
        <f>IF('R6a - Net Debt input'!G78 = "","",'R6a - Net Debt input'!G78)</f>
        <v/>
      </c>
      <c r="G132" s="215" t="str">
        <f>IF('R6a - Net Debt input'!H78 = "","",'R6a - Net Debt input'!H78)</f>
        <v/>
      </c>
      <c r="H132" s="216" t="str">
        <f>IF('R6a - Net Debt input'!I78 = "","",'R6a - Net Debt input'!I78)</f>
        <v/>
      </c>
      <c r="I132" s="378" t="str">
        <f>IF('R6a - Net Debt input'!J78 = "","",'R6a - Net Debt input'!J78)</f>
        <v/>
      </c>
      <c r="J132" s="201"/>
      <c r="K132" s="202"/>
      <c r="L132" s="203"/>
      <c r="M132" s="491"/>
      <c r="N132" s="492"/>
      <c r="O132" s="492"/>
      <c r="P132" s="492"/>
      <c r="Q132" s="492"/>
      <c r="R132" s="492"/>
      <c r="S132" s="492"/>
      <c r="T132" s="493"/>
      <c r="U132" s="494"/>
      <c r="V132" s="492"/>
    </row>
    <row r="133" spans="2:22" outlineLevel="1">
      <c r="B133" s="242" t="s">
        <v>499</v>
      </c>
      <c r="C133" s="207" t="str">
        <f>IF('R6a - Net Debt input'!D79 = "","",'R6a - Net Debt input'!D79)</f>
        <v/>
      </c>
      <c r="D133" s="207" t="str">
        <f>IF('R6a - Net Debt input'!E79 = "","",'R6a - Net Debt input'!E79)</f>
        <v/>
      </c>
      <c r="E133" s="215" t="str">
        <f>IF('R6a - Net Debt input'!F79 = "","",'R6a - Net Debt input'!F79)</f>
        <v/>
      </c>
      <c r="F133" s="216" t="str">
        <f>IF('R6a - Net Debt input'!G79 = "","",'R6a - Net Debt input'!G79)</f>
        <v/>
      </c>
      <c r="G133" s="215" t="str">
        <f>IF('R6a - Net Debt input'!H79 = "","",'R6a - Net Debt input'!H79)</f>
        <v/>
      </c>
      <c r="H133" s="216" t="str">
        <f>IF('R6a - Net Debt input'!I79 = "","",'R6a - Net Debt input'!I79)</f>
        <v/>
      </c>
      <c r="I133" s="378" t="str">
        <f>IF('R6a - Net Debt input'!J79 = "","",'R6a - Net Debt input'!J79)</f>
        <v/>
      </c>
      <c r="J133" s="201"/>
      <c r="K133" s="202"/>
      <c r="L133" s="203"/>
      <c r="M133" s="491"/>
      <c r="N133" s="492"/>
      <c r="O133" s="492"/>
      <c r="P133" s="492"/>
      <c r="Q133" s="492"/>
      <c r="R133" s="492"/>
      <c r="S133" s="492"/>
      <c r="T133" s="493"/>
      <c r="U133" s="494"/>
      <c r="V133" s="492"/>
    </row>
    <row r="134" spans="2:22" outlineLevel="1">
      <c r="B134" s="244" t="s">
        <v>500</v>
      </c>
      <c r="C134" s="207" t="str">
        <f>IF('R6a - Net Debt input'!D80 = "","",'R6a - Net Debt input'!D80)</f>
        <v/>
      </c>
      <c r="D134" s="207" t="str">
        <f>IF('R6a - Net Debt input'!E80 = "","",'R6a - Net Debt input'!E80)</f>
        <v/>
      </c>
      <c r="E134" s="215" t="str">
        <f>IF('R6a - Net Debt input'!F80 = "","",'R6a - Net Debt input'!F80)</f>
        <v/>
      </c>
      <c r="F134" s="216" t="str">
        <f>IF('R6a - Net Debt input'!G80 = "","",'R6a - Net Debt input'!G80)</f>
        <v/>
      </c>
      <c r="G134" s="215" t="str">
        <f>IF('R6a - Net Debt input'!H80 = "","",'R6a - Net Debt input'!H80)</f>
        <v/>
      </c>
      <c r="H134" s="216" t="str">
        <f>IF('R6a - Net Debt input'!I80 = "","",'R6a - Net Debt input'!I80)</f>
        <v/>
      </c>
      <c r="I134" s="378" t="str">
        <f>IF('R6a - Net Debt input'!J80 = "","",'R6a - Net Debt input'!J80)</f>
        <v/>
      </c>
      <c r="J134" s="201"/>
      <c r="K134" s="202"/>
      <c r="L134" s="203"/>
      <c r="M134" s="491"/>
      <c r="N134" s="492"/>
      <c r="O134" s="492"/>
      <c r="P134" s="492"/>
      <c r="Q134" s="492"/>
      <c r="R134" s="492"/>
      <c r="S134" s="492"/>
      <c r="T134" s="493"/>
      <c r="U134" s="494"/>
      <c r="V134" s="492"/>
    </row>
    <row r="135" spans="2:22" outlineLevel="1">
      <c r="B135" s="242" t="s">
        <v>501</v>
      </c>
      <c r="C135" s="207" t="str">
        <f>IF('R6a - Net Debt input'!D81 = "","",'R6a - Net Debt input'!D81)</f>
        <v/>
      </c>
      <c r="D135" s="207" t="str">
        <f>IF('R6a - Net Debt input'!E81 = "","",'R6a - Net Debt input'!E81)</f>
        <v/>
      </c>
      <c r="E135" s="215" t="str">
        <f>IF('R6a - Net Debt input'!F81 = "","",'R6a - Net Debt input'!F81)</f>
        <v/>
      </c>
      <c r="F135" s="216" t="str">
        <f>IF('R6a - Net Debt input'!G81 = "","",'R6a - Net Debt input'!G81)</f>
        <v/>
      </c>
      <c r="G135" s="215" t="str">
        <f>IF('R6a - Net Debt input'!H81 = "","",'R6a - Net Debt input'!H81)</f>
        <v/>
      </c>
      <c r="H135" s="216" t="str">
        <f>IF('R6a - Net Debt input'!I81 = "","",'R6a - Net Debt input'!I81)</f>
        <v/>
      </c>
      <c r="I135" s="378" t="str">
        <f>IF('R6a - Net Debt input'!J81 = "","",'R6a - Net Debt input'!J81)</f>
        <v/>
      </c>
      <c r="J135" s="201"/>
      <c r="K135" s="202"/>
      <c r="L135" s="203"/>
      <c r="M135" s="491"/>
      <c r="N135" s="492"/>
      <c r="O135" s="492"/>
      <c r="P135" s="492"/>
      <c r="Q135" s="492"/>
      <c r="R135" s="492"/>
      <c r="S135" s="492"/>
      <c r="T135" s="493"/>
      <c r="U135" s="494"/>
      <c r="V135" s="492"/>
    </row>
    <row r="136" spans="2:22" outlineLevel="1">
      <c r="B136" s="244" t="s">
        <v>502</v>
      </c>
      <c r="C136" s="207" t="str">
        <f>IF('R6a - Net Debt input'!D82 = "","",'R6a - Net Debt input'!D82)</f>
        <v/>
      </c>
      <c r="D136" s="207" t="str">
        <f>IF('R6a - Net Debt input'!E82 = "","",'R6a - Net Debt input'!E82)</f>
        <v/>
      </c>
      <c r="E136" s="215" t="str">
        <f>IF('R6a - Net Debt input'!F82 = "","",'R6a - Net Debt input'!F82)</f>
        <v/>
      </c>
      <c r="F136" s="216" t="str">
        <f>IF('R6a - Net Debt input'!G82 = "","",'R6a - Net Debt input'!G82)</f>
        <v/>
      </c>
      <c r="G136" s="215" t="str">
        <f>IF('R6a - Net Debt input'!H82 = "","",'R6a - Net Debt input'!H82)</f>
        <v/>
      </c>
      <c r="H136" s="216" t="str">
        <f>IF('R6a - Net Debt input'!I82 = "","",'R6a - Net Debt input'!I82)</f>
        <v/>
      </c>
      <c r="I136" s="378" t="str">
        <f>IF('R6a - Net Debt input'!J82 = "","",'R6a - Net Debt input'!J82)</f>
        <v/>
      </c>
      <c r="J136" s="201"/>
      <c r="K136" s="202"/>
      <c r="L136" s="203"/>
      <c r="M136" s="491"/>
      <c r="N136" s="492"/>
      <c r="O136" s="492"/>
      <c r="P136" s="492"/>
      <c r="Q136" s="492"/>
      <c r="R136" s="492"/>
      <c r="S136" s="492"/>
      <c r="T136" s="493"/>
      <c r="U136" s="494"/>
      <c r="V136" s="492"/>
    </row>
    <row r="137" spans="2:22" outlineLevel="1">
      <c r="B137" s="243" t="s">
        <v>503</v>
      </c>
      <c r="C137" s="210" t="str">
        <f>IF('R6a - Net Debt input'!D83 = "","",'R6a - Net Debt input'!D83)</f>
        <v/>
      </c>
      <c r="D137" s="210" t="str">
        <f>IF('R6a - Net Debt input'!E83 = "","",'R6a - Net Debt input'!E83)</f>
        <v/>
      </c>
      <c r="E137" s="217" t="str">
        <f>IF('R6a - Net Debt input'!F83 = "","",'R6a - Net Debt input'!F83)</f>
        <v/>
      </c>
      <c r="F137" s="218" t="str">
        <f>IF('R6a - Net Debt input'!G83 = "","",'R6a - Net Debt input'!G83)</f>
        <v/>
      </c>
      <c r="G137" s="217" t="str">
        <f>IF('R6a - Net Debt input'!H83 = "","",'R6a - Net Debt input'!H83)</f>
        <v/>
      </c>
      <c r="H137" s="218" t="str">
        <f>IF('R6a - Net Debt input'!I83 = "","",'R6a - Net Debt input'!I83)</f>
        <v/>
      </c>
      <c r="I137" s="379" t="str">
        <f>IF('R6a - Net Debt input'!J83 = "","",'R6a - Net Debt input'!J83)</f>
        <v/>
      </c>
      <c r="J137" s="201"/>
      <c r="K137" s="202"/>
      <c r="L137" s="203"/>
      <c r="M137" s="495"/>
      <c r="N137" s="496"/>
      <c r="O137" s="496"/>
      <c r="P137" s="496"/>
      <c r="Q137" s="496"/>
      <c r="R137" s="496"/>
      <c r="S137" s="496"/>
      <c r="T137" s="497"/>
      <c r="U137" s="498"/>
      <c r="V137" s="496"/>
    </row>
    <row r="138" spans="2:22" outlineLevel="1">
      <c r="C138" s="151"/>
      <c r="D138" s="151"/>
      <c r="E138" s="151"/>
      <c r="F138" s="151"/>
      <c r="L138" s="1072" t="s">
        <v>339</v>
      </c>
      <c r="M138" s="503">
        <f>SUM(M129:M137)</f>
        <v>-0.95578613000000001</v>
      </c>
      <c r="N138" s="504">
        <f t="shared" ref="N138:V138" si="25">SUM(N129:N137)</f>
        <v>0</v>
      </c>
      <c r="O138" s="504">
        <f t="shared" si="25"/>
        <v>0</v>
      </c>
      <c r="P138" s="504">
        <f t="shared" si="25"/>
        <v>0</v>
      </c>
      <c r="Q138" s="504">
        <f t="shared" si="25"/>
        <v>0</v>
      </c>
      <c r="R138" s="504">
        <f t="shared" si="25"/>
        <v>0</v>
      </c>
      <c r="S138" s="504">
        <f t="shared" si="25"/>
        <v>0</v>
      </c>
      <c r="T138" s="505">
        <f t="shared" si="25"/>
        <v>0</v>
      </c>
      <c r="U138" s="506">
        <f t="shared" si="25"/>
        <v>0</v>
      </c>
      <c r="V138" s="504">
        <f t="shared" si="25"/>
        <v>0</v>
      </c>
    </row>
    <row r="139" spans="2:22" outlineLevel="1">
      <c r="C139" s="151"/>
      <c r="D139" s="151"/>
      <c r="E139" s="151"/>
      <c r="F139" s="151"/>
      <c r="L139" s="167"/>
      <c r="M139" s="274"/>
      <c r="N139" s="274"/>
      <c r="O139" s="274"/>
      <c r="P139" s="274"/>
      <c r="Q139" s="274"/>
      <c r="R139" s="274"/>
      <c r="S139" s="274"/>
      <c r="T139" s="274"/>
      <c r="U139" s="296"/>
      <c r="V139" s="274"/>
    </row>
    <row r="140" spans="2:22" ht="17.5" outlineLevel="1">
      <c r="C140" s="151"/>
      <c r="D140" s="270" t="s">
        <v>464</v>
      </c>
      <c r="E140" s="271"/>
      <c r="F140" s="271"/>
      <c r="G140" s="271"/>
      <c r="H140" s="271"/>
      <c r="I140" s="271"/>
      <c r="J140" s="271"/>
      <c r="K140" s="271"/>
      <c r="L140" s="309"/>
      <c r="M140" s="271"/>
      <c r="N140" s="271"/>
      <c r="O140" s="271"/>
      <c r="P140" s="271"/>
      <c r="Q140" s="271"/>
      <c r="R140" s="271"/>
      <c r="S140" s="271"/>
      <c r="T140" s="271"/>
      <c r="U140" s="289"/>
      <c r="V140" s="271"/>
    </row>
    <row r="141" spans="2:22" ht="17.5" outlineLevel="1">
      <c r="C141" s="151"/>
      <c r="D141" s="155"/>
      <c r="L141" s="167"/>
      <c r="U141" s="288"/>
    </row>
    <row r="142" spans="2:22" ht="40.5" outlineLevel="1">
      <c r="B142" s="1286" t="s">
        <v>453</v>
      </c>
      <c r="C142" s="864" t="str">
        <f t="shared" ref="C142:I152" si="26">C127</f>
        <v>Issue date</v>
      </c>
      <c r="D142" s="862" t="str">
        <f t="shared" si="26"/>
        <v>Maturity date</v>
      </c>
      <c r="E142" s="862" t="str">
        <f t="shared" si="26"/>
        <v>Description</v>
      </c>
      <c r="F142" s="862" t="str">
        <f t="shared" si="26"/>
        <v>Loan type</v>
      </c>
      <c r="G142" s="862" t="str">
        <f t="shared" si="26"/>
        <v>Payment rank</v>
      </c>
      <c r="H142" s="862" t="str">
        <f t="shared" si="26"/>
        <v>Reference rate</v>
      </c>
      <c r="I142" s="863" t="str">
        <f t="shared" si="26"/>
        <v>Coupon rate / margin spread on reference rate</v>
      </c>
      <c r="L142" s="167"/>
      <c r="U142" s="288"/>
    </row>
    <row r="143" spans="2:22" outlineLevel="1">
      <c r="B143" s="1074"/>
      <c r="C143" s="245" t="str">
        <f t="shared" si="26"/>
        <v>dd/mm/yyyy</v>
      </c>
      <c r="D143" s="246" t="str">
        <f t="shared" si="26"/>
        <v>dd/mm/yyyy</v>
      </c>
      <c r="E143" s="246" t="str">
        <f t="shared" si="26"/>
        <v/>
      </c>
      <c r="F143" s="246" t="str">
        <f t="shared" si="26"/>
        <v/>
      </c>
      <c r="G143" s="246" t="str">
        <f t="shared" si="26"/>
        <v/>
      </c>
      <c r="H143" s="246" t="str">
        <f t="shared" si="26"/>
        <v/>
      </c>
      <c r="I143" s="247" t="str">
        <f t="shared" si="26"/>
        <v xml:space="preserve">% </v>
      </c>
      <c r="L143" s="167"/>
      <c r="M143" s="191" t="s">
        <v>454</v>
      </c>
      <c r="N143" s="192" t="s">
        <v>454</v>
      </c>
      <c r="O143" s="192" t="s">
        <v>454</v>
      </c>
      <c r="P143" s="192" t="s">
        <v>454</v>
      </c>
      <c r="Q143" s="192" t="s">
        <v>454</v>
      </c>
      <c r="R143" s="192" t="s">
        <v>454</v>
      </c>
      <c r="S143" s="192" t="s">
        <v>454</v>
      </c>
      <c r="T143" s="280" t="s">
        <v>454</v>
      </c>
      <c r="U143" s="291" t="s">
        <v>454</v>
      </c>
      <c r="V143" s="192" t="s">
        <v>454</v>
      </c>
    </row>
    <row r="144" spans="2:22" outlineLevel="1">
      <c r="B144" s="241" t="s">
        <v>495</v>
      </c>
      <c r="C144" s="659">
        <f>C129</f>
        <v>43556</v>
      </c>
      <c r="D144" s="659" t="str">
        <f t="shared" si="26"/>
        <v>On Demand</v>
      </c>
      <c r="E144" s="675" t="str">
        <f t="shared" si="26"/>
        <v>National Grid plc</v>
      </c>
      <c r="F144" s="676" t="str">
        <f t="shared" si="26"/>
        <v>RCF (Revolving Credit Facility)</v>
      </c>
      <c r="G144" s="675" t="str">
        <f t="shared" si="26"/>
        <v/>
      </c>
      <c r="H144" s="676" t="str">
        <f t="shared" si="26"/>
        <v>1 day GBP SONIA</v>
      </c>
      <c r="I144" s="663">
        <f t="shared" si="26"/>
        <v>2.5000000000000001E-3</v>
      </c>
      <c r="J144" s="201"/>
      <c r="K144" s="202"/>
      <c r="L144" s="203"/>
      <c r="M144" s="487">
        <v>-0.95578613000000001</v>
      </c>
      <c r="N144" s="488">
        <v>0</v>
      </c>
      <c r="O144" s="488">
        <v>0</v>
      </c>
      <c r="P144" s="488">
        <v>0</v>
      </c>
      <c r="Q144" s="488">
        <v>0</v>
      </c>
      <c r="R144" s="488">
        <v>0</v>
      </c>
      <c r="S144" s="488">
        <v>0</v>
      </c>
      <c r="T144" s="489">
        <v>0</v>
      </c>
      <c r="U144" s="490">
        <v>0</v>
      </c>
      <c r="V144" s="488">
        <v>0</v>
      </c>
    </row>
    <row r="145" spans="2:30" outlineLevel="1">
      <c r="B145" s="244" t="s">
        <v>496</v>
      </c>
      <c r="C145" s="664" t="str">
        <f t="shared" si="26"/>
        <v/>
      </c>
      <c r="D145" s="664" t="str">
        <f t="shared" si="26"/>
        <v/>
      </c>
      <c r="E145" s="682" t="str">
        <f t="shared" si="26"/>
        <v/>
      </c>
      <c r="F145" s="683" t="str">
        <f t="shared" si="26"/>
        <v/>
      </c>
      <c r="G145" s="682" t="str">
        <f t="shared" si="26"/>
        <v/>
      </c>
      <c r="H145" s="683" t="str">
        <f t="shared" si="26"/>
        <v/>
      </c>
      <c r="I145" s="668" t="str">
        <f t="shared" si="26"/>
        <v/>
      </c>
      <c r="J145" s="201"/>
      <c r="K145" s="202"/>
      <c r="L145" s="203"/>
      <c r="M145" s="491"/>
      <c r="N145" s="492"/>
      <c r="O145" s="492"/>
      <c r="P145" s="492"/>
      <c r="Q145" s="492"/>
      <c r="R145" s="492"/>
      <c r="S145" s="492"/>
      <c r="T145" s="493"/>
      <c r="U145" s="494"/>
      <c r="V145" s="492"/>
    </row>
    <row r="146" spans="2:30" outlineLevel="1">
      <c r="B146" s="242" t="s">
        <v>497</v>
      </c>
      <c r="C146" s="664" t="str">
        <f t="shared" si="26"/>
        <v/>
      </c>
      <c r="D146" s="664" t="str">
        <f t="shared" si="26"/>
        <v/>
      </c>
      <c r="E146" s="682" t="str">
        <f t="shared" si="26"/>
        <v/>
      </c>
      <c r="F146" s="683" t="str">
        <f t="shared" si="26"/>
        <v/>
      </c>
      <c r="G146" s="682" t="str">
        <f t="shared" si="26"/>
        <v/>
      </c>
      <c r="H146" s="683" t="str">
        <f t="shared" si="26"/>
        <v/>
      </c>
      <c r="I146" s="668" t="str">
        <f t="shared" si="26"/>
        <v/>
      </c>
      <c r="J146" s="201"/>
      <c r="K146" s="202"/>
      <c r="L146" s="203"/>
      <c r="M146" s="491"/>
      <c r="N146" s="492"/>
      <c r="O146" s="492"/>
      <c r="P146" s="492"/>
      <c r="Q146" s="492"/>
      <c r="R146" s="492"/>
      <c r="S146" s="492"/>
      <c r="T146" s="493"/>
      <c r="U146" s="494"/>
      <c r="V146" s="492"/>
    </row>
    <row r="147" spans="2:30" outlineLevel="1">
      <c r="B147" s="244" t="s">
        <v>498</v>
      </c>
      <c r="C147" s="664" t="str">
        <f t="shared" si="26"/>
        <v/>
      </c>
      <c r="D147" s="664" t="str">
        <f t="shared" si="26"/>
        <v/>
      </c>
      <c r="E147" s="682" t="str">
        <f t="shared" si="26"/>
        <v/>
      </c>
      <c r="F147" s="683" t="str">
        <f t="shared" si="26"/>
        <v/>
      </c>
      <c r="G147" s="682" t="str">
        <f t="shared" si="26"/>
        <v/>
      </c>
      <c r="H147" s="683" t="str">
        <f t="shared" si="26"/>
        <v/>
      </c>
      <c r="I147" s="668" t="str">
        <f t="shared" si="26"/>
        <v/>
      </c>
      <c r="J147" s="201"/>
      <c r="K147" s="202"/>
      <c r="L147" s="203"/>
      <c r="M147" s="491"/>
      <c r="N147" s="492"/>
      <c r="O147" s="492"/>
      <c r="P147" s="492"/>
      <c r="Q147" s="492"/>
      <c r="R147" s="492"/>
      <c r="S147" s="492"/>
      <c r="T147" s="493"/>
      <c r="U147" s="494"/>
      <c r="V147" s="492"/>
    </row>
    <row r="148" spans="2:30" outlineLevel="1">
      <c r="B148" s="242" t="s">
        <v>499</v>
      </c>
      <c r="C148" s="664" t="str">
        <f t="shared" si="26"/>
        <v/>
      </c>
      <c r="D148" s="664" t="str">
        <f t="shared" si="26"/>
        <v/>
      </c>
      <c r="E148" s="682" t="str">
        <f t="shared" si="26"/>
        <v/>
      </c>
      <c r="F148" s="683" t="str">
        <f t="shared" si="26"/>
        <v/>
      </c>
      <c r="G148" s="682" t="str">
        <f t="shared" si="26"/>
        <v/>
      </c>
      <c r="H148" s="683" t="str">
        <f t="shared" si="26"/>
        <v/>
      </c>
      <c r="I148" s="668" t="str">
        <f t="shared" si="26"/>
        <v/>
      </c>
      <c r="J148" s="201"/>
      <c r="K148" s="202"/>
      <c r="L148" s="203"/>
      <c r="M148" s="491"/>
      <c r="N148" s="492"/>
      <c r="O148" s="492"/>
      <c r="P148" s="492"/>
      <c r="Q148" s="492"/>
      <c r="R148" s="492"/>
      <c r="S148" s="492"/>
      <c r="T148" s="493"/>
      <c r="U148" s="494"/>
      <c r="V148" s="492"/>
    </row>
    <row r="149" spans="2:30" outlineLevel="1">
      <c r="B149" s="244" t="s">
        <v>500</v>
      </c>
      <c r="C149" s="664" t="str">
        <f t="shared" si="26"/>
        <v/>
      </c>
      <c r="D149" s="664" t="str">
        <f t="shared" si="26"/>
        <v/>
      </c>
      <c r="E149" s="682" t="str">
        <f t="shared" si="26"/>
        <v/>
      </c>
      <c r="F149" s="683" t="str">
        <f t="shared" si="26"/>
        <v/>
      </c>
      <c r="G149" s="682" t="str">
        <f t="shared" si="26"/>
        <v/>
      </c>
      <c r="H149" s="683" t="str">
        <f t="shared" si="26"/>
        <v/>
      </c>
      <c r="I149" s="668" t="str">
        <f t="shared" si="26"/>
        <v/>
      </c>
      <c r="J149" s="201"/>
      <c r="K149" s="202"/>
      <c r="L149" s="203"/>
      <c r="M149" s="491"/>
      <c r="N149" s="492"/>
      <c r="O149" s="492"/>
      <c r="P149" s="492"/>
      <c r="Q149" s="492"/>
      <c r="R149" s="492"/>
      <c r="S149" s="492"/>
      <c r="T149" s="493"/>
      <c r="U149" s="494"/>
      <c r="V149" s="492"/>
    </row>
    <row r="150" spans="2:30" outlineLevel="1">
      <c r="B150" s="242" t="s">
        <v>501</v>
      </c>
      <c r="C150" s="664" t="str">
        <f t="shared" si="26"/>
        <v/>
      </c>
      <c r="D150" s="664" t="str">
        <f t="shared" si="26"/>
        <v/>
      </c>
      <c r="E150" s="682" t="str">
        <f t="shared" si="26"/>
        <v/>
      </c>
      <c r="F150" s="683" t="str">
        <f t="shared" si="26"/>
        <v/>
      </c>
      <c r="G150" s="682" t="str">
        <f t="shared" si="26"/>
        <v/>
      </c>
      <c r="H150" s="683" t="str">
        <f t="shared" si="26"/>
        <v/>
      </c>
      <c r="I150" s="668" t="str">
        <f t="shared" si="26"/>
        <v/>
      </c>
      <c r="J150" s="201"/>
      <c r="K150" s="202"/>
      <c r="L150" s="203"/>
      <c r="M150" s="491"/>
      <c r="N150" s="492"/>
      <c r="O150" s="492"/>
      <c r="P150" s="492"/>
      <c r="Q150" s="492"/>
      <c r="R150" s="492"/>
      <c r="S150" s="492"/>
      <c r="T150" s="493"/>
      <c r="U150" s="494"/>
      <c r="V150" s="492"/>
    </row>
    <row r="151" spans="2:30" outlineLevel="1">
      <c r="B151" s="244" t="s">
        <v>502</v>
      </c>
      <c r="C151" s="664" t="str">
        <f t="shared" si="26"/>
        <v/>
      </c>
      <c r="D151" s="664" t="str">
        <f t="shared" si="26"/>
        <v/>
      </c>
      <c r="E151" s="682" t="str">
        <f t="shared" si="26"/>
        <v/>
      </c>
      <c r="F151" s="683" t="str">
        <f t="shared" si="26"/>
        <v/>
      </c>
      <c r="G151" s="682" t="str">
        <f t="shared" si="26"/>
        <v/>
      </c>
      <c r="H151" s="683" t="str">
        <f t="shared" si="26"/>
        <v/>
      </c>
      <c r="I151" s="668" t="str">
        <f t="shared" si="26"/>
        <v/>
      </c>
      <c r="J151" s="201"/>
      <c r="K151" s="202"/>
      <c r="L151" s="203"/>
      <c r="M151" s="491"/>
      <c r="N151" s="492"/>
      <c r="O151" s="492"/>
      <c r="P151" s="492"/>
      <c r="Q151" s="492"/>
      <c r="R151" s="492"/>
      <c r="S151" s="492"/>
      <c r="T151" s="493"/>
      <c r="U151" s="494"/>
      <c r="V151" s="492"/>
    </row>
    <row r="152" spans="2:30" outlineLevel="1">
      <c r="B152" s="243" t="s">
        <v>503</v>
      </c>
      <c r="C152" s="669" t="str">
        <f t="shared" si="26"/>
        <v/>
      </c>
      <c r="D152" s="669" t="str">
        <f t="shared" si="26"/>
        <v/>
      </c>
      <c r="E152" s="685" t="str">
        <f t="shared" si="26"/>
        <v/>
      </c>
      <c r="F152" s="686" t="str">
        <f t="shared" si="26"/>
        <v/>
      </c>
      <c r="G152" s="685" t="str">
        <f t="shared" si="26"/>
        <v/>
      </c>
      <c r="H152" s="686" t="str">
        <f t="shared" si="26"/>
        <v/>
      </c>
      <c r="I152" s="673" t="str">
        <f t="shared" si="26"/>
        <v/>
      </c>
      <c r="J152" s="201"/>
      <c r="K152" s="202"/>
      <c r="L152" s="203"/>
      <c r="M152" s="495"/>
      <c r="N152" s="496"/>
      <c r="O152" s="496"/>
      <c r="P152" s="496"/>
      <c r="Q152" s="496"/>
      <c r="R152" s="496"/>
      <c r="S152" s="496"/>
      <c r="T152" s="497"/>
      <c r="U152" s="498"/>
      <c r="V152" s="496"/>
    </row>
    <row r="153" spans="2:30" outlineLevel="1">
      <c r="C153" s="151"/>
      <c r="D153" s="151"/>
      <c r="E153" s="151"/>
      <c r="F153" s="151"/>
      <c r="L153" s="1072" t="s">
        <v>339</v>
      </c>
      <c r="M153" s="503">
        <f>SUM(M144:M152)</f>
        <v>-0.95578613000000001</v>
      </c>
      <c r="N153" s="504">
        <f t="shared" ref="N153:V153" si="27">SUM(N144:N152)</f>
        <v>0</v>
      </c>
      <c r="O153" s="504">
        <f t="shared" si="27"/>
        <v>0</v>
      </c>
      <c r="P153" s="504">
        <f t="shared" si="27"/>
        <v>0</v>
      </c>
      <c r="Q153" s="504">
        <f t="shared" si="27"/>
        <v>0</v>
      </c>
      <c r="R153" s="504">
        <f t="shared" si="27"/>
        <v>0</v>
      </c>
      <c r="S153" s="504">
        <f t="shared" si="27"/>
        <v>0</v>
      </c>
      <c r="T153" s="505">
        <f t="shared" si="27"/>
        <v>0</v>
      </c>
      <c r="U153" s="506">
        <f t="shared" si="27"/>
        <v>0</v>
      </c>
      <c r="V153" s="504">
        <f t="shared" si="27"/>
        <v>0</v>
      </c>
    </row>
    <row r="154" spans="2:30" outlineLevel="1">
      <c r="C154" s="151"/>
      <c r="D154" s="156"/>
      <c r="E154" s="156"/>
      <c r="F154" s="156"/>
      <c r="L154" s="308"/>
      <c r="M154" s="156"/>
      <c r="N154" s="156"/>
      <c r="O154" s="156"/>
      <c r="P154" s="156"/>
      <c r="Q154" s="156"/>
      <c r="R154" s="156"/>
      <c r="S154" s="156"/>
      <c r="T154" s="156"/>
      <c r="U154" s="290"/>
      <c r="V154" s="156"/>
      <c r="W154" s="156"/>
      <c r="X154" s="156"/>
      <c r="Y154" s="156"/>
      <c r="Z154" s="156"/>
      <c r="AA154" s="156"/>
      <c r="AB154" s="156"/>
      <c r="AC154" s="156"/>
      <c r="AD154" s="156"/>
    </row>
    <row r="155" spans="2:30">
      <c r="C155" s="151"/>
      <c r="L155" s="167"/>
      <c r="M155" s="157"/>
      <c r="N155" s="157"/>
      <c r="O155" s="157"/>
      <c r="P155" s="157"/>
      <c r="Q155" s="157"/>
      <c r="R155" s="157"/>
      <c r="S155" s="157"/>
      <c r="T155" s="157"/>
      <c r="U155" s="297"/>
      <c r="V155" s="157"/>
    </row>
    <row r="156" spans="2:30" ht="14">
      <c r="B156" s="259" t="s">
        <v>504</v>
      </c>
      <c r="C156" s="260" t="s">
        <v>505</v>
      </c>
      <c r="D156" s="260"/>
      <c r="E156" s="260"/>
      <c r="F156" s="260"/>
      <c r="G156" s="261"/>
      <c r="H156" s="261"/>
      <c r="I156" s="261"/>
      <c r="J156" s="261"/>
      <c r="K156" s="261"/>
      <c r="L156" s="259"/>
      <c r="M156" s="260"/>
      <c r="N156" s="260"/>
      <c r="O156" s="260"/>
      <c r="P156" s="260"/>
      <c r="Q156" s="260"/>
      <c r="R156" s="260"/>
      <c r="S156" s="260"/>
      <c r="T156" s="260"/>
      <c r="U156" s="293"/>
      <c r="V156" s="260"/>
    </row>
    <row r="157" spans="2:30" ht="14">
      <c r="B157" s="264"/>
      <c r="C157" s="265"/>
      <c r="D157" s="265"/>
      <c r="E157" s="265"/>
      <c r="F157" s="265"/>
      <c r="G157" s="266"/>
      <c r="H157" s="266"/>
      <c r="I157" s="266"/>
      <c r="J157" s="266"/>
      <c r="K157" s="266"/>
      <c r="L157" s="264"/>
      <c r="M157" s="265"/>
      <c r="N157" s="265"/>
      <c r="O157" s="265"/>
      <c r="P157" s="265"/>
      <c r="Q157" s="265"/>
      <c r="R157" s="265"/>
      <c r="S157" s="265"/>
      <c r="T157" s="265"/>
      <c r="U157" s="294"/>
      <c r="V157" s="265"/>
    </row>
    <row r="158" spans="2:30" ht="17.5" outlineLevel="1">
      <c r="B158" s="154"/>
      <c r="C158" s="151"/>
      <c r="D158" s="270" t="s">
        <v>452</v>
      </c>
      <c r="E158" s="272"/>
      <c r="F158" s="272"/>
      <c r="G158" s="271"/>
      <c r="H158" s="271"/>
      <c r="I158" s="271"/>
      <c r="J158" s="271"/>
      <c r="K158" s="271"/>
      <c r="L158" s="309"/>
      <c r="M158" s="272"/>
      <c r="N158" s="272"/>
      <c r="O158" s="272"/>
      <c r="P158" s="272"/>
      <c r="Q158" s="272"/>
      <c r="R158" s="272"/>
      <c r="S158" s="272"/>
      <c r="T158" s="272"/>
      <c r="U158" s="295"/>
      <c r="V158" s="272"/>
    </row>
    <row r="159" spans="2:30" ht="14">
      <c r="B159" s="264"/>
      <c r="C159" s="265"/>
      <c r="D159" s="265"/>
      <c r="E159" s="265"/>
      <c r="F159" s="265"/>
      <c r="G159" s="266"/>
      <c r="H159" s="266"/>
      <c r="I159" s="266"/>
      <c r="J159" s="266"/>
      <c r="K159" s="266"/>
      <c r="L159" s="264"/>
      <c r="M159" s="265"/>
      <c r="N159" s="265"/>
      <c r="O159" s="265"/>
      <c r="P159" s="265"/>
      <c r="Q159" s="265"/>
      <c r="R159" s="265"/>
      <c r="S159" s="265"/>
      <c r="T159" s="265"/>
      <c r="U159" s="294"/>
      <c r="V159" s="265"/>
    </row>
    <row r="160" spans="2:30" ht="49.5" customHeight="1" outlineLevel="1">
      <c r="B160" s="1396" t="s">
        <v>453</v>
      </c>
      <c r="C160" s="1398" t="s">
        <v>506</v>
      </c>
      <c r="D160" s="1399"/>
      <c r="E160" s="1399"/>
      <c r="F160" s="1399"/>
      <c r="G160" s="1399"/>
      <c r="H160" s="1399"/>
      <c r="I160" s="1400"/>
      <c r="L160" s="154"/>
      <c r="M160" s="193" t="s">
        <v>507</v>
      </c>
      <c r="N160" s="194" t="s">
        <v>507</v>
      </c>
      <c r="O160" s="194" t="s">
        <v>507</v>
      </c>
      <c r="P160" s="194" t="s">
        <v>507</v>
      </c>
      <c r="Q160" s="194" t="s">
        <v>507</v>
      </c>
      <c r="R160" s="194" t="s">
        <v>507</v>
      </c>
      <c r="S160" s="194" t="s">
        <v>507</v>
      </c>
      <c r="T160" s="281" t="s">
        <v>507</v>
      </c>
      <c r="U160" s="298" t="s">
        <v>507</v>
      </c>
      <c r="V160" s="194" t="s">
        <v>507</v>
      </c>
    </row>
    <row r="161" spans="2:23" outlineLevel="1">
      <c r="B161" s="1397"/>
      <c r="C161" s="1401"/>
      <c r="D161" s="1402"/>
      <c r="E161" s="1402"/>
      <c r="F161" s="1402"/>
      <c r="G161" s="1402"/>
      <c r="H161" s="1402"/>
      <c r="I161" s="1403"/>
      <c r="L161" s="154"/>
      <c r="M161" s="195" t="s">
        <v>454</v>
      </c>
      <c r="N161" s="196" t="s">
        <v>454</v>
      </c>
      <c r="O161" s="196" t="s">
        <v>454</v>
      </c>
      <c r="P161" s="196" t="s">
        <v>454</v>
      </c>
      <c r="Q161" s="196" t="s">
        <v>454</v>
      </c>
      <c r="R161" s="196" t="s">
        <v>454</v>
      </c>
      <c r="S161" s="196" t="s">
        <v>454</v>
      </c>
      <c r="T161" s="282" t="s">
        <v>454</v>
      </c>
      <c r="U161" s="299" t="s">
        <v>454</v>
      </c>
      <c r="V161" s="196" t="s">
        <v>454</v>
      </c>
    </row>
    <row r="162" spans="2:23" outlineLevel="1">
      <c r="B162" s="369" t="s">
        <v>508</v>
      </c>
      <c r="C162" s="810" t="str">
        <f>IF('R6a - Net Debt input'!D90 = "","",'R6a - Net Debt input'!D90)</f>
        <v/>
      </c>
      <c r="D162" s="811"/>
      <c r="E162" s="811"/>
      <c r="F162" s="811"/>
      <c r="G162" s="811"/>
      <c r="H162" s="811"/>
      <c r="I162" s="812"/>
      <c r="J162" s="201"/>
      <c r="K162" s="202"/>
      <c r="L162" s="203"/>
      <c r="M162" s="487"/>
      <c r="N162" s="488"/>
      <c r="O162" s="488"/>
      <c r="P162" s="488"/>
      <c r="Q162" s="488"/>
      <c r="R162" s="488"/>
      <c r="S162" s="488"/>
      <c r="T162" s="489"/>
      <c r="U162" s="490"/>
      <c r="V162" s="488"/>
    </row>
    <row r="163" spans="2:23" outlineLevel="1">
      <c r="B163" s="244" t="s">
        <v>509</v>
      </c>
      <c r="C163" s="810" t="str">
        <f>IF('R6a - Net Debt input'!D91 = "","",'R6a - Net Debt input'!D91)</f>
        <v/>
      </c>
      <c r="D163" s="811"/>
      <c r="E163" s="811"/>
      <c r="F163" s="811"/>
      <c r="G163" s="811"/>
      <c r="H163" s="811"/>
      <c r="I163" s="812"/>
      <c r="J163" s="201"/>
      <c r="K163" s="202"/>
      <c r="L163" s="203"/>
      <c r="M163" s="491"/>
      <c r="N163" s="492"/>
      <c r="O163" s="492"/>
      <c r="P163" s="492"/>
      <c r="Q163" s="492"/>
      <c r="R163" s="492"/>
      <c r="S163" s="492"/>
      <c r="T163" s="493"/>
      <c r="U163" s="494"/>
      <c r="V163" s="492"/>
    </row>
    <row r="164" spans="2:23" outlineLevel="1">
      <c r="B164" s="244" t="s">
        <v>510</v>
      </c>
      <c r="C164" s="810" t="str">
        <f>IF('R6a - Net Debt input'!D92 = "","",'R6a - Net Debt input'!D92)</f>
        <v/>
      </c>
      <c r="D164" s="811"/>
      <c r="E164" s="811"/>
      <c r="F164" s="811"/>
      <c r="G164" s="811"/>
      <c r="H164" s="811"/>
      <c r="I164" s="812"/>
      <c r="J164" s="201"/>
      <c r="K164" s="202"/>
      <c r="L164" s="203"/>
      <c r="M164" s="491"/>
      <c r="N164" s="492"/>
      <c r="O164" s="492"/>
      <c r="P164" s="492"/>
      <c r="Q164" s="492"/>
      <c r="R164" s="492"/>
      <c r="S164" s="492"/>
      <c r="T164" s="493"/>
      <c r="U164" s="494"/>
      <c r="V164" s="492"/>
    </row>
    <row r="165" spans="2:23" outlineLevel="1">
      <c r="B165" s="244" t="s">
        <v>511</v>
      </c>
      <c r="C165" s="810" t="str">
        <f>IF('R6a - Net Debt input'!D93 = "","",'R6a - Net Debt input'!D93)</f>
        <v/>
      </c>
      <c r="D165" s="811"/>
      <c r="E165" s="811"/>
      <c r="F165" s="811"/>
      <c r="G165" s="811"/>
      <c r="H165" s="811"/>
      <c r="I165" s="812"/>
      <c r="J165" s="201"/>
      <c r="K165" s="202"/>
      <c r="L165" s="203"/>
      <c r="M165" s="491"/>
      <c r="N165" s="492"/>
      <c r="O165" s="492"/>
      <c r="P165" s="492"/>
      <c r="Q165" s="492"/>
      <c r="R165" s="492"/>
      <c r="S165" s="492"/>
      <c r="T165" s="493"/>
      <c r="U165" s="494"/>
      <c r="V165" s="492"/>
    </row>
    <row r="166" spans="2:23" outlineLevel="1">
      <c r="B166" s="244" t="s">
        <v>512</v>
      </c>
      <c r="C166" s="810" t="str">
        <f>IF('R6a - Net Debt input'!D94 = "","",'R6a - Net Debt input'!D94)</f>
        <v/>
      </c>
      <c r="D166" s="811"/>
      <c r="E166" s="811"/>
      <c r="F166" s="811"/>
      <c r="G166" s="811"/>
      <c r="H166" s="811"/>
      <c r="I166" s="812"/>
      <c r="J166" s="201"/>
      <c r="K166" s="202"/>
      <c r="L166" s="203"/>
      <c r="M166" s="491"/>
      <c r="N166" s="492"/>
      <c r="O166" s="492"/>
      <c r="P166" s="492"/>
      <c r="Q166" s="492"/>
      <c r="R166" s="492"/>
      <c r="S166" s="492"/>
      <c r="T166" s="493"/>
      <c r="U166" s="494"/>
      <c r="V166" s="492"/>
    </row>
    <row r="167" spans="2:23" outlineLevel="1">
      <c r="B167" s="244" t="s">
        <v>513</v>
      </c>
      <c r="C167" s="810" t="str">
        <f>IF('R6a - Net Debt input'!D95 = "","",'R6a - Net Debt input'!D95)</f>
        <v/>
      </c>
      <c r="D167" s="811"/>
      <c r="E167" s="811"/>
      <c r="F167" s="811"/>
      <c r="G167" s="811"/>
      <c r="H167" s="811"/>
      <c r="I167" s="812"/>
      <c r="J167" s="201"/>
      <c r="K167" s="202"/>
      <c r="L167" s="203"/>
      <c r="M167" s="491"/>
      <c r="N167" s="492"/>
      <c r="O167" s="492"/>
      <c r="P167" s="492"/>
      <c r="Q167" s="492"/>
      <c r="R167" s="492"/>
      <c r="S167" s="492"/>
      <c r="T167" s="493"/>
      <c r="U167" s="494"/>
      <c r="V167" s="492"/>
    </row>
    <row r="168" spans="2:23" outlineLevel="1">
      <c r="B168" s="244" t="s">
        <v>514</v>
      </c>
      <c r="C168" s="810" t="str">
        <f>IF('R6a - Net Debt input'!D96 = "","",'R6a - Net Debt input'!D96)</f>
        <v/>
      </c>
      <c r="D168" s="811"/>
      <c r="E168" s="811"/>
      <c r="F168" s="811"/>
      <c r="G168" s="811"/>
      <c r="H168" s="811"/>
      <c r="I168" s="812"/>
      <c r="J168" s="201"/>
      <c r="K168" s="202"/>
      <c r="L168" s="203"/>
      <c r="M168" s="491"/>
      <c r="N168" s="492"/>
      <c r="O168" s="492"/>
      <c r="P168" s="492"/>
      <c r="Q168" s="492"/>
      <c r="R168" s="492"/>
      <c r="S168" s="492"/>
      <c r="T168" s="493"/>
      <c r="U168" s="494"/>
      <c r="V168" s="492"/>
    </row>
    <row r="169" spans="2:23" outlineLevel="1">
      <c r="B169" s="244" t="s">
        <v>515</v>
      </c>
      <c r="C169" s="810" t="str">
        <f>IF('R6a - Net Debt input'!D97 = "","",'R6a - Net Debt input'!D97)</f>
        <v/>
      </c>
      <c r="D169" s="811"/>
      <c r="E169" s="811"/>
      <c r="F169" s="811"/>
      <c r="G169" s="811"/>
      <c r="H169" s="811"/>
      <c r="I169" s="812"/>
      <c r="J169" s="201"/>
      <c r="K169" s="202"/>
      <c r="L169" s="203"/>
      <c r="M169" s="491"/>
      <c r="N169" s="492"/>
      <c r="O169" s="492"/>
      <c r="P169" s="492"/>
      <c r="Q169" s="492"/>
      <c r="R169" s="492"/>
      <c r="S169" s="492"/>
      <c r="T169" s="493"/>
      <c r="U169" s="494"/>
      <c r="V169" s="492"/>
    </row>
    <row r="170" spans="2:23" outlineLevel="1">
      <c r="B170" s="370" t="s">
        <v>516</v>
      </c>
      <c r="C170" s="810" t="str">
        <f>IF('R6a - Net Debt input'!D98 = "","",'R6a - Net Debt input'!D98)</f>
        <v/>
      </c>
      <c r="D170" s="811"/>
      <c r="E170" s="811"/>
      <c r="F170" s="811"/>
      <c r="G170" s="811"/>
      <c r="H170" s="811"/>
      <c r="I170" s="812"/>
      <c r="J170" s="201"/>
      <c r="K170" s="202"/>
      <c r="L170" s="203"/>
      <c r="M170" s="495"/>
      <c r="N170" s="496"/>
      <c r="O170" s="496"/>
      <c r="P170" s="496"/>
      <c r="Q170" s="496"/>
      <c r="R170" s="496"/>
      <c r="S170" s="496"/>
      <c r="T170" s="497"/>
      <c r="U170" s="498"/>
      <c r="V170" s="496"/>
    </row>
    <row r="171" spans="2:23" outlineLevel="1">
      <c r="B171" s="151"/>
      <c r="C171" s="151"/>
      <c r="D171" s="151"/>
      <c r="E171" s="151"/>
      <c r="F171" s="151"/>
      <c r="L171" s="1072" t="s">
        <v>339</v>
      </c>
      <c r="M171" s="503">
        <f t="shared" ref="M171:V171" si="28">SUM(M162:M170)</f>
        <v>0</v>
      </c>
      <c r="N171" s="504">
        <f t="shared" si="28"/>
        <v>0</v>
      </c>
      <c r="O171" s="504">
        <f t="shared" si="28"/>
        <v>0</v>
      </c>
      <c r="P171" s="504">
        <f t="shared" si="28"/>
        <v>0</v>
      </c>
      <c r="Q171" s="504">
        <f t="shared" si="28"/>
        <v>0</v>
      </c>
      <c r="R171" s="504">
        <f t="shared" si="28"/>
        <v>0</v>
      </c>
      <c r="S171" s="504">
        <f t="shared" si="28"/>
        <v>0</v>
      </c>
      <c r="T171" s="505">
        <f t="shared" si="28"/>
        <v>0</v>
      </c>
      <c r="U171" s="506">
        <f t="shared" si="28"/>
        <v>0</v>
      </c>
      <c r="V171" s="504">
        <f t="shared" si="28"/>
        <v>0</v>
      </c>
    </row>
    <row r="172" spans="2:23" outlineLevel="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row>
    <row r="173" spans="2:23" ht="17.5" outlineLevel="1">
      <c r="C173" s="151"/>
      <c r="D173" s="270" t="s">
        <v>464</v>
      </c>
      <c r="E173" s="271"/>
      <c r="F173" s="271"/>
      <c r="G173" s="271"/>
      <c r="H173" s="271"/>
      <c r="I173" s="271"/>
      <c r="J173" s="271"/>
      <c r="K173" s="271"/>
      <c r="L173" s="309"/>
      <c r="M173" s="271"/>
      <c r="N173" s="271"/>
      <c r="O173" s="271"/>
      <c r="P173" s="271"/>
      <c r="Q173" s="271"/>
      <c r="R173" s="271"/>
      <c r="S173" s="271"/>
      <c r="T173" s="271"/>
      <c r="U173" s="289"/>
      <c r="V173" s="271"/>
    </row>
    <row r="174" spans="2:23" ht="14">
      <c r="B174" s="264"/>
      <c r="C174" s="265"/>
      <c r="D174" s="265"/>
      <c r="E174" s="265"/>
      <c r="F174" s="265"/>
      <c r="G174" s="266"/>
      <c r="H174" s="266"/>
      <c r="I174" s="266"/>
      <c r="J174" s="266"/>
      <c r="K174" s="266"/>
      <c r="L174" s="264"/>
      <c r="M174" s="265"/>
      <c r="N174" s="265"/>
      <c r="O174" s="265"/>
      <c r="P174" s="265"/>
      <c r="Q174" s="265"/>
      <c r="R174" s="265"/>
      <c r="S174" s="265"/>
      <c r="T174" s="265"/>
      <c r="U174" s="294"/>
      <c r="V174" s="265"/>
    </row>
    <row r="175" spans="2:23" ht="49.5" customHeight="1" outlineLevel="1">
      <c r="B175" s="1396" t="s">
        <v>453</v>
      </c>
      <c r="C175" s="1398" t="s">
        <v>506</v>
      </c>
      <c r="D175" s="1399"/>
      <c r="E175" s="1399"/>
      <c r="F175" s="1399"/>
      <c r="G175" s="1399"/>
      <c r="H175" s="1399"/>
      <c r="I175" s="1400"/>
      <c r="L175" s="154"/>
      <c r="M175" s="193" t="s">
        <v>507</v>
      </c>
      <c r="N175" s="194" t="s">
        <v>507</v>
      </c>
      <c r="O175" s="194" t="s">
        <v>507</v>
      </c>
      <c r="P175" s="194" t="s">
        <v>507</v>
      </c>
      <c r="Q175" s="194" t="s">
        <v>507</v>
      </c>
      <c r="R175" s="194" t="s">
        <v>507</v>
      </c>
      <c r="S175" s="194" t="s">
        <v>507</v>
      </c>
      <c r="T175" s="281" t="s">
        <v>507</v>
      </c>
      <c r="U175" s="298" t="s">
        <v>507</v>
      </c>
      <c r="V175" s="194" t="s">
        <v>507</v>
      </c>
    </row>
    <row r="176" spans="2:23" outlineLevel="1">
      <c r="B176" s="1397"/>
      <c r="C176" s="1401"/>
      <c r="D176" s="1402"/>
      <c r="E176" s="1402"/>
      <c r="F176" s="1402"/>
      <c r="G176" s="1402"/>
      <c r="H176" s="1402"/>
      <c r="I176" s="1403"/>
      <c r="L176" s="154"/>
      <c r="M176" s="195" t="s">
        <v>454</v>
      </c>
      <c r="N176" s="196" t="s">
        <v>454</v>
      </c>
      <c r="O176" s="196" t="s">
        <v>454</v>
      </c>
      <c r="P176" s="196" t="s">
        <v>454</v>
      </c>
      <c r="Q176" s="196" t="s">
        <v>454</v>
      </c>
      <c r="R176" s="196" t="s">
        <v>454</v>
      </c>
      <c r="S176" s="196" t="s">
        <v>454</v>
      </c>
      <c r="T176" s="282" t="s">
        <v>454</v>
      </c>
      <c r="U176" s="299" t="s">
        <v>454</v>
      </c>
      <c r="V176" s="196" t="s">
        <v>454</v>
      </c>
    </row>
    <row r="177" spans="2:22" outlineLevel="1">
      <c r="B177" s="369" t="s">
        <v>508</v>
      </c>
      <c r="C177" s="810" t="str">
        <f>IF('R6a - Net Debt input'!D90 = "","",'R6a - Net Debt input'!D90)</f>
        <v/>
      </c>
      <c r="D177" s="811"/>
      <c r="E177" s="811"/>
      <c r="F177" s="811"/>
      <c r="G177" s="811"/>
      <c r="H177" s="811"/>
      <c r="I177" s="812"/>
      <c r="J177" s="201"/>
      <c r="K177" s="202"/>
      <c r="L177" s="203"/>
      <c r="M177" s="487"/>
      <c r="N177" s="488"/>
      <c r="O177" s="488"/>
      <c r="P177" s="488"/>
      <c r="Q177" s="488"/>
      <c r="R177" s="488"/>
      <c r="S177" s="488"/>
      <c r="T177" s="489"/>
      <c r="U177" s="490"/>
      <c r="V177" s="488"/>
    </row>
    <row r="178" spans="2:22" outlineLevel="1">
      <c r="B178" s="244" t="s">
        <v>509</v>
      </c>
      <c r="C178" s="810" t="str">
        <f>IF('R6a - Net Debt input'!D91 = "","",'R6a - Net Debt input'!D91)</f>
        <v/>
      </c>
      <c r="D178" s="811"/>
      <c r="E178" s="811"/>
      <c r="F178" s="811"/>
      <c r="G178" s="811"/>
      <c r="H178" s="811"/>
      <c r="I178" s="812"/>
      <c r="J178" s="201"/>
      <c r="K178" s="202"/>
      <c r="L178" s="203"/>
      <c r="M178" s="491"/>
      <c r="N178" s="492"/>
      <c r="O178" s="492"/>
      <c r="P178" s="492"/>
      <c r="Q178" s="492"/>
      <c r="R178" s="492"/>
      <c r="S178" s="492"/>
      <c r="T178" s="493"/>
      <c r="U178" s="494"/>
      <c r="V178" s="492"/>
    </row>
    <row r="179" spans="2:22" outlineLevel="1">
      <c r="B179" s="244" t="s">
        <v>510</v>
      </c>
      <c r="C179" s="810" t="str">
        <f>IF('R6a - Net Debt input'!D92 = "","",'R6a - Net Debt input'!D92)</f>
        <v/>
      </c>
      <c r="D179" s="811"/>
      <c r="E179" s="811"/>
      <c r="F179" s="811"/>
      <c r="G179" s="811"/>
      <c r="H179" s="811"/>
      <c r="I179" s="812"/>
      <c r="J179" s="201"/>
      <c r="K179" s="202"/>
      <c r="L179" s="203"/>
      <c r="M179" s="491"/>
      <c r="N179" s="492"/>
      <c r="O179" s="492"/>
      <c r="P179" s="492"/>
      <c r="Q179" s="492"/>
      <c r="R179" s="492"/>
      <c r="S179" s="492"/>
      <c r="T179" s="493"/>
      <c r="U179" s="494"/>
      <c r="V179" s="492"/>
    </row>
    <row r="180" spans="2:22" outlineLevel="1">
      <c r="B180" s="244" t="s">
        <v>511</v>
      </c>
      <c r="C180" s="810" t="str">
        <f>IF('R6a - Net Debt input'!D93 = "","",'R6a - Net Debt input'!D93)</f>
        <v/>
      </c>
      <c r="D180" s="811"/>
      <c r="E180" s="811"/>
      <c r="F180" s="811"/>
      <c r="G180" s="811"/>
      <c r="H180" s="811"/>
      <c r="I180" s="812"/>
      <c r="J180" s="201"/>
      <c r="K180" s="202"/>
      <c r="L180" s="203"/>
      <c r="M180" s="491"/>
      <c r="N180" s="492"/>
      <c r="O180" s="492"/>
      <c r="P180" s="492"/>
      <c r="Q180" s="492"/>
      <c r="R180" s="492"/>
      <c r="S180" s="492"/>
      <c r="T180" s="493"/>
      <c r="U180" s="494"/>
      <c r="V180" s="492"/>
    </row>
    <row r="181" spans="2:22" outlineLevel="1">
      <c r="B181" s="244" t="s">
        <v>512</v>
      </c>
      <c r="C181" s="810" t="str">
        <f>IF('R6a - Net Debt input'!D94 = "","",'R6a - Net Debt input'!D94)</f>
        <v/>
      </c>
      <c r="D181" s="811"/>
      <c r="E181" s="811"/>
      <c r="F181" s="811"/>
      <c r="G181" s="811"/>
      <c r="H181" s="811"/>
      <c r="I181" s="812"/>
      <c r="J181" s="201"/>
      <c r="K181" s="202"/>
      <c r="L181" s="203"/>
      <c r="M181" s="491"/>
      <c r="N181" s="492"/>
      <c r="O181" s="492"/>
      <c r="P181" s="492"/>
      <c r="Q181" s="492"/>
      <c r="R181" s="492"/>
      <c r="S181" s="492"/>
      <c r="T181" s="493"/>
      <c r="U181" s="494"/>
      <c r="V181" s="492"/>
    </row>
    <row r="182" spans="2:22" outlineLevel="1">
      <c r="B182" s="244" t="s">
        <v>513</v>
      </c>
      <c r="C182" s="810" t="str">
        <f>IF('R6a - Net Debt input'!D95 = "","",'R6a - Net Debt input'!D95)</f>
        <v/>
      </c>
      <c r="D182" s="811"/>
      <c r="E182" s="811"/>
      <c r="F182" s="811"/>
      <c r="G182" s="811"/>
      <c r="H182" s="811"/>
      <c r="I182" s="812"/>
      <c r="J182" s="201"/>
      <c r="K182" s="202"/>
      <c r="L182" s="203"/>
      <c r="M182" s="491"/>
      <c r="N182" s="492"/>
      <c r="O182" s="492"/>
      <c r="P182" s="492"/>
      <c r="Q182" s="492"/>
      <c r="R182" s="492"/>
      <c r="S182" s="492"/>
      <c r="T182" s="493"/>
      <c r="U182" s="494"/>
      <c r="V182" s="492"/>
    </row>
    <row r="183" spans="2:22" outlineLevel="1">
      <c r="B183" s="244" t="s">
        <v>514</v>
      </c>
      <c r="C183" s="810" t="str">
        <f>IF('R6a - Net Debt input'!D96 = "","",'R6a - Net Debt input'!D96)</f>
        <v/>
      </c>
      <c r="D183" s="811"/>
      <c r="E183" s="811"/>
      <c r="F183" s="811"/>
      <c r="G183" s="811"/>
      <c r="H183" s="811"/>
      <c r="I183" s="812"/>
      <c r="J183" s="201"/>
      <c r="K183" s="202"/>
      <c r="L183" s="203"/>
      <c r="M183" s="491"/>
      <c r="N183" s="492"/>
      <c r="O183" s="492"/>
      <c r="P183" s="492"/>
      <c r="Q183" s="492"/>
      <c r="R183" s="492"/>
      <c r="S183" s="492"/>
      <c r="T183" s="493"/>
      <c r="U183" s="494"/>
      <c r="V183" s="492"/>
    </row>
    <row r="184" spans="2:22" outlineLevel="1">
      <c r="B184" s="244" t="s">
        <v>515</v>
      </c>
      <c r="C184" s="810" t="str">
        <f>IF('R6a - Net Debt input'!D97 = "","",'R6a - Net Debt input'!D97)</f>
        <v/>
      </c>
      <c r="D184" s="811"/>
      <c r="E184" s="811"/>
      <c r="F184" s="811"/>
      <c r="G184" s="811"/>
      <c r="H184" s="811"/>
      <c r="I184" s="812"/>
      <c r="J184" s="201"/>
      <c r="K184" s="202"/>
      <c r="L184" s="203"/>
      <c r="M184" s="491"/>
      <c r="N184" s="492"/>
      <c r="O184" s="492"/>
      <c r="P184" s="492"/>
      <c r="Q184" s="492"/>
      <c r="R184" s="492"/>
      <c r="S184" s="492"/>
      <c r="T184" s="493"/>
      <c r="U184" s="494"/>
      <c r="V184" s="492"/>
    </row>
    <row r="185" spans="2:22" outlineLevel="1">
      <c r="B185" s="370" t="s">
        <v>516</v>
      </c>
      <c r="C185" s="810" t="str">
        <f>IF('R6a - Net Debt input'!D98 = "","",'R6a - Net Debt input'!D98)</f>
        <v/>
      </c>
      <c r="D185" s="811"/>
      <c r="E185" s="811"/>
      <c r="F185" s="811"/>
      <c r="G185" s="811"/>
      <c r="H185" s="811"/>
      <c r="I185" s="812"/>
      <c r="J185" s="201"/>
      <c r="K185" s="202"/>
      <c r="L185" s="203"/>
      <c r="M185" s="495"/>
      <c r="N185" s="496"/>
      <c r="O185" s="496"/>
      <c r="P185" s="496"/>
      <c r="Q185" s="496"/>
      <c r="R185" s="496"/>
      <c r="S185" s="496"/>
      <c r="T185" s="497"/>
      <c r="U185" s="498"/>
      <c r="V185" s="496"/>
    </row>
    <row r="186" spans="2:22" outlineLevel="1">
      <c r="B186" s="151"/>
      <c r="C186" s="151"/>
      <c r="D186" s="151"/>
      <c r="E186" s="151"/>
      <c r="F186" s="151"/>
      <c r="L186" s="1072" t="s">
        <v>339</v>
      </c>
      <c r="M186" s="503">
        <f t="shared" ref="M186:V186" si="29">SUM(M177:M185)</f>
        <v>0</v>
      </c>
      <c r="N186" s="504">
        <f t="shared" si="29"/>
        <v>0</v>
      </c>
      <c r="O186" s="504">
        <f t="shared" si="29"/>
        <v>0</v>
      </c>
      <c r="P186" s="504">
        <f t="shared" si="29"/>
        <v>0</v>
      </c>
      <c r="Q186" s="504">
        <f t="shared" si="29"/>
        <v>0</v>
      </c>
      <c r="R186" s="504">
        <f t="shared" si="29"/>
        <v>0</v>
      </c>
      <c r="S186" s="504">
        <f t="shared" si="29"/>
        <v>0</v>
      </c>
      <c r="T186" s="505">
        <f t="shared" si="29"/>
        <v>0</v>
      </c>
      <c r="U186" s="506">
        <f t="shared" si="29"/>
        <v>0</v>
      </c>
      <c r="V186" s="504">
        <f t="shared" si="29"/>
        <v>0</v>
      </c>
    </row>
    <row r="187" spans="2:22">
      <c r="D187" s="151"/>
      <c r="E187" s="151"/>
      <c r="F187" s="151"/>
      <c r="L187" s="151"/>
      <c r="M187" s="151"/>
      <c r="N187" s="151"/>
      <c r="O187" s="151"/>
      <c r="P187" s="151"/>
      <c r="Q187" s="151"/>
      <c r="R187" s="151"/>
      <c r="S187" s="151"/>
      <c r="T187" s="151"/>
      <c r="U187" s="292"/>
      <c r="V187" s="151"/>
    </row>
    <row r="188" spans="2:22" ht="14">
      <c r="B188" s="259" t="s">
        <v>517</v>
      </c>
      <c r="C188" s="260" t="s">
        <v>518</v>
      </c>
      <c r="D188" s="260"/>
      <c r="E188" s="260"/>
      <c r="F188" s="260"/>
      <c r="G188" s="261"/>
      <c r="H188" s="261"/>
      <c r="I188" s="261"/>
      <c r="J188" s="261"/>
      <c r="K188" s="261"/>
      <c r="L188" s="259"/>
      <c r="M188" s="260"/>
      <c r="N188" s="260"/>
      <c r="O188" s="260"/>
      <c r="P188" s="260"/>
      <c r="Q188" s="260"/>
      <c r="R188" s="260"/>
      <c r="S188" s="260"/>
      <c r="T188" s="260"/>
      <c r="U188" s="293"/>
      <c r="V188" s="260"/>
    </row>
    <row r="189" spans="2:22" ht="14">
      <c r="B189" s="264"/>
      <c r="C189" s="265"/>
      <c r="D189" s="265"/>
      <c r="E189" s="265"/>
      <c r="F189" s="265"/>
      <c r="G189" s="266"/>
      <c r="H189" s="266"/>
      <c r="I189" s="266"/>
      <c r="J189" s="266"/>
      <c r="K189" s="266"/>
      <c r="L189" s="264"/>
      <c r="M189" s="265"/>
      <c r="N189" s="265"/>
      <c r="O189" s="265"/>
      <c r="P189" s="265"/>
      <c r="Q189" s="265"/>
      <c r="R189" s="265"/>
      <c r="S189" s="265"/>
      <c r="T189" s="265"/>
      <c r="U189" s="294"/>
      <c r="V189" s="265"/>
    </row>
    <row r="190" spans="2:22" ht="17.5" outlineLevel="1">
      <c r="B190" s="154"/>
      <c r="C190" s="151"/>
      <c r="D190" s="270" t="s">
        <v>452</v>
      </c>
      <c r="E190" s="272"/>
      <c r="F190" s="272"/>
      <c r="G190" s="271"/>
      <c r="H190" s="271"/>
      <c r="I190" s="271"/>
      <c r="J190" s="271"/>
      <c r="K190" s="271"/>
      <c r="L190" s="309"/>
      <c r="M190" s="272"/>
      <c r="N190" s="272"/>
      <c r="O190" s="272"/>
      <c r="P190" s="272"/>
      <c r="Q190" s="272"/>
      <c r="R190" s="272"/>
      <c r="S190" s="272"/>
      <c r="T190" s="272"/>
      <c r="U190" s="295"/>
      <c r="V190" s="272"/>
    </row>
    <row r="191" spans="2:22" ht="14">
      <c r="B191" s="264"/>
      <c r="C191" s="265"/>
      <c r="D191" s="265"/>
      <c r="E191" s="265"/>
      <c r="F191" s="265"/>
      <c r="G191" s="266"/>
      <c r="H191" s="266"/>
      <c r="I191" s="266"/>
      <c r="J191" s="266"/>
      <c r="K191" s="266"/>
      <c r="L191" s="264"/>
      <c r="M191" s="265"/>
      <c r="N191" s="265"/>
      <c r="O191" s="265"/>
      <c r="P191" s="265"/>
      <c r="Q191" s="265"/>
      <c r="R191" s="265"/>
      <c r="S191" s="265"/>
      <c r="T191" s="265"/>
      <c r="U191" s="294"/>
      <c r="V191" s="265"/>
    </row>
    <row r="192" spans="2:22" ht="49.5" customHeight="1" outlineLevel="1">
      <c r="B192" s="1396" t="s">
        <v>453</v>
      </c>
      <c r="C192" s="1398" t="s">
        <v>506</v>
      </c>
      <c r="D192" s="1399"/>
      <c r="E192" s="1399"/>
      <c r="F192" s="1399"/>
      <c r="G192" s="1399"/>
      <c r="H192" s="1399"/>
      <c r="I192" s="1400"/>
      <c r="L192" s="154"/>
      <c r="M192" s="193" t="s">
        <v>507</v>
      </c>
      <c r="N192" s="194" t="s">
        <v>507</v>
      </c>
      <c r="O192" s="194" t="s">
        <v>507</v>
      </c>
      <c r="P192" s="194" t="s">
        <v>507</v>
      </c>
      <c r="Q192" s="194" t="s">
        <v>507</v>
      </c>
      <c r="R192" s="194" t="s">
        <v>507</v>
      </c>
      <c r="S192" s="194" t="s">
        <v>507</v>
      </c>
      <c r="T192" s="281" t="s">
        <v>507</v>
      </c>
      <c r="U192" s="298" t="s">
        <v>507</v>
      </c>
      <c r="V192" s="194" t="s">
        <v>507</v>
      </c>
    </row>
    <row r="193" spans="2:23" outlineLevel="1">
      <c r="B193" s="1397"/>
      <c r="C193" s="1401"/>
      <c r="D193" s="1402"/>
      <c r="E193" s="1402"/>
      <c r="F193" s="1402"/>
      <c r="G193" s="1402"/>
      <c r="H193" s="1402"/>
      <c r="I193" s="1403"/>
      <c r="L193" s="154"/>
      <c r="M193" s="195" t="s">
        <v>454</v>
      </c>
      <c r="N193" s="196" t="s">
        <v>454</v>
      </c>
      <c r="O193" s="196" t="s">
        <v>454</v>
      </c>
      <c r="P193" s="196" t="s">
        <v>454</v>
      </c>
      <c r="Q193" s="196" t="s">
        <v>454</v>
      </c>
      <c r="R193" s="196" t="s">
        <v>454</v>
      </c>
      <c r="S193" s="196" t="s">
        <v>454</v>
      </c>
      <c r="T193" s="282" t="s">
        <v>454</v>
      </c>
      <c r="U193" s="299" t="s">
        <v>454</v>
      </c>
      <c r="V193" s="196" t="s">
        <v>454</v>
      </c>
    </row>
    <row r="194" spans="2:23" outlineLevel="1">
      <c r="B194" s="369" t="s">
        <v>519</v>
      </c>
      <c r="C194" s="810" t="str">
        <f>IF('R6a - Net Debt input'!D106 = "","",'R6a - Net Debt input'!D106)</f>
        <v/>
      </c>
      <c r="D194" s="811"/>
      <c r="E194" s="811"/>
      <c r="F194" s="811"/>
      <c r="G194" s="811"/>
      <c r="H194" s="811"/>
      <c r="I194" s="812"/>
      <c r="J194" s="201"/>
      <c r="K194" s="202"/>
      <c r="L194" s="203"/>
      <c r="M194" s="487"/>
      <c r="N194" s="488"/>
      <c r="O194" s="488"/>
      <c r="P194" s="488"/>
      <c r="Q194" s="488"/>
      <c r="R194" s="488"/>
      <c r="S194" s="488"/>
      <c r="T194" s="489"/>
      <c r="U194" s="490"/>
      <c r="V194" s="488"/>
    </row>
    <row r="195" spans="2:23" outlineLevel="1">
      <c r="B195" s="369" t="s">
        <v>520</v>
      </c>
      <c r="C195" s="810" t="str">
        <f>IF('R6a - Net Debt input'!D107 = "","",'R6a - Net Debt input'!D107)</f>
        <v/>
      </c>
      <c r="D195" s="811"/>
      <c r="E195" s="811"/>
      <c r="F195" s="811"/>
      <c r="G195" s="811"/>
      <c r="H195" s="811"/>
      <c r="I195" s="812"/>
      <c r="J195" s="201"/>
      <c r="K195" s="202"/>
      <c r="L195" s="203"/>
      <c r="M195" s="491"/>
      <c r="N195" s="492"/>
      <c r="O195" s="492"/>
      <c r="P195" s="492"/>
      <c r="Q195" s="492"/>
      <c r="R195" s="492"/>
      <c r="S195" s="492"/>
      <c r="T195" s="493"/>
      <c r="U195" s="494"/>
      <c r="V195" s="492"/>
    </row>
    <row r="196" spans="2:23" outlineLevel="1">
      <c r="B196" s="369" t="s">
        <v>521</v>
      </c>
      <c r="C196" s="810" t="str">
        <f>IF('R6a - Net Debt input'!D108 = "","",'R6a - Net Debt input'!D108)</f>
        <v/>
      </c>
      <c r="D196" s="811"/>
      <c r="E196" s="811"/>
      <c r="F196" s="811"/>
      <c r="G196" s="811"/>
      <c r="H196" s="811"/>
      <c r="I196" s="812"/>
      <c r="J196" s="201"/>
      <c r="K196" s="202"/>
      <c r="L196" s="203"/>
      <c r="M196" s="491"/>
      <c r="N196" s="492"/>
      <c r="O196" s="492"/>
      <c r="P196" s="492"/>
      <c r="Q196" s="492"/>
      <c r="R196" s="492"/>
      <c r="S196" s="492"/>
      <c r="T196" s="493"/>
      <c r="U196" s="494"/>
      <c r="V196" s="492"/>
    </row>
    <row r="197" spans="2:23" outlineLevel="1">
      <c r="B197" s="369" t="s">
        <v>522</v>
      </c>
      <c r="C197" s="810" t="str">
        <f>IF('R6a - Net Debt input'!D109 = "","",'R6a - Net Debt input'!D109)</f>
        <v/>
      </c>
      <c r="D197" s="811"/>
      <c r="E197" s="811"/>
      <c r="F197" s="811"/>
      <c r="G197" s="811"/>
      <c r="H197" s="811"/>
      <c r="I197" s="812"/>
      <c r="J197" s="201"/>
      <c r="K197" s="202"/>
      <c r="L197" s="203"/>
      <c r="M197" s="491"/>
      <c r="N197" s="492"/>
      <c r="O197" s="492"/>
      <c r="P197" s="492"/>
      <c r="Q197" s="492"/>
      <c r="R197" s="492"/>
      <c r="S197" s="492"/>
      <c r="T197" s="493"/>
      <c r="U197" s="494"/>
      <c r="V197" s="492"/>
    </row>
    <row r="198" spans="2:23" outlineLevel="1">
      <c r="B198" s="369" t="s">
        <v>523</v>
      </c>
      <c r="C198" s="810" t="str">
        <f>IF('R6a - Net Debt input'!D110 = "","",'R6a - Net Debt input'!D110)</f>
        <v/>
      </c>
      <c r="D198" s="811"/>
      <c r="E198" s="811"/>
      <c r="F198" s="811"/>
      <c r="G198" s="811"/>
      <c r="H198" s="811"/>
      <c r="I198" s="812"/>
      <c r="J198" s="201"/>
      <c r="K198" s="202"/>
      <c r="L198" s="203"/>
      <c r="M198" s="491"/>
      <c r="N198" s="492"/>
      <c r="O198" s="492"/>
      <c r="P198" s="492"/>
      <c r="Q198" s="492"/>
      <c r="R198" s="492"/>
      <c r="S198" s="492"/>
      <c r="T198" s="493"/>
      <c r="U198" s="494"/>
      <c r="V198" s="492"/>
    </row>
    <row r="199" spans="2:23" outlineLevel="1">
      <c r="B199" s="369" t="s">
        <v>524</v>
      </c>
      <c r="C199" s="810" t="str">
        <f>IF('R6a - Net Debt input'!D111 = "","",'R6a - Net Debt input'!D111)</f>
        <v/>
      </c>
      <c r="D199" s="811"/>
      <c r="E199" s="811"/>
      <c r="F199" s="811"/>
      <c r="G199" s="811"/>
      <c r="H199" s="811"/>
      <c r="I199" s="812"/>
      <c r="J199" s="201"/>
      <c r="K199" s="202"/>
      <c r="L199" s="203"/>
      <c r="M199" s="491"/>
      <c r="N199" s="492"/>
      <c r="O199" s="492"/>
      <c r="P199" s="492"/>
      <c r="Q199" s="492"/>
      <c r="R199" s="492"/>
      <c r="S199" s="492"/>
      <c r="T199" s="493"/>
      <c r="U199" s="494"/>
      <c r="V199" s="492"/>
    </row>
    <row r="200" spans="2:23" outlineLevel="1">
      <c r="B200" s="369" t="s">
        <v>525</v>
      </c>
      <c r="C200" s="810" t="str">
        <f>IF('R6a - Net Debt input'!D112 = "","",'R6a - Net Debt input'!D112)</f>
        <v/>
      </c>
      <c r="D200" s="811"/>
      <c r="E200" s="811"/>
      <c r="F200" s="811"/>
      <c r="G200" s="811"/>
      <c r="H200" s="811"/>
      <c r="I200" s="812"/>
      <c r="J200" s="201"/>
      <c r="K200" s="202"/>
      <c r="L200" s="203"/>
      <c r="M200" s="491"/>
      <c r="N200" s="492"/>
      <c r="O200" s="492"/>
      <c r="P200" s="492"/>
      <c r="Q200" s="492"/>
      <c r="R200" s="492"/>
      <c r="S200" s="492"/>
      <c r="T200" s="493"/>
      <c r="U200" s="494"/>
      <c r="V200" s="492"/>
    </row>
    <row r="201" spans="2:23" outlineLevel="1">
      <c r="B201" s="369" t="s">
        <v>526</v>
      </c>
      <c r="C201" s="810" t="str">
        <f>IF('R6a - Net Debt input'!D113 = "","",'R6a - Net Debt input'!D113)</f>
        <v/>
      </c>
      <c r="D201" s="811"/>
      <c r="E201" s="811"/>
      <c r="F201" s="811"/>
      <c r="G201" s="811"/>
      <c r="H201" s="811"/>
      <c r="I201" s="812"/>
      <c r="J201" s="201"/>
      <c r="K201" s="202"/>
      <c r="L201" s="203"/>
      <c r="M201" s="491"/>
      <c r="N201" s="492"/>
      <c r="O201" s="492"/>
      <c r="P201" s="492"/>
      <c r="Q201" s="492"/>
      <c r="R201" s="492"/>
      <c r="S201" s="492"/>
      <c r="T201" s="493"/>
      <c r="U201" s="494"/>
      <c r="V201" s="492"/>
    </row>
    <row r="202" spans="2:23" outlineLevel="1">
      <c r="B202" s="369" t="s">
        <v>527</v>
      </c>
      <c r="C202" s="810" t="str">
        <f>IF('R6a - Net Debt input'!D114 = "","",'R6a - Net Debt input'!D114)</f>
        <v/>
      </c>
      <c r="D202" s="811"/>
      <c r="E202" s="811"/>
      <c r="F202" s="811"/>
      <c r="G202" s="811"/>
      <c r="H202" s="811"/>
      <c r="I202" s="812"/>
      <c r="J202" s="201"/>
      <c r="K202" s="202"/>
      <c r="L202" s="203"/>
      <c r="M202" s="495"/>
      <c r="N202" s="496"/>
      <c r="O202" s="496"/>
      <c r="P202" s="496"/>
      <c r="Q202" s="496"/>
      <c r="R202" s="496"/>
      <c r="S202" s="496"/>
      <c r="T202" s="497"/>
      <c r="U202" s="498"/>
      <c r="V202" s="496"/>
    </row>
    <row r="203" spans="2:23" outlineLevel="1">
      <c r="B203" s="151"/>
      <c r="C203" s="151"/>
      <c r="D203" s="151"/>
      <c r="E203" s="151"/>
      <c r="F203" s="151"/>
      <c r="L203" s="1072" t="s">
        <v>339</v>
      </c>
      <c r="M203" s="503">
        <f t="shared" ref="M203:V203" si="30">SUM(M194:M202)</f>
        <v>0</v>
      </c>
      <c r="N203" s="504">
        <f t="shared" si="30"/>
        <v>0</v>
      </c>
      <c r="O203" s="504">
        <f t="shared" si="30"/>
        <v>0</v>
      </c>
      <c r="P203" s="504">
        <f t="shared" si="30"/>
        <v>0</v>
      </c>
      <c r="Q203" s="504">
        <f t="shared" si="30"/>
        <v>0</v>
      </c>
      <c r="R203" s="504">
        <f t="shared" si="30"/>
        <v>0</v>
      </c>
      <c r="S203" s="504">
        <f t="shared" si="30"/>
        <v>0</v>
      </c>
      <c r="T203" s="505">
        <f t="shared" si="30"/>
        <v>0</v>
      </c>
      <c r="U203" s="506">
        <f t="shared" si="30"/>
        <v>0</v>
      </c>
      <c r="V203" s="504">
        <f t="shared" si="30"/>
        <v>0</v>
      </c>
    </row>
    <row r="204" spans="2:23" outlineLevel="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row>
    <row r="205" spans="2:23" ht="17.5" outlineLevel="1">
      <c r="C205" s="151"/>
      <c r="D205" s="270" t="s">
        <v>464</v>
      </c>
      <c r="E205" s="271"/>
      <c r="F205" s="271"/>
      <c r="G205" s="271"/>
      <c r="H205" s="271"/>
      <c r="I205" s="271"/>
      <c r="J205" s="271"/>
      <c r="K205" s="271"/>
      <c r="L205" s="309"/>
      <c r="M205" s="271"/>
      <c r="N205" s="271"/>
      <c r="O205" s="271"/>
      <c r="P205" s="271"/>
      <c r="Q205" s="271"/>
      <c r="R205" s="271"/>
      <c r="S205" s="271"/>
      <c r="T205" s="271"/>
      <c r="U205" s="289"/>
      <c r="V205" s="271"/>
    </row>
    <row r="206" spans="2:23" ht="14">
      <c r="B206" s="264"/>
      <c r="C206" s="265"/>
      <c r="D206" s="265"/>
      <c r="E206" s="265"/>
      <c r="F206" s="265"/>
      <c r="G206" s="266"/>
      <c r="H206" s="266"/>
      <c r="I206" s="266"/>
      <c r="J206" s="266"/>
      <c r="K206" s="266"/>
      <c r="L206" s="264"/>
      <c r="M206" s="265"/>
      <c r="N206" s="265"/>
      <c r="O206" s="265"/>
      <c r="P206" s="265"/>
      <c r="Q206" s="265"/>
      <c r="R206" s="265"/>
      <c r="S206" s="265"/>
      <c r="T206" s="265"/>
      <c r="U206" s="294"/>
      <c r="V206" s="265"/>
    </row>
    <row r="207" spans="2:23" ht="49.5" customHeight="1" outlineLevel="1">
      <c r="B207" s="1396" t="s">
        <v>453</v>
      </c>
      <c r="C207" s="1398" t="s">
        <v>506</v>
      </c>
      <c r="D207" s="1399"/>
      <c r="E207" s="1399"/>
      <c r="F207" s="1399"/>
      <c r="G207" s="1399"/>
      <c r="H207" s="1399"/>
      <c r="I207" s="1400"/>
      <c r="L207" s="154"/>
      <c r="M207" s="193" t="s">
        <v>507</v>
      </c>
      <c r="N207" s="194" t="s">
        <v>507</v>
      </c>
      <c r="O207" s="194" t="s">
        <v>507</v>
      </c>
      <c r="P207" s="194" t="s">
        <v>507</v>
      </c>
      <c r="Q207" s="194" t="s">
        <v>507</v>
      </c>
      <c r="R207" s="194" t="s">
        <v>507</v>
      </c>
      <c r="S207" s="194" t="s">
        <v>507</v>
      </c>
      <c r="T207" s="281" t="s">
        <v>507</v>
      </c>
      <c r="U207" s="298" t="s">
        <v>507</v>
      </c>
      <c r="V207" s="194" t="s">
        <v>507</v>
      </c>
    </row>
    <row r="208" spans="2:23" outlineLevel="1">
      <c r="B208" s="1397"/>
      <c r="C208" s="1401"/>
      <c r="D208" s="1402"/>
      <c r="E208" s="1402"/>
      <c r="F208" s="1402"/>
      <c r="G208" s="1402"/>
      <c r="H208" s="1402"/>
      <c r="I208" s="1403"/>
      <c r="L208" s="154"/>
      <c r="M208" s="195" t="s">
        <v>454</v>
      </c>
      <c r="N208" s="196" t="s">
        <v>454</v>
      </c>
      <c r="O208" s="196" t="s">
        <v>454</v>
      </c>
      <c r="P208" s="196" t="s">
        <v>454</v>
      </c>
      <c r="Q208" s="196" t="s">
        <v>454</v>
      </c>
      <c r="R208" s="196" t="s">
        <v>454</v>
      </c>
      <c r="S208" s="196" t="s">
        <v>454</v>
      </c>
      <c r="T208" s="282" t="s">
        <v>454</v>
      </c>
      <c r="U208" s="299" t="s">
        <v>454</v>
      </c>
      <c r="V208" s="196" t="s">
        <v>454</v>
      </c>
    </row>
    <row r="209" spans="2:24" outlineLevel="1">
      <c r="B209" s="369" t="s">
        <v>519</v>
      </c>
      <c r="C209" s="1384" t="str">
        <f>IF('R6a - Net Debt input'!D106 = "","",'R6a - Net Debt input'!D106)</f>
        <v/>
      </c>
      <c r="D209" s="1385"/>
      <c r="E209" s="1385"/>
      <c r="F209" s="1385"/>
      <c r="G209" s="1385"/>
      <c r="H209" s="1385"/>
      <c r="I209" s="1386"/>
      <c r="J209" s="201"/>
      <c r="K209" s="202"/>
      <c r="L209" s="203"/>
      <c r="M209" s="487"/>
      <c r="N209" s="488"/>
      <c r="O209" s="488"/>
      <c r="P209" s="488"/>
      <c r="Q209" s="488"/>
      <c r="R209" s="488"/>
      <c r="S209" s="488"/>
      <c r="T209" s="489"/>
      <c r="U209" s="490"/>
      <c r="V209" s="488"/>
    </row>
    <row r="210" spans="2:24" outlineLevel="1">
      <c r="B210" s="369" t="s">
        <v>520</v>
      </c>
      <c r="C210" s="1384" t="str">
        <f>IF('R6a - Net Debt input'!D107 = "","",'R6a - Net Debt input'!D107)</f>
        <v/>
      </c>
      <c r="D210" s="1385"/>
      <c r="E210" s="1385"/>
      <c r="F210" s="1385"/>
      <c r="G210" s="1385"/>
      <c r="H210" s="1385"/>
      <c r="I210" s="1386"/>
      <c r="J210" s="201"/>
      <c r="K210" s="202"/>
      <c r="L210" s="203"/>
      <c r="M210" s="491"/>
      <c r="N210" s="492"/>
      <c r="O210" s="492"/>
      <c r="P210" s="492"/>
      <c r="Q210" s="492"/>
      <c r="R210" s="492"/>
      <c r="S210" s="492"/>
      <c r="T210" s="493"/>
      <c r="U210" s="494"/>
      <c r="V210" s="492"/>
    </row>
    <row r="211" spans="2:24" outlineLevel="1">
      <c r="B211" s="369" t="s">
        <v>521</v>
      </c>
      <c r="C211" s="1384" t="str">
        <f>IF('R6a - Net Debt input'!D108 = "","",'R6a - Net Debt input'!D108)</f>
        <v/>
      </c>
      <c r="D211" s="1385"/>
      <c r="E211" s="1385"/>
      <c r="F211" s="1385"/>
      <c r="G211" s="1385"/>
      <c r="H211" s="1385"/>
      <c r="I211" s="1386"/>
      <c r="J211" s="201"/>
      <c r="K211" s="202"/>
      <c r="L211" s="203"/>
      <c r="M211" s="491"/>
      <c r="N211" s="492"/>
      <c r="O211" s="492"/>
      <c r="P211" s="492"/>
      <c r="Q211" s="492"/>
      <c r="R211" s="492"/>
      <c r="S211" s="492"/>
      <c r="T211" s="493"/>
      <c r="U211" s="494"/>
      <c r="V211" s="492"/>
    </row>
    <row r="212" spans="2:24" outlineLevel="1">
      <c r="B212" s="369" t="s">
        <v>522</v>
      </c>
      <c r="C212" s="1384" t="str">
        <f>IF('R6a - Net Debt input'!D109 = "","",'R6a - Net Debt input'!D109)</f>
        <v/>
      </c>
      <c r="D212" s="1385"/>
      <c r="E212" s="1385"/>
      <c r="F212" s="1385"/>
      <c r="G212" s="1385"/>
      <c r="H212" s="1385"/>
      <c r="I212" s="1386"/>
      <c r="J212" s="201"/>
      <c r="K212" s="202"/>
      <c r="L212" s="203"/>
      <c r="M212" s="491"/>
      <c r="N212" s="492"/>
      <c r="O212" s="492"/>
      <c r="P212" s="492"/>
      <c r="Q212" s="492"/>
      <c r="R212" s="492"/>
      <c r="S212" s="492"/>
      <c r="T212" s="493"/>
      <c r="U212" s="494"/>
      <c r="V212" s="492"/>
    </row>
    <row r="213" spans="2:24" outlineLevel="1">
      <c r="B213" s="369" t="s">
        <v>523</v>
      </c>
      <c r="C213" s="1384" t="str">
        <f>IF('R6a - Net Debt input'!D110 = "","",'R6a - Net Debt input'!D110)</f>
        <v/>
      </c>
      <c r="D213" s="1385"/>
      <c r="E213" s="1385"/>
      <c r="F213" s="1385"/>
      <c r="G213" s="1385"/>
      <c r="H213" s="1385"/>
      <c r="I213" s="1386"/>
      <c r="J213" s="201"/>
      <c r="K213" s="202"/>
      <c r="L213" s="203"/>
      <c r="M213" s="491"/>
      <c r="N213" s="492"/>
      <c r="O213" s="492"/>
      <c r="P213" s="492"/>
      <c r="Q213" s="492"/>
      <c r="R213" s="492"/>
      <c r="S213" s="492"/>
      <c r="T213" s="493"/>
      <c r="U213" s="494"/>
      <c r="V213" s="492"/>
    </row>
    <row r="214" spans="2:24" outlineLevel="1">
      <c r="B214" s="369" t="s">
        <v>524</v>
      </c>
      <c r="C214" s="1384" t="str">
        <f>IF('R6a - Net Debt input'!D111 = "","",'R6a - Net Debt input'!D111)</f>
        <v/>
      </c>
      <c r="D214" s="1385"/>
      <c r="E214" s="1385"/>
      <c r="F214" s="1385"/>
      <c r="G214" s="1385"/>
      <c r="H214" s="1385"/>
      <c r="I214" s="1386"/>
      <c r="J214" s="201"/>
      <c r="K214" s="202"/>
      <c r="L214" s="203"/>
      <c r="M214" s="491"/>
      <c r="N214" s="492"/>
      <c r="O214" s="492"/>
      <c r="P214" s="492"/>
      <c r="Q214" s="492"/>
      <c r="R214" s="492"/>
      <c r="S214" s="492"/>
      <c r="T214" s="493"/>
      <c r="U214" s="494"/>
      <c r="V214" s="492"/>
    </row>
    <row r="215" spans="2:24" outlineLevel="1">
      <c r="B215" s="369" t="s">
        <v>525</v>
      </c>
      <c r="C215" s="1384" t="str">
        <f>IF('R6a - Net Debt input'!D112 = "","",'R6a - Net Debt input'!D112)</f>
        <v/>
      </c>
      <c r="D215" s="1385"/>
      <c r="E215" s="1385"/>
      <c r="F215" s="1385"/>
      <c r="G215" s="1385"/>
      <c r="H215" s="1385"/>
      <c r="I215" s="1386"/>
      <c r="J215" s="201"/>
      <c r="K215" s="202"/>
      <c r="L215" s="203"/>
      <c r="M215" s="491"/>
      <c r="N215" s="492"/>
      <c r="O215" s="492"/>
      <c r="P215" s="492"/>
      <c r="Q215" s="492"/>
      <c r="R215" s="492"/>
      <c r="S215" s="492"/>
      <c r="T215" s="493"/>
      <c r="U215" s="494"/>
      <c r="V215" s="492"/>
    </row>
    <row r="216" spans="2:24" outlineLevel="1">
      <c r="B216" s="369" t="s">
        <v>526</v>
      </c>
      <c r="C216" s="1384" t="str">
        <f>IF('R6a - Net Debt input'!D113 = "","",'R6a - Net Debt input'!D113)</f>
        <v/>
      </c>
      <c r="D216" s="1385"/>
      <c r="E216" s="1385"/>
      <c r="F216" s="1385"/>
      <c r="G216" s="1385"/>
      <c r="H216" s="1385"/>
      <c r="I216" s="1386"/>
      <c r="J216" s="201"/>
      <c r="K216" s="202"/>
      <c r="L216" s="203"/>
      <c r="M216" s="491"/>
      <c r="N216" s="492"/>
      <c r="O216" s="492"/>
      <c r="P216" s="492"/>
      <c r="Q216" s="492"/>
      <c r="R216" s="492"/>
      <c r="S216" s="492"/>
      <c r="T216" s="493"/>
      <c r="U216" s="494"/>
      <c r="V216" s="492"/>
    </row>
    <row r="217" spans="2:24" outlineLevel="1">
      <c r="B217" s="369" t="s">
        <v>527</v>
      </c>
      <c r="C217" s="1384" t="str">
        <f>IF('R6a - Net Debt input'!D114 = "","",'R6a - Net Debt input'!D114)</f>
        <v/>
      </c>
      <c r="D217" s="1385"/>
      <c r="E217" s="1385"/>
      <c r="F217" s="1385"/>
      <c r="G217" s="1385"/>
      <c r="H217" s="1385"/>
      <c r="I217" s="1386"/>
      <c r="J217" s="201"/>
      <c r="K217" s="202"/>
      <c r="L217" s="203"/>
      <c r="M217" s="495"/>
      <c r="N217" s="496"/>
      <c r="O217" s="496"/>
      <c r="P217" s="496"/>
      <c r="Q217" s="496"/>
      <c r="R217" s="496"/>
      <c r="S217" s="496"/>
      <c r="T217" s="497"/>
      <c r="U217" s="498"/>
      <c r="V217" s="496"/>
    </row>
    <row r="218" spans="2:24" outlineLevel="1">
      <c r="B218" s="151"/>
      <c r="C218" s="151"/>
      <c r="D218" s="151"/>
      <c r="E218" s="151"/>
      <c r="F218" s="151"/>
      <c r="L218" s="1072" t="s">
        <v>339</v>
      </c>
      <c r="M218" s="503">
        <f t="shared" ref="M218:V218" si="31">SUM(M209:M217)</f>
        <v>0</v>
      </c>
      <c r="N218" s="504">
        <f t="shared" si="31"/>
        <v>0</v>
      </c>
      <c r="O218" s="504">
        <f t="shared" si="31"/>
        <v>0</v>
      </c>
      <c r="P218" s="504">
        <f t="shared" si="31"/>
        <v>0</v>
      </c>
      <c r="Q218" s="504">
        <f t="shared" si="31"/>
        <v>0</v>
      </c>
      <c r="R218" s="504">
        <f t="shared" si="31"/>
        <v>0</v>
      </c>
      <c r="S218" s="504">
        <f t="shared" si="31"/>
        <v>0</v>
      </c>
      <c r="T218" s="505">
        <f t="shared" si="31"/>
        <v>0</v>
      </c>
      <c r="U218" s="506">
        <f t="shared" si="31"/>
        <v>0</v>
      </c>
      <c r="V218" s="504">
        <f t="shared" si="31"/>
        <v>0</v>
      </c>
    </row>
    <row r="219" spans="2:24">
      <c r="D219" s="151"/>
      <c r="E219" s="151"/>
      <c r="F219" s="151"/>
      <c r="L219" s="151"/>
      <c r="M219" s="151"/>
      <c r="N219" s="151"/>
      <c r="O219" s="151"/>
      <c r="P219" s="151"/>
      <c r="Q219" s="151"/>
      <c r="R219" s="151"/>
      <c r="S219" s="151"/>
      <c r="T219" s="151"/>
      <c r="U219" s="292"/>
      <c r="V219" s="151"/>
    </row>
    <row r="220" spans="2:24" ht="14">
      <c r="B220" s="259" t="s">
        <v>528</v>
      </c>
      <c r="C220" s="260" t="s">
        <v>529</v>
      </c>
      <c r="D220" s="260"/>
      <c r="E220" s="260"/>
      <c r="F220" s="260"/>
      <c r="G220" s="261"/>
      <c r="H220" s="261"/>
      <c r="I220" s="261"/>
      <c r="J220" s="261"/>
      <c r="K220" s="261"/>
      <c r="L220" s="259"/>
      <c r="M220" s="260"/>
      <c r="N220" s="260"/>
      <c r="O220" s="260"/>
      <c r="P220" s="260"/>
      <c r="Q220" s="260"/>
      <c r="R220" s="260"/>
      <c r="S220" s="260"/>
      <c r="T220" s="260"/>
      <c r="U220" s="293"/>
      <c r="V220" s="260"/>
    </row>
    <row r="221" spans="2:24" outlineLevel="1">
      <c r="B221" s="170"/>
      <c r="X221" s="288"/>
    </row>
    <row r="222" spans="2:24" ht="17.5" outlineLevel="1">
      <c r="B222" s="154"/>
      <c r="C222" s="151"/>
      <c r="D222" s="270" t="s">
        <v>452</v>
      </c>
      <c r="E222" s="272"/>
      <c r="F222" s="272"/>
      <c r="G222" s="271"/>
      <c r="H222" s="271"/>
      <c r="I222" s="271"/>
      <c r="J222" s="271"/>
      <c r="K222" s="271"/>
      <c r="L222" s="309"/>
      <c r="M222" s="272"/>
      <c r="N222" s="272"/>
      <c r="O222" s="272"/>
      <c r="P222" s="272"/>
      <c r="Q222" s="272"/>
      <c r="R222" s="272"/>
      <c r="S222" s="272"/>
      <c r="T222" s="272"/>
      <c r="U222" s="295"/>
      <c r="V222" s="272"/>
    </row>
    <row r="223" spans="2:24" outlineLevel="1">
      <c r="B223" s="170"/>
    </row>
    <row r="224" spans="2:24" ht="31.5" customHeight="1" outlineLevel="1">
      <c r="B224" s="1287"/>
      <c r="C224" s="865" t="s">
        <v>530</v>
      </c>
      <c r="D224" s="866" t="s">
        <v>531</v>
      </c>
      <c r="E224" s="1378" t="s">
        <v>532</v>
      </c>
      <c r="F224" s="1379"/>
      <c r="G224" s="1379"/>
      <c r="H224" s="1379"/>
      <c r="I224" s="1380"/>
      <c r="U224" s="288"/>
    </row>
    <row r="225" spans="2:22" s="567" customFormat="1" ht="45.75" customHeight="1" outlineLevel="1">
      <c r="B225" s="562" t="s">
        <v>453</v>
      </c>
      <c r="C225" s="563" t="s">
        <v>533</v>
      </c>
      <c r="D225" s="1075" t="s">
        <v>533</v>
      </c>
      <c r="E225" s="1381"/>
      <c r="F225" s="1382"/>
      <c r="G225" s="1382"/>
      <c r="H225" s="1382"/>
      <c r="I225" s="1383"/>
      <c r="J225" s="152"/>
      <c r="K225" s="152"/>
      <c r="L225" s="152"/>
      <c r="M225" s="568" t="s">
        <v>454</v>
      </c>
      <c r="N225" s="569" t="s">
        <v>454</v>
      </c>
      <c r="O225" s="569" t="s">
        <v>454</v>
      </c>
      <c r="P225" s="569" t="s">
        <v>454</v>
      </c>
      <c r="Q225" s="569" t="s">
        <v>454</v>
      </c>
      <c r="R225" s="569" t="s">
        <v>454</v>
      </c>
      <c r="S225" s="569" t="s">
        <v>454</v>
      </c>
      <c r="T225" s="570" t="s">
        <v>454</v>
      </c>
      <c r="U225" s="571" t="s">
        <v>454</v>
      </c>
      <c r="V225" s="569" t="s">
        <v>454</v>
      </c>
    </row>
    <row r="226" spans="2:22" outlineLevel="1">
      <c r="B226" s="602" t="s">
        <v>534</v>
      </c>
      <c r="C226" s="204" t="str">
        <f>IF('R6a - Net Debt input'!D122 = "","",'R6a - Net Debt input'!D122)</f>
        <v/>
      </c>
      <c r="D226" s="204" t="str">
        <f>IF('R6a - Net Debt input'!E122 = "","",'R6a - Net Debt input'!E122)</f>
        <v/>
      </c>
      <c r="E226" s="813" t="str">
        <f>IF('R6a - Net Debt input'!F122 = "","",'R6a - Net Debt input'!F122)</f>
        <v/>
      </c>
      <c r="F226" s="814"/>
      <c r="G226" s="814"/>
      <c r="H226" s="814"/>
      <c r="I226" s="815"/>
      <c r="M226" s="527"/>
      <c r="N226" s="528"/>
      <c r="O226" s="528"/>
      <c r="P226" s="528"/>
      <c r="Q226" s="528"/>
      <c r="R226" s="528"/>
      <c r="S226" s="528"/>
      <c r="T226" s="529"/>
      <c r="U226" s="530"/>
      <c r="V226" s="528"/>
    </row>
    <row r="227" spans="2:22" outlineLevel="1">
      <c r="B227" s="332" t="s">
        <v>535</v>
      </c>
      <c r="C227" s="204" t="str">
        <f>IF('R6a - Net Debt input'!D123 = "","",'R6a - Net Debt input'!D123)</f>
        <v/>
      </c>
      <c r="D227" s="204" t="str">
        <f>IF('R6a - Net Debt input'!E123 = "","",'R6a - Net Debt input'!E123)</f>
        <v/>
      </c>
      <c r="E227" s="813" t="str">
        <f>IF('R6a - Net Debt input'!F123 = "","",'R6a - Net Debt input'!F123)</f>
        <v/>
      </c>
      <c r="F227" s="814"/>
      <c r="G227" s="814"/>
      <c r="H227" s="814"/>
      <c r="I227" s="815"/>
      <c r="M227" s="527"/>
      <c r="N227" s="528"/>
      <c r="O227" s="528"/>
      <c r="P227" s="528"/>
      <c r="Q227" s="528"/>
      <c r="R227" s="528"/>
      <c r="S227" s="528"/>
      <c r="T227" s="529"/>
      <c r="U227" s="530"/>
      <c r="V227" s="528"/>
    </row>
    <row r="228" spans="2:22" outlineLevel="1">
      <c r="B228" s="332" t="s">
        <v>536</v>
      </c>
      <c r="C228" s="204" t="str">
        <f>IF('R6a - Net Debt input'!D124 = "","",'R6a - Net Debt input'!D124)</f>
        <v/>
      </c>
      <c r="D228" s="204" t="str">
        <f>IF('R6a - Net Debt input'!E124 = "","",'R6a - Net Debt input'!E124)</f>
        <v/>
      </c>
      <c r="E228" s="813" t="str">
        <f>IF('R6a - Net Debt input'!F124 = "","",'R6a - Net Debt input'!F124)</f>
        <v/>
      </c>
      <c r="F228" s="814"/>
      <c r="G228" s="814"/>
      <c r="H228" s="814"/>
      <c r="I228" s="815"/>
      <c r="M228" s="527"/>
      <c r="N228" s="528"/>
      <c r="O228" s="528"/>
      <c r="P228" s="528"/>
      <c r="Q228" s="528"/>
      <c r="R228" s="528"/>
      <c r="S228" s="528"/>
      <c r="T228" s="529"/>
      <c r="U228" s="530"/>
      <c r="V228" s="528"/>
    </row>
    <row r="229" spans="2:22" outlineLevel="1">
      <c r="B229" s="332" t="s">
        <v>537</v>
      </c>
      <c r="C229" s="204" t="str">
        <f>IF('R6a - Net Debt input'!D125 = "","",'R6a - Net Debt input'!D125)</f>
        <v/>
      </c>
      <c r="D229" s="204" t="str">
        <f>IF('R6a - Net Debt input'!E125 = "","",'R6a - Net Debt input'!E125)</f>
        <v/>
      </c>
      <c r="E229" s="813" t="str">
        <f>IF('R6a - Net Debt input'!F125 = "","",'R6a - Net Debt input'!F125)</f>
        <v/>
      </c>
      <c r="F229" s="814"/>
      <c r="G229" s="814"/>
      <c r="H229" s="814"/>
      <c r="I229" s="815"/>
      <c r="M229" s="527"/>
      <c r="N229" s="528"/>
      <c r="O229" s="528"/>
      <c r="P229" s="528"/>
      <c r="Q229" s="528"/>
      <c r="R229" s="528"/>
      <c r="S229" s="528"/>
      <c r="T229" s="529"/>
      <c r="U229" s="530"/>
      <c r="V229" s="528"/>
    </row>
    <row r="230" spans="2:22" outlineLevel="1">
      <c r="B230" s="332" t="s">
        <v>538</v>
      </c>
      <c r="C230" s="204" t="str">
        <f>IF('R6a - Net Debt input'!D126 = "","",'R6a - Net Debt input'!D126)</f>
        <v/>
      </c>
      <c r="D230" s="204" t="str">
        <f>IF('R6a - Net Debt input'!E126 = "","",'R6a - Net Debt input'!E126)</f>
        <v/>
      </c>
      <c r="E230" s="813" t="str">
        <f>IF('R6a - Net Debt input'!F126 = "","",'R6a - Net Debt input'!F126)</f>
        <v/>
      </c>
      <c r="F230" s="814"/>
      <c r="G230" s="814"/>
      <c r="H230" s="814"/>
      <c r="I230" s="815"/>
      <c r="M230" s="527"/>
      <c r="N230" s="528"/>
      <c r="O230" s="528"/>
      <c r="P230" s="528"/>
      <c r="Q230" s="528"/>
      <c r="R230" s="528"/>
      <c r="S230" s="528"/>
      <c r="T230" s="529"/>
      <c r="U230" s="530"/>
      <c r="V230" s="528"/>
    </row>
    <row r="231" spans="2:22" outlineLevel="1">
      <c r="B231" s="332" t="s">
        <v>539</v>
      </c>
      <c r="C231" s="204" t="str">
        <f>IF('R6a - Net Debt input'!D127 = "","",'R6a - Net Debt input'!D127)</f>
        <v/>
      </c>
      <c r="D231" s="204" t="str">
        <f>IF('R6a - Net Debt input'!E127 = "","",'R6a - Net Debt input'!E127)</f>
        <v/>
      </c>
      <c r="E231" s="813" t="str">
        <f>IF('R6a - Net Debt input'!F127 = "","",'R6a - Net Debt input'!F127)</f>
        <v/>
      </c>
      <c r="F231" s="814"/>
      <c r="G231" s="814"/>
      <c r="H231" s="814"/>
      <c r="I231" s="815"/>
      <c r="M231" s="527"/>
      <c r="N231" s="528"/>
      <c r="O231" s="528"/>
      <c r="P231" s="528"/>
      <c r="Q231" s="528"/>
      <c r="R231" s="528"/>
      <c r="S231" s="528"/>
      <c r="T231" s="529"/>
      <c r="U231" s="530"/>
      <c r="V231" s="528"/>
    </row>
    <row r="232" spans="2:22" outlineLevel="1">
      <c r="B232" s="332" t="s">
        <v>540</v>
      </c>
      <c r="C232" s="204" t="str">
        <f>IF('R6a - Net Debt input'!D128 = "","",'R6a - Net Debt input'!D128)</f>
        <v/>
      </c>
      <c r="D232" s="204" t="str">
        <f>IF('R6a - Net Debt input'!E128 = "","",'R6a - Net Debt input'!E128)</f>
        <v/>
      </c>
      <c r="E232" s="813" t="str">
        <f>IF('R6a - Net Debt input'!F128 = "","",'R6a - Net Debt input'!F128)</f>
        <v/>
      </c>
      <c r="F232" s="814"/>
      <c r="G232" s="814"/>
      <c r="H232" s="814"/>
      <c r="I232" s="815"/>
      <c r="M232" s="527"/>
      <c r="N232" s="528"/>
      <c r="O232" s="528"/>
      <c r="P232" s="528"/>
      <c r="Q232" s="528"/>
      <c r="R232" s="528"/>
      <c r="S232" s="528"/>
      <c r="T232" s="529"/>
      <c r="U232" s="530"/>
      <c r="V232" s="528"/>
    </row>
    <row r="233" spans="2:22" outlineLevel="1">
      <c r="B233" s="332" t="s">
        <v>541</v>
      </c>
      <c r="C233" s="204" t="str">
        <f>IF('R6a - Net Debt input'!D129 = "","",'R6a - Net Debt input'!D129)</f>
        <v/>
      </c>
      <c r="D233" s="204" t="str">
        <f>IF('R6a - Net Debt input'!E129 = "","",'R6a - Net Debt input'!E129)</f>
        <v/>
      </c>
      <c r="E233" s="813" t="str">
        <f>IF('R6a - Net Debt input'!F129 = "","",'R6a - Net Debt input'!F129)</f>
        <v/>
      </c>
      <c r="F233" s="814"/>
      <c r="G233" s="814"/>
      <c r="H233" s="814"/>
      <c r="I233" s="815"/>
      <c r="M233" s="527"/>
      <c r="N233" s="528"/>
      <c r="O233" s="528"/>
      <c r="P233" s="528"/>
      <c r="Q233" s="528"/>
      <c r="R233" s="528"/>
      <c r="S233" s="528"/>
      <c r="T233" s="529"/>
      <c r="U233" s="530"/>
      <c r="V233" s="528"/>
    </row>
    <row r="234" spans="2:22" outlineLevel="1">
      <c r="B234" s="332" t="s">
        <v>542</v>
      </c>
      <c r="C234" s="204" t="str">
        <f>IF('R6a - Net Debt input'!D130 = "","",'R6a - Net Debt input'!D130)</f>
        <v/>
      </c>
      <c r="D234" s="204" t="str">
        <f>IF('R6a - Net Debt input'!E130 = "","",'R6a - Net Debt input'!E130)</f>
        <v/>
      </c>
      <c r="E234" s="813" t="str">
        <f>IF('R6a - Net Debt input'!F130 = "","",'R6a - Net Debt input'!F130)</f>
        <v/>
      </c>
      <c r="F234" s="814"/>
      <c r="G234" s="814"/>
      <c r="H234" s="814"/>
      <c r="I234" s="815"/>
      <c r="M234" s="527"/>
      <c r="N234" s="528"/>
      <c r="O234" s="528"/>
      <c r="P234" s="528"/>
      <c r="Q234" s="528"/>
      <c r="R234" s="528"/>
      <c r="S234" s="528"/>
      <c r="T234" s="529"/>
      <c r="U234" s="530"/>
      <c r="V234" s="528"/>
    </row>
    <row r="235" spans="2:22" outlineLevel="1">
      <c r="B235" s="328" t="s">
        <v>543</v>
      </c>
      <c r="C235" s="1393" t="s">
        <v>544</v>
      </c>
      <c r="D235" s="1394"/>
      <c r="E235" s="1394"/>
      <c r="F235" s="1394"/>
      <c r="G235" s="1394"/>
      <c r="H235" s="1394"/>
      <c r="I235" s="1395"/>
      <c r="M235" s="527"/>
      <c r="N235" s="528"/>
      <c r="O235" s="528"/>
      <c r="P235" s="528"/>
      <c r="Q235" s="528"/>
      <c r="R235" s="528"/>
      <c r="S235" s="528"/>
      <c r="T235" s="529"/>
      <c r="U235" s="530"/>
      <c r="V235" s="528"/>
    </row>
    <row r="236" spans="2:22">
      <c r="B236" s="170"/>
      <c r="E236" s="170"/>
      <c r="F236" s="170"/>
      <c r="G236" s="170"/>
      <c r="H236" s="170"/>
      <c r="L236" s="1076" t="s">
        <v>545</v>
      </c>
      <c r="M236" s="523">
        <f t="shared" ref="M236:V236" si="32">SUM(M226:M235)</f>
        <v>0</v>
      </c>
      <c r="N236" s="524">
        <f t="shared" si="32"/>
        <v>0</v>
      </c>
      <c r="O236" s="524">
        <f t="shared" si="32"/>
        <v>0</v>
      </c>
      <c r="P236" s="524">
        <f t="shared" si="32"/>
        <v>0</v>
      </c>
      <c r="Q236" s="524">
        <f t="shared" si="32"/>
        <v>0</v>
      </c>
      <c r="R236" s="524">
        <f t="shared" si="32"/>
        <v>0</v>
      </c>
      <c r="S236" s="524">
        <f t="shared" si="32"/>
        <v>0</v>
      </c>
      <c r="T236" s="525">
        <f t="shared" si="32"/>
        <v>0</v>
      </c>
      <c r="U236" s="526">
        <f t="shared" si="32"/>
        <v>0</v>
      </c>
      <c r="V236" s="524">
        <f t="shared" si="32"/>
        <v>0</v>
      </c>
    </row>
    <row r="237" spans="2:22">
      <c r="B237" s="170"/>
    </row>
    <row r="238" spans="2:22" ht="17.5" outlineLevel="1">
      <c r="C238" s="151"/>
      <c r="D238" s="270" t="s">
        <v>464</v>
      </c>
      <c r="E238" s="271"/>
      <c r="F238" s="271"/>
      <c r="G238" s="271"/>
      <c r="H238" s="271"/>
      <c r="I238" s="271"/>
      <c r="J238" s="271"/>
      <c r="K238" s="271"/>
      <c r="L238" s="309"/>
      <c r="M238" s="271"/>
      <c r="N238" s="271"/>
      <c r="O238" s="271"/>
      <c r="P238" s="271"/>
      <c r="Q238" s="271"/>
      <c r="R238" s="271"/>
      <c r="S238" s="271"/>
      <c r="T238" s="271"/>
      <c r="U238" s="289"/>
      <c r="V238" s="271"/>
    </row>
    <row r="239" spans="2:22">
      <c r="B239" s="170"/>
      <c r="E239" s="170"/>
      <c r="F239" s="170"/>
      <c r="G239" s="170"/>
      <c r="H239" s="170"/>
    </row>
    <row r="240" spans="2:22" ht="31.5" customHeight="1" outlineLevel="1">
      <c r="B240" s="1287"/>
      <c r="C240" s="865" t="s">
        <v>530</v>
      </c>
      <c r="D240" s="866" t="s">
        <v>531</v>
      </c>
      <c r="E240" s="1378" t="s">
        <v>532</v>
      </c>
      <c r="F240" s="1379"/>
      <c r="G240" s="1379"/>
      <c r="H240" s="1379"/>
      <c r="I240" s="1380"/>
      <c r="U240" s="288"/>
    </row>
    <row r="241" spans="2:24" s="567" customFormat="1" ht="45.75" customHeight="1" outlineLevel="1">
      <c r="B241" s="562" t="s">
        <v>453</v>
      </c>
      <c r="C241" s="563" t="s">
        <v>533</v>
      </c>
      <c r="D241" s="1075" t="s">
        <v>533</v>
      </c>
      <c r="E241" s="1381"/>
      <c r="F241" s="1382"/>
      <c r="G241" s="1382"/>
      <c r="H241" s="1382"/>
      <c r="I241" s="1383"/>
      <c r="J241" s="152"/>
      <c r="K241" s="152"/>
      <c r="L241" s="152"/>
      <c r="M241" s="568" t="s">
        <v>454</v>
      </c>
      <c r="N241" s="569" t="s">
        <v>454</v>
      </c>
      <c r="O241" s="569" t="s">
        <v>454</v>
      </c>
      <c r="P241" s="569" t="s">
        <v>454</v>
      </c>
      <c r="Q241" s="569" t="s">
        <v>454</v>
      </c>
      <c r="R241" s="569" t="s">
        <v>454</v>
      </c>
      <c r="S241" s="569" t="s">
        <v>454</v>
      </c>
      <c r="T241" s="570" t="s">
        <v>454</v>
      </c>
      <c r="U241" s="571" t="s">
        <v>454</v>
      </c>
      <c r="V241" s="569" t="s">
        <v>454</v>
      </c>
    </row>
    <row r="242" spans="2:24" outlineLevel="1">
      <c r="B242" s="602" t="s">
        <v>534</v>
      </c>
      <c r="C242" s="204" t="str">
        <f>IF('R6a - Net Debt input'!D122 = "","",'R6a - Net Debt input'!D122)</f>
        <v/>
      </c>
      <c r="D242" s="204" t="str">
        <f>IF('R6a - Net Debt input'!E122 = "","",'R6a - Net Debt input'!E122)</f>
        <v/>
      </c>
      <c r="E242" s="1390" t="str">
        <f>IF('R6a - Net Debt input'!F122 = "","",'R6a - Net Debt input'!F122)</f>
        <v/>
      </c>
      <c r="F242" s="1391"/>
      <c r="G242" s="1391"/>
      <c r="H242" s="1391"/>
      <c r="I242" s="1392"/>
      <c r="M242" s="527"/>
      <c r="N242" s="528"/>
      <c r="O242" s="528"/>
      <c r="P242" s="528"/>
      <c r="Q242" s="528"/>
      <c r="R242" s="528"/>
      <c r="S242" s="528"/>
      <c r="T242" s="529"/>
      <c r="U242" s="530"/>
      <c r="V242" s="528"/>
    </row>
    <row r="243" spans="2:24" outlineLevel="1">
      <c r="B243" s="332" t="s">
        <v>535</v>
      </c>
      <c r="C243" s="600" t="str">
        <f>IF('R6a - Net Debt input'!D123 = "","",'R6a - Net Debt input'!D123)</f>
        <v/>
      </c>
      <c r="D243" s="600" t="str">
        <f>IF('R6a - Net Debt input'!E123 = "","",'R6a - Net Debt input'!E123)</f>
        <v/>
      </c>
      <c r="E243" s="1387" t="str">
        <f>IF('R6a - Net Debt input'!F123 = "","",'R6a - Net Debt input'!F123)</f>
        <v/>
      </c>
      <c r="F243" s="1388"/>
      <c r="G243" s="1388"/>
      <c r="H243" s="1388"/>
      <c r="I243" s="1389"/>
      <c r="M243" s="527"/>
      <c r="N243" s="528"/>
      <c r="O243" s="528"/>
      <c r="P243" s="528"/>
      <c r="Q243" s="528"/>
      <c r="R243" s="528"/>
      <c r="S243" s="528"/>
      <c r="T243" s="529"/>
      <c r="U243" s="530"/>
      <c r="V243" s="528"/>
    </row>
    <row r="244" spans="2:24" outlineLevel="1">
      <c r="B244" s="332" t="s">
        <v>536</v>
      </c>
      <c r="C244" s="600" t="str">
        <f>IF('R6a - Net Debt input'!D124 = "","",'R6a - Net Debt input'!D124)</f>
        <v/>
      </c>
      <c r="D244" s="600" t="str">
        <f>IF('R6a - Net Debt input'!E124 = "","",'R6a - Net Debt input'!E124)</f>
        <v/>
      </c>
      <c r="E244" s="1387" t="str">
        <f>IF('R6a - Net Debt input'!F124 = "","",'R6a - Net Debt input'!F124)</f>
        <v/>
      </c>
      <c r="F244" s="1388"/>
      <c r="G244" s="1388"/>
      <c r="H244" s="1388"/>
      <c r="I244" s="1389"/>
      <c r="M244" s="527"/>
      <c r="N244" s="528"/>
      <c r="O244" s="528"/>
      <c r="P244" s="528"/>
      <c r="Q244" s="528"/>
      <c r="R244" s="528"/>
      <c r="S244" s="528"/>
      <c r="T244" s="529"/>
      <c r="U244" s="530"/>
      <c r="V244" s="528"/>
    </row>
    <row r="245" spans="2:24" outlineLevel="1">
      <c r="B245" s="332" t="s">
        <v>537</v>
      </c>
      <c r="C245" s="600" t="str">
        <f>IF('R6a - Net Debt input'!D125 = "","",'R6a - Net Debt input'!D125)</f>
        <v/>
      </c>
      <c r="D245" s="600" t="str">
        <f>IF('R6a - Net Debt input'!E125 = "","",'R6a - Net Debt input'!E125)</f>
        <v/>
      </c>
      <c r="E245" s="1387" t="str">
        <f>IF('R6a - Net Debt input'!F125 = "","",'R6a - Net Debt input'!F125)</f>
        <v/>
      </c>
      <c r="F245" s="1388"/>
      <c r="G245" s="1388"/>
      <c r="H245" s="1388"/>
      <c r="I245" s="1389"/>
      <c r="M245" s="527"/>
      <c r="N245" s="528"/>
      <c r="O245" s="528"/>
      <c r="P245" s="528"/>
      <c r="Q245" s="528"/>
      <c r="R245" s="528"/>
      <c r="S245" s="528"/>
      <c r="T245" s="529"/>
      <c r="U245" s="530"/>
      <c r="V245" s="528"/>
    </row>
    <row r="246" spans="2:24" outlineLevel="1">
      <c r="B246" s="332" t="s">
        <v>538</v>
      </c>
      <c r="C246" s="600" t="str">
        <f>IF('R6a - Net Debt input'!D126 = "","",'R6a - Net Debt input'!D126)</f>
        <v/>
      </c>
      <c r="D246" s="600" t="str">
        <f>IF('R6a - Net Debt input'!E126 = "","",'R6a - Net Debt input'!E126)</f>
        <v/>
      </c>
      <c r="E246" s="1387" t="str">
        <f>IF('R6a - Net Debt input'!F126 = "","",'R6a - Net Debt input'!F126)</f>
        <v/>
      </c>
      <c r="F246" s="1388"/>
      <c r="G246" s="1388"/>
      <c r="H246" s="1388"/>
      <c r="I246" s="1389"/>
      <c r="M246" s="527"/>
      <c r="N246" s="528"/>
      <c r="O246" s="528"/>
      <c r="P246" s="528"/>
      <c r="Q246" s="528"/>
      <c r="R246" s="528"/>
      <c r="S246" s="528"/>
      <c r="T246" s="529"/>
      <c r="U246" s="530"/>
      <c r="V246" s="528"/>
    </row>
    <row r="247" spans="2:24" outlineLevel="1">
      <c r="B247" s="332" t="s">
        <v>539</v>
      </c>
      <c r="C247" s="600" t="str">
        <f>IF('R6a - Net Debt input'!D127 = "","",'R6a - Net Debt input'!D127)</f>
        <v/>
      </c>
      <c r="D247" s="600" t="str">
        <f>IF('R6a - Net Debt input'!E127 = "","",'R6a - Net Debt input'!E127)</f>
        <v/>
      </c>
      <c r="E247" s="1387" t="str">
        <f>IF('R6a - Net Debt input'!F127 = "","",'R6a - Net Debt input'!F127)</f>
        <v/>
      </c>
      <c r="F247" s="1388"/>
      <c r="G247" s="1388"/>
      <c r="H247" s="1388"/>
      <c r="I247" s="1389"/>
      <c r="M247" s="527"/>
      <c r="N247" s="528"/>
      <c r="O247" s="528"/>
      <c r="P247" s="528"/>
      <c r="Q247" s="528"/>
      <c r="R247" s="528"/>
      <c r="S247" s="528"/>
      <c r="T247" s="529"/>
      <c r="U247" s="530"/>
      <c r="V247" s="528"/>
    </row>
    <row r="248" spans="2:24" outlineLevel="1">
      <c r="B248" s="332" t="s">
        <v>540</v>
      </c>
      <c r="C248" s="600" t="str">
        <f>IF('R6a - Net Debt input'!D128 = "","",'R6a - Net Debt input'!D128)</f>
        <v/>
      </c>
      <c r="D248" s="600" t="str">
        <f>IF('R6a - Net Debt input'!E128 = "","",'R6a - Net Debt input'!E128)</f>
        <v/>
      </c>
      <c r="E248" s="1387" t="str">
        <f>IF('R6a - Net Debt input'!F128 = "","",'R6a - Net Debt input'!F128)</f>
        <v/>
      </c>
      <c r="F248" s="1388"/>
      <c r="G248" s="1388"/>
      <c r="H248" s="1388"/>
      <c r="I248" s="1389"/>
      <c r="M248" s="527"/>
      <c r="N248" s="528"/>
      <c r="O248" s="528"/>
      <c r="P248" s="528"/>
      <c r="Q248" s="528"/>
      <c r="R248" s="528"/>
      <c r="S248" s="528"/>
      <c r="T248" s="529"/>
      <c r="U248" s="530"/>
      <c r="V248" s="528"/>
    </row>
    <row r="249" spans="2:24" outlineLevel="1">
      <c r="B249" s="332" t="s">
        <v>541</v>
      </c>
      <c r="C249" s="600" t="str">
        <f>IF('R6a - Net Debt input'!D129 = "","",'R6a - Net Debt input'!D129)</f>
        <v/>
      </c>
      <c r="D249" s="600" t="str">
        <f>IF('R6a - Net Debt input'!E129 = "","",'R6a - Net Debt input'!E129)</f>
        <v/>
      </c>
      <c r="E249" s="1387" t="str">
        <f>IF('R6a - Net Debt input'!F129 = "","",'R6a - Net Debt input'!F129)</f>
        <v/>
      </c>
      <c r="F249" s="1388"/>
      <c r="G249" s="1388"/>
      <c r="H249" s="1388"/>
      <c r="I249" s="1389"/>
      <c r="M249" s="527"/>
      <c r="N249" s="528"/>
      <c r="O249" s="528"/>
      <c r="P249" s="528"/>
      <c r="Q249" s="528"/>
      <c r="R249" s="528"/>
      <c r="S249" s="528"/>
      <c r="T249" s="529"/>
      <c r="U249" s="530"/>
      <c r="V249" s="528"/>
    </row>
    <row r="250" spans="2:24" outlineLevel="1">
      <c r="B250" s="332" t="s">
        <v>542</v>
      </c>
      <c r="C250" s="600" t="str">
        <f>IF('R6a - Net Debt input'!D130 = "","",'R6a - Net Debt input'!D130)</f>
        <v/>
      </c>
      <c r="D250" s="600" t="str">
        <f>IF('R6a - Net Debt input'!E130 = "","",'R6a - Net Debt input'!E130)</f>
        <v/>
      </c>
      <c r="E250" s="1387" t="str">
        <f>IF('R6a - Net Debt input'!F130 = "","",'R6a - Net Debt input'!F130)</f>
        <v/>
      </c>
      <c r="F250" s="1388"/>
      <c r="G250" s="1388"/>
      <c r="H250" s="1388"/>
      <c r="I250" s="1389"/>
      <c r="M250" s="527"/>
      <c r="N250" s="528"/>
      <c r="O250" s="528"/>
      <c r="P250" s="528"/>
      <c r="Q250" s="528"/>
      <c r="R250" s="528"/>
      <c r="S250" s="528"/>
      <c r="T250" s="529"/>
      <c r="U250" s="530"/>
      <c r="V250" s="528"/>
    </row>
    <row r="251" spans="2:24" outlineLevel="1">
      <c r="B251" s="328" t="s">
        <v>543</v>
      </c>
      <c r="C251" s="1393" t="s">
        <v>544</v>
      </c>
      <c r="D251" s="1394"/>
      <c r="E251" s="1394"/>
      <c r="F251" s="1394"/>
      <c r="G251" s="1394"/>
      <c r="H251" s="1394"/>
      <c r="I251" s="1395"/>
      <c r="M251" s="527"/>
      <c r="N251" s="528"/>
      <c r="O251" s="528"/>
      <c r="P251" s="528"/>
      <c r="Q251" s="528"/>
      <c r="R251" s="528"/>
      <c r="S251" s="528"/>
      <c r="T251" s="529"/>
      <c r="U251" s="530"/>
      <c r="V251" s="528"/>
    </row>
    <row r="252" spans="2:24">
      <c r="B252" s="170"/>
      <c r="E252" s="170"/>
      <c r="F252" s="170"/>
      <c r="G252" s="170"/>
      <c r="H252" s="170"/>
      <c r="L252" s="1076" t="s">
        <v>545</v>
      </c>
      <c r="M252" s="523">
        <f t="shared" ref="M252:V252" si="33">SUM(M242:M251)</f>
        <v>0</v>
      </c>
      <c r="N252" s="524">
        <f t="shared" si="33"/>
        <v>0</v>
      </c>
      <c r="O252" s="524">
        <f t="shared" si="33"/>
        <v>0</v>
      </c>
      <c r="P252" s="524">
        <f t="shared" si="33"/>
        <v>0</v>
      </c>
      <c r="Q252" s="524">
        <f t="shared" si="33"/>
        <v>0</v>
      </c>
      <c r="R252" s="524">
        <f t="shared" si="33"/>
        <v>0</v>
      </c>
      <c r="S252" s="524">
        <f t="shared" si="33"/>
        <v>0</v>
      </c>
      <c r="T252" s="525">
        <f t="shared" si="33"/>
        <v>0</v>
      </c>
      <c r="U252" s="526">
        <f t="shared" si="33"/>
        <v>0</v>
      </c>
      <c r="V252" s="524">
        <f t="shared" si="33"/>
        <v>0</v>
      </c>
    </row>
    <row r="253" spans="2:24">
      <c r="B253" s="170"/>
      <c r="E253" s="170"/>
      <c r="F253" s="170"/>
      <c r="G253" s="170"/>
      <c r="H253" s="170"/>
      <c r="X253" s="288"/>
    </row>
    <row r="254" spans="2:24" ht="14">
      <c r="B254" s="259" t="s">
        <v>546</v>
      </c>
      <c r="C254" s="260" t="s">
        <v>547</v>
      </c>
      <c r="D254" s="260"/>
      <c r="E254" s="260"/>
      <c r="F254" s="260"/>
      <c r="G254" s="261"/>
      <c r="H254" s="261"/>
      <c r="I254" s="261"/>
      <c r="J254" s="261"/>
      <c r="K254" s="261"/>
      <c r="L254" s="259"/>
      <c r="M254" s="260"/>
      <c r="N254" s="260"/>
      <c r="O254" s="260"/>
      <c r="P254" s="260"/>
      <c r="Q254" s="260"/>
      <c r="R254" s="260"/>
      <c r="S254" s="260"/>
      <c r="T254" s="260"/>
      <c r="U254" s="293"/>
      <c r="V254" s="260"/>
    </row>
    <row r="255" spans="2:24" outlineLevel="1">
      <c r="B255" s="170"/>
      <c r="I255" s="1405"/>
      <c r="J255" s="1405"/>
      <c r="K255" s="1405"/>
      <c r="L255" s="1405"/>
      <c r="M255" s="1405"/>
      <c r="N255" s="1405"/>
      <c r="O255" s="1405"/>
      <c r="P255" s="1405"/>
      <c r="Q255" s="1406"/>
      <c r="R255" s="807"/>
      <c r="X255" s="288"/>
    </row>
    <row r="256" spans="2:24" ht="17.5" outlineLevel="1">
      <c r="B256" s="154"/>
      <c r="C256" s="151"/>
      <c r="D256" s="270" t="s">
        <v>452</v>
      </c>
      <c r="E256" s="272"/>
      <c r="F256" s="272"/>
      <c r="G256" s="271"/>
      <c r="H256" s="271"/>
      <c r="I256" s="271"/>
      <c r="J256" s="271"/>
      <c r="K256" s="271"/>
      <c r="L256" s="309"/>
      <c r="M256" s="272"/>
      <c r="N256" s="272"/>
      <c r="O256" s="272"/>
      <c r="P256" s="272"/>
      <c r="Q256" s="272"/>
      <c r="R256" s="272"/>
      <c r="S256" s="272"/>
      <c r="T256" s="272"/>
      <c r="U256" s="295"/>
      <c r="V256" s="272"/>
    </row>
    <row r="257" spans="2:22" outlineLevel="1">
      <c r="B257" s="170"/>
      <c r="I257" s="167"/>
      <c r="J257" s="167"/>
      <c r="K257" s="167"/>
      <c r="L257" s="167"/>
      <c r="M257" s="167"/>
      <c r="N257" s="167"/>
      <c r="O257" s="167"/>
      <c r="P257" s="167"/>
      <c r="Q257" s="807"/>
      <c r="R257" s="807"/>
    </row>
    <row r="258" spans="2:22" ht="32.25" customHeight="1" outlineLevel="1">
      <c r="B258" s="867"/>
      <c r="C258" s="865" t="s">
        <v>530</v>
      </c>
      <c r="D258" s="866" t="s">
        <v>531</v>
      </c>
      <c r="E258" s="1378" t="s">
        <v>532</v>
      </c>
      <c r="F258" s="1379" t="s">
        <v>548</v>
      </c>
      <c r="G258" s="1379" t="s">
        <v>549</v>
      </c>
      <c r="H258" s="1379" t="s">
        <v>550</v>
      </c>
      <c r="I258" s="1380" t="s">
        <v>551</v>
      </c>
      <c r="L258" s="807"/>
      <c r="U258" s="288"/>
    </row>
    <row r="259" spans="2:22" s="578" customFormat="1" ht="53.25" customHeight="1" outlineLevel="1">
      <c r="B259" s="572" t="s">
        <v>453</v>
      </c>
      <c r="C259" s="563" t="s">
        <v>533</v>
      </c>
      <c r="D259" s="1075" t="s">
        <v>533</v>
      </c>
      <c r="E259" s="1404"/>
      <c r="F259" s="1382" t="s">
        <v>139</v>
      </c>
      <c r="G259" s="1382" t="s">
        <v>139</v>
      </c>
      <c r="H259" s="1382" t="s">
        <v>454</v>
      </c>
      <c r="I259" s="1383" t="s">
        <v>552</v>
      </c>
      <c r="J259" s="152"/>
      <c r="K259" s="152"/>
      <c r="L259" s="573"/>
      <c r="M259" s="574" t="s">
        <v>454</v>
      </c>
      <c r="N259" s="575" t="s">
        <v>454</v>
      </c>
      <c r="O259" s="575" t="s">
        <v>454</v>
      </c>
      <c r="P259" s="575" t="s">
        <v>454</v>
      </c>
      <c r="Q259" s="575" t="s">
        <v>454</v>
      </c>
      <c r="R259" s="575" t="s">
        <v>454</v>
      </c>
      <c r="S259" s="575" t="s">
        <v>454</v>
      </c>
      <c r="T259" s="576" t="s">
        <v>454</v>
      </c>
      <c r="U259" s="577" t="s">
        <v>454</v>
      </c>
      <c r="V259" s="575" t="s">
        <v>454</v>
      </c>
    </row>
    <row r="260" spans="2:22" outlineLevel="1">
      <c r="B260" s="332" t="s">
        <v>553</v>
      </c>
      <c r="C260" s="601" t="str">
        <f>IF('R6a - Net Debt input'!D150 = "","",'R6a - Net Debt input'!D150)</f>
        <v/>
      </c>
      <c r="D260" s="619" t="str">
        <f>IF('R6a - Net Debt input'!E150 = "","",'R6a - Net Debt input'!E150)</f>
        <v/>
      </c>
      <c r="E260" s="614" t="str">
        <f>IF('R6a - Net Debt input'!F150 = "","",'R6a - Net Debt input'!F150)</f>
        <v/>
      </c>
      <c r="F260" s="614"/>
      <c r="G260" s="614"/>
      <c r="H260" s="614"/>
      <c r="I260" s="615"/>
      <c r="L260" s="807"/>
      <c r="M260" s="535"/>
      <c r="N260" s="535"/>
      <c r="O260" s="535"/>
      <c r="P260" s="535"/>
      <c r="Q260" s="535"/>
      <c r="R260" s="535"/>
      <c r="S260" s="535"/>
      <c r="T260" s="535"/>
      <c r="U260" s="535"/>
      <c r="V260" s="535"/>
    </row>
    <row r="261" spans="2:22" outlineLevel="1">
      <c r="B261" s="332" t="s">
        <v>554</v>
      </c>
      <c r="C261" s="601" t="str">
        <f>IF('R6a - Net Debt input'!D151 = "","",'R6a - Net Debt input'!D151)</f>
        <v/>
      </c>
      <c r="D261" s="620" t="str">
        <f>IF('R6a - Net Debt input'!E151 = "","",'R6a - Net Debt input'!E151)</f>
        <v/>
      </c>
      <c r="E261" s="617" t="str">
        <f>IF('R6a - Net Debt input'!F151 = "","",'R6a - Net Debt input'!F151)</f>
        <v/>
      </c>
      <c r="F261" s="617"/>
      <c r="G261" s="617"/>
      <c r="H261" s="617"/>
      <c r="I261" s="618"/>
      <c r="L261" s="807"/>
      <c r="M261" s="535"/>
      <c r="N261" s="535"/>
      <c r="O261" s="535"/>
      <c r="P261" s="535"/>
      <c r="Q261" s="535"/>
      <c r="R261" s="535"/>
      <c r="S261" s="535"/>
      <c r="T261" s="535"/>
      <c r="U261" s="535"/>
      <c r="V261" s="535"/>
    </row>
    <row r="262" spans="2:22" outlineLevel="1">
      <c r="B262" s="332" t="s">
        <v>555</v>
      </c>
      <c r="C262" s="601" t="str">
        <f>IF('R6a - Net Debt input'!D152 = "","",'R6a - Net Debt input'!D152)</f>
        <v/>
      </c>
      <c r="D262" s="620" t="str">
        <f>IF('R6a - Net Debt input'!E152 = "","",'R6a - Net Debt input'!E152)</f>
        <v/>
      </c>
      <c r="E262" s="808" t="str">
        <f>IF('R6a - Net Debt input'!F152 = "","",'R6a - Net Debt input'!F152)</f>
        <v/>
      </c>
      <c r="F262" s="808"/>
      <c r="G262" s="808"/>
      <c r="H262" s="808"/>
      <c r="I262" s="809"/>
      <c r="L262" s="807"/>
      <c r="M262" s="535"/>
      <c r="N262" s="535"/>
      <c r="O262" s="535"/>
      <c r="P262" s="535"/>
      <c r="Q262" s="535"/>
      <c r="R262" s="535"/>
      <c r="S262" s="535"/>
      <c r="T262" s="535"/>
      <c r="U262" s="535"/>
      <c r="V262" s="535"/>
    </row>
    <row r="263" spans="2:22" outlineLevel="1">
      <c r="B263" s="332" t="s">
        <v>556</v>
      </c>
      <c r="C263" s="601" t="str">
        <f>IF('R6a - Net Debt input'!D153 = "","",'R6a - Net Debt input'!D153)</f>
        <v/>
      </c>
      <c r="D263" s="620" t="str">
        <f>IF('R6a - Net Debt input'!E153 = "","",'R6a - Net Debt input'!E153)</f>
        <v/>
      </c>
      <c r="E263" s="808" t="str">
        <f>IF('R6a - Net Debt input'!F153 = "","",'R6a - Net Debt input'!F153)</f>
        <v/>
      </c>
      <c r="F263" s="808"/>
      <c r="G263" s="808"/>
      <c r="H263" s="808"/>
      <c r="I263" s="809"/>
      <c r="L263" s="807"/>
      <c r="M263" s="535"/>
      <c r="N263" s="535"/>
      <c r="O263" s="535"/>
      <c r="P263" s="535"/>
      <c r="Q263" s="535"/>
      <c r="R263" s="535"/>
      <c r="S263" s="535"/>
      <c r="T263" s="535"/>
      <c r="U263" s="535"/>
      <c r="V263" s="535"/>
    </row>
    <row r="264" spans="2:22" outlineLevel="1">
      <c r="B264" s="332" t="s">
        <v>557</v>
      </c>
      <c r="C264" s="601" t="str">
        <f>IF('R6a - Net Debt input'!D154 = "","",'R6a - Net Debt input'!D154)</f>
        <v/>
      </c>
      <c r="D264" s="620" t="str">
        <f>IF('R6a - Net Debt input'!E154 = "","",'R6a - Net Debt input'!E154)</f>
        <v/>
      </c>
      <c r="E264" s="808" t="str">
        <f>IF('R6a - Net Debt input'!F154 = "","",'R6a - Net Debt input'!F154)</f>
        <v/>
      </c>
      <c r="F264" s="808"/>
      <c r="G264" s="808"/>
      <c r="H264" s="808"/>
      <c r="I264" s="809"/>
      <c r="L264" s="807"/>
      <c r="M264" s="535"/>
      <c r="N264" s="535"/>
      <c r="O264" s="535"/>
      <c r="P264" s="535"/>
      <c r="Q264" s="535"/>
      <c r="R264" s="535"/>
      <c r="S264" s="535"/>
      <c r="T264" s="535"/>
      <c r="U264" s="535"/>
      <c r="V264" s="535"/>
    </row>
    <row r="265" spans="2:22" outlineLevel="1">
      <c r="B265" s="332" t="s">
        <v>558</v>
      </c>
      <c r="C265" s="601" t="str">
        <f>IF('R6a - Net Debt input'!D155 = "","",'R6a - Net Debt input'!D155)</f>
        <v/>
      </c>
      <c r="D265" s="620" t="str">
        <f>IF('R6a - Net Debt input'!E155 = "","",'R6a - Net Debt input'!E155)</f>
        <v/>
      </c>
      <c r="E265" s="808" t="str">
        <f>IF('R6a - Net Debt input'!F155 = "","",'R6a - Net Debt input'!F155)</f>
        <v/>
      </c>
      <c r="F265" s="808"/>
      <c r="G265" s="808"/>
      <c r="H265" s="808"/>
      <c r="I265" s="809"/>
      <c r="L265" s="807"/>
      <c r="M265" s="535"/>
      <c r="N265" s="535"/>
      <c r="O265" s="535"/>
      <c r="P265" s="535"/>
      <c r="Q265" s="535"/>
      <c r="R265" s="535"/>
      <c r="S265" s="535"/>
      <c r="T265" s="535"/>
      <c r="U265" s="535"/>
      <c r="V265" s="535"/>
    </row>
    <row r="266" spans="2:22" outlineLevel="1">
      <c r="B266" s="332" t="s">
        <v>559</v>
      </c>
      <c r="C266" s="601" t="str">
        <f>IF('R6a - Net Debt input'!D156 = "","",'R6a - Net Debt input'!D156)</f>
        <v/>
      </c>
      <c r="D266" s="620" t="str">
        <f>IF('R6a - Net Debt input'!E156 = "","",'R6a - Net Debt input'!E156)</f>
        <v/>
      </c>
      <c r="E266" s="808" t="str">
        <f>IF('R6a - Net Debt input'!F156 = "","",'R6a - Net Debt input'!F156)</f>
        <v/>
      </c>
      <c r="F266" s="808"/>
      <c r="G266" s="808"/>
      <c r="H266" s="808"/>
      <c r="I266" s="809"/>
      <c r="L266" s="807"/>
      <c r="M266" s="535"/>
      <c r="N266" s="535"/>
      <c r="O266" s="535"/>
      <c r="P266" s="535"/>
      <c r="Q266" s="535"/>
      <c r="R266" s="535"/>
      <c r="S266" s="535"/>
      <c r="T266" s="535"/>
      <c r="U266" s="535"/>
      <c r="V266" s="535"/>
    </row>
    <row r="267" spans="2:22" outlineLevel="1">
      <c r="B267" s="332" t="s">
        <v>560</v>
      </c>
      <c r="C267" s="601" t="str">
        <f>IF('R6a - Net Debt input'!D157 = "","",'R6a - Net Debt input'!D157)</f>
        <v/>
      </c>
      <c r="D267" s="620" t="str">
        <f>IF('R6a - Net Debt input'!E157 = "","",'R6a - Net Debt input'!E157)</f>
        <v/>
      </c>
      <c r="E267" s="808" t="str">
        <f>IF('R6a - Net Debt input'!F157 = "","",'R6a - Net Debt input'!F157)</f>
        <v/>
      </c>
      <c r="F267" s="808"/>
      <c r="G267" s="808"/>
      <c r="H267" s="808"/>
      <c r="I267" s="809"/>
      <c r="L267" s="807"/>
      <c r="M267" s="535"/>
      <c r="N267" s="535"/>
      <c r="O267" s="535"/>
      <c r="P267" s="535"/>
      <c r="Q267" s="535"/>
      <c r="R267" s="535"/>
      <c r="S267" s="535"/>
      <c r="T267" s="535"/>
      <c r="U267" s="535"/>
      <c r="V267" s="535"/>
    </row>
    <row r="268" spans="2:22" outlineLevel="1">
      <c r="B268" s="332" t="s">
        <v>561</v>
      </c>
      <c r="C268" s="601" t="str">
        <f>IF('R6a - Net Debt input'!D158 = "","",'R6a - Net Debt input'!D158)</f>
        <v/>
      </c>
      <c r="D268" s="620" t="str">
        <f>IF('R6a - Net Debt input'!E158 = "","",'R6a - Net Debt input'!E158)</f>
        <v/>
      </c>
      <c r="E268" s="808" t="str">
        <f>IF('R6a - Net Debt input'!F158 = "","",'R6a - Net Debt input'!F158)</f>
        <v/>
      </c>
      <c r="F268" s="808"/>
      <c r="G268" s="808"/>
      <c r="H268" s="808"/>
      <c r="I268" s="809"/>
      <c r="L268" s="807"/>
      <c r="M268" s="535"/>
      <c r="N268" s="535"/>
      <c r="O268" s="535"/>
      <c r="P268" s="535"/>
      <c r="Q268" s="535"/>
      <c r="R268" s="535"/>
      <c r="S268" s="535"/>
      <c r="T268" s="535"/>
      <c r="U268" s="535"/>
      <c r="V268" s="535"/>
    </row>
    <row r="269" spans="2:22" outlineLevel="1">
      <c r="B269" s="334" t="s">
        <v>562</v>
      </c>
      <c r="C269" s="601" t="str">
        <f>IF('R6a - Net Debt input'!D159 = "","",'R6a - Net Debt input'!D159)</f>
        <v/>
      </c>
      <c r="D269" s="620" t="str">
        <f>IF('R6a - Net Debt input'!E159 = "","",'R6a - Net Debt input'!E159)</f>
        <v/>
      </c>
      <c r="E269" s="808" t="str">
        <f>IF('R6a - Net Debt input'!F159 = "","",'R6a - Net Debt input'!F159)</f>
        <v/>
      </c>
      <c r="F269" s="808"/>
      <c r="G269" s="808"/>
      <c r="H269" s="808"/>
      <c r="I269" s="809"/>
      <c r="L269" s="807"/>
      <c r="M269" s="535"/>
      <c r="N269" s="535"/>
      <c r="O269" s="535"/>
      <c r="P269" s="535"/>
      <c r="Q269" s="535"/>
      <c r="R269" s="535"/>
      <c r="S269" s="535"/>
      <c r="T269" s="535"/>
      <c r="U269" s="535"/>
      <c r="V269" s="535"/>
    </row>
    <row r="270" spans="2:22">
      <c r="B270" s="170"/>
      <c r="E270" s="170"/>
      <c r="F270" s="170"/>
      <c r="G270" s="170"/>
      <c r="H270" s="170"/>
      <c r="L270" s="1076" t="s">
        <v>563</v>
      </c>
      <c r="M270" s="503">
        <f>SUM(M260:M269)</f>
        <v>0</v>
      </c>
      <c r="N270" s="504">
        <f t="shared" ref="N270:V270" si="34">SUM(N260:N269)</f>
        <v>0</v>
      </c>
      <c r="O270" s="504">
        <f t="shared" si="34"/>
        <v>0</v>
      </c>
      <c r="P270" s="504">
        <f t="shared" si="34"/>
        <v>0</v>
      </c>
      <c r="Q270" s="504">
        <f t="shared" si="34"/>
        <v>0</v>
      </c>
      <c r="R270" s="504">
        <f t="shared" si="34"/>
        <v>0</v>
      </c>
      <c r="S270" s="504">
        <f t="shared" si="34"/>
        <v>0</v>
      </c>
      <c r="T270" s="505">
        <f t="shared" si="34"/>
        <v>0</v>
      </c>
      <c r="U270" s="506">
        <f t="shared" si="34"/>
        <v>0</v>
      </c>
      <c r="V270" s="504">
        <f t="shared" si="34"/>
        <v>0</v>
      </c>
    </row>
    <row r="271" spans="2:22">
      <c r="B271" s="170"/>
    </row>
    <row r="272" spans="2:22" ht="17.5" outlineLevel="1">
      <c r="C272" s="151"/>
      <c r="D272" s="270" t="s">
        <v>464</v>
      </c>
      <c r="E272" s="271"/>
      <c r="F272" s="271"/>
      <c r="G272" s="271"/>
      <c r="H272" s="271"/>
      <c r="I272" s="271"/>
      <c r="J272" s="271"/>
      <c r="K272" s="271"/>
      <c r="L272" s="309"/>
      <c r="M272" s="271"/>
      <c r="N272" s="271"/>
      <c r="O272" s="271"/>
      <c r="P272" s="271"/>
      <c r="Q272" s="271"/>
      <c r="R272" s="271"/>
      <c r="S272" s="271"/>
      <c r="T272" s="271"/>
      <c r="U272" s="289"/>
      <c r="V272" s="271"/>
    </row>
    <row r="273" spans="2:22">
      <c r="B273" s="170"/>
    </row>
    <row r="274" spans="2:22" ht="32.25" customHeight="1" outlineLevel="1">
      <c r="B274" s="867"/>
      <c r="C274" s="865" t="s">
        <v>530</v>
      </c>
      <c r="D274" s="866" t="s">
        <v>531</v>
      </c>
      <c r="E274" s="1378" t="s">
        <v>532</v>
      </c>
      <c r="F274" s="1379" t="s">
        <v>548</v>
      </c>
      <c r="G274" s="1379" t="s">
        <v>549</v>
      </c>
      <c r="H274" s="1379" t="s">
        <v>550</v>
      </c>
      <c r="I274" s="1380" t="s">
        <v>551</v>
      </c>
      <c r="L274" s="807"/>
      <c r="U274" s="288"/>
    </row>
    <row r="275" spans="2:22" s="578" customFormat="1" ht="53.25" customHeight="1" outlineLevel="1">
      <c r="B275" s="572" t="s">
        <v>453</v>
      </c>
      <c r="C275" s="563" t="s">
        <v>533</v>
      </c>
      <c r="D275" s="1075" t="s">
        <v>533</v>
      </c>
      <c r="E275" s="1381"/>
      <c r="F275" s="1382" t="s">
        <v>139</v>
      </c>
      <c r="G275" s="1382" t="s">
        <v>139</v>
      </c>
      <c r="H275" s="1382" t="s">
        <v>454</v>
      </c>
      <c r="I275" s="1383" t="s">
        <v>552</v>
      </c>
      <c r="J275" s="152"/>
      <c r="K275" s="152"/>
      <c r="L275" s="573"/>
      <c r="M275" s="574" t="s">
        <v>454</v>
      </c>
      <c r="N275" s="575" t="s">
        <v>454</v>
      </c>
      <c r="O275" s="575" t="s">
        <v>454</v>
      </c>
      <c r="P275" s="575" t="s">
        <v>454</v>
      </c>
      <c r="Q275" s="575" t="s">
        <v>454</v>
      </c>
      <c r="R275" s="575" t="s">
        <v>454</v>
      </c>
      <c r="S275" s="575" t="s">
        <v>454</v>
      </c>
      <c r="T275" s="576" t="s">
        <v>454</v>
      </c>
      <c r="U275" s="577" t="s">
        <v>454</v>
      </c>
      <c r="V275" s="575" t="s">
        <v>454</v>
      </c>
    </row>
    <row r="276" spans="2:22" outlineLevel="1">
      <c r="B276" s="332" t="s">
        <v>553</v>
      </c>
      <c r="C276" s="601" t="str">
        <f>IF('R6a - Net Debt input'!D150 = "","",'R6a - Net Debt input'!D150)</f>
        <v/>
      </c>
      <c r="D276" s="601" t="str">
        <f>IF('R6a - Net Debt input'!E150 = "","",'R6a - Net Debt input'!E150)</f>
        <v/>
      </c>
      <c r="E276" s="613" t="str">
        <f>IF('R6a - Net Debt input'!F150 = "","",'R6a - Net Debt input'!F150)</f>
        <v/>
      </c>
      <c r="F276" s="614"/>
      <c r="G276" s="614"/>
      <c r="H276" s="614"/>
      <c r="I276" s="615"/>
      <c r="L276" s="807"/>
      <c r="M276" s="535"/>
      <c r="N276" s="535"/>
      <c r="O276" s="535"/>
      <c r="P276" s="535"/>
      <c r="Q276" s="535"/>
      <c r="R276" s="535"/>
      <c r="S276" s="535"/>
      <c r="T276" s="535"/>
      <c r="U276" s="535"/>
      <c r="V276" s="535"/>
    </row>
    <row r="277" spans="2:22" outlineLevel="1">
      <c r="B277" s="332" t="s">
        <v>554</v>
      </c>
      <c r="C277" s="600" t="str">
        <f>IF('R6a - Net Debt input'!D151 = "","",'R6a - Net Debt input'!D151)</f>
        <v/>
      </c>
      <c r="D277" s="600" t="str">
        <f>IF('R6a - Net Debt input'!E151 = "","",'R6a - Net Debt input'!E151)</f>
        <v/>
      </c>
      <c r="E277" s="616" t="str">
        <f>IF('R6a - Net Debt input'!F151 = "","",'R6a - Net Debt input'!F151)</f>
        <v/>
      </c>
      <c r="F277" s="617"/>
      <c r="G277" s="617"/>
      <c r="H277" s="617"/>
      <c r="I277" s="618"/>
      <c r="L277" s="807"/>
      <c r="M277" s="535"/>
      <c r="N277" s="535"/>
      <c r="O277" s="535"/>
      <c r="P277" s="535"/>
      <c r="Q277" s="535"/>
      <c r="R277" s="535"/>
      <c r="S277" s="535"/>
      <c r="T277" s="535"/>
      <c r="U277" s="535"/>
      <c r="V277" s="535"/>
    </row>
    <row r="278" spans="2:22" outlineLevel="1">
      <c r="B278" s="332" t="s">
        <v>555</v>
      </c>
      <c r="C278" s="600" t="str">
        <f>IF('R6a - Net Debt input'!D152 = "","",'R6a - Net Debt input'!D152)</f>
        <v/>
      </c>
      <c r="D278" s="600" t="str">
        <f>IF('R6a - Net Debt input'!E152 = "","",'R6a - Net Debt input'!E152)</f>
        <v/>
      </c>
      <c r="E278" s="616" t="str">
        <f>IF('R6a - Net Debt input'!F152 = "","",'R6a - Net Debt input'!F152)</f>
        <v/>
      </c>
      <c r="F278" s="617"/>
      <c r="G278" s="617"/>
      <c r="H278" s="617"/>
      <c r="I278" s="618"/>
      <c r="L278" s="807"/>
      <c r="M278" s="535"/>
      <c r="N278" s="535"/>
      <c r="O278" s="535"/>
      <c r="P278" s="535"/>
      <c r="Q278" s="535"/>
      <c r="R278" s="535"/>
      <c r="S278" s="535"/>
      <c r="T278" s="535"/>
      <c r="U278" s="535"/>
      <c r="V278" s="535"/>
    </row>
    <row r="279" spans="2:22" outlineLevel="1">
      <c r="B279" s="332" t="s">
        <v>556</v>
      </c>
      <c r="C279" s="600" t="str">
        <f>IF('R6a - Net Debt input'!D153 = "","",'R6a - Net Debt input'!D153)</f>
        <v/>
      </c>
      <c r="D279" s="600" t="str">
        <f>IF('R6a - Net Debt input'!E153 = "","",'R6a - Net Debt input'!E153)</f>
        <v/>
      </c>
      <c r="E279" s="616" t="str">
        <f>IF('R6a - Net Debt input'!F153 = "","",'R6a - Net Debt input'!F153)</f>
        <v/>
      </c>
      <c r="F279" s="617"/>
      <c r="G279" s="617"/>
      <c r="H279" s="617"/>
      <c r="I279" s="618"/>
      <c r="L279" s="807"/>
      <c r="M279" s="535"/>
      <c r="N279" s="535"/>
      <c r="O279" s="535"/>
      <c r="P279" s="535"/>
      <c r="Q279" s="535"/>
      <c r="R279" s="535"/>
      <c r="S279" s="535"/>
      <c r="T279" s="535"/>
      <c r="U279" s="535"/>
      <c r="V279" s="535"/>
    </row>
    <row r="280" spans="2:22" outlineLevel="1">
      <c r="B280" s="332" t="s">
        <v>557</v>
      </c>
      <c r="C280" s="600" t="str">
        <f>IF('R6a - Net Debt input'!D154 = "","",'R6a - Net Debt input'!D154)</f>
        <v/>
      </c>
      <c r="D280" s="600" t="str">
        <f>IF('R6a - Net Debt input'!E154 = "","",'R6a - Net Debt input'!E154)</f>
        <v/>
      </c>
      <c r="E280" s="616" t="str">
        <f>IF('R6a - Net Debt input'!F154 = "","",'R6a - Net Debt input'!F154)</f>
        <v/>
      </c>
      <c r="F280" s="617"/>
      <c r="G280" s="617"/>
      <c r="H280" s="617"/>
      <c r="I280" s="618"/>
      <c r="L280" s="807"/>
      <c r="M280" s="535"/>
      <c r="N280" s="535"/>
      <c r="O280" s="535"/>
      <c r="P280" s="535"/>
      <c r="Q280" s="535"/>
      <c r="R280" s="535"/>
      <c r="S280" s="535"/>
      <c r="T280" s="535"/>
      <c r="U280" s="535"/>
      <c r="V280" s="535"/>
    </row>
    <row r="281" spans="2:22" outlineLevel="1">
      <c r="B281" s="332" t="s">
        <v>558</v>
      </c>
      <c r="C281" s="600" t="str">
        <f>IF('R6a - Net Debt input'!D155 = "","",'R6a - Net Debt input'!D155)</f>
        <v/>
      </c>
      <c r="D281" s="600" t="str">
        <f>IF('R6a - Net Debt input'!E155 = "","",'R6a - Net Debt input'!E155)</f>
        <v/>
      </c>
      <c r="E281" s="616" t="str">
        <f>IF('R6a - Net Debt input'!F155 = "","",'R6a - Net Debt input'!F155)</f>
        <v/>
      </c>
      <c r="F281" s="617"/>
      <c r="G281" s="617"/>
      <c r="H281" s="617"/>
      <c r="I281" s="618"/>
      <c r="L281" s="807"/>
      <c r="M281" s="535"/>
      <c r="N281" s="535"/>
      <c r="O281" s="535"/>
      <c r="P281" s="535"/>
      <c r="Q281" s="535"/>
      <c r="R281" s="535"/>
      <c r="S281" s="535"/>
      <c r="T281" s="535"/>
      <c r="U281" s="535"/>
      <c r="V281" s="535"/>
    </row>
    <row r="282" spans="2:22" outlineLevel="1">
      <c r="B282" s="332" t="s">
        <v>559</v>
      </c>
      <c r="C282" s="600" t="str">
        <f>IF('R6a - Net Debt input'!D156 = "","",'R6a - Net Debt input'!D156)</f>
        <v/>
      </c>
      <c r="D282" s="600" t="str">
        <f>IF('R6a - Net Debt input'!E156 = "","",'R6a - Net Debt input'!E156)</f>
        <v/>
      </c>
      <c r="E282" s="616" t="str">
        <f>IF('R6a - Net Debt input'!F156 = "","",'R6a - Net Debt input'!F156)</f>
        <v/>
      </c>
      <c r="F282" s="617"/>
      <c r="G282" s="617"/>
      <c r="H282" s="617"/>
      <c r="I282" s="618"/>
      <c r="L282" s="807"/>
      <c r="M282" s="535"/>
      <c r="N282" s="535"/>
      <c r="O282" s="535"/>
      <c r="P282" s="535"/>
      <c r="Q282" s="535"/>
      <c r="R282" s="535"/>
      <c r="S282" s="535"/>
      <c r="T282" s="535"/>
      <c r="U282" s="535"/>
      <c r="V282" s="535"/>
    </row>
    <row r="283" spans="2:22" outlineLevel="1">
      <c r="B283" s="332" t="s">
        <v>560</v>
      </c>
      <c r="C283" s="600" t="str">
        <f>IF('R6a - Net Debt input'!D157 = "","",'R6a - Net Debt input'!D157)</f>
        <v/>
      </c>
      <c r="D283" s="600" t="str">
        <f>IF('R6a - Net Debt input'!E157 = "","",'R6a - Net Debt input'!E157)</f>
        <v/>
      </c>
      <c r="E283" s="616" t="str">
        <f>IF('R6a - Net Debt input'!F157 = "","",'R6a - Net Debt input'!F157)</f>
        <v/>
      </c>
      <c r="F283" s="617"/>
      <c r="G283" s="617"/>
      <c r="H283" s="617"/>
      <c r="I283" s="618"/>
      <c r="L283" s="807"/>
      <c r="M283" s="535"/>
      <c r="N283" s="535"/>
      <c r="O283" s="535"/>
      <c r="P283" s="535"/>
      <c r="Q283" s="535"/>
      <c r="R283" s="535"/>
      <c r="S283" s="535"/>
      <c r="T283" s="535"/>
      <c r="U283" s="535"/>
      <c r="V283" s="535"/>
    </row>
    <row r="284" spans="2:22" outlineLevel="1">
      <c r="B284" s="332" t="s">
        <v>561</v>
      </c>
      <c r="C284" s="600" t="str">
        <f>IF('R6a - Net Debt input'!D158 = "","",'R6a - Net Debt input'!D158)</f>
        <v/>
      </c>
      <c r="D284" s="600" t="str">
        <f>IF('R6a - Net Debt input'!E158 = "","",'R6a - Net Debt input'!E158)</f>
        <v/>
      </c>
      <c r="E284" s="616" t="str">
        <f>IF('R6a - Net Debt input'!F158 = "","",'R6a - Net Debt input'!F158)</f>
        <v/>
      </c>
      <c r="F284" s="617"/>
      <c r="G284" s="617"/>
      <c r="H284" s="617"/>
      <c r="I284" s="618"/>
      <c r="L284" s="807"/>
      <c r="M284" s="535"/>
      <c r="N284" s="535"/>
      <c r="O284" s="535"/>
      <c r="P284" s="535"/>
      <c r="Q284" s="535"/>
      <c r="R284" s="535"/>
      <c r="S284" s="535"/>
      <c r="T284" s="535"/>
      <c r="U284" s="535"/>
      <c r="V284" s="535"/>
    </row>
    <row r="285" spans="2:22" outlineLevel="1">
      <c r="B285" s="334" t="s">
        <v>562</v>
      </c>
      <c r="C285" s="600" t="str">
        <f>IF('R6a - Net Debt input'!D159 = "","",'R6a - Net Debt input'!D159)</f>
        <v/>
      </c>
      <c r="D285" s="600" t="str">
        <f>IF('R6a - Net Debt input'!E159 = "","",'R6a - Net Debt input'!E159)</f>
        <v/>
      </c>
      <c r="E285" s="616" t="str">
        <f>IF('R6a - Net Debt input'!F159 = "","",'R6a - Net Debt input'!F159)</f>
        <v/>
      </c>
      <c r="F285" s="617"/>
      <c r="G285" s="617"/>
      <c r="H285" s="617"/>
      <c r="I285" s="618"/>
      <c r="L285" s="807"/>
      <c r="M285" s="535"/>
      <c r="N285" s="535"/>
      <c r="O285" s="535"/>
      <c r="P285" s="535"/>
      <c r="Q285" s="535"/>
      <c r="R285" s="535"/>
      <c r="S285" s="535"/>
      <c r="T285" s="535"/>
      <c r="U285" s="535"/>
      <c r="V285" s="535"/>
    </row>
    <row r="286" spans="2:22">
      <c r="B286" s="170"/>
      <c r="E286" s="170"/>
      <c r="F286" s="170"/>
      <c r="G286" s="170"/>
      <c r="H286" s="170"/>
      <c r="L286" s="1076" t="s">
        <v>563</v>
      </c>
      <c r="M286" s="503">
        <f>SUM(M276:M285)</f>
        <v>0</v>
      </c>
      <c r="N286" s="504">
        <f t="shared" ref="N286:V286" si="35">SUM(N276:N285)</f>
        <v>0</v>
      </c>
      <c r="O286" s="504">
        <f t="shared" si="35"/>
        <v>0</v>
      </c>
      <c r="P286" s="504">
        <f t="shared" si="35"/>
        <v>0</v>
      </c>
      <c r="Q286" s="504">
        <f t="shared" si="35"/>
        <v>0</v>
      </c>
      <c r="R286" s="504">
        <f t="shared" si="35"/>
        <v>0</v>
      </c>
      <c r="S286" s="504">
        <f t="shared" si="35"/>
        <v>0</v>
      </c>
      <c r="T286" s="505">
        <f t="shared" si="35"/>
        <v>0</v>
      </c>
      <c r="U286" s="506">
        <f t="shared" si="35"/>
        <v>0</v>
      </c>
      <c r="V286" s="504">
        <f t="shared" si="35"/>
        <v>0</v>
      </c>
    </row>
    <row r="287" spans="2:22">
      <c r="B287" s="170"/>
    </row>
    <row r="288" spans="2:22" ht="14">
      <c r="B288" s="259" t="s">
        <v>564</v>
      </c>
      <c r="C288" s="260" t="s">
        <v>565</v>
      </c>
      <c r="D288" s="260"/>
      <c r="E288" s="260"/>
      <c r="F288" s="260"/>
      <c r="G288" s="261"/>
      <c r="H288" s="261"/>
      <c r="I288" s="261"/>
      <c r="J288" s="261"/>
      <c r="K288" s="261"/>
      <c r="L288" s="259"/>
      <c r="M288" s="260"/>
      <c r="N288" s="260"/>
      <c r="O288" s="260"/>
      <c r="P288" s="260"/>
      <c r="Q288" s="260"/>
      <c r="R288" s="260"/>
      <c r="S288" s="260"/>
      <c r="T288" s="260"/>
      <c r="U288" s="293"/>
      <c r="V288" s="260"/>
    </row>
    <row r="289" spans="2:24" outlineLevel="1">
      <c r="B289" s="170"/>
      <c r="C289" s="151"/>
      <c r="D289" s="151"/>
      <c r="X289" s="288"/>
    </row>
    <row r="290" spans="2:24" ht="17.5" outlineLevel="1">
      <c r="B290" s="154"/>
      <c r="C290" s="151"/>
      <c r="D290" s="270" t="s">
        <v>452</v>
      </c>
      <c r="E290" s="272"/>
      <c r="F290" s="272"/>
      <c r="G290" s="271"/>
      <c r="H290" s="271"/>
      <c r="I290" s="271"/>
      <c r="J290" s="271"/>
      <c r="K290" s="271"/>
      <c r="L290" s="309"/>
      <c r="M290" s="272"/>
      <c r="N290" s="272"/>
      <c r="O290" s="272"/>
      <c r="P290" s="272"/>
      <c r="Q290" s="272"/>
      <c r="R290" s="272"/>
      <c r="S290" s="272"/>
      <c r="T290" s="272"/>
      <c r="U290" s="295"/>
      <c r="V290" s="272"/>
    </row>
    <row r="291" spans="2:24" outlineLevel="1">
      <c r="B291" s="170"/>
      <c r="C291" s="151"/>
      <c r="D291" s="151"/>
    </row>
    <row r="292" spans="2:24" ht="32.25" customHeight="1" outlineLevel="1">
      <c r="B292" s="868"/>
      <c r="C292" s="865" t="s">
        <v>530</v>
      </c>
      <c r="D292" s="866" t="s">
        <v>531</v>
      </c>
      <c r="E292" s="1378" t="s">
        <v>532</v>
      </c>
      <c r="F292" s="1379" t="s">
        <v>548</v>
      </c>
      <c r="G292" s="1379" t="s">
        <v>549</v>
      </c>
      <c r="H292" s="1379" t="s">
        <v>550</v>
      </c>
      <c r="I292" s="1380" t="s">
        <v>551</v>
      </c>
      <c r="U292" s="288"/>
    </row>
    <row r="293" spans="2:24" s="578" customFormat="1" ht="52.5" customHeight="1" outlineLevel="1">
      <c r="B293" s="572" t="s">
        <v>453</v>
      </c>
      <c r="C293" s="563" t="s">
        <v>533</v>
      </c>
      <c r="D293" s="1075" t="s">
        <v>533</v>
      </c>
      <c r="E293" s="1381"/>
      <c r="F293" s="1382" t="s">
        <v>139</v>
      </c>
      <c r="G293" s="1382" t="s">
        <v>139</v>
      </c>
      <c r="H293" s="1382" t="s">
        <v>454</v>
      </c>
      <c r="I293" s="1383" t="s">
        <v>552</v>
      </c>
      <c r="J293" s="152"/>
      <c r="K293" s="152"/>
      <c r="L293" s="152"/>
      <c r="M293" s="574" t="s">
        <v>454</v>
      </c>
      <c r="N293" s="575" t="s">
        <v>454</v>
      </c>
      <c r="O293" s="575" t="s">
        <v>454</v>
      </c>
      <c r="P293" s="575" t="s">
        <v>454</v>
      </c>
      <c r="Q293" s="575" t="s">
        <v>454</v>
      </c>
      <c r="R293" s="575" t="s">
        <v>454</v>
      </c>
      <c r="S293" s="575" t="s">
        <v>454</v>
      </c>
      <c r="T293" s="576" t="s">
        <v>454</v>
      </c>
      <c r="U293" s="577" t="s">
        <v>454</v>
      </c>
      <c r="V293" s="575" t="s">
        <v>454</v>
      </c>
    </row>
    <row r="294" spans="2:24" outlineLevel="1">
      <c r="B294" s="332" t="s">
        <v>566</v>
      </c>
      <c r="C294" s="601" t="str">
        <f>IF('R6a - Net Debt input'!D177 = "","",'R6a - Net Debt input'!D177)</f>
        <v/>
      </c>
      <c r="D294" s="601" t="str">
        <f>IF('R6a - Net Debt input'!E177 = "","",'R6a - Net Debt input'!E177)</f>
        <v/>
      </c>
      <c r="E294" s="813" t="str">
        <f>IF('R6a - Net Debt input'!F177 = "","",'R6a - Net Debt input'!F177)</f>
        <v/>
      </c>
      <c r="F294" s="814"/>
      <c r="G294" s="814"/>
      <c r="H294" s="814"/>
      <c r="I294" s="815"/>
      <c r="M294" s="535"/>
      <c r="N294" s="536"/>
      <c r="O294" s="536"/>
      <c r="P294" s="536"/>
      <c r="Q294" s="536"/>
      <c r="R294" s="536"/>
      <c r="S294" s="536"/>
      <c r="T294" s="537"/>
      <c r="U294" s="538"/>
      <c r="V294" s="536"/>
    </row>
    <row r="295" spans="2:24" outlineLevel="1">
      <c r="B295" s="332" t="s">
        <v>567</v>
      </c>
      <c r="C295" s="601" t="str">
        <f>IF('R6a - Net Debt input'!D178 = "","",'R6a - Net Debt input'!D178)</f>
        <v/>
      </c>
      <c r="D295" s="601" t="str">
        <f>IF('R6a - Net Debt input'!E178 = "","",'R6a - Net Debt input'!E178)</f>
        <v/>
      </c>
      <c r="E295" s="813" t="str">
        <f>IF('R6a - Net Debt input'!F178 = "","",'R6a - Net Debt input'!F178)</f>
        <v/>
      </c>
      <c r="F295" s="814"/>
      <c r="G295" s="814"/>
      <c r="H295" s="814"/>
      <c r="I295" s="815"/>
      <c r="M295" s="535"/>
      <c r="N295" s="536"/>
      <c r="O295" s="536"/>
      <c r="P295" s="536"/>
      <c r="Q295" s="536"/>
      <c r="R295" s="536"/>
      <c r="S295" s="536"/>
      <c r="T295" s="537"/>
      <c r="U295" s="538"/>
      <c r="V295" s="536"/>
    </row>
    <row r="296" spans="2:24" outlineLevel="1">
      <c r="B296" s="332" t="s">
        <v>568</v>
      </c>
      <c r="C296" s="601" t="str">
        <f>IF('R6a - Net Debt input'!D179 = "","",'R6a - Net Debt input'!D179)</f>
        <v/>
      </c>
      <c r="D296" s="601" t="str">
        <f>IF('R6a - Net Debt input'!E179 = "","",'R6a - Net Debt input'!E179)</f>
        <v/>
      </c>
      <c r="E296" s="813" t="str">
        <f>IF('R6a - Net Debt input'!F179 = "","",'R6a - Net Debt input'!F179)</f>
        <v/>
      </c>
      <c r="F296" s="814"/>
      <c r="G296" s="814"/>
      <c r="H296" s="814"/>
      <c r="I296" s="815"/>
      <c r="M296" s="535"/>
      <c r="N296" s="536"/>
      <c r="O296" s="536"/>
      <c r="P296" s="536"/>
      <c r="Q296" s="536"/>
      <c r="R296" s="536"/>
      <c r="S296" s="536"/>
      <c r="T296" s="537"/>
      <c r="U296" s="538"/>
      <c r="V296" s="536"/>
    </row>
    <row r="297" spans="2:24" outlineLevel="1">
      <c r="B297" s="332" t="s">
        <v>569</v>
      </c>
      <c r="C297" s="601" t="str">
        <f>IF('R6a - Net Debt input'!D180 = "","",'R6a - Net Debt input'!D180)</f>
        <v/>
      </c>
      <c r="D297" s="601" t="str">
        <f>IF('R6a - Net Debt input'!E180 = "","",'R6a - Net Debt input'!E180)</f>
        <v/>
      </c>
      <c r="E297" s="813" t="str">
        <f>IF('R6a - Net Debt input'!F180 = "","",'R6a - Net Debt input'!F180)</f>
        <v/>
      </c>
      <c r="F297" s="814"/>
      <c r="G297" s="814"/>
      <c r="H297" s="814"/>
      <c r="I297" s="815"/>
      <c r="M297" s="535"/>
      <c r="N297" s="536"/>
      <c r="O297" s="536"/>
      <c r="P297" s="536"/>
      <c r="Q297" s="536"/>
      <c r="R297" s="536"/>
      <c r="S297" s="536"/>
      <c r="T297" s="537"/>
      <c r="U297" s="538"/>
      <c r="V297" s="536"/>
    </row>
    <row r="298" spans="2:24" outlineLevel="1">
      <c r="B298" s="332" t="s">
        <v>570</v>
      </c>
      <c r="C298" s="601" t="str">
        <f>IF('R6a - Net Debt input'!D181 = "","",'R6a - Net Debt input'!D181)</f>
        <v/>
      </c>
      <c r="D298" s="601" t="str">
        <f>IF('R6a - Net Debt input'!E181 = "","",'R6a - Net Debt input'!E181)</f>
        <v/>
      </c>
      <c r="E298" s="813" t="str">
        <f>IF('R6a - Net Debt input'!F181 = "","",'R6a - Net Debt input'!F181)</f>
        <v/>
      </c>
      <c r="F298" s="814"/>
      <c r="G298" s="814"/>
      <c r="H298" s="814"/>
      <c r="I298" s="815"/>
      <c r="M298" s="535"/>
      <c r="N298" s="536"/>
      <c r="O298" s="536"/>
      <c r="P298" s="536"/>
      <c r="Q298" s="536"/>
      <c r="R298" s="536"/>
      <c r="S298" s="536"/>
      <c r="T298" s="537"/>
      <c r="U298" s="538"/>
      <c r="V298" s="536"/>
    </row>
    <row r="299" spans="2:24" outlineLevel="1">
      <c r="B299" s="332" t="s">
        <v>571</v>
      </c>
      <c r="C299" s="601" t="str">
        <f>IF('R6a - Net Debt input'!D182 = "","",'R6a - Net Debt input'!D182)</f>
        <v/>
      </c>
      <c r="D299" s="601" t="str">
        <f>IF('R6a - Net Debt input'!E182 = "","",'R6a - Net Debt input'!E182)</f>
        <v/>
      </c>
      <c r="E299" s="813" t="str">
        <f>IF('R6a - Net Debt input'!F182 = "","",'R6a - Net Debt input'!F182)</f>
        <v/>
      </c>
      <c r="F299" s="814"/>
      <c r="G299" s="814"/>
      <c r="H299" s="814"/>
      <c r="I299" s="815"/>
      <c r="M299" s="535"/>
      <c r="N299" s="536"/>
      <c r="O299" s="536"/>
      <c r="P299" s="536"/>
      <c r="Q299" s="536"/>
      <c r="R299" s="536"/>
      <c r="S299" s="536"/>
      <c r="T299" s="537"/>
      <c r="U299" s="538"/>
      <c r="V299" s="536"/>
    </row>
    <row r="300" spans="2:24" outlineLevel="1">
      <c r="B300" s="332" t="s">
        <v>572</v>
      </c>
      <c r="C300" s="601" t="str">
        <f>IF('R6a - Net Debt input'!D183 = "","",'R6a - Net Debt input'!D183)</f>
        <v/>
      </c>
      <c r="D300" s="601" t="str">
        <f>IF('R6a - Net Debt input'!E183 = "","",'R6a - Net Debt input'!E183)</f>
        <v/>
      </c>
      <c r="E300" s="813" t="str">
        <f>IF('R6a - Net Debt input'!F183 = "","",'R6a - Net Debt input'!F183)</f>
        <v/>
      </c>
      <c r="F300" s="814"/>
      <c r="G300" s="814"/>
      <c r="H300" s="814"/>
      <c r="I300" s="815"/>
      <c r="M300" s="535"/>
      <c r="N300" s="536"/>
      <c r="O300" s="536"/>
      <c r="P300" s="536"/>
      <c r="Q300" s="536"/>
      <c r="R300" s="536"/>
      <c r="S300" s="536"/>
      <c r="T300" s="537"/>
      <c r="U300" s="538"/>
      <c r="V300" s="536"/>
    </row>
    <row r="301" spans="2:24" outlineLevel="1">
      <c r="B301" s="332" t="s">
        <v>573</v>
      </c>
      <c r="C301" s="601" t="str">
        <f>IF('R6a - Net Debt input'!D184 = "","",'R6a - Net Debt input'!D184)</f>
        <v/>
      </c>
      <c r="D301" s="601" t="str">
        <f>IF('R6a - Net Debt input'!E184 = "","",'R6a - Net Debt input'!E184)</f>
        <v/>
      </c>
      <c r="E301" s="813" t="str">
        <f>IF('R6a - Net Debt input'!F184 = "","",'R6a - Net Debt input'!F184)</f>
        <v/>
      </c>
      <c r="F301" s="814"/>
      <c r="G301" s="814"/>
      <c r="H301" s="814"/>
      <c r="I301" s="815"/>
      <c r="M301" s="535"/>
      <c r="N301" s="536"/>
      <c r="O301" s="536"/>
      <c r="P301" s="536"/>
      <c r="Q301" s="536"/>
      <c r="R301" s="536"/>
      <c r="S301" s="536"/>
      <c r="T301" s="537"/>
      <c r="U301" s="538"/>
      <c r="V301" s="536"/>
    </row>
    <row r="302" spans="2:24" outlineLevel="1">
      <c r="B302" s="332" t="s">
        <v>574</v>
      </c>
      <c r="C302" s="601" t="str">
        <f>IF('R6a - Net Debt input'!D185 = "","",'R6a - Net Debt input'!D185)</f>
        <v/>
      </c>
      <c r="D302" s="601" t="str">
        <f>IF('R6a - Net Debt input'!E185 = "","",'R6a - Net Debt input'!E185)</f>
        <v/>
      </c>
      <c r="E302" s="813" t="str">
        <f>IF('R6a - Net Debt input'!F185 = "","",'R6a - Net Debt input'!F185)</f>
        <v/>
      </c>
      <c r="F302" s="814"/>
      <c r="G302" s="814"/>
      <c r="H302" s="814"/>
      <c r="I302" s="815"/>
      <c r="M302" s="535"/>
      <c r="N302" s="536"/>
      <c r="O302" s="536"/>
      <c r="P302" s="536"/>
      <c r="Q302" s="536"/>
      <c r="R302" s="536"/>
      <c r="S302" s="536"/>
      <c r="T302" s="537"/>
      <c r="U302" s="538"/>
      <c r="V302" s="536"/>
    </row>
    <row r="303" spans="2:24" outlineLevel="1">
      <c r="B303" s="334" t="s">
        <v>575</v>
      </c>
      <c r="C303" s="1393" t="s">
        <v>544</v>
      </c>
      <c r="D303" s="1394"/>
      <c r="E303" s="1394"/>
      <c r="F303" s="1394"/>
      <c r="G303" s="1394"/>
      <c r="H303" s="1394"/>
      <c r="I303" s="1395"/>
      <c r="M303" s="539"/>
      <c r="N303" s="540"/>
      <c r="O303" s="540"/>
      <c r="P303" s="540"/>
      <c r="Q303" s="540"/>
      <c r="R303" s="540"/>
      <c r="S303" s="540"/>
      <c r="T303" s="541"/>
      <c r="U303" s="542"/>
      <c r="V303" s="540"/>
    </row>
    <row r="304" spans="2:24">
      <c r="B304" s="170"/>
      <c r="E304" s="170"/>
      <c r="F304" s="170"/>
      <c r="G304" s="170"/>
      <c r="H304" s="170"/>
      <c r="L304" s="1076" t="s">
        <v>576</v>
      </c>
      <c r="M304" s="503">
        <f>SUM(M294:M303)</f>
        <v>0</v>
      </c>
      <c r="N304" s="504">
        <f t="shared" ref="N304:V304" si="36">SUM(N294:N303)</f>
        <v>0</v>
      </c>
      <c r="O304" s="504">
        <f t="shared" si="36"/>
        <v>0</v>
      </c>
      <c r="P304" s="504">
        <f t="shared" si="36"/>
        <v>0</v>
      </c>
      <c r="Q304" s="504">
        <f t="shared" si="36"/>
        <v>0</v>
      </c>
      <c r="R304" s="504">
        <f t="shared" si="36"/>
        <v>0</v>
      </c>
      <c r="S304" s="504">
        <f t="shared" si="36"/>
        <v>0</v>
      </c>
      <c r="T304" s="505">
        <f t="shared" si="36"/>
        <v>0</v>
      </c>
      <c r="U304" s="506">
        <f t="shared" si="36"/>
        <v>0</v>
      </c>
      <c r="V304" s="504">
        <f t="shared" si="36"/>
        <v>0</v>
      </c>
    </row>
    <row r="305" spans="2:22">
      <c r="B305" s="170"/>
    </row>
    <row r="306" spans="2:22" ht="17.5" outlineLevel="1">
      <c r="C306" s="151"/>
      <c r="D306" s="270" t="s">
        <v>464</v>
      </c>
      <c r="E306" s="271"/>
      <c r="F306" s="271"/>
      <c r="G306" s="271"/>
      <c r="H306" s="271"/>
      <c r="I306" s="271"/>
      <c r="J306" s="271"/>
      <c r="K306" s="271"/>
      <c r="L306" s="309"/>
      <c r="M306" s="271"/>
      <c r="N306" s="271"/>
      <c r="O306" s="271"/>
      <c r="P306" s="271"/>
      <c r="Q306" s="271"/>
      <c r="R306" s="271"/>
      <c r="S306" s="271"/>
      <c r="T306" s="271"/>
      <c r="U306" s="289"/>
      <c r="V306" s="271"/>
    </row>
    <row r="307" spans="2:22" outlineLevel="1">
      <c r="B307" s="170"/>
      <c r="C307" s="151"/>
      <c r="D307" s="151"/>
    </row>
    <row r="308" spans="2:22" ht="32.25" customHeight="1" outlineLevel="1">
      <c r="B308" s="868"/>
      <c r="C308" s="865" t="s">
        <v>530</v>
      </c>
      <c r="D308" s="866" t="s">
        <v>531</v>
      </c>
      <c r="E308" s="1378" t="s">
        <v>532</v>
      </c>
      <c r="F308" s="1379" t="s">
        <v>548</v>
      </c>
      <c r="G308" s="1379" t="s">
        <v>549</v>
      </c>
      <c r="H308" s="1379" t="s">
        <v>550</v>
      </c>
      <c r="I308" s="1380" t="s">
        <v>551</v>
      </c>
      <c r="U308" s="288"/>
    </row>
    <row r="309" spans="2:22" s="578" customFormat="1" ht="52.5" customHeight="1" outlineLevel="1">
      <c r="B309" s="572" t="s">
        <v>453</v>
      </c>
      <c r="C309" s="563" t="s">
        <v>533</v>
      </c>
      <c r="D309" s="1075" t="s">
        <v>533</v>
      </c>
      <c r="E309" s="1381"/>
      <c r="F309" s="1382" t="s">
        <v>139</v>
      </c>
      <c r="G309" s="1382" t="s">
        <v>139</v>
      </c>
      <c r="H309" s="1382" t="s">
        <v>454</v>
      </c>
      <c r="I309" s="1383" t="s">
        <v>552</v>
      </c>
      <c r="J309" s="152"/>
      <c r="K309" s="152"/>
      <c r="L309" s="152"/>
      <c r="M309" s="574" t="s">
        <v>454</v>
      </c>
      <c r="N309" s="575" t="s">
        <v>454</v>
      </c>
      <c r="O309" s="575" t="s">
        <v>454</v>
      </c>
      <c r="P309" s="575" t="s">
        <v>454</v>
      </c>
      <c r="Q309" s="575" t="s">
        <v>454</v>
      </c>
      <c r="R309" s="575" t="s">
        <v>454</v>
      </c>
      <c r="S309" s="575" t="s">
        <v>454</v>
      </c>
      <c r="T309" s="576" t="s">
        <v>454</v>
      </c>
      <c r="U309" s="577" t="s">
        <v>454</v>
      </c>
      <c r="V309" s="575" t="s">
        <v>454</v>
      </c>
    </row>
    <row r="310" spans="2:22" outlineLevel="1">
      <c r="B310" s="332" t="s">
        <v>566</v>
      </c>
      <c r="C310" s="601" t="str">
        <f>IF('R6a - Net Debt input'!D177 = "","",'R6a - Net Debt input'!D177)</f>
        <v/>
      </c>
      <c r="D310" s="601" t="str">
        <f>IF('R6a - Net Debt input'!E177 = "","",'R6a - Net Debt input'!E177)</f>
        <v/>
      </c>
      <c r="E310" s="1390" t="str">
        <f>IF('R6a - Net Debt input'!F177 = "","",'R6a - Net Debt input'!F177)</f>
        <v/>
      </c>
      <c r="F310" s="1391" t="str">
        <f>IF('R6a - Net Debt input'!G177 = "","",'R6a - Net Debt input'!G177)</f>
        <v/>
      </c>
      <c r="G310" s="1391" t="str">
        <f>IF('R6a - Net Debt input'!H177 = "","",'R6a - Net Debt input'!H177)</f>
        <v/>
      </c>
      <c r="H310" s="1391" t="str">
        <f>IF('R6a - Net Debt input'!I177 = "","",'R6a - Net Debt input'!I177)</f>
        <v/>
      </c>
      <c r="I310" s="1392" t="str">
        <f>IF('R6a - Net Debt input'!J177 = "","",'R6a - Net Debt input'!J177)</f>
        <v/>
      </c>
      <c r="M310" s="535"/>
      <c r="N310" s="536"/>
      <c r="O310" s="536"/>
      <c r="P310" s="536"/>
      <c r="Q310" s="536"/>
      <c r="R310" s="536"/>
      <c r="S310" s="536"/>
      <c r="T310" s="537"/>
      <c r="U310" s="538"/>
      <c r="V310" s="536"/>
    </row>
    <row r="311" spans="2:22" outlineLevel="1">
      <c r="B311" s="332" t="s">
        <v>567</v>
      </c>
      <c r="C311" s="600" t="str">
        <f>IF('R6a - Net Debt input'!D178 = "","",'R6a - Net Debt input'!D178)</f>
        <v/>
      </c>
      <c r="D311" s="600" t="str">
        <f>IF('R6a - Net Debt input'!E178 = "","",'R6a - Net Debt input'!E178)</f>
        <v/>
      </c>
      <c r="E311" s="1387" t="str">
        <f>IF('R6a - Net Debt input'!F178 = "","",'R6a - Net Debt input'!F178)</f>
        <v/>
      </c>
      <c r="F311" s="1388" t="str">
        <f>IF('R6a - Net Debt input'!G178 = "","",'R6a - Net Debt input'!G178)</f>
        <v/>
      </c>
      <c r="G311" s="1388" t="str">
        <f>IF('R6a - Net Debt input'!H178 = "","",'R6a - Net Debt input'!H178)</f>
        <v/>
      </c>
      <c r="H311" s="1388" t="str">
        <f>IF('R6a - Net Debt input'!I178 = "","",'R6a - Net Debt input'!I178)</f>
        <v/>
      </c>
      <c r="I311" s="1389" t="str">
        <f>IF('R6a - Net Debt input'!J178 = "","",'R6a - Net Debt input'!J178)</f>
        <v/>
      </c>
      <c r="M311" s="535"/>
      <c r="N311" s="536"/>
      <c r="O311" s="536"/>
      <c r="P311" s="536"/>
      <c r="Q311" s="536"/>
      <c r="R311" s="536"/>
      <c r="S311" s="536"/>
      <c r="T311" s="537"/>
      <c r="U311" s="538"/>
      <c r="V311" s="536"/>
    </row>
    <row r="312" spans="2:22" outlineLevel="1">
      <c r="B312" s="332" t="s">
        <v>568</v>
      </c>
      <c r="C312" s="600" t="str">
        <f>IF('R6a - Net Debt input'!D179 = "","",'R6a - Net Debt input'!D179)</f>
        <v/>
      </c>
      <c r="D312" s="600" t="str">
        <f>IF('R6a - Net Debt input'!E179 = "","",'R6a - Net Debt input'!E179)</f>
        <v/>
      </c>
      <c r="E312" s="1387" t="str">
        <f>IF('R6a - Net Debt input'!F179 = "","",'R6a - Net Debt input'!F179)</f>
        <v/>
      </c>
      <c r="F312" s="1388" t="str">
        <f>IF('R6a - Net Debt input'!G179 = "","",'R6a - Net Debt input'!G179)</f>
        <v/>
      </c>
      <c r="G312" s="1388" t="str">
        <f>IF('R6a - Net Debt input'!H179 = "","",'R6a - Net Debt input'!H179)</f>
        <v/>
      </c>
      <c r="H312" s="1388" t="str">
        <f>IF('R6a - Net Debt input'!I179 = "","",'R6a - Net Debt input'!I179)</f>
        <v/>
      </c>
      <c r="I312" s="1389" t="str">
        <f>IF('R6a - Net Debt input'!J179 = "","",'R6a - Net Debt input'!J179)</f>
        <v/>
      </c>
      <c r="M312" s="535"/>
      <c r="N312" s="536"/>
      <c r="O312" s="536"/>
      <c r="P312" s="536"/>
      <c r="Q312" s="536"/>
      <c r="R312" s="536"/>
      <c r="S312" s="536"/>
      <c r="T312" s="537"/>
      <c r="U312" s="538"/>
      <c r="V312" s="536"/>
    </row>
    <row r="313" spans="2:22" outlineLevel="1">
      <c r="B313" s="332" t="s">
        <v>569</v>
      </c>
      <c r="C313" s="600" t="str">
        <f>IF('R6a - Net Debt input'!D180 = "","",'R6a - Net Debt input'!D180)</f>
        <v/>
      </c>
      <c r="D313" s="600" t="str">
        <f>IF('R6a - Net Debt input'!E180 = "","",'R6a - Net Debt input'!E180)</f>
        <v/>
      </c>
      <c r="E313" s="1387" t="str">
        <f>IF('R6a - Net Debt input'!F180 = "","",'R6a - Net Debt input'!F180)</f>
        <v/>
      </c>
      <c r="F313" s="1388" t="str">
        <f>IF('R6a - Net Debt input'!G180 = "","",'R6a - Net Debt input'!G180)</f>
        <v/>
      </c>
      <c r="G313" s="1388" t="str">
        <f>IF('R6a - Net Debt input'!H180 = "","",'R6a - Net Debt input'!H180)</f>
        <v/>
      </c>
      <c r="H313" s="1388" t="str">
        <f>IF('R6a - Net Debt input'!I180 = "","",'R6a - Net Debt input'!I180)</f>
        <v/>
      </c>
      <c r="I313" s="1389" t="str">
        <f>IF('R6a - Net Debt input'!J180 = "","",'R6a - Net Debt input'!J180)</f>
        <v/>
      </c>
      <c r="M313" s="535"/>
      <c r="N313" s="536"/>
      <c r="O313" s="536"/>
      <c r="P313" s="536"/>
      <c r="Q313" s="536"/>
      <c r="R313" s="536"/>
      <c r="S313" s="536"/>
      <c r="T313" s="537"/>
      <c r="U313" s="538"/>
      <c r="V313" s="536"/>
    </row>
    <row r="314" spans="2:22" outlineLevel="1">
      <c r="B314" s="332" t="s">
        <v>570</v>
      </c>
      <c r="C314" s="600" t="str">
        <f>IF('R6a - Net Debt input'!D181 = "","",'R6a - Net Debt input'!D181)</f>
        <v/>
      </c>
      <c r="D314" s="600" t="str">
        <f>IF('R6a - Net Debt input'!E181 = "","",'R6a - Net Debt input'!E181)</f>
        <v/>
      </c>
      <c r="E314" s="1387" t="str">
        <f>IF('R6a - Net Debt input'!F181 = "","",'R6a - Net Debt input'!F181)</f>
        <v/>
      </c>
      <c r="F314" s="1388" t="str">
        <f>IF('R6a - Net Debt input'!G181 = "","",'R6a - Net Debt input'!G181)</f>
        <v/>
      </c>
      <c r="G314" s="1388" t="str">
        <f>IF('R6a - Net Debt input'!H181 = "","",'R6a - Net Debt input'!H181)</f>
        <v/>
      </c>
      <c r="H314" s="1388" t="str">
        <f>IF('R6a - Net Debt input'!I181 = "","",'R6a - Net Debt input'!I181)</f>
        <v/>
      </c>
      <c r="I314" s="1389" t="str">
        <f>IF('R6a - Net Debt input'!J181 = "","",'R6a - Net Debt input'!J181)</f>
        <v/>
      </c>
      <c r="M314" s="535"/>
      <c r="N314" s="536"/>
      <c r="O314" s="536"/>
      <c r="P314" s="536"/>
      <c r="Q314" s="536"/>
      <c r="R314" s="536"/>
      <c r="S314" s="536"/>
      <c r="T314" s="537"/>
      <c r="U314" s="538"/>
      <c r="V314" s="536"/>
    </row>
    <row r="315" spans="2:22" outlineLevel="1">
      <c r="B315" s="332" t="s">
        <v>571</v>
      </c>
      <c r="C315" s="600" t="str">
        <f>IF('R6a - Net Debt input'!D182 = "","",'R6a - Net Debt input'!D182)</f>
        <v/>
      </c>
      <c r="D315" s="600" t="str">
        <f>IF('R6a - Net Debt input'!E182 = "","",'R6a - Net Debt input'!E182)</f>
        <v/>
      </c>
      <c r="E315" s="1387" t="str">
        <f>IF('R6a - Net Debt input'!F182 = "","",'R6a - Net Debt input'!F182)</f>
        <v/>
      </c>
      <c r="F315" s="1388" t="str">
        <f>IF('R6a - Net Debt input'!G182 = "","",'R6a - Net Debt input'!G182)</f>
        <v/>
      </c>
      <c r="G315" s="1388" t="str">
        <f>IF('R6a - Net Debt input'!H182 = "","",'R6a - Net Debt input'!H182)</f>
        <v/>
      </c>
      <c r="H315" s="1388" t="str">
        <f>IF('R6a - Net Debt input'!I182 = "","",'R6a - Net Debt input'!I182)</f>
        <v/>
      </c>
      <c r="I315" s="1389" t="str">
        <f>IF('R6a - Net Debt input'!J182 = "","",'R6a - Net Debt input'!J182)</f>
        <v/>
      </c>
      <c r="M315" s="535"/>
      <c r="N315" s="536"/>
      <c r="O315" s="536"/>
      <c r="P315" s="536"/>
      <c r="Q315" s="536"/>
      <c r="R315" s="536"/>
      <c r="S315" s="536"/>
      <c r="T315" s="537"/>
      <c r="U315" s="538"/>
      <c r="V315" s="536"/>
    </row>
    <row r="316" spans="2:22" outlineLevel="1">
      <c r="B316" s="332" t="s">
        <v>572</v>
      </c>
      <c r="C316" s="600" t="str">
        <f>IF('R6a - Net Debt input'!D183 = "","",'R6a - Net Debt input'!D183)</f>
        <v/>
      </c>
      <c r="D316" s="600" t="str">
        <f>IF('R6a - Net Debt input'!E183 = "","",'R6a - Net Debt input'!E183)</f>
        <v/>
      </c>
      <c r="E316" s="1387" t="str">
        <f>IF('R6a - Net Debt input'!F183 = "","",'R6a - Net Debt input'!F183)</f>
        <v/>
      </c>
      <c r="F316" s="1388" t="str">
        <f>IF('R6a - Net Debt input'!G183 = "","",'R6a - Net Debt input'!G183)</f>
        <v/>
      </c>
      <c r="G316" s="1388" t="str">
        <f>IF('R6a - Net Debt input'!H183 = "","",'R6a - Net Debt input'!H183)</f>
        <v/>
      </c>
      <c r="H316" s="1388" t="str">
        <f>IF('R6a - Net Debt input'!I183 = "","",'R6a - Net Debt input'!I183)</f>
        <v/>
      </c>
      <c r="I316" s="1389" t="str">
        <f>IF('R6a - Net Debt input'!J183 = "","",'R6a - Net Debt input'!J183)</f>
        <v/>
      </c>
      <c r="M316" s="535"/>
      <c r="N316" s="536"/>
      <c r="O316" s="536"/>
      <c r="P316" s="536"/>
      <c r="Q316" s="536"/>
      <c r="R316" s="536"/>
      <c r="S316" s="536"/>
      <c r="T316" s="537"/>
      <c r="U316" s="538"/>
      <c r="V316" s="536"/>
    </row>
    <row r="317" spans="2:22" outlineLevel="1">
      <c r="B317" s="332" t="s">
        <v>573</v>
      </c>
      <c r="C317" s="600" t="str">
        <f>IF('R6a - Net Debt input'!D184 = "","",'R6a - Net Debt input'!D184)</f>
        <v/>
      </c>
      <c r="D317" s="600" t="str">
        <f>IF('R6a - Net Debt input'!E184 = "","",'R6a - Net Debt input'!E184)</f>
        <v/>
      </c>
      <c r="E317" s="1387" t="str">
        <f>IF('R6a - Net Debt input'!F184 = "","",'R6a - Net Debt input'!F184)</f>
        <v/>
      </c>
      <c r="F317" s="1388" t="str">
        <f>IF('R6a - Net Debt input'!G184 = "","",'R6a - Net Debt input'!G184)</f>
        <v/>
      </c>
      <c r="G317" s="1388" t="str">
        <f>IF('R6a - Net Debt input'!H184 = "","",'R6a - Net Debt input'!H184)</f>
        <v/>
      </c>
      <c r="H317" s="1388" t="str">
        <f>IF('R6a - Net Debt input'!I184 = "","",'R6a - Net Debt input'!I184)</f>
        <v/>
      </c>
      <c r="I317" s="1389" t="str">
        <f>IF('R6a - Net Debt input'!J184 = "","",'R6a - Net Debt input'!J184)</f>
        <v/>
      </c>
      <c r="M317" s="535"/>
      <c r="N317" s="536"/>
      <c r="O317" s="536"/>
      <c r="P317" s="536"/>
      <c r="Q317" s="536"/>
      <c r="R317" s="536"/>
      <c r="S317" s="536"/>
      <c r="T317" s="537"/>
      <c r="U317" s="538"/>
      <c r="V317" s="536"/>
    </row>
    <row r="318" spans="2:22" outlineLevel="1">
      <c r="B318" s="332" t="s">
        <v>574</v>
      </c>
      <c r="C318" s="600" t="str">
        <f>IF('R6a - Net Debt input'!D185 = "","",'R6a - Net Debt input'!D185)</f>
        <v/>
      </c>
      <c r="D318" s="600" t="str">
        <f>IF('R6a - Net Debt input'!E185 = "","",'R6a - Net Debt input'!E185)</f>
        <v/>
      </c>
      <c r="E318" s="1387" t="str">
        <f>IF('R6a - Net Debt input'!F185 = "","",'R6a - Net Debt input'!F185)</f>
        <v/>
      </c>
      <c r="F318" s="1388" t="str">
        <f>IF('R6a - Net Debt input'!G185 = "","",'R6a - Net Debt input'!G185)</f>
        <v/>
      </c>
      <c r="G318" s="1388" t="str">
        <f>IF('R6a - Net Debt input'!H185 = "","",'R6a - Net Debt input'!H185)</f>
        <v/>
      </c>
      <c r="H318" s="1388" t="str">
        <f>IF('R6a - Net Debt input'!I185 = "","",'R6a - Net Debt input'!I185)</f>
        <v/>
      </c>
      <c r="I318" s="1389" t="str">
        <f>IF('R6a - Net Debt input'!J185 = "","",'R6a - Net Debt input'!J185)</f>
        <v/>
      </c>
      <c r="M318" s="535"/>
      <c r="N318" s="536"/>
      <c r="O318" s="536"/>
      <c r="P318" s="536"/>
      <c r="Q318" s="536"/>
      <c r="R318" s="536"/>
      <c r="S318" s="536"/>
      <c r="T318" s="537"/>
      <c r="U318" s="538"/>
      <c r="V318" s="536"/>
    </row>
    <row r="319" spans="2:22" outlineLevel="1">
      <c r="B319" s="334" t="s">
        <v>575</v>
      </c>
      <c r="C319" s="1393" t="s">
        <v>544</v>
      </c>
      <c r="D319" s="1394"/>
      <c r="E319" s="1394"/>
      <c r="F319" s="1394"/>
      <c r="G319" s="1394"/>
      <c r="H319" s="1394"/>
      <c r="I319" s="1395"/>
      <c r="M319" s="539"/>
      <c r="N319" s="540"/>
      <c r="O319" s="540"/>
      <c r="P319" s="540"/>
      <c r="Q319" s="540"/>
      <c r="R319" s="540"/>
      <c r="S319" s="540"/>
      <c r="T319" s="541"/>
      <c r="U319" s="542"/>
      <c r="V319" s="540"/>
    </row>
    <row r="320" spans="2:22">
      <c r="B320" s="170"/>
      <c r="E320" s="170"/>
      <c r="F320" s="170"/>
      <c r="G320" s="170"/>
      <c r="H320" s="170"/>
      <c r="L320" s="1076" t="s">
        <v>576</v>
      </c>
      <c r="M320" s="503">
        <f>SUM(M310:M319)</f>
        <v>0</v>
      </c>
      <c r="N320" s="504">
        <f t="shared" ref="N320:V320" si="37">SUM(N310:N319)</f>
        <v>0</v>
      </c>
      <c r="O320" s="504">
        <f t="shared" si="37"/>
        <v>0</v>
      </c>
      <c r="P320" s="504">
        <f t="shared" si="37"/>
        <v>0</v>
      </c>
      <c r="Q320" s="504">
        <f t="shared" si="37"/>
        <v>0</v>
      </c>
      <c r="R320" s="504">
        <f t="shared" si="37"/>
        <v>0</v>
      </c>
      <c r="S320" s="504">
        <f t="shared" si="37"/>
        <v>0</v>
      </c>
      <c r="T320" s="505">
        <f t="shared" si="37"/>
        <v>0</v>
      </c>
      <c r="U320" s="506">
        <f t="shared" si="37"/>
        <v>0</v>
      </c>
      <c r="V320" s="504">
        <f t="shared" si="37"/>
        <v>0</v>
      </c>
    </row>
    <row r="321" spans="2:24">
      <c r="B321" s="170"/>
      <c r="E321" s="170"/>
      <c r="F321" s="170"/>
      <c r="G321" s="170"/>
      <c r="H321" s="170"/>
      <c r="X321" s="288"/>
    </row>
    <row r="322" spans="2:24" ht="14">
      <c r="B322" s="259" t="s">
        <v>577</v>
      </c>
      <c r="C322" s="260" t="s">
        <v>578</v>
      </c>
      <c r="D322" s="260"/>
      <c r="E322" s="260"/>
      <c r="F322" s="260"/>
      <c r="G322" s="261"/>
      <c r="H322" s="261"/>
      <c r="I322" s="261"/>
      <c r="J322" s="261"/>
      <c r="K322" s="261"/>
      <c r="L322" s="259"/>
      <c r="M322" s="260"/>
      <c r="N322" s="260"/>
      <c r="O322" s="260"/>
      <c r="P322" s="260"/>
      <c r="Q322" s="260"/>
      <c r="R322" s="260"/>
      <c r="S322" s="260"/>
      <c r="T322" s="260"/>
      <c r="U322" s="293"/>
      <c r="V322" s="260"/>
    </row>
    <row r="324" spans="2:24" ht="17.5" outlineLevel="1">
      <c r="B324" s="154"/>
      <c r="C324" s="151"/>
      <c r="D324" s="270" t="s">
        <v>452</v>
      </c>
      <c r="E324" s="272"/>
      <c r="F324" s="272"/>
      <c r="G324" s="271"/>
      <c r="H324" s="271"/>
      <c r="I324" s="271"/>
      <c r="J324" s="271"/>
      <c r="K324" s="271"/>
      <c r="L324" s="309"/>
      <c r="M324" s="272"/>
      <c r="N324" s="272"/>
      <c r="O324" s="272"/>
      <c r="P324" s="272"/>
      <c r="Q324" s="272"/>
      <c r="R324" s="272"/>
      <c r="S324" s="272"/>
      <c r="T324" s="272"/>
      <c r="U324" s="295"/>
      <c r="V324" s="272"/>
    </row>
    <row r="326" spans="2:24" ht="25.5" customHeight="1" outlineLevel="1">
      <c r="B326" s="869"/>
      <c r="C326" s="865" t="s">
        <v>530</v>
      </c>
      <c r="D326" s="865" t="s">
        <v>531</v>
      </c>
      <c r="E326" s="1378" t="s">
        <v>532</v>
      </c>
      <c r="F326" s="1379"/>
      <c r="G326" s="1379"/>
      <c r="H326" s="1379"/>
      <c r="I326" s="1380"/>
      <c r="U326" s="288"/>
    </row>
    <row r="327" spans="2:24" ht="25.5" customHeight="1" outlineLevel="1">
      <c r="B327" s="351" t="s">
        <v>453</v>
      </c>
      <c r="C327" s="345" t="s">
        <v>533</v>
      </c>
      <c r="D327" s="345" t="s">
        <v>533</v>
      </c>
      <c r="E327" s="1381"/>
      <c r="F327" s="1382"/>
      <c r="G327" s="1382"/>
      <c r="H327" s="1382"/>
      <c r="I327" s="1383"/>
      <c r="M327" s="197" t="s">
        <v>454</v>
      </c>
      <c r="N327" s="198" t="s">
        <v>454</v>
      </c>
      <c r="O327" s="198" t="s">
        <v>454</v>
      </c>
      <c r="P327" s="198" t="s">
        <v>454</v>
      </c>
      <c r="Q327" s="198" t="s">
        <v>454</v>
      </c>
      <c r="R327" s="198" t="s">
        <v>454</v>
      </c>
      <c r="S327" s="198" t="s">
        <v>454</v>
      </c>
      <c r="T327" s="283" t="s">
        <v>454</v>
      </c>
      <c r="U327" s="301" t="s">
        <v>454</v>
      </c>
      <c r="V327" s="198" t="s">
        <v>454</v>
      </c>
    </row>
    <row r="328" spans="2:24" outlineLevel="1">
      <c r="B328" s="353" t="s">
        <v>579</v>
      </c>
      <c r="C328" s="601" t="str">
        <f>IF('R6a - Net Debt input'!D205 = "","",'R6a - Net Debt input'!D205)</f>
        <v/>
      </c>
      <c r="D328" s="601" t="str">
        <f>IF('R6a - Net Debt input'!E205 = "","",'R6a - Net Debt input'!E205)</f>
        <v/>
      </c>
      <c r="E328" s="813" t="str">
        <f>IF('R6a - Net Debt input'!F205 = "","",'R6a - Net Debt input'!F205)</f>
        <v/>
      </c>
      <c r="F328" s="814"/>
      <c r="G328" s="814"/>
      <c r="H328" s="814"/>
      <c r="I328" s="815"/>
      <c r="M328" s="535"/>
      <c r="N328" s="536"/>
      <c r="O328" s="536"/>
      <c r="P328" s="536"/>
      <c r="Q328" s="536"/>
      <c r="R328" s="536"/>
      <c r="S328" s="536"/>
      <c r="T328" s="537"/>
      <c r="U328" s="538"/>
      <c r="V328" s="536"/>
    </row>
    <row r="329" spans="2:24" outlineLevel="1">
      <c r="B329" s="332" t="s">
        <v>580</v>
      </c>
      <c r="C329" s="601" t="str">
        <f>IF('R6a - Net Debt input'!D206 = "","",'R6a - Net Debt input'!D206)</f>
        <v/>
      </c>
      <c r="D329" s="601" t="str">
        <f>IF('R6a - Net Debt input'!E206 = "","",'R6a - Net Debt input'!E206)</f>
        <v/>
      </c>
      <c r="E329" s="813" t="str">
        <f>IF('R6a - Net Debt input'!F206 = "","",'R6a - Net Debt input'!F206)</f>
        <v/>
      </c>
      <c r="F329" s="814"/>
      <c r="G329" s="814"/>
      <c r="H329" s="814"/>
      <c r="I329" s="815"/>
      <c r="M329" s="535"/>
      <c r="N329" s="536"/>
      <c r="O329" s="536"/>
      <c r="P329" s="536"/>
      <c r="Q329" s="536"/>
      <c r="R329" s="536"/>
      <c r="S329" s="536"/>
      <c r="T329" s="537"/>
      <c r="U329" s="538"/>
      <c r="V329" s="536"/>
    </row>
    <row r="330" spans="2:24" outlineLevel="1">
      <c r="B330" s="332" t="s">
        <v>581</v>
      </c>
      <c r="C330" s="601" t="str">
        <f>IF('R6a - Net Debt input'!D207 = "","",'R6a - Net Debt input'!D207)</f>
        <v/>
      </c>
      <c r="D330" s="601" t="str">
        <f>IF('R6a - Net Debt input'!E207 = "","",'R6a - Net Debt input'!E207)</f>
        <v/>
      </c>
      <c r="E330" s="813" t="str">
        <f>IF('R6a - Net Debt input'!F207 = "","",'R6a - Net Debt input'!F207)</f>
        <v/>
      </c>
      <c r="F330" s="814"/>
      <c r="G330" s="814"/>
      <c r="H330" s="814"/>
      <c r="I330" s="815"/>
      <c r="M330" s="535"/>
      <c r="N330" s="536"/>
      <c r="O330" s="536"/>
      <c r="P330" s="536"/>
      <c r="Q330" s="536"/>
      <c r="R330" s="536"/>
      <c r="S330" s="536"/>
      <c r="T330" s="537"/>
      <c r="U330" s="538"/>
      <c r="V330" s="536"/>
    </row>
    <row r="331" spans="2:24" outlineLevel="1">
      <c r="B331" s="332" t="s">
        <v>582</v>
      </c>
      <c r="C331" s="601" t="str">
        <f>IF('R6a - Net Debt input'!D208 = "","",'R6a - Net Debt input'!D208)</f>
        <v/>
      </c>
      <c r="D331" s="601" t="str">
        <f>IF('R6a - Net Debt input'!E208 = "","",'R6a - Net Debt input'!E208)</f>
        <v/>
      </c>
      <c r="E331" s="813" t="str">
        <f>IF('R6a - Net Debt input'!F208 = "","",'R6a - Net Debt input'!F208)</f>
        <v/>
      </c>
      <c r="F331" s="814"/>
      <c r="G331" s="814"/>
      <c r="H331" s="814"/>
      <c r="I331" s="815"/>
      <c r="M331" s="535"/>
      <c r="N331" s="536"/>
      <c r="O331" s="536"/>
      <c r="P331" s="536"/>
      <c r="Q331" s="536"/>
      <c r="R331" s="536"/>
      <c r="S331" s="536"/>
      <c r="T331" s="537"/>
      <c r="U331" s="538"/>
      <c r="V331" s="536"/>
    </row>
    <row r="332" spans="2:24" outlineLevel="1">
      <c r="B332" s="334" t="s">
        <v>583</v>
      </c>
      <c r="C332" s="1393" t="s">
        <v>544</v>
      </c>
      <c r="D332" s="1394"/>
      <c r="E332" s="1394"/>
      <c r="F332" s="1394"/>
      <c r="G332" s="1394"/>
      <c r="H332" s="1394"/>
      <c r="I332" s="1395"/>
      <c r="M332" s="539"/>
      <c r="N332" s="540"/>
      <c r="O332" s="540"/>
      <c r="P332" s="540"/>
      <c r="Q332" s="540"/>
      <c r="R332" s="540"/>
      <c r="S332" s="540"/>
      <c r="T332" s="541"/>
      <c r="U332" s="542"/>
      <c r="V332" s="540"/>
    </row>
    <row r="333" spans="2:24">
      <c r="B333" s="170"/>
      <c r="E333" s="170"/>
      <c r="F333" s="170"/>
      <c r="G333" s="170"/>
      <c r="H333" s="170"/>
      <c r="L333" s="1076" t="s">
        <v>584</v>
      </c>
      <c r="M333" s="503">
        <f t="shared" ref="M333:V333" si="38">SUM(M328:M332)</f>
        <v>0</v>
      </c>
      <c r="N333" s="504">
        <f t="shared" si="38"/>
        <v>0</v>
      </c>
      <c r="O333" s="504">
        <f t="shared" si="38"/>
        <v>0</v>
      </c>
      <c r="P333" s="504">
        <f t="shared" si="38"/>
        <v>0</v>
      </c>
      <c r="Q333" s="504">
        <f t="shared" si="38"/>
        <v>0</v>
      </c>
      <c r="R333" s="504">
        <f t="shared" si="38"/>
        <v>0</v>
      </c>
      <c r="S333" s="504">
        <f t="shared" si="38"/>
        <v>0</v>
      </c>
      <c r="T333" s="505">
        <f t="shared" si="38"/>
        <v>0</v>
      </c>
      <c r="U333" s="506">
        <f t="shared" si="38"/>
        <v>0</v>
      </c>
      <c r="V333" s="504">
        <f t="shared" si="38"/>
        <v>0</v>
      </c>
    </row>
    <row r="334" spans="2:24">
      <c r="B334" s="170"/>
    </row>
    <row r="335" spans="2:24" ht="17.5" outlineLevel="1">
      <c r="C335" s="151"/>
      <c r="D335" s="270" t="s">
        <v>464</v>
      </c>
      <c r="E335" s="271"/>
      <c r="F335" s="271"/>
      <c r="G335" s="271"/>
      <c r="H335" s="271"/>
      <c r="I335" s="271"/>
      <c r="J335" s="271"/>
      <c r="K335" s="271"/>
      <c r="L335" s="309"/>
      <c r="M335" s="271"/>
      <c r="N335" s="271"/>
      <c r="O335" s="271"/>
      <c r="P335" s="271"/>
      <c r="Q335" s="271"/>
      <c r="R335" s="271"/>
      <c r="S335" s="271"/>
      <c r="T335" s="271"/>
      <c r="U335" s="289"/>
      <c r="V335" s="271"/>
    </row>
    <row r="336" spans="2:24" outlineLevel="1">
      <c r="B336" s="170"/>
    </row>
    <row r="337" spans="2:22" ht="25.5" customHeight="1" outlineLevel="1">
      <c r="B337" s="869"/>
      <c r="C337" s="865" t="s">
        <v>530</v>
      </c>
      <c r="D337" s="865" t="s">
        <v>531</v>
      </c>
      <c r="E337" s="1378" t="s">
        <v>532</v>
      </c>
      <c r="F337" s="1379"/>
      <c r="G337" s="1379"/>
      <c r="H337" s="1379"/>
      <c r="I337" s="1380"/>
      <c r="U337" s="288"/>
    </row>
    <row r="338" spans="2:22" ht="25.5" customHeight="1" outlineLevel="1">
      <c r="B338" s="351" t="s">
        <v>453</v>
      </c>
      <c r="C338" s="345" t="s">
        <v>533</v>
      </c>
      <c r="D338" s="345" t="s">
        <v>533</v>
      </c>
      <c r="E338" s="1381"/>
      <c r="F338" s="1382"/>
      <c r="G338" s="1382"/>
      <c r="H338" s="1382"/>
      <c r="I338" s="1383"/>
      <c r="M338" s="197" t="s">
        <v>454</v>
      </c>
      <c r="N338" s="198" t="s">
        <v>454</v>
      </c>
      <c r="O338" s="198" t="s">
        <v>454</v>
      </c>
      <c r="P338" s="198" t="s">
        <v>454</v>
      </c>
      <c r="Q338" s="198" t="s">
        <v>454</v>
      </c>
      <c r="R338" s="198" t="s">
        <v>454</v>
      </c>
      <c r="S338" s="198" t="s">
        <v>454</v>
      </c>
      <c r="T338" s="283" t="s">
        <v>454</v>
      </c>
      <c r="U338" s="301" t="s">
        <v>454</v>
      </c>
      <c r="V338" s="198" t="s">
        <v>454</v>
      </c>
    </row>
    <row r="339" spans="2:22" outlineLevel="1">
      <c r="B339" s="353" t="s">
        <v>579</v>
      </c>
      <c r="C339" s="601" t="str">
        <f>IF('R6a - Net Debt input'!D205 = "","",'R6a - Net Debt input'!D205)</f>
        <v/>
      </c>
      <c r="D339" s="601" t="str">
        <f>IF('R6a - Net Debt input'!E205 = "","",'R6a - Net Debt input'!E205)</f>
        <v/>
      </c>
      <c r="E339" s="1390" t="str">
        <f>IF('R6a - Net Debt input'!F205 = "","",'R6a - Net Debt input'!F205)</f>
        <v/>
      </c>
      <c r="F339" s="1391" t="str">
        <f>IF('R6a - Net Debt input'!G205 = "","",'R6a - Net Debt input'!G205)</f>
        <v/>
      </c>
      <c r="G339" s="1391" t="str">
        <f>IF('R6a - Net Debt input'!H205 = "","",'R6a - Net Debt input'!H205)</f>
        <v/>
      </c>
      <c r="H339" s="1391" t="str">
        <f>IF('R6a - Net Debt input'!I205 = "","",'R6a - Net Debt input'!I205)</f>
        <v/>
      </c>
      <c r="I339" s="1392" t="str">
        <f>IF('R6a - Net Debt input'!J205 = "","",'R6a - Net Debt input'!J205)</f>
        <v/>
      </c>
      <c r="M339" s="535"/>
      <c r="N339" s="536"/>
      <c r="O339" s="536"/>
      <c r="P339" s="536"/>
      <c r="Q339" s="536"/>
      <c r="R339" s="536"/>
      <c r="S339" s="536"/>
      <c r="T339" s="537"/>
      <c r="U339" s="538"/>
      <c r="V339" s="536"/>
    </row>
    <row r="340" spans="2:22" outlineLevel="1">
      <c r="B340" s="332" t="s">
        <v>580</v>
      </c>
      <c r="C340" s="601" t="str">
        <f>IF('R6a - Net Debt input'!D206 = "","",'R6a - Net Debt input'!D206)</f>
        <v/>
      </c>
      <c r="D340" s="601" t="str">
        <f>IF('R6a - Net Debt input'!E206 = "","",'R6a - Net Debt input'!E206)</f>
        <v/>
      </c>
      <c r="E340" s="1387" t="str">
        <f>IF('R6a - Net Debt input'!F206 = "","",'R6a - Net Debt input'!F206)</f>
        <v/>
      </c>
      <c r="F340" s="1388" t="str">
        <f>IF('R6a - Net Debt input'!G206 = "","",'R6a - Net Debt input'!G206)</f>
        <v/>
      </c>
      <c r="G340" s="1388" t="str">
        <f>IF('R6a - Net Debt input'!H206 = "","",'R6a - Net Debt input'!H206)</f>
        <v/>
      </c>
      <c r="H340" s="1388" t="str">
        <f>IF('R6a - Net Debt input'!I206 = "","",'R6a - Net Debt input'!I206)</f>
        <v/>
      </c>
      <c r="I340" s="1389" t="str">
        <f>IF('R6a - Net Debt input'!J206 = "","",'R6a - Net Debt input'!J206)</f>
        <v/>
      </c>
      <c r="M340" s="535"/>
      <c r="N340" s="536"/>
      <c r="O340" s="536"/>
      <c r="P340" s="536"/>
      <c r="Q340" s="536"/>
      <c r="R340" s="536"/>
      <c r="S340" s="536"/>
      <c r="T340" s="537"/>
      <c r="U340" s="538"/>
      <c r="V340" s="536"/>
    </row>
    <row r="341" spans="2:22" outlineLevel="1">
      <c r="B341" s="332" t="s">
        <v>581</v>
      </c>
      <c r="C341" s="601" t="str">
        <f>IF('R6a - Net Debt input'!D207 = "","",'R6a - Net Debt input'!D207)</f>
        <v/>
      </c>
      <c r="D341" s="601" t="str">
        <f>IF('R6a - Net Debt input'!E207 = "","",'R6a - Net Debt input'!E207)</f>
        <v/>
      </c>
      <c r="E341" s="1387" t="str">
        <f>IF('R6a - Net Debt input'!F207 = "","",'R6a - Net Debt input'!F207)</f>
        <v/>
      </c>
      <c r="F341" s="1388" t="str">
        <f>IF('R6a - Net Debt input'!G207 = "","",'R6a - Net Debt input'!G207)</f>
        <v/>
      </c>
      <c r="G341" s="1388" t="str">
        <f>IF('R6a - Net Debt input'!H207 = "","",'R6a - Net Debt input'!H207)</f>
        <v/>
      </c>
      <c r="H341" s="1388" t="str">
        <f>IF('R6a - Net Debt input'!I207 = "","",'R6a - Net Debt input'!I207)</f>
        <v/>
      </c>
      <c r="I341" s="1389" t="str">
        <f>IF('R6a - Net Debt input'!J207 = "","",'R6a - Net Debt input'!J207)</f>
        <v/>
      </c>
      <c r="M341" s="535"/>
      <c r="N341" s="536"/>
      <c r="O341" s="536"/>
      <c r="P341" s="536"/>
      <c r="Q341" s="536"/>
      <c r="R341" s="536"/>
      <c r="S341" s="536"/>
      <c r="T341" s="537"/>
      <c r="U341" s="538"/>
      <c r="V341" s="536"/>
    </row>
    <row r="342" spans="2:22" outlineLevel="1">
      <c r="B342" s="332" t="s">
        <v>582</v>
      </c>
      <c r="C342" s="601" t="str">
        <f>IF('R6a - Net Debt input'!D208 = "","",'R6a - Net Debt input'!D208)</f>
        <v/>
      </c>
      <c r="D342" s="601" t="str">
        <f>IF('R6a - Net Debt input'!E208 = "","",'R6a - Net Debt input'!E208)</f>
        <v/>
      </c>
      <c r="E342" s="1387" t="str">
        <f>IF('R6a - Net Debt input'!F208 = "","",'R6a - Net Debt input'!F208)</f>
        <v/>
      </c>
      <c r="F342" s="1388" t="str">
        <f>IF('R6a - Net Debt input'!G208 = "","",'R6a - Net Debt input'!G208)</f>
        <v/>
      </c>
      <c r="G342" s="1388" t="str">
        <f>IF('R6a - Net Debt input'!H208 = "","",'R6a - Net Debt input'!H208)</f>
        <v/>
      </c>
      <c r="H342" s="1388" t="str">
        <f>IF('R6a - Net Debt input'!I208 = "","",'R6a - Net Debt input'!I208)</f>
        <v/>
      </c>
      <c r="I342" s="1389" t="str">
        <f>IF('R6a - Net Debt input'!J208 = "","",'R6a - Net Debt input'!J208)</f>
        <v/>
      </c>
      <c r="M342" s="535"/>
      <c r="N342" s="536"/>
      <c r="O342" s="536"/>
      <c r="P342" s="536"/>
      <c r="Q342" s="536"/>
      <c r="R342" s="536"/>
      <c r="S342" s="536"/>
      <c r="T342" s="537"/>
      <c r="U342" s="538"/>
      <c r="V342" s="536"/>
    </row>
    <row r="343" spans="2:22" outlineLevel="1">
      <c r="B343" s="334" t="s">
        <v>583</v>
      </c>
      <c r="C343" s="1393" t="s">
        <v>544</v>
      </c>
      <c r="D343" s="1394"/>
      <c r="E343" s="1394"/>
      <c r="F343" s="1394"/>
      <c r="G343" s="1394"/>
      <c r="H343" s="1394"/>
      <c r="I343" s="1395"/>
      <c r="M343" s="539"/>
      <c r="N343" s="540"/>
      <c r="O343" s="540"/>
      <c r="P343" s="540"/>
      <c r="Q343" s="540"/>
      <c r="R343" s="540"/>
      <c r="S343" s="540"/>
      <c r="T343" s="541"/>
      <c r="U343" s="542"/>
      <c r="V343" s="540"/>
    </row>
    <row r="344" spans="2:22">
      <c r="B344" s="170"/>
      <c r="E344" s="170"/>
      <c r="F344" s="170"/>
      <c r="G344" s="170"/>
      <c r="H344" s="170"/>
      <c r="L344" s="1076" t="s">
        <v>584</v>
      </c>
      <c r="M344" s="503">
        <f t="shared" ref="M344:V344" si="39">SUM(M339:M343)</f>
        <v>0</v>
      </c>
      <c r="N344" s="504">
        <f t="shared" si="39"/>
        <v>0</v>
      </c>
      <c r="O344" s="504">
        <f t="shared" si="39"/>
        <v>0</v>
      </c>
      <c r="P344" s="504">
        <f t="shared" si="39"/>
        <v>0</v>
      </c>
      <c r="Q344" s="504">
        <f t="shared" si="39"/>
        <v>0</v>
      </c>
      <c r="R344" s="504">
        <f t="shared" si="39"/>
        <v>0</v>
      </c>
      <c r="S344" s="504">
        <f t="shared" si="39"/>
        <v>0</v>
      </c>
      <c r="T344" s="505">
        <f t="shared" si="39"/>
        <v>0</v>
      </c>
      <c r="U344" s="506">
        <f t="shared" si="39"/>
        <v>0</v>
      </c>
      <c r="V344" s="504">
        <f t="shared" si="39"/>
        <v>0</v>
      </c>
    </row>
    <row r="345" spans="2:22">
      <c r="B345" s="170"/>
      <c r="E345" s="170"/>
      <c r="F345" s="170"/>
      <c r="G345" s="170"/>
      <c r="H345" s="170"/>
      <c r="U345" s="288"/>
    </row>
    <row r="346" spans="2:22" ht="14">
      <c r="B346" s="259" t="s">
        <v>585</v>
      </c>
      <c r="C346" s="260" t="s">
        <v>586</v>
      </c>
      <c r="D346" s="260"/>
      <c r="E346" s="260"/>
      <c r="F346" s="260"/>
      <c r="G346" s="261"/>
      <c r="H346" s="261"/>
      <c r="I346" s="261"/>
      <c r="J346" s="261"/>
      <c r="K346" s="261"/>
      <c r="L346" s="259"/>
      <c r="M346" s="260"/>
      <c r="N346" s="260"/>
      <c r="O346" s="260"/>
      <c r="P346" s="260"/>
      <c r="Q346" s="260"/>
      <c r="R346" s="260"/>
      <c r="S346" s="260"/>
      <c r="T346" s="260"/>
      <c r="U346" s="293"/>
      <c r="V346" s="260"/>
    </row>
    <row r="348" spans="2:22" ht="17.5" outlineLevel="1">
      <c r="B348" s="154"/>
      <c r="C348" s="151"/>
      <c r="D348" s="270" t="s">
        <v>452</v>
      </c>
      <c r="E348" s="272"/>
      <c r="F348" s="272"/>
      <c r="G348" s="271"/>
      <c r="H348" s="271"/>
      <c r="I348" s="271"/>
      <c r="J348" s="271"/>
      <c r="K348" s="271"/>
      <c r="L348" s="309"/>
      <c r="M348" s="272"/>
      <c r="N348" s="272"/>
      <c r="O348" s="272"/>
      <c r="P348" s="272"/>
      <c r="Q348" s="272"/>
      <c r="R348" s="272"/>
      <c r="S348" s="272"/>
      <c r="T348" s="272"/>
      <c r="U348" s="295"/>
      <c r="V348" s="272"/>
    </row>
    <row r="350" spans="2:22" ht="25.5" customHeight="1" outlineLevel="1">
      <c r="B350" s="869"/>
      <c r="C350" s="865" t="s">
        <v>530</v>
      </c>
      <c r="D350" s="865" t="s">
        <v>531</v>
      </c>
      <c r="E350" s="1378" t="s">
        <v>532</v>
      </c>
      <c r="F350" s="1379"/>
      <c r="G350" s="1379"/>
      <c r="H350" s="1379"/>
      <c r="I350" s="1380"/>
      <c r="U350" s="288"/>
    </row>
    <row r="351" spans="2:22" ht="12.75" customHeight="1" outlineLevel="1">
      <c r="B351" s="351" t="s">
        <v>453</v>
      </c>
      <c r="C351" s="345" t="s">
        <v>533</v>
      </c>
      <c r="D351" s="345" t="s">
        <v>533</v>
      </c>
      <c r="E351" s="1381"/>
      <c r="F351" s="1382"/>
      <c r="G351" s="1382"/>
      <c r="H351" s="1382"/>
      <c r="I351" s="1383"/>
      <c r="M351" s="197" t="s">
        <v>454</v>
      </c>
      <c r="N351" s="198" t="s">
        <v>454</v>
      </c>
      <c r="O351" s="198" t="s">
        <v>454</v>
      </c>
      <c r="P351" s="198" t="s">
        <v>454</v>
      </c>
      <c r="Q351" s="198" t="s">
        <v>454</v>
      </c>
      <c r="R351" s="198" t="s">
        <v>454</v>
      </c>
      <c r="S351" s="198" t="s">
        <v>454</v>
      </c>
      <c r="T351" s="283" t="s">
        <v>454</v>
      </c>
      <c r="U351" s="301" t="s">
        <v>454</v>
      </c>
      <c r="V351" s="198" t="s">
        <v>454</v>
      </c>
    </row>
    <row r="352" spans="2:22" outlineLevel="1">
      <c r="B352" s="353" t="s">
        <v>587</v>
      </c>
      <c r="C352" s="601" t="str">
        <f>IF('R6a - Net Debt input'!D223 = "","",'R6a - Net Debt input'!D223)</f>
        <v/>
      </c>
      <c r="D352" s="601" t="str">
        <f>IF('R6a - Net Debt input'!E223 = "","",'R6a - Net Debt input'!E223)</f>
        <v/>
      </c>
      <c r="E352" s="813" t="str">
        <f>IF('R6a - Net Debt input'!F223 = "","",'R6a - Net Debt input'!F223)</f>
        <v/>
      </c>
      <c r="F352" s="814"/>
      <c r="G352" s="814"/>
      <c r="H352" s="814"/>
      <c r="I352" s="815"/>
      <c r="M352" s="535"/>
      <c r="N352" s="536"/>
      <c r="O352" s="536"/>
      <c r="P352" s="536"/>
      <c r="Q352" s="536"/>
      <c r="R352" s="536"/>
      <c r="S352" s="536"/>
      <c r="T352" s="537"/>
      <c r="U352" s="538"/>
      <c r="V352" s="536"/>
    </row>
    <row r="353" spans="2:22" outlineLevel="1">
      <c r="B353" s="332" t="s">
        <v>588</v>
      </c>
      <c r="C353" s="601" t="str">
        <f>IF('R6a - Net Debt input'!D224 = "","",'R6a - Net Debt input'!D224)</f>
        <v/>
      </c>
      <c r="D353" s="601" t="str">
        <f>IF('R6a - Net Debt input'!E224 = "","",'R6a - Net Debt input'!E224)</f>
        <v/>
      </c>
      <c r="E353" s="813" t="str">
        <f>IF('R6a - Net Debt input'!F224 = "","",'R6a - Net Debt input'!F224)</f>
        <v/>
      </c>
      <c r="F353" s="814"/>
      <c r="G353" s="814"/>
      <c r="H353" s="814"/>
      <c r="I353" s="815"/>
      <c r="M353" s="535"/>
      <c r="N353" s="536"/>
      <c r="O353" s="536"/>
      <c r="P353" s="536"/>
      <c r="Q353" s="536"/>
      <c r="R353" s="536"/>
      <c r="S353" s="536"/>
      <c r="T353" s="537"/>
      <c r="U353" s="538"/>
      <c r="V353" s="536"/>
    </row>
    <row r="354" spans="2:22" outlineLevel="1">
      <c r="B354" s="332" t="s">
        <v>589</v>
      </c>
      <c r="C354" s="601" t="str">
        <f>IF('R6a - Net Debt input'!D225 = "","",'R6a - Net Debt input'!D225)</f>
        <v/>
      </c>
      <c r="D354" s="601" t="str">
        <f>IF('R6a - Net Debt input'!E225 = "","",'R6a - Net Debt input'!E225)</f>
        <v/>
      </c>
      <c r="E354" s="813" t="str">
        <f>IF('R6a - Net Debt input'!F225 = "","",'R6a - Net Debt input'!F225)</f>
        <v/>
      </c>
      <c r="F354" s="814"/>
      <c r="G354" s="814"/>
      <c r="H354" s="814"/>
      <c r="I354" s="815"/>
      <c r="M354" s="535"/>
      <c r="N354" s="536"/>
      <c r="O354" s="536"/>
      <c r="P354" s="536"/>
      <c r="Q354" s="536"/>
      <c r="R354" s="536"/>
      <c r="S354" s="536"/>
      <c r="T354" s="537"/>
      <c r="U354" s="538"/>
      <c r="V354" s="536"/>
    </row>
    <row r="355" spans="2:22" outlineLevel="1">
      <c r="B355" s="332" t="s">
        <v>590</v>
      </c>
      <c r="C355" s="601" t="str">
        <f>IF('R6a - Net Debt input'!D226 = "","",'R6a - Net Debt input'!D226)</f>
        <v/>
      </c>
      <c r="D355" s="601" t="str">
        <f>IF('R6a - Net Debt input'!E226 = "","",'R6a - Net Debt input'!E226)</f>
        <v/>
      </c>
      <c r="E355" s="813" t="str">
        <f>IF('R6a - Net Debt input'!F226 = "","",'R6a - Net Debt input'!F226)</f>
        <v/>
      </c>
      <c r="F355" s="814"/>
      <c r="G355" s="814"/>
      <c r="H355" s="814"/>
      <c r="I355" s="815"/>
      <c r="M355" s="535"/>
      <c r="N355" s="536"/>
      <c r="O355" s="536"/>
      <c r="P355" s="536"/>
      <c r="Q355" s="536"/>
      <c r="R355" s="536"/>
      <c r="S355" s="536"/>
      <c r="T355" s="537"/>
      <c r="U355" s="538"/>
      <c r="V355" s="536"/>
    </row>
    <row r="356" spans="2:22" outlineLevel="1">
      <c r="B356" s="334" t="s">
        <v>591</v>
      </c>
      <c r="C356" s="603" t="s">
        <v>544</v>
      </c>
      <c r="D356" s="604"/>
      <c r="E356" s="605"/>
      <c r="F356" s="605"/>
      <c r="G356" s="605"/>
      <c r="H356" s="605"/>
      <c r="I356" s="606"/>
      <c r="M356" s="539"/>
      <c r="N356" s="540"/>
      <c r="O356" s="540"/>
      <c r="P356" s="540"/>
      <c r="Q356" s="540"/>
      <c r="R356" s="540"/>
      <c r="S356" s="540"/>
      <c r="T356" s="541"/>
      <c r="U356" s="542"/>
      <c r="V356" s="540"/>
    </row>
    <row r="357" spans="2:22">
      <c r="B357" s="170"/>
      <c r="E357" s="170"/>
      <c r="F357" s="170"/>
      <c r="G357" s="170"/>
      <c r="H357" s="170"/>
      <c r="L357" s="1076" t="s">
        <v>592</v>
      </c>
      <c r="M357" s="503">
        <f t="shared" ref="M357:V357" si="40">SUM(M352:M356)</f>
        <v>0</v>
      </c>
      <c r="N357" s="504">
        <f t="shared" si="40"/>
        <v>0</v>
      </c>
      <c r="O357" s="504">
        <f t="shared" si="40"/>
        <v>0</v>
      </c>
      <c r="P357" s="504">
        <f t="shared" si="40"/>
        <v>0</v>
      </c>
      <c r="Q357" s="504">
        <f t="shared" si="40"/>
        <v>0</v>
      </c>
      <c r="R357" s="504">
        <f t="shared" si="40"/>
        <v>0</v>
      </c>
      <c r="S357" s="504">
        <f t="shared" si="40"/>
        <v>0</v>
      </c>
      <c r="T357" s="505">
        <f t="shared" si="40"/>
        <v>0</v>
      </c>
      <c r="U357" s="506">
        <f t="shared" si="40"/>
        <v>0</v>
      </c>
      <c r="V357" s="504">
        <f t="shared" si="40"/>
        <v>0</v>
      </c>
    </row>
    <row r="358" spans="2:22">
      <c r="B358" s="170"/>
    </row>
    <row r="359" spans="2:22" ht="17.5" outlineLevel="1">
      <c r="C359" s="151"/>
      <c r="D359" s="270" t="s">
        <v>464</v>
      </c>
      <c r="E359" s="271"/>
      <c r="F359" s="271"/>
      <c r="G359" s="271"/>
      <c r="H359" s="271"/>
      <c r="I359" s="271"/>
      <c r="J359" s="271"/>
      <c r="K359" s="271"/>
      <c r="L359" s="309"/>
      <c r="M359" s="271"/>
      <c r="N359" s="271"/>
      <c r="O359" s="271"/>
      <c r="P359" s="271"/>
      <c r="Q359" s="271"/>
      <c r="R359" s="271"/>
      <c r="S359" s="271"/>
      <c r="T359" s="271"/>
      <c r="U359" s="289"/>
      <c r="V359" s="271"/>
    </row>
    <row r="360" spans="2:22">
      <c r="B360" s="317"/>
      <c r="C360" s="151"/>
      <c r="D360" s="151"/>
      <c r="U360" s="288"/>
    </row>
    <row r="361" spans="2:22" ht="25.5" customHeight="1" outlineLevel="1">
      <c r="B361" s="869"/>
      <c r="C361" s="865" t="s">
        <v>530</v>
      </c>
      <c r="D361" s="865" t="s">
        <v>531</v>
      </c>
      <c r="E361" s="1378" t="s">
        <v>532</v>
      </c>
      <c r="F361" s="1379"/>
      <c r="G361" s="1379"/>
      <c r="H361" s="1379"/>
      <c r="I361" s="1380"/>
      <c r="U361" s="288"/>
    </row>
    <row r="362" spans="2:22" ht="12.75" customHeight="1" outlineLevel="1">
      <c r="B362" s="351" t="s">
        <v>453</v>
      </c>
      <c r="C362" s="345" t="s">
        <v>533</v>
      </c>
      <c r="D362" s="345" t="s">
        <v>533</v>
      </c>
      <c r="E362" s="1381"/>
      <c r="F362" s="1382"/>
      <c r="G362" s="1382"/>
      <c r="H362" s="1382"/>
      <c r="I362" s="1383"/>
      <c r="M362" s="197" t="s">
        <v>454</v>
      </c>
      <c r="N362" s="198" t="s">
        <v>454</v>
      </c>
      <c r="O362" s="198" t="s">
        <v>454</v>
      </c>
      <c r="P362" s="198" t="s">
        <v>454</v>
      </c>
      <c r="Q362" s="198" t="s">
        <v>454</v>
      </c>
      <c r="R362" s="198" t="s">
        <v>454</v>
      </c>
      <c r="S362" s="198" t="s">
        <v>454</v>
      </c>
      <c r="T362" s="283" t="s">
        <v>454</v>
      </c>
      <c r="U362" s="301" t="s">
        <v>454</v>
      </c>
      <c r="V362" s="198" t="s">
        <v>454</v>
      </c>
    </row>
    <row r="363" spans="2:22" outlineLevel="1">
      <c r="B363" s="353" t="s">
        <v>587</v>
      </c>
      <c r="C363" s="601" t="str">
        <f>IF('R6a - Net Debt input'!D223 = "","",'R6a - Net Debt input'!D223)</f>
        <v/>
      </c>
      <c r="D363" s="601" t="str">
        <f>IF('R6a - Net Debt input'!E223 = "","",'R6a - Net Debt input'!E223)</f>
        <v/>
      </c>
      <c r="E363" s="1390" t="str">
        <f>IF('R6a - Net Debt input'!F223 = "","",'R6a - Net Debt input'!F223)</f>
        <v/>
      </c>
      <c r="F363" s="1391" t="str">
        <f>IF('R6a - Net Debt input'!G223 = "","",'R6a - Net Debt input'!G223)</f>
        <v/>
      </c>
      <c r="G363" s="1391" t="str">
        <f>IF('R6a - Net Debt input'!H223 = "","",'R6a - Net Debt input'!H223)</f>
        <v/>
      </c>
      <c r="H363" s="1391" t="str">
        <f>IF('R6a - Net Debt input'!I223 = "","",'R6a - Net Debt input'!I223)</f>
        <v/>
      </c>
      <c r="I363" s="1392" t="str">
        <f>IF('R6a - Net Debt input'!J223 = "","",'R6a - Net Debt input'!J223)</f>
        <v/>
      </c>
      <c r="M363" s="535"/>
      <c r="N363" s="536"/>
      <c r="O363" s="536"/>
      <c r="P363" s="536"/>
      <c r="Q363" s="536"/>
      <c r="R363" s="536"/>
      <c r="S363" s="536"/>
      <c r="T363" s="537"/>
      <c r="U363" s="538"/>
      <c r="V363" s="536"/>
    </row>
    <row r="364" spans="2:22" outlineLevel="1">
      <c r="B364" s="332" t="s">
        <v>588</v>
      </c>
      <c r="C364" s="601" t="str">
        <f>IF('R6a - Net Debt input'!D224 = "","",'R6a - Net Debt input'!D224)</f>
        <v/>
      </c>
      <c r="D364" s="601" t="str">
        <f>IF('R6a - Net Debt input'!E224 = "","",'R6a - Net Debt input'!E224)</f>
        <v/>
      </c>
      <c r="E364" s="1387" t="str">
        <f>IF('R6a - Net Debt input'!F224 = "","",'R6a - Net Debt input'!F224)</f>
        <v/>
      </c>
      <c r="F364" s="1388" t="str">
        <f>IF('R6a - Net Debt input'!G224 = "","",'R6a - Net Debt input'!G224)</f>
        <v/>
      </c>
      <c r="G364" s="1388" t="str">
        <f>IF('R6a - Net Debt input'!H224 = "","",'R6a - Net Debt input'!H224)</f>
        <v/>
      </c>
      <c r="H364" s="1388" t="str">
        <f>IF('R6a - Net Debt input'!I224 = "","",'R6a - Net Debt input'!I224)</f>
        <v/>
      </c>
      <c r="I364" s="1389" t="str">
        <f>IF('R6a - Net Debt input'!J224 = "","",'R6a - Net Debt input'!J224)</f>
        <v/>
      </c>
      <c r="M364" s="535"/>
      <c r="N364" s="536"/>
      <c r="O364" s="536"/>
      <c r="P364" s="536"/>
      <c r="Q364" s="536"/>
      <c r="R364" s="536"/>
      <c r="S364" s="536"/>
      <c r="T364" s="537"/>
      <c r="U364" s="538"/>
      <c r="V364" s="536"/>
    </row>
    <row r="365" spans="2:22" outlineLevel="1">
      <c r="B365" s="332" t="s">
        <v>589</v>
      </c>
      <c r="C365" s="601" t="str">
        <f>IF('R6a - Net Debt input'!D225 = "","",'R6a - Net Debt input'!D225)</f>
        <v/>
      </c>
      <c r="D365" s="601" t="str">
        <f>IF('R6a - Net Debt input'!E225 = "","",'R6a - Net Debt input'!E225)</f>
        <v/>
      </c>
      <c r="E365" s="1387" t="str">
        <f>IF('R6a - Net Debt input'!F225 = "","",'R6a - Net Debt input'!F225)</f>
        <v/>
      </c>
      <c r="F365" s="1388" t="str">
        <f>IF('R6a - Net Debt input'!G225 = "","",'R6a - Net Debt input'!G225)</f>
        <v/>
      </c>
      <c r="G365" s="1388" t="str">
        <f>IF('R6a - Net Debt input'!H225 = "","",'R6a - Net Debt input'!H225)</f>
        <v/>
      </c>
      <c r="H365" s="1388" t="str">
        <f>IF('R6a - Net Debt input'!I225 = "","",'R6a - Net Debt input'!I225)</f>
        <v/>
      </c>
      <c r="I365" s="1389" t="str">
        <f>IF('R6a - Net Debt input'!J225 = "","",'R6a - Net Debt input'!J225)</f>
        <v/>
      </c>
      <c r="M365" s="535"/>
      <c r="N365" s="536"/>
      <c r="O365" s="536"/>
      <c r="P365" s="536"/>
      <c r="Q365" s="536"/>
      <c r="R365" s="536"/>
      <c r="S365" s="536"/>
      <c r="T365" s="537"/>
      <c r="U365" s="538"/>
      <c r="V365" s="536"/>
    </row>
    <row r="366" spans="2:22" outlineLevel="1">
      <c r="B366" s="332" t="s">
        <v>590</v>
      </c>
      <c r="C366" s="601" t="str">
        <f>IF('R6a - Net Debt input'!D226 = "","",'R6a - Net Debt input'!D226)</f>
        <v/>
      </c>
      <c r="D366" s="601" t="str">
        <f>IF('R6a - Net Debt input'!E226 = "","",'R6a - Net Debt input'!E226)</f>
        <v/>
      </c>
      <c r="E366" s="1387" t="str">
        <f>IF('R6a - Net Debt input'!F226 = "","",'R6a - Net Debt input'!F226)</f>
        <v/>
      </c>
      <c r="F366" s="1388" t="str">
        <f>IF('R6a - Net Debt input'!G226 = "","",'R6a - Net Debt input'!G226)</f>
        <v/>
      </c>
      <c r="G366" s="1388" t="str">
        <f>IF('R6a - Net Debt input'!H226 = "","",'R6a - Net Debt input'!H226)</f>
        <v/>
      </c>
      <c r="H366" s="1388" t="str">
        <f>IF('R6a - Net Debt input'!I226 = "","",'R6a - Net Debt input'!I226)</f>
        <v/>
      </c>
      <c r="I366" s="1389" t="str">
        <f>IF('R6a - Net Debt input'!J226 = "","",'R6a - Net Debt input'!J226)</f>
        <v/>
      </c>
      <c r="M366" s="535"/>
      <c r="N366" s="536"/>
      <c r="O366" s="536"/>
      <c r="P366" s="536"/>
      <c r="Q366" s="536"/>
      <c r="R366" s="536"/>
      <c r="S366" s="536"/>
      <c r="T366" s="537"/>
      <c r="U366" s="538"/>
      <c r="V366" s="536"/>
    </row>
    <row r="367" spans="2:22" outlineLevel="1">
      <c r="B367" s="334" t="s">
        <v>591</v>
      </c>
      <c r="C367" s="603" t="s">
        <v>544</v>
      </c>
      <c r="D367" s="604"/>
      <c r="E367" s="605"/>
      <c r="F367" s="605"/>
      <c r="G367" s="605"/>
      <c r="H367" s="605"/>
      <c r="I367" s="606"/>
      <c r="M367" s="539"/>
      <c r="N367" s="540"/>
      <c r="O367" s="540"/>
      <c r="P367" s="540"/>
      <c r="Q367" s="540"/>
      <c r="R367" s="540"/>
      <c r="S367" s="540"/>
      <c r="T367" s="541"/>
      <c r="U367" s="542"/>
      <c r="V367" s="540"/>
    </row>
    <row r="368" spans="2:22">
      <c r="B368" s="170"/>
      <c r="E368" s="170"/>
      <c r="F368" s="170"/>
      <c r="G368" s="170"/>
      <c r="H368" s="170"/>
      <c r="L368" s="1076" t="s">
        <v>592</v>
      </c>
      <c r="M368" s="503">
        <f t="shared" ref="M368:V368" si="41">SUM(M363:M367)</f>
        <v>0</v>
      </c>
      <c r="N368" s="504">
        <f t="shared" si="41"/>
        <v>0</v>
      </c>
      <c r="O368" s="504">
        <f t="shared" si="41"/>
        <v>0</v>
      </c>
      <c r="P368" s="504">
        <f t="shared" si="41"/>
        <v>0</v>
      </c>
      <c r="Q368" s="504">
        <f t="shared" si="41"/>
        <v>0</v>
      </c>
      <c r="R368" s="504">
        <f t="shared" si="41"/>
        <v>0</v>
      </c>
      <c r="S368" s="504">
        <f t="shared" si="41"/>
        <v>0</v>
      </c>
      <c r="T368" s="505">
        <f t="shared" si="41"/>
        <v>0</v>
      </c>
      <c r="U368" s="506">
        <f t="shared" si="41"/>
        <v>0</v>
      </c>
      <c r="V368" s="504">
        <f t="shared" si="41"/>
        <v>0</v>
      </c>
    </row>
    <row r="369" spans="2:22">
      <c r="B369" s="170"/>
      <c r="U369" s="288"/>
    </row>
    <row r="370" spans="2:22" ht="14">
      <c r="B370" s="259" t="s">
        <v>593</v>
      </c>
      <c r="C370" s="260" t="s">
        <v>594</v>
      </c>
      <c r="D370" s="260"/>
      <c r="E370" s="260"/>
      <c r="F370" s="260"/>
      <c r="G370" s="261"/>
      <c r="H370" s="261"/>
      <c r="I370" s="261"/>
      <c r="J370" s="261"/>
      <c r="K370" s="261"/>
      <c r="L370" s="259"/>
      <c r="M370" s="260"/>
      <c r="N370" s="260"/>
      <c r="O370" s="260"/>
      <c r="P370" s="260"/>
      <c r="Q370" s="260"/>
      <c r="R370" s="260"/>
      <c r="S370" s="260"/>
      <c r="T370" s="260"/>
      <c r="U370" s="293"/>
      <c r="V370" s="260"/>
    </row>
    <row r="372" spans="2:22" ht="17.5" outlineLevel="1">
      <c r="B372" s="154"/>
      <c r="C372" s="151"/>
      <c r="D372" s="270" t="s">
        <v>452</v>
      </c>
      <c r="E372" s="272"/>
      <c r="F372" s="272"/>
      <c r="G372" s="271"/>
      <c r="H372" s="271"/>
      <c r="I372" s="271"/>
      <c r="J372" s="271"/>
      <c r="K372" s="271"/>
      <c r="L372" s="309"/>
      <c r="M372" s="272"/>
      <c r="N372" s="272"/>
      <c r="O372" s="272"/>
      <c r="P372" s="272"/>
      <c r="Q372" s="272"/>
      <c r="R372" s="272"/>
      <c r="S372" s="272"/>
      <c r="T372" s="272"/>
      <c r="U372" s="295"/>
      <c r="V372" s="272"/>
    </row>
    <row r="374" spans="2:22" outlineLevel="1">
      <c r="B374" s="333" t="s">
        <v>453</v>
      </c>
      <c r="C374" s="599" t="s">
        <v>506</v>
      </c>
      <c r="D374" s="819"/>
      <c r="E374" s="819"/>
      <c r="F374" s="819"/>
      <c r="G374" s="819"/>
      <c r="H374" s="819"/>
      <c r="I374" s="820"/>
      <c r="M374" s="197" t="s">
        <v>454</v>
      </c>
      <c r="N374" s="198" t="s">
        <v>454</v>
      </c>
      <c r="O374" s="198" t="s">
        <v>454</v>
      </c>
      <c r="P374" s="198" t="s">
        <v>454</v>
      </c>
      <c r="Q374" s="198" t="s">
        <v>454</v>
      </c>
      <c r="R374" s="198" t="s">
        <v>454</v>
      </c>
      <c r="S374" s="198" t="s">
        <v>454</v>
      </c>
      <c r="T374" s="283" t="s">
        <v>454</v>
      </c>
      <c r="U374" s="301" t="s">
        <v>454</v>
      </c>
      <c r="V374" s="198" t="s">
        <v>454</v>
      </c>
    </row>
    <row r="375" spans="2:22" outlineLevel="1">
      <c r="B375" s="332" t="s">
        <v>595</v>
      </c>
      <c r="C375" s="1387" t="str">
        <f>IF('R6a - Net Debt input'!D239 = "","",'R6a - Net Debt input'!D239)</f>
        <v>WCF Facility Fees</v>
      </c>
      <c r="D375" s="1407"/>
      <c r="E375" s="1407"/>
      <c r="F375" s="1407"/>
      <c r="G375" s="1407"/>
      <c r="H375" s="1407"/>
      <c r="I375" s="1408"/>
      <c r="M375" s="535">
        <v>1.07065126</v>
      </c>
      <c r="N375" s="536">
        <v>0</v>
      </c>
      <c r="O375" s="536">
        <v>0</v>
      </c>
      <c r="P375" s="536">
        <v>0</v>
      </c>
      <c r="Q375" s="536">
        <v>0</v>
      </c>
      <c r="R375" s="536">
        <v>0</v>
      </c>
      <c r="S375" s="536">
        <v>0</v>
      </c>
      <c r="T375" s="537">
        <v>0</v>
      </c>
      <c r="U375" s="538">
        <v>0</v>
      </c>
      <c r="V375" s="536">
        <v>0</v>
      </c>
    </row>
    <row r="376" spans="2:22" outlineLevel="1">
      <c r="B376" s="332" t="s">
        <v>596</v>
      </c>
      <c r="C376" s="1387" t="str">
        <f>IF('R6a - Net Debt input'!D240 = "","",'R6a - Net Debt input'!D240)</f>
        <v>Bank Fees</v>
      </c>
      <c r="D376" s="1407"/>
      <c r="E376" s="1407"/>
      <c r="F376" s="1407"/>
      <c r="G376" s="1407"/>
      <c r="H376" s="1407"/>
      <c r="I376" s="1408"/>
      <c r="M376" s="535">
        <v>8.1084899999999988E-2</v>
      </c>
      <c r="N376" s="536">
        <v>0</v>
      </c>
      <c r="O376" s="536">
        <v>0</v>
      </c>
      <c r="P376" s="536">
        <v>0</v>
      </c>
      <c r="Q376" s="536">
        <v>0</v>
      </c>
      <c r="R376" s="536">
        <v>0</v>
      </c>
      <c r="S376" s="536">
        <v>0</v>
      </c>
      <c r="T376" s="537">
        <v>0</v>
      </c>
      <c r="U376" s="538">
        <v>0</v>
      </c>
      <c r="V376" s="536">
        <v>0</v>
      </c>
    </row>
    <row r="377" spans="2:22" outlineLevel="1">
      <c r="B377" s="332" t="s">
        <v>597</v>
      </c>
      <c r="C377" s="1387" t="str">
        <f>IF('R6a - Net Debt input'!D241 = "","",'R6a - Net Debt input'!D241)</f>
        <v/>
      </c>
      <c r="D377" s="1407"/>
      <c r="E377" s="1407"/>
      <c r="F377" s="1407"/>
      <c r="G377" s="1407"/>
      <c r="H377" s="1407"/>
      <c r="I377" s="1408"/>
      <c r="M377" s="535"/>
      <c r="N377" s="536"/>
      <c r="O377" s="536"/>
      <c r="P377" s="536"/>
      <c r="Q377" s="536"/>
      <c r="R377" s="536"/>
      <c r="S377" s="536"/>
      <c r="T377" s="537"/>
      <c r="U377" s="538"/>
      <c r="V377" s="536"/>
    </row>
    <row r="378" spans="2:22" outlineLevel="1">
      <c r="B378" s="332" t="s">
        <v>598</v>
      </c>
      <c r="C378" s="1387" t="str">
        <f>IF('R6a - Net Debt input'!D242 = "","",'R6a - Net Debt input'!D242)</f>
        <v/>
      </c>
      <c r="D378" s="1407"/>
      <c r="E378" s="1407"/>
      <c r="F378" s="1407"/>
      <c r="G378" s="1407"/>
      <c r="H378" s="1407"/>
      <c r="I378" s="1408"/>
      <c r="M378" s="535"/>
      <c r="N378" s="536"/>
      <c r="O378" s="536"/>
      <c r="P378" s="536"/>
      <c r="Q378" s="536"/>
      <c r="R378" s="536"/>
      <c r="S378" s="536"/>
      <c r="T378" s="537"/>
      <c r="U378" s="538"/>
      <c r="V378" s="536"/>
    </row>
    <row r="379" spans="2:22" outlineLevel="1">
      <c r="B379" s="334" t="s">
        <v>599</v>
      </c>
      <c r="C379" s="1387" t="str">
        <f>IF('R6a - Net Debt input'!C243 = "","",'R6a - Net Debt input'!C243)</f>
        <v xml:space="preserve">{ Insert new rows here as necessary } </v>
      </c>
      <c r="D379" s="1407"/>
      <c r="E379" s="1407"/>
      <c r="F379" s="1407"/>
      <c r="G379" s="1407"/>
      <c r="H379" s="1407"/>
      <c r="I379" s="1408"/>
      <c r="M379" s="539"/>
      <c r="N379" s="540"/>
      <c r="O379" s="540"/>
      <c r="P379" s="540"/>
      <c r="Q379" s="540"/>
      <c r="R379" s="540"/>
      <c r="S379" s="540"/>
      <c r="T379" s="541"/>
      <c r="U379" s="542"/>
      <c r="V379" s="540"/>
    </row>
    <row r="380" spans="2:22">
      <c r="B380" s="170"/>
      <c r="E380" s="170"/>
      <c r="F380" s="170"/>
      <c r="G380" s="170"/>
      <c r="H380" s="170"/>
      <c r="L380" s="1076" t="s">
        <v>600</v>
      </c>
      <c r="M380" s="503">
        <f t="shared" ref="M380:V380" si="42">SUM(M375:M379)</f>
        <v>1.15173616</v>
      </c>
      <c r="N380" s="504">
        <f t="shared" si="42"/>
        <v>0</v>
      </c>
      <c r="O380" s="504">
        <f t="shared" si="42"/>
        <v>0</v>
      </c>
      <c r="P380" s="504">
        <f t="shared" si="42"/>
        <v>0</v>
      </c>
      <c r="Q380" s="504">
        <f t="shared" si="42"/>
        <v>0</v>
      </c>
      <c r="R380" s="504">
        <f t="shared" si="42"/>
        <v>0</v>
      </c>
      <c r="S380" s="504">
        <f t="shared" si="42"/>
        <v>0</v>
      </c>
      <c r="T380" s="505">
        <f t="shared" si="42"/>
        <v>0</v>
      </c>
      <c r="U380" s="506">
        <f t="shared" si="42"/>
        <v>0</v>
      </c>
      <c r="V380" s="504">
        <f t="shared" si="42"/>
        <v>0</v>
      </c>
    </row>
    <row r="383" spans="2:22" ht="17.5" outlineLevel="1">
      <c r="C383" s="151"/>
      <c r="D383" s="270" t="s">
        <v>464</v>
      </c>
      <c r="E383" s="271"/>
      <c r="F383" s="271"/>
      <c r="G383" s="271"/>
      <c r="H383" s="271"/>
      <c r="I383" s="271"/>
      <c r="J383" s="271"/>
      <c r="K383" s="271"/>
      <c r="L383" s="309"/>
      <c r="M383" s="271"/>
      <c r="N383" s="271"/>
      <c r="O383" s="271"/>
      <c r="P383" s="271"/>
      <c r="Q383" s="271"/>
      <c r="R383" s="271"/>
      <c r="S383" s="271"/>
      <c r="T383" s="271"/>
      <c r="U383" s="289"/>
      <c r="V383" s="271"/>
    </row>
    <row r="385" spans="2:23" outlineLevel="1">
      <c r="B385" s="333" t="s">
        <v>453</v>
      </c>
      <c r="C385" s="599" t="s">
        <v>506</v>
      </c>
      <c r="D385" s="819"/>
      <c r="E385" s="819"/>
      <c r="F385" s="819"/>
      <c r="G385" s="819"/>
      <c r="H385" s="819"/>
      <c r="I385" s="820"/>
      <c r="M385" s="197" t="s">
        <v>454</v>
      </c>
      <c r="N385" s="198" t="s">
        <v>454</v>
      </c>
      <c r="O385" s="198" t="s">
        <v>454</v>
      </c>
      <c r="P385" s="198" t="s">
        <v>454</v>
      </c>
      <c r="Q385" s="198" t="s">
        <v>454</v>
      </c>
      <c r="R385" s="198" t="s">
        <v>454</v>
      </c>
      <c r="S385" s="198" t="s">
        <v>454</v>
      </c>
      <c r="T385" s="283" t="s">
        <v>454</v>
      </c>
      <c r="U385" s="301" t="s">
        <v>454</v>
      </c>
      <c r="V385" s="198" t="s">
        <v>454</v>
      </c>
    </row>
    <row r="386" spans="2:23" outlineLevel="1">
      <c r="B386" s="332" t="s">
        <v>595</v>
      </c>
      <c r="C386" s="1387" t="s">
        <v>1049</v>
      </c>
      <c r="D386" s="1407">
        <v>0</v>
      </c>
      <c r="E386" s="1407">
        <v>0</v>
      </c>
      <c r="F386" s="1407">
        <v>0</v>
      </c>
      <c r="G386" s="1407">
        <v>0</v>
      </c>
      <c r="H386" s="1407">
        <v>0</v>
      </c>
      <c r="I386" s="1408">
        <v>0</v>
      </c>
      <c r="M386" s="535">
        <v>1.3245663599999999</v>
      </c>
      <c r="N386" s="536">
        <v>0</v>
      </c>
      <c r="O386" s="536">
        <v>0</v>
      </c>
      <c r="P386" s="536">
        <v>0</v>
      </c>
      <c r="Q386" s="536">
        <v>0</v>
      </c>
      <c r="R386" s="536">
        <v>0</v>
      </c>
      <c r="S386" s="536">
        <v>0</v>
      </c>
      <c r="T386" s="537">
        <v>0</v>
      </c>
      <c r="U386" s="538">
        <v>0</v>
      </c>
      <c r="V386" s="536">
        <v>0</v>
      </c>
    </row>
    <row r="387" spans="2:23" outlineLevel="1">
      <c r="B387" s="332" t="s">
        <v>596</v>
      </c>
      <c r="C387" s="1387" t="s">
        <v>1050</v>
      </c>
      <c r="D387" s="1407">
        <v>0</v>
      </c>
      <c r="E387" s="1407">
        <v>0</v>
      </c>
      <c r="F387" s="1407">
        <v>0</v>
      </c>
      <c r="G387" s="1407">
        <v>0</v>
      </c>
      <c r="H387" s="1407">
        <v>0</v>
      </c>
      <c r="I387" s="1408">
        <v>0</v>
      </c>
      <c r="M387" s="535">
        <v>8.1084899999999988E-2</v>
      </c>
      <c r="N387" s="536">
        <v>0</v>
      </c>
      <c r="O387" s="536">
        <v>0</v>
      </c>
      <c r="P387" s="536">
        <v>0</v>
      </c>
      <c r="Q387" s="536">
        <v>0</v>
      </c>
      <c r="R387" s="536">
        <v>0</v>
      </c>
      <c r="S387" s="536">
        <v>0</v>
      </c>
      <c r="T387" s="537">
        <v>0</v>
      </c>
      <c r="U387" s="538">
        <v>0</v>
      </c>
      <c r="V387" s="536">
        <v>0</v>
      </c>
    </row>
    <row r="388" spans="2:23" outlineLevel="1">
      <c r="B388" s="332" t="s">
        <v>597</v>
      </c>
      <c r="C388" s="1387" t="str">
        <f>IF('R6a - Net Debt input'!D241 = "","",'R6a - Net Debt input'!D241)</f>
        <v/>
      </c>
      <c r="D388" s="1407" t="str">
        <f>IF('R6a - Net Debt input'!E234 = "","",'R6a - Net Debt input'!E234)</f>
        <v/>
      </c>
      <c r="E388" s="1407" t="str">
        <f>IF('R6a - Net Debt input'!F234 = "","",'R6a - Net Debt input'!F234)</f>
        <v/>
      </c>
      <c r="F388" s="1407" t="str">
        <f>IF('R6a - Net Debt input'!G234 = "","",'R6a - Net Debt input'!G234)</f>
        <v/>
      </c>
      <c r="G388" s="1407" t="str">
        <f>IF('R6a - Net Debt input'!H234 = "","",'R6a - Net Debt input'!H234)</f>
        <v/>
      </c>
      <c r="H388" s="1407" t="str">
        <f>IF('R6a - Net Debt input'!I234 = "","",'R6a - Net Debt input'!I234)</f>
        <v/>
      </c>
      <c r="I388" s="1408" t="str">
        <f>IF('R6a - Net Debt input'!J234 = "","",'R6a - Net Debt input'!J234)</f>
        <v/>
      </c>
      <c r="M388" s="535"/>
      <c r="N388" s="536"/>
      <c r="O388" s="536"/>
      <c r="P388" s="536"/>
      <c r="Q388" s="536"/>
      <c r="R388" s="536"/>
      <c r="S388" s="536"/>
      <c r="T388" s="537"/>
      <c r="U388" s="538"/>
      <c r="V388" s="536"/>
    </row>
    <row r="389" spans="2:23" outlineLevel="1">
      <c r="B389" s="332" t="s">
        <v>598</v>
      </c>
      <c r="C389" s="1387" t="str">
        <f>IF('R6a - Net Debt input'!D242 = "","",'R6a - Net Debt input'!D242)</f>
        <v/>
      </c>
      <c r="D389" s="1407" t="str">
        <f>IF('R6a - Net Debt input'!E235 = "","",'R6a - Net Debt input'!E235)</f>
        <v/>
      </c>
      <c r="E389" s="1407" t="str">
        <f>IF('R6a - Net Debt input'!F235 = "","",'R6a - Net Debt input'!F235)</f>
        <v/>
      </c>
      <c r="F389" s="1407" t="str">
        <f>IF('R6a - Net Debt input'!G235 = "","",'R6a - Net Debt input'!G235)</f>
        <v/>
      </c>
      <c r="G389" s="1407" t="str">
        <f>IF('R6a - Net Debt input'!H235 = "","",'R6a - Net Debt input'!H235)</f>
        <v/>
      </c>
      <c r="H389" s="1407" t="str">
        <f>IF('R6a - Net Debt input'!I235 = "","",'R6a - Net Debt input'!I235)</f>
        <v/>
      </c>
      <c r="I389" s="1408" t="str">
        <f>IF('R6a - Net Debt input'!J235 = "","",'R6a - Net Debt input'!J235)</f>
        <v/>
      </c>
      <c r="M389" s="535"/>
      <c r="N389" s="536"/>
      <c r="O389" s="536"/>
      <c r="P389" s="536"/>
      <c r="Q389" s="536"/>
      <c r="R389" s="536"/>
      <c r="S389" s="536"/>
      <c r="T389" s="537"/>
      <c r="U389" s="538"/>
      <c r="V389" s="536"/>
    </row>
    <row r="390" spans="2:23" outlineLevel="1">
      <c r="B390" s="334" t="s">
        <v>599</v>
      </c>
      <c r="C390" s="1387" t="s">
        <v>544</v>
      </c>
      <c r="D390" s="1407"/>
      <c r="E390" s="1407"/>
      <c r="F390" s="1407"/>
      <c r="G390" s="1407"/>
      <c r="H390" s="1407"/>
      <c r="I390" s="1408"/>
      <c r="M390" s="539"/>
      <c r="N390" s="540"/>
      <c r="O390" s="540"/>
      <c r="P390" s="540"/>
      <c r="Q390" s="540"/>
      <c r="R390" s="540"/>
      <c r="S390" s="540"/>
      <c r="T390" s="541"/>
      <c r="U390" s="542"/>
      <c r="V390" s="540"/>
    </row>
    <row r="391" spans="2:23">
      <c r="B391" s="170"/>
      <c r="E391" s="170"/>
      <c r="F391" s="170"/>
      <c r="G391" s="170"/>
      <c r="H391" s="170"/>
      <c r="L391" s="1076" t="s">
        <v>600</v>
      </c>
      <c r="M391" s="503">
        <f t="shared" ref="M391:V391" si="43">SUM(M386:M390)</f>
        <v>1.40565126</v>
      </c>
      <c r="N391" s="504">
        <f t="shared" si="43"/>
        <v>0</v>
      </c>
      <c r="O391" s="504">
        <f t="shared" si="43"/>
        <v>0</v>
      </c>
      <c r="P391" s="504">
        <f t="shared" si="43"/>
        <v>0</v>
      </c>
      <c r="Q391" s="504">
        <f t="shared" si="43"/>
        <v>0</v>
      </c>
      <c r="R391" s="504">
        <f t="shared" si="43"/>
        <v>0</v>
      </c>
      <c r="S391" s="504">
        <f t="shared" si="43"/>
        <v>0</v>
      </c>
      <c r="T391" s="505">
        <f t="shared" si="43"/>
        <v>0</v>
      </c>
      <c r="U391" s="506">
        <f t="shared" si="43"/>
        <v>0</v>
      </c>
      <c r="V391" s="504">
        <f t="shared" si="43"/>
        <v>0</v>
      </c>
    </row>
    <row r="392" spans="2:23">
      <c r="B392" s="170"/>
      <c r="U392" s="288"/>
    </row>
    <row r="393" spans="2:23" ht="14">
      <c r="B393" s="259" t="s">
        <v>601</v>
      </c>
      <c r="C393" s="260" t="s">
        <v>602</v>
      </c>
      <c r="D393" s="260"/>
      <c r="E393" s="260"/>
      <c r="F393" s="260"/>
      <c r="G393" s="261"/>
      <c r="H393" s="261"/>
      <c r="I393" s="261"/>
      <c r="J393" s="261"/>
      <c r="K393" s="261"/>
      <c r="L393" s="259"/>
      <c r="M393" s="260"/>
      <c r="N393" s="260"/>
      <c r="O393" s="260"/>
      <c r="P393" s="260"/>
      <c r="Q393" s="260"/>
      <c r="R393" s="260"/>
      <c r="S393" s="260"/>
      <c r="T393" s="260"/>
      <c r="U393" s="293"/>
      <c r="V393" s="260"/>
    </row>
    <row r="395" spans="2:23" ht="17.5" outlineLevel="1">
      <c r="B395" s="154"/>
      <c r="C395" s="151"/>
      <c r="D395" s="270" t="s">
        <v>452</v>
      </c>
      <c r="E395" s="272"/>
      <c r="F395" s="272"/>
      <c r="G395" s="271"/>
      <c r="H395" s="271"/>
      <c r="I395" s="271"/>
      <c r="J395" s="271"/>
      <c r="K395" s="271"/>
      <c r="L395" s="309"/>
      <c r="M395" s="272"/>
      <c r="N395" s="272"/>
      <c r="O395" s="272"/>
      <c r="P395" s="272"/>
      <c r="Q395" s="272"/>
      <c r="R395" s="272"/>
      <c r="S395" s="272"/>
      <c r="T395" s="272"/>
      <c r="U395" s="295"/>
      <c r="V395" s="272"/>
    </row>
    <row r="396" spans="2:23" outlineLevel="1">
      <c r="B396" s="154"/>
      <c r="C396" s="151"/>
      <c r="D396" s="151"/>
      <c r="E396" s="151"/>
      <c r="F396" s="151"/>
      <c r="G396" s="151"/>
      <c r="H396" s="151"/>
      <c r="I396" s="151"/>
      <c r="J396" s="151"/>
      <c r="K396" s="151"/>
      <c r="L396" s="151"/>
      <c r="M396" s="151"/>
      <c r="N396" s="151"/>
      <c r="O396" s="151"/>
      <c r="P396" s="151"/>
      <c r="Q396" s="151"/>
      <c r="R396" s="151"/>
      <c r="S396" s="151"/>
      <c r="T396" s="151"/>
      <c r="U396" s="151"/>
      <c r="V396" s="151"/>
      <c r="W396" s="151"/>
    </row>
    <row r="397" spans="2:23" outlineLevel="1">
      <c r="B397" s="333" t="s">
        <v>453</v>
      </c>
      <c r="C397" s="599" t="s">
        <v>506</v>
      </c>
      <c r="D397" s="819"/>
      <c r="E397" s="819"/>
      <c r="F397" s="819"/>
      <c r="G397" s="819"/>
      <c r="H397" s="819"/>
      <c r="I397" s="820"/>
      <c r="M397" s="197" t="s">
        <v>454</v>
      </c>
      <c r="N397" s="198" t="s">
        <v>454</v>
      </c>
      <c r="O397" s="198" t="s">
        <v>454</v>
      </c>
      <c r="P397" s="198" t="s">
        <v>454</v>
      </c>
      <c r="Q397" s="198" t="s">
        <v>454</v>
      </c>
      <c r="R397" s="198" t="s">
        <v>454</v>
      </c>
      <c r="S397" s="198" t="s">
        <v>454</v>
      </c>
      <c r="T397" s="283" t="s">
        <v>454</v>
      </c>
      <c r="U397" s="301" t="s">
        <v>454</v>
      </c>
      <c r="V397" s="198" t="s">
        <v>454</v>
      </c>
    </row>
    <row r="398" spans="2:23" outlineLevel="1">
      <c r="B398" s="332" t="s">
        <v>603</v>
      </c>
      <c r="C398" s="1387" t="str">
        <f>IF('R6a - Net Debt input'!D255 = "","",'R6a - Net Debt input'!D255)</f>
        <v/>
      </c>
      <c r="D398" s="1407"/>
      <c r="E398" s="1407"/>
      <c r="F398" s="1407"/>
      <c r="G398" s="1407"/>
      <c r="H398" s="1407"/>
      <c r="I398" s="1408"/>
      <c r="M398" s="535"/>
      <c r="N398" s="536"/>
      <c r="O398" s="536"/>
      <c r="P398" s="536"/>
      <c r="Q398" s="536"/>
      <c r="R398" s="536"/>
      <c r="S398" s="536"/>
      <c r="T398" s="537"/>
      <c r="U398" s="538"/>
      <c r="V398" s="536"/>
    </row>
    <row r="399" spans="2:23" outlineLevel="1">
      <c r="B399" s="332" t="s">
        <v>604</v>
      </c>
      <c r="C399" s="1387" t="str">
        <f>IF('R6a - Net Debt input'!D247 = "","",'R6a - Net Debt input'!D247)</f>
        <v/>
      </c>
      <c r="D399" s="1407" t="str">
        <f>IF('R6a - Net Debt input'!E233 = "","",'R6a - Net Debt input'!E233)</f>
        <v/>
      </c>
      <c r="E399" s="1407" t="str">
        <f>IF('R6a - Net Debt input'!F233 = "","",'R6a - Net Debt input'!F233)</f>
        <v/>
      </c>
      <c r="F399" s="1407" t="str">
        <f>IF('R6a - Net Debt input'!G233 = "","",'R6a - Net Debt input'!G233)</f>
        <v/>
      </c>
      <c r="G399" s="1407" t="str">
        <f>IF('R6a - Net Debt input'!H233 = "","",'R6a - Net Debt input'!H233)</f>
        <v/>
      </c>
      <c r="H399" s="1407" t="str">
        <f>IF('R6a - Net Debt input'!I233 = "","",'R6a - Net Debt input'!I233)</f>
        <v/>
      </c>
      <c r="I399" s="1408" t="str">
        <f>IF('R6a - Net Debt input'!J233 = "","",'R6a - Net Debt input'!J233)</f>
        <v/>
      </c>
      <c r="M399" s="535"/>
      <c r="N399" s="536"/>
      <c r="O399" s="536"/>
      <c r="P399" s="536"/>
      <c r="Q399" s="536"/>
      <c r="R399" s="536"/>
      <c r="S399" s="536"/>
      <c r="T399" s="537"/>
      <c r="U399" s="538"/>
      <c r="V399" s="536"/>
    </row>
    <row r="400" spans="2:23" outlineLevel="1">
      <c r="B400" s="332" t="s">
        <v>605</v>
      </c>
      <c r="C400" s="1387" t="str">
        <f>IF('R6a - Net Debt input'!D248 = "","",'R6a - Net Debt input'!D248)</f>
        <v/>
      </c>
      <c r="D400" s="1407" t="str">
        <f>IF('R6a - Net Debt input'!E234 = "","",'R6a - Net Debt input'!E234)</f>
        <v/>
      </c>
      <c r="E400" s="1407" t="str">
        <f>IF('R6a - Net Debt input'!F234 = "","",'R6a - Net Debt input'!F234)</f>
        <v/>
      </c>
      <c r="F400" s="1407" t="str">
        <f>IF('R6a - Net Debt input'!G234 = "","",'R6a - Net Debt input'!G234)</f>
        <v/>
      </c>
      <c r="G400" s="1407" t="str">
        <f>IF('R6a - Net Debt input'!H234 = "","",'R6a - Net Debt input'!H234)</f>
        <v/>
      </c>
      <c r="H400" s="1407" t="str">
        <f>IF('R6a - Net Debt input'!I234 = "","",'R6a - Net Debt input'!I234)</f>
        <v/>
      </c>
      <c r="I400" s="1408" t="str">
        <f>IF('R6a - Net Debt input'!J234 = "","",'R6a - Net Debt input'!J234)</f>
        <v/>
      </c>
      <c r="M400" s="535"/>
      <c r="N400" s="536"/>
      <c r="O400" s="536"/>
      <c r="P400" s="536"/>
      <c r="Q400" s="536"/>
      <c r="R400" s="536"/>
      <c r="S400" s="536"/>
      <c r="T400" s="537"/>
      <c r="U400" s="538"/>
      <c r="V400" s="536"/>
    </row>
    <row r="401" spans="2:22" outlineLevel="1">
      <c r="B401" s="332" t="s">
        <v>606</v>
      </c>
      <c r="C401" s="1387" t="str">
        <f>IF('R6a - Net Debt input'!D249 = "","",'R6a - Net Debt input'!D249)</f>
        <v/>
      </c>
      <c r="D401" s="1407" t="str">
        <f>IF('R6a - Net Debt input'!E235 = "","",'R6a - Net Debt input'!E235)</f>
        <v/>
      </c>
      <c r="E401" s="1407" t="str">
        <f>IF('R6a - Net Debt input'!F235 = "","",'R6a - Net Debt input'!F235)</f>
        <v/>
      </c>
      <c r="F401" s="1407" t="str">
        <f>IF('R6a - Net Debt input'!G235 = "","",'R6a - Net Debt input'!G235)</f>
        <v/>
      </c>
      <c r="G401" s="1407" t="str">
        <f>IF('R6a - Net Debt input'!H235 = "","",'R6a - Net Debt input'!H235)</f>
        <v/>
      </c>
      <c r="H401" s="1407" t="str">
        <f>IF('R6a - Net Debt input'!I235 = "","",'R6a - Net Debt input'!I235)</f>
        <v/>
      </c>
      <c r="I401" s="1408" t="str">
        <f>IF('R6a - Net Debt input'!J235 = "","",'R6a - Net Debt input'!J235)</f>
        <v/>
      </c>
      <c r="M401" s="535"/>
      <c r="N401" s="536"/>
      <c r="O401" s="536"/>
      <c r="P401" s="536"/>
      <c r="Q401" s="536"/>
      <c r="R401" s="536"/>
      <c r="S401" s="536"/>
      <c r="T401" s="537"/>
      <c r="U401" s="538"/>
      <c r="V401" s="536"/>
    </row>
    <row r="402" spans="2:22" outlineLevel="1">
      <c r="B402" s="334" t="s">
        <v>607</v>
      </c>
      <c r="C402" s="1387" t="s">
        <v>544</v>
      </c>
      <c r="D402" s="1407"/>
      <c r="E402" s="1407"/>
      <c r="F402" s="1407"/>
      <c r="G402" s="1407"/>
      <c r="H402" s="1407"/>
      <c r="I402" s="1408"/>
      <c r="M402" s="539"/>
      <c r="N402" s="540"/>
      <c r="O402" s="540"/>
      <c r="P402" s="540"/>
      <c r="Q402" s="540"/>
      <c r="R402" s="540"/>
      <c r="S402" s="540"/>
      <c r="T402" s="541"/>
      <c r="U402" s="542"/>
      <c r="V402" s="540"/>
    </row>
    <row r="403" spans="2:22">
      <c r="B403" s="170"/>
      <c r="E403" s="170"/>
      <c r="F403" s="170"/>
      <c r="G403" s="170"/>
      <c r="H403" s="170"/>
      <c r="L403" s="1076" t="s">
        <v>608</v>
      </c>
      <c r="M403" s="503">
        <f>SUM(M398:M402)</f>
        <v>0</v>
      </c>
      <c r="N403" s="504">
        <f t="shared" ref="N403:V403" si="44">SUM(N398:N402)</f>
        <v>0</v>
      </c>
      <c r="O403" s="504">
        <f t="shared" si="44"/>
        <v>0</v>
      </c>
      <c r="P403" s="504">
        <f t="shared" si="44"/>
        <v>0</v>
      </c>
      <c r="Q403" s="504">
        <f t="shared" si="44"/>
        <v>0</v>
      </c>
      <c r="R403" s="504">
        <f t="shared" si="44"/>
        <v>0</v>
      </c>
      <c r="S403" s="504">
        <f t="shared" si="44"/>
        <v>0</v>
      </c>
      <c r="T403" s="505">
        <f t="shared" si="44"/>
        <v>0</v>
      </c>
      <c r="U403" s="506">
        <f t="shared" si="44"/>
        <v>0</v>
      </c>
      <c r="V403" s="504">
        <f t="shared" si="44"/>
        <v>0</v>
      </c>
    </row>
    <row r="404" spans="2:22">
      <c r="B404" s="170"/>
    </row>
    <row r="405" spans="2:22" ht="17.5" outlineLevel="1">
      <c r="C405" s="151"/>
      <c r="D405" s="270" t="s">
        <v>464</v>
      </c>
      <c r="E405" s="271"/>
      <c r="F405" s="271"/>
      <c r="G405" s="271"/>
      <c r="H405" s="271"/>
      <c r="I405" s="271"/>
      <c r="J405" s="271"/>
      <c r="K405" s="271"/>
      <c r="L405" s="309"/>
      <c r="M405" s="271"/>
      <c r="N405" s="271"/>
      <c r="O405" s="271"/>
      <c r="P405" s="271"/>
      <c r="Q405" s="271"/>
      <c r="R405" s="271"/>
      <c r="S405" s="271"/>
      <c r="T405" s="271"/>
      <c r="U405" s="289"/>
      <c r="V405" s="271"/>
    </row>
    <row r="407" spans="2:22" outlineLevel="1">
      <c r="B407" s="333" t="s">
        <v>453</v>
      </c>
      <c r="C407" s="599" t="s">
        <v>506</v>
      </c>
      <c r="D407" s="819"/>
      <c r="E407" s="819"/>
      <c r="F407" s="819"/>
      <c r="G407" s="819"/>
      <c r="H407" s="819"/>
      <c r="I407" s="820"/>
      <c r="M407" s="197" t="s">
        <v>454</v>
      </c>
      <c r="N407" s="198" t="s">
        <v>454</v>
      </c>
      <c r="O407" s="198" t="s">
        <v>454</v>
      </c>
      <c r="P407" s="198" t="s">
        <v>454</v>
      </c>
      <c r="Q407" s="198" t="s">
        <v>454</v>
      </c>
      <c r="R407" s="198" t="s">
        <v>454</v>
      </c>
      <c r="S407" s="198" t="s">
        <v>454</v>
      </c>
      <c r="T407" s="283" t="s">
        <v>454</v>
      </c>
      <c r="U407" s="301" t="s">
        <v>454</v>
      </c>
      <c r="V407" s="198" t="s">
        <v>454</v>
      </c>
    </row>
    <row r="408" spans="2:22" outlineLevel="1">
      <c r="B408" s="332" t="s">
        <v>603</v>
      </c>
      <c r="C408" s="1387" t="str">
        <f>IF('R6a - Net Debt input'!D255 = "","",'R6a - Net Debt input'!D255)</f>
        <v/>
      </c>
      <c r="D408" s="1407" t="str">
        <f>IF('R6a - Net Debt input'!E241 = "","",'R6a - Net Debt input'!E241)</f>
        <v/>
      </c>
      <c r="E408" s="1407" t="str">
        <f>IF('R6a - Net Debt input'!F241 = "","",'R6a - Net Debt input'!F241)</f>
        <v/>
      </c>
      <c r="F408" s="1407" t="str">
        <f>IF('R6a - Net Debt input'!G241 = "","",'R6a - Net Debt input'!G241)</f>
        <v/>
      </c>
      <c r="G408" s="1407" t="str">
        <f>IF('R6a - Net Debt input'!H241 = "","",'R6a - Net Debt input'!H241)</f>
        <v/>
      </c>
      <c r="H408" s="1407" t="str">
        <f>IF('R6a - Net Debt input'!I241 = "","",'R6a - Net Debt input'!I241)</f>
        <v/>
      </c>
      <c r="I408" s="1408" t="str">
        <f>IF('R6a - Net Debt input'!J241 = "","",'R6a - Net Debt input'!J241)</f>
        <v/>
      </c>
      <c r="M408" s="535"/>
      <c r="N408" s="536"/>
      <c r="O408" s="536"/>
      <c r="P408" s="536"/>
      <c r="Q408" s="536"/>
      <c r="R408" s="536"/>
      <c r="S408" s="536"/>
      <c r="T408" s="537"/>
      <c r="U408" s="538"/>
      <c r="V408" s="536"/>
    </row>
    <row r="409" spans="2:22" outlineLevel="1">
      <c r="B409" s="332" t="s">
        <v>604</v>
      </c>
      <c r="C409" s="1387" t="str">
        <f>IF('R6a - Net Debt input'!D256 = "","",'R6a - Net Debt input'!D256)</f>
        <v/>
      </c>
      <c r="D409" s="1407" t="str">
        <f>IF('R6a - Net Debt input'!E242 = "","",'R6a - Net Debt input'!E242)</f>
        <v/>
      </c>
      <c r="E409" s="1407" t="str">
        <f>IF('R6a - Net Debt input'!F242 = "","",'R6a - Net Debt input'!F242)</f>
        <v/>
      </c>
      <c r="F409" s="1407" t="str">
        <f>IF('R6a - Net Debt input'!G242 = "","",'R6a - Net Debt input'!G242)</f>
        <v/>
      </c>
      <c r="G409" s="1407" t="str">
        <f>IF('R6a - Net Debt input'!H242 = "","",'R6a - Net Debt input'!H242)</f>
        <v/>
      </c>
      <c r="H409" s="1407" t="str">
        <f>IF('R6a - Net Debt input'!I242 = "","",'R6a - Net Debt input'!I242)</f>
        <v/>
      </c>
      <c r="I409" s="1408" t="str">
        <f>IF('R6a - Net Debt input'!J242 = "","",'R6a - Net Debt input'!J242)</f>
        <v/>
      </c>
      <c r="M409" s="535"/>
      <c r="N409" s="536"/>
      <c r="O409" s="536"/>
      <c r="P409" s="536"/>
      <c r="Q409" s="536"/>
      <c r="R409" s="536"/>
      <c r="S409" s="536"/>
      <c r="T409" s="537"/>
      <c r="U409" s="538"/>
      <c r="V409" s="536"/>
    </row>
    <row r="410" spans="2:22" outlineLevel="1">
      <c r="B410" s="332" t="s">
        <v>605</v>
      </c>
      <c r="C410" s="1387" t="str">
        <f>IF('R6a - Net Debt input'!D257 = "","",'R6a - Net Debt input'!D257)</f>
        <v/>
      </c>
      <c r="D410" s="1407" t="str">
        <f>IF('R6a - Net Debt input'!E243 = "","",'R6a - Net Debt input'!E243)</f>
        <v/>
      </c>
      <c r="E410" s="1407" t="str">
        <f>IF('R6a - Net Debt input'!F243 = "","",'R6a - Net Debt input'!F243)</f>
        <v/>
      </c>
      <c r="F410" s="1407" t="str">
        <f>IF('R6a - Net Debt input'!G243 = "","",'R6a - Net Debt input'!G243)</f>
        <v/>
      </c>
      <c r="G410" s="1407" t="str">
        <f>IF('R6a - Net Debt input'!H243 = "","",'R6a - Net Debt input'!H243)</f>
        <v/>
      </c>
      <c r="H410" s="1407" t="str">
        <f>IF('R6a - Net Debt input'!I243 = "","",'R6a - Net Debt input'!I243)</f>
        <v/>
      </c>
      <c r="I410" s="1408" t="str">
        <f>IF('R6a - Net Debt input'!J243 = "","",'R6a - Net Debt input'!J243)</f>
        <v/>
      </c>
      <c r="M410" s="535"/>
      <c r="N410" s="536"/>
      <c r="O410" s="536"/>
      <c r="P410" s="536"/>
      <c r="Q410" s="536"/>
      <c r="R410" s="536"/>
      <c r="S410" s="536"/>
      <c r="T410" s="537"/>
      <c r="U410" s="538"/>
      <c r="V410" s="536"/>
    </row>
    <row r="411" spans="2:22" outlineLevel="1">
      <c r="B411" s="332" t="s">
        <v>606</v>
      </c>
      <c r="C411" s="1387" t="str">
        <f>IF('R6a - Net Debt input'!D258 = "","",'R6a - Net Debt input'!D258)</f>
        <v/>
      </c>
      <c r="D411" s="1407" t="str">
        <f>IF('R6a - Net Debt input'!E244 = "","",'R6a - Net Debt input'!E244)</f>
        <v/>
      </c>
      <c r="E411" s="1407" t="str">
        <f>IF('R6a - Net Debt input'!F244 = "","",'R6a - Net Debt input'!F244)</f>
        <v/>
      </c>
      <c r="F411" s="1407" t="str">
        <f>IF('R6a - Net Debt input'!G244 = "","",'R6a - Net Debt input'!G244)</f>
        <v/>
      </c>
      <c r="G411" s="1407" t="str">
        <f>IF('R6a - Net Debt input'!H244 = "","",'R6a - Net Debt input'!H244)</f>
        <v/>
      </c>
      <c r="H411" s="1407" t="str">
        <f>IF('R6a - Net Debt input'!I244 = "","",'R6a - Net Debt input'!I244)</f>
        <v/>
      </c>
      <c r="I411" s="1408" t="str">
        <f>IF('R6a - Net Debt input'!J244 = "","",'R6a - Net Debt input'!J244)</f>
        <v/>
      </c>
      <c r="M411" s="535"/>
      <c r="N411" s="536"/>
      <c r="O411" s="536"/>
      <c r="P411" s="536"/>
      <c r="Q411" s="536"/>
      <c r="R411" s="536"/>
      <c r="S411" s="536"/>
      <c r="T411" s="537"/>
      <c r="U411" s="538"/>
      <c r="V411" s="536"/>
    </row>
    <row r="412" spans="2:22" outlineLevel="1">
      <c r="B412" s="334" t="s">
        <v>607</v>
      </c>
      <c r="C412" s="1387" t="s">
        <v>544</v>
      </c>
      <c r="D412" s="1407"/>
      <c r="E412" s="1407"/>
      <c r="F412" s="1407"/>
      <c r="G412" s="1407"/>
      <c r="H412" s="1407"/>
      <c r="I412" s="1408"/>
      <c r="M412" s="539"/>
      <c r="N412" s="540"/>
      <c r="O412" s="540"/>
      <c r="P412" s="540"/>
      <c r="Q412" s="540"/>
      <c r="R412" s="540"/>
      <c r="S412" s="540"/>
      <c r="T412" s="541"/>
      <c r="U412" s="542"/>
      <c r="V412" s="540"/>
    </row>
    <row r="413" spans="2:22">
      <c r="B413" s="170"/>
      <c r="E413" s="170"/>
      <c r="F413" s="170"/>
      <c r="G413" s="170"/>
      <c r="H413" s="170"/>
      <c r="L413" s="1076" t="s">
        <v>608</v>
      </c>
      <c r="M413" s="503">
        <f t="shared" ref="M413:V413" si="45">SUM(M408:M412)</f>
        <v>0</v>
      </c>
      <c r="N413" s="504">
        <f t="shared" si="45"/>
        <v>0</v>
      </c>
      <c r="O413" s="504">
        <f t="shared" si="45"/>
        <v>0</v>
      </c>
      <c r="P413" s="504">
        <f t="shared" si="45"/>
        <v>0</v>
      </c>
      <c r="Q413" s="504">
        <f t="shared" si="45"/>
        <v>0</v>
      </c>
      <c r="R413" s="504">
        <f t="shared" si="45"/>
        <v>0</v>
      </c>
      <c r="S413" s="504">
        <f t="shared" si="45"/>
        <v>0</v>
      </c>
      <c r="T413" s="505">
        <f t="shared" si="45"/>
        <v>0</v>
      </c>
      <c r="U413" s="506">
        <f t="shared" si="45"/>
        <v>0</v>
      </c>
      <c r="V413" s="504">
        <f t="shared" si="45"/>
        <v>0</v>
      </c>
    </row>
    <row r="414" spans="2:22">
      <c r="B414" s="170"/>
      <c r="E414" s="170"/>
      <c r="F414" s="170"/>
      <c r="G414" s="170"/>
      <c r="H414" s="170"/>
      <c r="U414" s="288"/>
    </row>
    <row r="415" spans="2:22" ht="15">
      <c r="B415" s="262" t="s">
        <v>609</v>
      </c>
      <c r="C415" s="258"/>
      <c r="D415" s="258"/>
      <c r="E415" s="263"/>
      <c r="F415" s="263"/>
      <c r="G415" s="258"/>
      <c r="H415" s="258"/>
      <c r="I415" s="258"/>
      <c r="J415" s="258"/>
      <c r="K415" s="258"/>
      <c r="L415" s="258"/>
      <c r="M415" s="258"/>
      <c r="N415" s="258"/>
      <c r="O415" s="258"/>
      <c r="P415" s="258"/>
      <c r="Q415" s="258"/>
      <c r="R415" s="258"/>
      <c r="S415" s="258"/>
      <c r="T415" s="258"/>
      <c r="U415" s="300"/>
      <c r="V415" s="258"/>
    </row>
    <row r="416" spans="2:22" ht="15">
      <c r="B416" s="275"/>
      <c r="E416" s="158"/>
      <c r="F416" s="158"/>
      <c r="U416" s="288"/>
    </row>
    <row r="417" spans="2:24" outlineLevel="1">
      <c r="B417" s="159" t="s">
        <v>610</v>
      </c>
      <c r="D417" s="158"/>
      <c r="M417" s="197" t="s">
        <v>454</v>
      </c>
      <c r="N417" s="198" t="s">
        <v>454</v>
      </c>
      <c r="O417" s="198" t="s">
        <v>454</v>
      </c>
      <c r="P417" s="198" t="s">
        <v>454</v>
      </c>
      <c r="Q417" s="198" t="s">
        <v>454</v>
      </c>
      <c r="R417" s="198" t="s">
        <v>454</v>
      </c>
      <c r="S417" s="198" t="s">
        <v>454</v>
      </c>
      <c r="T417" s="283" t="s">
        <v>454</v>
      </c>
      <c r="U417" s="301" t="s">
        <v>454</v>
      </c>
      <c r="V417" s="198" t="s">
        <v>454</v>
      </c>
    </row>
    <row r="418" spans="2:24" outlineLevel="1">
      <c r="C418" s="219" t="s">
        <v>611</v>
      </c>
      <c r="D418" s="202"/>
      <c r="E418" s="220"/>
      <c r="F418" s="202"/>
      <c r="G418" s="202"/>
      <c r="H418" s="202"/>
      <c r="I418" s="202"/>
      <c r="J418" s="202"/>
      <c r="K418" s="202"/>
      <c r="L418" s="202"/>
      <c r="M418" s="491"/>
      <c r="N418" s="492"/>
      <c r="O418" s="492"/>
      <c r="P418" s="492"/>
      <c r="Q418" s="492"/>
      <c r="R418" s="492"/>
      <c r="S418" s="492"/>
      <c r="T418" s="493"/>
      <c r="U418" s="494"/>
      <c r="V418" s="492"/>
      <c r="X418" s="1077"/>
    </row>
    <row r="419" spans="2:24" outlineLevel="1">
      <c r="C419" s="219" t="s">
        <v>612</v>
      </c>
      <c r="D419" s="202"/>
      <c r="E419" s="220"/>
      <c r="F419" s="220"/>
      <c r="G419" s="202"/>
      <c r="H419" s="202"/>
      <c r="I419" s="202"/>
      <c r="J419" s="202"/>
      <c r="K419" s="202"/>
      <c r="L419" s="202"/>
      <c r="M419" s="491"/>
      <c r="N419" s="492"/>
      <c r="O419" s="492"/>
      <c r="P419" s="492"/>
      <c r="Q419" s="492"/>
      <c r="R419" s="492"/>
      <c r="S419" s="492"/>
      <c r="T419" s="493"/>
      <c r="U419" s="494"/>
      <c r="V419" s="492"/>
      <c r="X419" s="1077"/>
    </row>
    <row r="420" spans="2:24" outlineLevel="1">
      <c r="B420" s="151" t="s">
        <v>449</v>
      </c>
      <c r="C420" s="202" t="s">
        <v>451</v>
      </c>
      <c r="D420" s="202"/>
      <c r="E420" s="220"/>
      <c r="F420" s="220"/>
      <c r="G420" s="202"/>
      <c r="H420" s="202"/>
      <c r="I420" s="202"/>
      <c r="J420" s="202"/>
      <c r="K420" s="202"/>
      <c r="L420" s="202"/>
      <c r="M420" s="695">
        <f t="shared" ref="M420:V420" si="46">M28</f>
        <v>0</v>
      </c>
      <c r="N420" s="696">
        <f t="shared" si="46"/>
        <v>0</v>
      </c>
      <c r="O420" s="696">
        <f t="shared" si="46"/>
        <v>0</v>
      </c>
      <c r="P420" s="696">
        <f t="shared" si="46"/>
        <v>0</v>
      </c>
      <c r="Q420" s="696">
        <f t="shared" si="46"/>
        <v>0</v>
      </c>
      <c r="R420" s="696">
        <f t="shared" si="46"/>
        <v>0</v>
      </c>
      <c r="S420" s="696">
        <f t="shared" si="46"/>
        <v>0</v>
      </c>
      <c r="T420" s="697">
        <f t="shared" si="46"/>
        <v>0</v>
      </c>
      <c r="U420" s="698">
        <f t="shared" si="46"/>
        <v>0</v>
      </c>
      <c r="V420" s="696">
        <f t="shared" si="46"/>
        <v>0</v>
      </c>
      <c r="X420" s="1078">
        <f>X28</f>
        <v>0</v>
      </c>
    </row>
    <row r="421" spans="2:24" outlineLevel="1">
      <c r="B421" s="151" t="s">
        <v>449</v>
      </c>
      <c r="C421" s="219" t="s">
        <v>613</v>
      </c>
      <c r="D421" s="202"/>
      <c r="E421" s="220"/>
      <c r="F421" s="220"/>
      <c r="G421" s="202"/>
      <c r="H421" s="202"/>
      <c r="I421" s="202"/>
      <c r="J421" s="202"/>
      <c r="K421" s="202"/>
      <c r="L421" s="202"/>
      <c r="M421" s="695">
        <f t="shared" ref="M421:V421" si="47">M66</f>
        <v>0</v>
      </c>
      <c r="N421" s="696">
        <f t="shared" si="47"/>
        <v>0</v>
      </c>
      <c r="O421" s="696">
        <f t="shared" si="47"/>
        <v>0</v>
      </c>
      <c r="P421" s="696">
        <f t="shared" si="47"/>
        <v>0</v>
      </c>
      <c r="Q421" s="696">
        <f t="shared" si="47"/>
        <v>0</v>
      </c>
      <c r="R421" s="696">
        <f t="shared" si="47"/>
        <v>0</v>
      </c>
      <c r="S421" s="696">
        <f t="shared" si="47"/>
        <v>0</v>
      </c>
      <c r="T421" s="697">
        <f t="shared" si="47"/>
        <v>0</v>
      </c>
      <c r="U421" s="698">
        <f t="shared" si="47"/>
        <v>0</v>
      </c>
      <c r="V421" s="696">
        <f t="shared" si="47"/>
        <v>0</v>
      </c>
      <c r="X421" s="1078">
        <f>X66</f>
        <v>0</v>
      </c>
    </row>
    <row r="422" spans="2:24" outlineLevel="1">
      <c r="B422" s="151" t="s">
        <v>482</v>
      </c>
      <c r="C422" s="219" t="s">
        <v>614</v>
      </c>
      <c r="D422" s="202"/>
      <c r="E422" s="220"/>
      <c r="F422" s="220"/>
      <c r="G422" s="202"/>
      <c r="H422" s="202"/>
      <c r="I422" s="202"/>
      <c r="J422" s="202"/>
      <c r="K422" s="202"/>
      <c r="L422" s="202"/>
      <c r="M422" s="695">
        <f t="shared" ref="M422:V422" si="48">M105</f>
        <v>1.1857912399999999</v>
      </c>
      <c r="N422" s="696">
        <f t="shared" si="48"/>
        <v>1.1857912399999999</v>
      </c>
      <c r="O422" s="696">
        <f t="shared" si="48"/>
        <v>1.1857912399999999</v>
      </c>
      <c r="P422" s="696">
        <f t="shared" si="48"/>
        <v>1.1857912399999999</v>
      </c>
      <c r="Q422" s="696">
        <f t="shared" si="48"/>
        <v>1.1857912399999999</v>
      </c>
      <c r="R422" s="696">
        <f t="shared" si="48"/>
        <v>1.1857912399999999</v>
      </c>
      <c r="S422" s="696">
        <f t="shared" si="48"/>
        <v>0</v>
      </c>
      <c r="T422" s="697">
        <f t="shared" si="48"/>
        <v>0</v>
      </c>
      <c r="U422" s="698">
        <f t="shared" si="48"/>
        <v>0</v>
      </c>
      <c r="V422" s="696">
        <f t="shared" si="48"/>
        <v>0</v>
      </c>
      <c r="X422" s="1078">
        <f>X105</f>
        <v>0</v>
      </c>
    </row>
    <row r="423" spans="2:24" outlineLevel="1">
      <c r="B423" s="151" t="s">
        <v>615</v>
      </c>
      <c r="C423" s="219" t="s">
        <v>616</v>
      </c>
      <c r="D423" s="202"/>
      <c r="E423" s="220"/>
      <c r="F423" s="220"/>
      <c r="G423" s="202"/>
      <c r="H423" s="202"/>
      <c r="I423" s="202"/>
      <c r="J423" s="202"/>
      <c r="K423" s="202"/>
      <c r="L423" s="202"/>
      <c r="M423" s="695">
        <f>SUM( M236,M270,M304,M333,M357,M380,M403)</f>
        <v>1.15173616</v>
      </c>
      <c r="N423" s="695">
        <f t="shared" ref="N423:V423" si="49">SUM( N236,N270,N304,N333,N357,N380,N403)</f>
        <v>0</v>
      </c>
      <c r="O423" s="695">
        <f t="shared" si="49"/>
        <v>0</v>
      </c>
      <c r="P423" s="695">
        <f t="shared" si="49"/>
        <v>0</v>
      </c>
      <c r="Q423" s="695">
        <f t="shared" si="49"/>
        <v>0</v>
      </c>
      <c r="R423" s="695">
        <f t="shared" si="49"/>
        <v>0</v>
      </c>
      <c r="S423" s="695">
        <f t="shared" si="49"/>
        <v>0</v>
      </c>
      <c r="T423" s="695">
        <f t="shared" si="49"/>
        <v>0</v>
      </c>
      <c r="U423" s="695">
        <f t="shared" si="49"/>
        <v>0</v>
      </c>
      <c r="V423" s="695">
        <f t="shared" si="49"/>
        <v>0</v>
      </c>
      <c r="X423" s="1078"/>
    </row>
    <row r="424" spans="2:24" outlineLevel="1">
      <c r="C424" s="418" t="s">
        <v>617</v>
      </c>
      <c r="D424" s="419"/>
      <c r="E424" s="420"/>
      <c r="F424" s="420"/>
      <c r="G424" s="202"/>
      <c r="H424" s="202"/>
      <c r="I424" s="202"/>
      <c r="J424" s="202"/>
      <c r="K424" s="202"/>
      <c r="L424" s="202"/>
      <c r="M424" s="491"/>
      <c r="N424" s="492"/>
      <c r="O424" s="492"/>
      <c r="P424" s="492"/>
      <c r="Q424" s="492"/>
      <c r="R424" s="492"/>
      <c r="S424" s="492"/>
      <c r="T424" s="493"/>
      <c r="U424" s="494"/>
      <c r="V424" s="492"/>
      <c r="X424" s="1077"/>
    </row>
    <row r="425" spans="2:24" outlineLevel="1">
      <c r="C425" s="418" t="s">
        <v>617</v>
      </c>
      <c r="D425" s="419"/>
      <c r="E425" s="420"/>
      <c r="F425" s="420"/>
      <c r="G425" s="202"/>
      <c r="H425" s="202"/>
      <c r="I425" s="202"/>
      <c r="J425" s="202"/>
      <c r="K425" s="202"/>
      <c r="L425" s="202"/>
      <c r="M425" s="507"/>
      <c r="N425" s="508"/>
      <c r="O425" s="508"/>
      <c r="P425" s="508"/>
      <c r="Q425" s="508"/>
      <c r="R425" s="508"/>
      <c r="S425" s="508"/>
      <c r="T425" s="509"/>
      <c r="U425" s="510"/>
      <c r="V425" s="508"/>
      <c r="X425" s="1077"/>
    </row>
    <row r="426" spans="2:24" outlineLevel="1">
      <c r="C426" s="418" t="s">
        <v>617</v>
      </c>
      <c r="D426" s="419"/>
      <c r="E426" s="420"/>
      <c r="F426" s="420"/>
      <c r="G426" s="202"/>
      <c r="H426" s="202"/>
      <c r="I426" s="202"/>
      <c r="J426" s="202"/>
      <c r="K426" s="202"/>
      <c r="L426" s="202"/>
      <c r="M426" s="507"/>
      <c r="N426" s="508"/>
      <c r="O426" s="508"/>
      <c r="P426" s="508"/>
      <c r="Q426" s="508"/>
      <c r="R426" s="508"/>
      <c r="S426" s="508"/>
      <c r="T426" s="509"/>
      <c r="U426" s="510"/>
      <c r="V426" s="508"/>
      <c r="X426" s="1077"/>
    </row>
    <row r="427" spans="2:24" outlineLevel="1">
      <c r="C427" s="418" t="s">
        <v>617</v>
      </c>
      <c r="D427" s="419"/>
      <c r="E427" s="420"/>
      <c r="F427" s="420"/>
      <c r="G427" s="202"/>
      <c r="H427" s="202"/>
      <c r="I427" s="202"/>
      <c r="J427" s="202"/>
      <c r="K427" s="202"/>
      <c r="L427" s="202"/>
      <c r="M427" s="507"/>
      <c r="N427" s="508"/>
      <c r="O427" s="508"/>
      <c r="P427" s="508"/>
      <c r="Q427" s="508"/>
      <c r="R427" s="508"/>
      <c r="S427" s="508"/>
      <c r="T427" s="509"/>
      <c r="U427" s="510"/>
      <c r="V427" s="508"/>
      <c r="X427" s="1077"/>
    </row>
    <row r="428" spans="2:24" outlineLevel="1">
      <c r="C428" s="418" t="s">
        <v>617</v>
      </c>
      <c r="D428" s="419"/>
      <c r="E428" s="420"/>
      <c r="F428" s="420"/>
      <c r="G428" s="202"/>
      <c r="H428" s="202"/>
      <c r="I428" s="202"/>
      <c r="J428" s="202"/>
      <c r="K428" s="202"/>
      <c r="L428" s="202"/>
      <c r="M428" s="507"/>
      <c r="N428" s="508"/>
      <c r="O428" s="508"/>
      <c r="P428" s="508"/>
      <c r="Q428" s="508"/>
      <c r="R428" s="508"/>
      <c r="S428" s="508"/>
      <c r="T428" s="509"/>
      <c r="U428" s="510"/>
      <c r="V428" s="508"/>
      <c r="X428" s="1077"/>
    </row>
    <row r="429" spans="2:24" outlineLevel="1">
      <c r="C429" s="221" t="s">
        <v>618</v>
      </c>
      <c r="D429" s="202"/>
      <c r="E429" s="220"/>
      <c r="F429" s="220"/>
      <c r="G429" s="202"/>
      <c r="H429" s="202"/>
      <c r="I429" s="202"/>
      <c r="J429" s="202"/>
      <c r="K429" s="202"/>
      <c r="L429" s="202"/>
      <c r="M429" s="511">
        <f t="shared" ref="M429:V429" si="50">SUM(M418:M428)</f>
        <v>2.3375273999999999</v>
      </c>
      <c r="N429" s="512">
        <f t="shared" si="50"/>
        <v>1.1857912399999999</v>
      </c>
      <c r="O429" s="512">
        <f t="shared" si="50"/>
        <v>1.1857912399999999</v>
      </c>
      <c r="P429" s="512">
        <f t="shared" si="50"/>
        <v>1.1857912399999999</v>
      </c>
      <c r="Q429" s="512">
        <f t="shared" si="50"/>
        <v>1.1857912399999999</v>
      </c>
      <c r="R429" s="512">
        <f t="shared" si="50"/>
        <v>1.1857912399999999</v>
      </c>
      <c r="S429" s="512">
        <f t="shared" si="50"/>
        <v>0</v>
      </c>
      <c r="T429" s="513">
        <f t="shared" si="50"/>
        <v>0</v>
      </c>
      <c r="U429" s="514">
        <f t="shared" si="50"/>
        <v>0</v>
      </c>
      <c r="V429" s="512">
        <f t="shared" si="50"/>
        <v>0</v>
      </c>
      <c r="X429" s="870">
        <f>SUM(X418:X424)</f>
        <v>0</v>
      </c>
    </row>
    <row r="430" spans="2:24" outlineLevel="1">
      <c r="C430" s="219" t="s">
        <v>619</v>
      </c>
      <c r="D430" s="202"/>
      <c r="E430" s="220"/>
      <c r="F430" s="220"/>
      <c r="G430" s="202"/>
      <c r="H430" s="202"/>
      <c r="I430" s="202"/>
      <c r="J430" s="202"/>
      <c r="K430" s="202"/>
      <c r="L430" s="202"/>
      <c r="M430" s="491">
        <v>0</v>
      </c>
      <c r="N430" s="491">
        <v>0</v>
      </c>
      <c r="O430" s="491"/>
      <c r="P430" s="491">
        <v>0</v>
      </c>
      <c r="Q430" s="491">
        <v>0</v>
      </c>
      <c r="R430" s="491">
        <v>0</v>
      </c>
      <c r="S430" s="491">
        <v>0</v>
      </c>
      <c r="T430" s="491">
        <v>0</v>
      </c>
      <c r="U430" s="491">
        <v>0</v>
      </c>
      <c r="V430" s="491">
        <v>0</v>
      </c>
      <c r="X430" s="1077"/>
    </row>
    <row r="431" spans="2:24" outlineLevel="1">
      <c r="C431" s="219" t="s">
        <v>620</v>
      </c>
      <c r="D431" s="202"/>
      <c r="E431" s="220"/>
      <c r="F431" s="220"/>
      <c r="G431" s="202"/>
      <c r="H431" s="202"/>
      <c r="I431" s="202"/>
      <c r="J431" s="202"/>
      <c r="K431" s="202"/>
      <c r="L431" s="202"/>
      <c r="M431" s="491"/>
      <c r="N431" s="491"/>
      <c r="O431" s="491"/>
      <c r="P431" s="491"/>
      <c r="Q431" s="491"/>
      <c r="R431" s="491"/>
      <c r="S431" s="491"/>
      <c r="T431" s="491"/>
      <c r="U431" s="491">
        <v>0</v>
      </c>
      <c r="V431" s="491">
        <v>0</v>
      </c>
      <c r="X431" s="1077"/>
    </row>
    <row r="432" spans="2:24" outlineLevel="1">
      <c r="C432" s="219" t="s">
        <v>621</v>
      </c>
      <c r="D432" s="202"/>
      <c r="E432" s="220"/>
      <c r="F432" s="220"/>
      <c r="G432" s="202"/>
      <c r="H432" s="202"/>
      <c r="I432" s="202"/>
      <c r="J432" s="202"/>
      <c r="K432" s="202"/>
      <c r="L432" s="202"/>
      <c r="M432" s="491"/>
      <c r="N432" s="491"/>
      <c r="O432" s="491"/>
      <c r="P432" s="491"/>
      <c r="Q432" s="491"/>
      <c r="R432" s="491"/>
      <c r="S432" s="491"/>
      <c r="T432" s="491"/>
      <c r="U432" s="491">
        <v>0</v>
      </c>
      <c r="V432" s="491">
        <v>0</v>
      </c>
      <c r="X432" s="1077"/>
    </row>
    <row r="433" spans="3:24" outlineLevel="1">
      <c r="C433" s="219" t="s">
        <v>622</v>
      </c>
      <c r="D433" s="202"/>
      <c r="E433" s="220"/>
      <c r="F433" s="220"/>
      <c r="G433" s="202"/>
      <c r="H433" s="202"/>
      <c r="I433" s="202"/>
      <c r="J433" s="202"/>
      <c r="K433" s="202"/>
      <c r="L433" s="202"/>
      <c r="M433" s="491"/>
      <c r="N433" s="491"/>
      <c r="O433" s="491"/>
      <c r="P433" s="491"/>
      <c r="Q433" s="491"/>
      <c r="R433" s="491"/>
      <c r="S433" s="491"/>
      <c r="T433" s="491"/>
      <c r="U433" s="491">
        <v>0</v>
      </c>
      <c r="V433" s="491">
        <v>0</v>
      </c>
      <c r="X433" s="1077"/>
    </row>
    <row r="434" spans="3:24" outlineLevel="1">
      <c r="C434" s="219" t="s">
        <v>623</v>
      </c>
      <c r="D434" s="202"/>
      <c r="E434" s="220"/>
      <c r="F434" s="220"/>
      <c r="G434" s="202"/>
      <c r="H434" s="202"/>
      <c r="I434" s="202"/>
      <c r="J434" s="202"/>
      <c r="K434" s="202"/>
      <c r="L434" s="202"/>
      <c r="M434" s="491"/>
      <c r="N434" s="491"/>
      <c r="O434" s="491"/>
      <c r="P434" s="491"/>
      <c r="Q434" s="491"/>
      <c r="R434" s="491"/>
      <c r="S434" s="491"/>
      <c r="T434" s="491"/>
      <c r="U434" s="491">
        <v>0</v>
      </c>
      <c r="V434" s="491">
        <v>0</v>
      </c>
      <c r="X434" s="1077"/>
    </row>
    <row r="435" spans="3:24" outlineLevel="1">
      <c r="C435" s="219" t="s">
        <v>624</v>
      </c>
      <c r="D435" s="202"/>
      <c r="E435" s="220"/>
      <c r="F435" s="220"/>
      <c r="G435" s="202"/>
      <c r="H435" s="202"/>
      <c r="I435" s="202"/>
      <c r="J435" s="202"/>
      <c r="K435" s="202"/>
      <c r="L435" s="202"/>
      <c r="M435" s="491">
        <v>-0.40495103999999998</v>
      </c>
      <c r="N435" s="491"/>
      <c r="O435" s="491"/>
      <c r="P435" s="491"/>
      <c r="Q435" s="491"/>
      <c r="R435" s="491"/>
      <c r="S435" s="491"/>
      <c r="T435" s="491"/>
      <c r="U435" s="491">
        <v>0</v>
      </c>
      <c r="V435" s="491">
        <v>0</v>
      </c>
      <c r="X435" s="1077"/>
    </row>
    <row r="436" spans="3:24" outlineLevel="1">
      <c r="C436" s="219" t="s">
        <v>625</v>
      </c>
      <c r="D436" s="202"/>
      <c r="E436" s="222"/>
      <c r="F436" s="222"/>
      <c r="G436" s="202"/>
      <c r="H436" s="202"/>
      <c r="I436" s="202"/>
      <c r="J436" s="202"/>
      <c r="K436" s="202"/>
      <c r="L436" s="202"/>
      <c r="M436" s="491"/>
      <c r="N436" s="491"/>
      <c r="O436" s="491"/>
      <c r="P436" s="491"/>
      <c r="Q436" s="491"/>
      <c r="R436" s="491"/>
      <c r="S436" s="491"/>
      <c r="T436" s="491"/>
      <c r="U436" s="491">
        <v>0</v>
      </c>
      <c r="V436" s="491">
        <v>0</v>
      </c>
      <c r="X436" s="1077"/>
    </row>
    <row r="437" spans="3:24" outlineLevel="1">
      <c r="C437" s="202" t="s">
        <v>626</v>
      </c>
      <c r="D437" s="222"/>
      <c r="E437" s="222"/>
      <c r="F437" s="202"/>
      <c r="G437" s="202"/>
      <c r="H437" s="202"/>
      <c r="I437" s="202"/>
      <c r="J437" s="202"/>
      <c r="K437" s="202"/>
      <c r="L437" s="202"/>
      <c r="M437" s="491"/>
      <c r="N437" s="491"/>
      <c r="O437" s="491"/>
      <c r="P437" s="491"/>
      <c r="Q437" s="491"/>
      <c r="R437" s="491"/>
      <c r="S437" s="491"/>
      <c r="T437" s="491"/>
      <c r="U437" s="491">
        <v>0</v>
      </c>
      <c r="V437" s="491">
        <v>0</v>
      </c>
      <c r="X437" s="1077"/>
    </row>
    <row r="438" spans="3:24" outlineLevel="1">
      <c r="C438" s="418" t="s">
        <v>627</v>
      </c>
      <c r="D438" s="419"/>
      <c r="E438" s="420"/>
      <c r="F438" s="420"/>
      <c r="G438" s="202"/>
      <c r="H438" s="202"/>
      <c r="I438" s="202"/>
      <c r="J438" s="202"/>
      <c r="K438" s="202"/>
      <c r="L438" s="202"/>
      <c r="M438" s="491"/>
      <c r="N438" s="491"/>
      <c r="O438" s="491"/>
      <c r="P438" s="491"/>
      <c r="Q438" s="491"/>
      <c r="R438" s="491"/>
      <c r="S438" s="491"/>
      <c r="T438" s="491"/>
      <c r="U438" s="491"/>
      <c r="V438" s="491"/>
      <c r="X438" s="1077"/>
    </row>
    <row r="439" spans="3:24" outlineLevel="1">
      <c r="C439" s="418" t="s">
        <v>627</v>
      </c>
      <c r="D439" s="419"/>
      <c r="E439" s="420"/>
      <c r="F439" s="420"/>
      <c r="G439" s="202"/>
      <c r="H439" s="202"/>
      <c r="I439" s="202"/>
      <c r="J439" s="202"/>
      <c r="K439" s="202"/>
      <c r="L439" s="202"/>
      <c r="M439" s="491"/>
      <c r="N439" s="491"/>
      <c r="O439" s="491"/>
      <c r="P439" s="491"/>
      <c r="Q439" s="491"/>
      <c r="R439" s="491"/>
      <c r="S439" s="491"/>
      <c r="T439" s="491"/>
      <c r="U439" s="491"/>
      <c r="V439" s="491"/>
      <c r="X439" s="1077"/>
    </row>
    <row r="440" spans="3:24" outlineLevel="1">
      <c r="C440" s="418" t="s">
        <v>627</v>
      </c>
      <c r="D440" s="419"/>
      <c r="E440" s="420"/>
      <c r="F440" s="420"/>
      <c r="G440" s="202"/>
      <c r="H440" s="202"/>
      <c r="I440" s="202"/>
      <c r="J440" s="202"/>
      <c r="K440" s="202"/>
      <c r="L440" s="202"/>
      <c r="M440" s="491"/>
      <c r="N440" s="491"/>
      <c r="O440" s="491"/>
      <c r="P440" s="491"/>
      <c r="Q440" s="491"/>
      <c r="R440" s="491"/>
      <c r="S440" s="491"/>
      <c r="T440" s="491"/>
      <c r="U440" s="491"/>
      <c r="V440" s="491"/>
      <c r="X440" s="1077"/>
    </row>
    <row r="441" spans="3:24" outlineLevel="1">
      <c r="C441" s="418" t="s">
        <v>627</v>
      </c>
      <c r="D441" s="419"/>
      <c r="E441" s="420"/>
      <c r="F441" s="420"/>
      <c r="G441" s="202"/>
      <c r="H441" s="202"/>
      <c r="I441" s="202"/>
      <c r="J441" s="202"/>
      <c r="K441" s="202"/>
      <c r="L441" s="202"/>
      <c r="M441" s="491"/>
      <c r="N441" s="491"/>
      <c r="O441" s="491"/>
      <c r="P441" s="491"/>
      <c r="Q441" s="491"/>
      <c r="R441" s="491"/>
      <c r="S441" s="491"/>
      <c r="T441" s="491"/>
      <c r="U441" s="491"/>
      <c r="V441" s="491"/>
      <c r="X441" s="1077"/>
    </row>
    <row r="442" spans="3:24" outlineLevel="1">
      <c r="C442" s="418" t="s">
        <v>627</v>
      </c>
      <c r="D442" s="419"/>
      <c r="E442" s="420"/>
      <c r="F442" s="420"/>
      <c r="G442" s="202"/>
      <c r="H442" s="202"/>
      <c r="I442" s="202"/>
      <c r="J442" s="202"/>
      <c r="K442" s="202"/>
      <c r="L442" s="202"/>
      <c r="M442" s="491"/>
      <c r="N442" s="491"/>
      <c r="O442" s="491"/>
      <c r="P442" s="491"/>
      <c r="Q442" s="491"/>
      <c r="R442" s="491"/>
      <c r="S442" s="491"/>
      <c r="T442" s="491"/>
      <c r="U442" s="491"/>
      <c r="V442" s="491"/>
      <c r="X442" s="1077"/>
    </row>
    <row r="443" spans="3:24" outlineLevel="1">
      <c r="C443" s="418" t="s">
        <v>627</v>
      </c>
      <c r="D443" s="419"/>
      <c r="E443" s="420"/>
      <c r="F443" s="420"/>
      <c r="G443" s="202"/>
      <c r="H443" s="202"/>
      <c r="I443" s="202"/>
      <c r="J443" s="202"/>
      <c r="K443" s="202"/>
      <c r="L443" s="202"/>
      <c r="M443" s="491"/>
      <c r="N443" s="491"/>
      <c r="O443" s="491"/>
      <c r="P443" s="491"/>
      <c r="Q443" s="491"/>
      <c r="R443" s="491"/>
      <c r="S443" s="491"/>
      <c r="T443" s="491"/>
      <c r="U443" s="491"/>
      <c r="V443" s="491"/>
      <c r="X443" s="1077"/>
    </row>
    <row r="444" spans="3:24" outlineLevel="1">
      <c r="C444" s="418" t="s">
        <v>627</v>
      </c>
      <c r="D444" s="419"/>
      <c r="E444" s="420"/>
      <c r="F444" s="420"/>
      <c r="G444" s="202"/>
      <c r="H444" s="202"/>
      <c r="I444" s="202"/>
      <c r="J444" s="202"/>
      <c r="K444" s="202"/>
      <c r="L444" s="202"/>
      <c r="M444" s="491"/>
      <c r="N444" s="491"/>
      <c r="O444" s="491"/>
      <c r="P444" s="491"/>
      <c r="Q444" s="491"/>
      <c r="R444" s="491"/>
      <c r="S444" s="491"/>
      <c r="T444" s="491"/>
      <c r="U444" s="491"/>
      <c r="V444" s="491"/>
      <c r="X444" s="1077"/>
    </row>
    <row r="445" spans="3:24" outlineLevel="1">
      <c r="C445" s="221" t="s">
        <v>628</v>
      </c>
      <c r="D445" s="202"/>
      <c r="E445" s="223"/>
      <c r="F445" s="223"/>
      <c r="G445" s="202"/>
      <c r="H445" s="202"/>
      <c r="I445" s="202"/>
      <c r="J445" s="202"/>
      <c r="K445" s="202"/>
      <c r="L445" s="202"/>
      <c r="M445" s="503">
        <f>SUM(M429:M444)</f>
        <v>1.9325763599999999</v>
      </c>
      <c r="N445" s="504">
        <f t="shared" ref="N445:V445" si="51">SUM(N429:N444)</f>
        <v>1.1857912399999999</v>
      </c>
      <c r="O445" s="504">
        <f t="shared" si="51"/>
        <v>1.1857912399999999</v>
      </c>
      <c r="P445" s="504">
        <f t="shared" si="51"/>
        <v>1.1857912399999999</v>
      </c>
      <c r="Q445" s="504">
        <f t="shared" si="51"/>
        <v>1.1857912399999999</v>
      </c>
      <c r="R445" s="504">
        <f t="shared" si="51"/>
        <v>1.1857912399999999</v>
      </c>
      <c r="S445" s="504">
        <f t="shared" si="51"/>
        <v>0</v>
      </c>
      <c r="T445" s="505">
        <f t="shared" si="51"/>
        <v>0</v>
      </c>
      <c r="U445" s="506">
        <f t="shared" si="51"/>
        <v>0</v>
      </c>
      <c r="V445" s="504">
        <f t="shared" si="51"/>
        <v>0</v>
      </c>
      <c r="X445" s="870">
        <f>SUM(X429:X437)</f>
        <v>0</v>
      </c>
    </row>
    <row r="446" spans="3:24" outlineLevel="1">
      <c r="C446" s="228"/>
      <c r="D446" s="229"/>
      <c r="E446" s="230"/>
      <c r="F446" s="230"/>
      <c r="G446" s="229"/>
      <c r="H446" s="229"/>
      <c r="I446" s="229"/>
      <c r="J446" s="229"/>
      <c r="K446" s="229"/>
      <c r="L446" s="229"/>
      <c r="M446" s="160"/>
      <c r="N446" s="160"/>
      <c r="O446" s="160"/>
      <c r="P446" s="160"/>
      <c r="Q446" s="160"/>
      <c r="R446" s="160"/>
      <c r="S446" s="160"/>
      <c r="T446" s="160"/>
      <c r="U446" s="302"/>
      <c r="V446" s="160"/>
      <c r="X446" s="160"/>
    </row>
    <row r="447" spans="3:24" outlineLevel="1">
      <c r="C447" s="231" t="s">
        <v>629</v>
      </c>
      <c r="D447" s="232"/>
      <c r="E447" s="232"/>
      <c r="F447" s="233"/>
      <c r="G447" s="232"/>
      <c r="H447" s="232"/>
      <c r="I447" s="232"/>
      <c r="J447" s="232"/>
      <c r="K447" s="232"/>
      <c r="L447" s="232"/>
      <c r="M447" s="160"/>
      <c r="N447" s="160"/>
      <c r="O447" s="160"/>
      <c r="P447" s="160"/>
      <c r="Q447" s="160"/>
      <c r="R447" s="160"/>
      <c r="S447" s="160"/>
      <c r="T447" s="160"/>
      <c r="U447" s="302"/>
      <c r="V447" s="160"/>
      <c r="X447" s="160"/>
    </row>
    <row r="448" spans="3:24" outlineLevel="1">
      <c r="C448" s="219" t="s">
        <v>630</v>
      </c>
      <c r="D448" s="202"/>
      <c r="E448" s="220"/>
      <c r="F448" s="220"/>
      <c r="G448" s="202"/>
      <c r="H448" s="202"/>
      <c r="I448" s="202"/>
      <c r="J448" s="202"/>
      <c r="K448" s="202"/>
      <c r="L448" s="220"/>
      <c r="M448" s="487"/>
      <c r="N448" s="488"/>
      <c r="O448" s="488"/>
      <c r="P448" s="488"/>
      <c r="Q448" s="488"/>
      <c r="R448" s="488"/>
      <c r="S448" s="488"/>
      <c r="T448" s="489"/>
      <c r="U448" s="490"/>
      <c r="V448" s="488"/>
      <c r="X448" s="1077"/>
    </row>
    <row r="449" spans="2:24" outlineLevel="1">
      <c r="C449" s="220" t="s">
        <v>631</v>
      </c>
      <c r="D449" s="202"/>
      <c r="E449" s="220"/>
      <c r="F449" s="220"/>
      <c r="G449" s="202"/>
      <c r="H449" s="202"/>
      <c r="I449" s="202"/>
      <c r="J449" s="202"/>
      <c r="K449" s="202"/>
      <c r="L449" s="220"/>
      <c r="M449" s="491"/>
      <c r="N449" s="492"/>
      <c r="O449" s="492"/>
      <c r="P449" s="492"/>
      <c r="Q449" s="492"/>
      <c r="R449" s="492"/>
      <c r="S449" s="492"/>
      <c r="T449" s="493"/>
      <c r="U449" s="494"/>
      <c r="V449" s="492"/>
      <c r="X449" s="1077"/>
    </row>
    <row r="450" spans="2:24" outlineLevel="1">
      <c r="C450" s="220" t="s">
        <v>632</v>
      </c>
      <c r="D450" s="202"/>
      <c r="E450" s="220"/>
      <c r="F450" s="220"/>
      <c r="G450" s="202"/>
      <c r="H450" s="202"/>
      <c r="I450" s="202"/>
      <c r="J450" s="202"/>
      <c r="K450" s="202"/>
      <c r="L450" s="220"/>
      <c r="M450" s="491"/>
      <c r="N450" s="492"/>
      <c r="O450" s="492"/>
      <c r="P450" s="492"/>
      <c r="Q450" s="492"/>
      <c r="R450" s="492"/>
      <c r="S450" s="492"/>
      <c r="T450" s="493"/>
      <c r="U450" s="494"/>
      <c r="V450" s="492"/>
      <c r="X450" s="1077"/>
    </row>
    <row r="451" spans="2:24" outlineLevel="1">
      <c r="B451" s="151" t="s">
        <v>493</v>
      </c>
      <c r="C451" s="219" t="s">
        <v>633</v>
      </c>
      <c r="D451" s="202"/>
      <c r="E451" s="220"/>
      <c r="F451" s="220"/>
      <c r="G451" s="202"/>
      <c r="H451" s="202"/>
      <c r="I451" s="202"/>
      <c r="J451" s="202"/>
      <c r="K451" s="202"/>
      <c r="L451" s="220"/>
      <c r="M451" s="699">
        <f>M138</f>
        <v>-0.95578613000000001</v>
      </c>
      <c r="N451" s="700">
        <f t="shared" ref="N451:V451" si="52">N138</f>
        <v>0</v>
      </c>
      <c r="O451" s="700">
        <f t="shared" si="52"/>
        <v>0</v>
      </c>
      <c r="P451" s="700">
        <f t="shared" si="52"/>
        <v>0</v>
      </c>
      <c r="Q451" s="700">
        <f t="shared" si="52"/>
        <v>0</v>
      </c>
      <c r="R451" s="700">
        <f t="shared" si="52"/>
        <v>0</v>
      </c>
      <c r="S451" s="700">
        <f t="shared" si="52"/>
        <v>0</v>
      </c>
      <c r="T451" s="701">
        <f t="shared" si="52"/>
        <v>0</v>
      </c>
      <c r="U451" s="702">
        <f t="shared" si="52"/>
        <v>0</v>
      </c>
      <c r="V451" s="700">
        <f t="shared" si="52"/>
        <v>0</v>
      </c>
      <c r="X451" s="871">
        <f>X138</f>
        <v>0</v>
      </c>
    </row>
    <row r="452" spans="2:24" outlineLevel="1">
      <c r="C452" s="221" t="s">
        <v>634</v>
      </c>
      <c r="D452" s="202"/>
      <c r="E452" s="220"/>
      <c r="F452" s="220"/>
      <c r="G452" s="202"/>
      <c r="H452" s="202"/>
      <c r="I452" s="202"/>
      <c r="J452" s="202"/>
      <c r="K452" s="202"/>
      <c r="L452" s="220"/>
      <c r="M452" s="511">
        <f t="shared" ref="M452:X452" si="53">SUM(M448:M451)</f>
        <v>-0.95578613000000001</v>
      </c>
      <c r="N452" s="512">
        <f t="shared" si="53"/>
        <v>0</v>
      </c>
      <c r="O452" s="512">
        <f t="shared" si="53"/>
        <v>0</v>
      </c>
      <c r="P452" s="512">
        <f t="shared" si="53"/>
        <v>0</v>
      </c>
      <c r="Q452" s="512">
        <f t="shared" si="53"/>
        <v>0</v>
      </c>
      <c r="R452" s="512">
        <f t="shared" si="53"/>
        <v>0</v>
      </c>
      <c r="S452" s="512">
        <f t="shared" si="53"/>
        <v>0</v>
      </c>
      <c r="T452" s="513">
        <f t="shared" si="53"/>
        <v>0</v>
      </c>
      <c r="U452" s="514">
        <f t="shared" si="53"/>
        <v>0</v>
      </c>
      <c r="V452" s="512">
        <f t="shared" si="53"/>
        <v>0</v>
      </c>
      <c r="X452" s="870">
        <f t="shared" si="53"/>
        <v>0</v>
      </c>
    </row>
    <row r="453" spans="2:24" outlineLevel="1">
      <c r="C453" s="219" t="s">
        <v>635</v>
      </c>
      <c r="D453" s="202"/>
      <c r="E453" s="220"/>
      <c r="F453" s="220"/>
      <c r="G453" s="202"/>
      <c r="H453" s="202"/>
      <c r="I453" s="202"/>
      <c r="J453" s="202"/>
      <c r="K453" s="202"/>
      <c r="L453" s="220"/>
      <c r="M453" s="491"/>
      <c r="N453" s="491"/>
      <c r="O453" s="491"/>
      <c r="P453" s="491"/>
      <c r="Q453" s="491"/>
      <c r="R453" s="491"/>
      <c r="S453" s="491"/>
      <c r="T453" s="493"/>
      <c r="U453" s="494"/>
      <c r="V453" s="492"/>
      <c r="X453" s="1077"/>
    </row>
    <row r="454" spans="2:24" outlineLevel="1">
      <c r="C454" s="219" t="s">
        <v>636</v>
      </c>
      <c r="D454" s="202"/>
      <c r="E454" s="220"/>
      <c r="F454" s="220"/>
      <c r="G454" s="202"/>
      <c r="H454" s="202"/>
      <c r="I454" s="202"/>
      <c r="J454" s="202"/>
      <c r="K454" s="202"/>
      <c r="L454" s="220"/>
      <c r="M454" s="491"/>
      <c r="N454" s="491"/>
      <c r="O454" s="491"/>
      <c r="P454" s="491"/>
      <c r="Q454" s="491"/>
      <c r="R454" s="491"/>
      <c r="S454" s="491"/>
      <c r="T454" s="493"/>
      <c r="U454" s="494"/>
      <c r="V454" s="492"/>
      <c r="X454" s="1077"/>
    </row>
    <row r="455" spans="2:24" outlineLevel="1">
      <c r="C455" s="219" t="s">
        <v>637</v>
      </c>
      <c r="D455" s="202"/>
      <c r="E455" s="222"/>
      <c r="F455" s="222"/>
      <c r="G455" s="202"/>
      <c r="H455" s="202"/>
      <c r="I455" s="202"/>
      <c r="J455" s="202"/>
      <c r="K455" s="202"/>
      <c r="L455" s="202"/>
      <c r="M455" s="491"/>
      <c r="N455" s="491"/>
      <c r="O455" s="491"/>
      <c r="P455" s="491"/>
      <c r="Q455" s="491"/>
      <c r="R455" s="491"/>
      <c r="S455" s="491"/>
      <c r="T455" s="493"/>
      <c r="U455" s="494"/>
      <c r="V455" s="492"/>
      <c r="X455" s="1077"/>
    </row>
    <row r="456" spans="2:24" outlineLevel="1">
      <c r="C456" s="418" t="s">
        <v>1051</v>
      </c>
      <c r="D456" s="419"/>
      <c r="E456" s="420"/>
      <c r="F456" s="420"/>
      <c r="G456" s="202"/>
      <c r="H456" s="202"/>
      <c r="I456" s="202"/>
      <c r="J456" s="202"/>
      <c r="K456" s="202"/>
      <c r="L456" s="220"/>
      <c r="M456" s="491">
        <v>-0.30187214000000001</v>
      </c>
      <c r="N456" s="491"/>
      <c r="O456" s="491"/>
      <c r="P456" s="491"/>
      <c r="Q456" s="491"/>
      <c r="R456" s="491"/>
      <c r="S456" s="491"/>
      <c r="T456" s="517"/>
      <c r="U456" s="518"/>
      <c r="V456" s="516"/>
      <c r="X456" s="1077"/>
    </row>
    <row r="457" spans="2:24" outlineLevel="1">
      <c r="C457" s="221" t="s">
        <v>638</v>
      </c>
      <c r="D457" s="202"/>
      <c r="E457" s="220"/>
      <c r="F457" s="220"/>
      <c r="G457" s="202"/>
      <c r="H457" s="202"/>
      <c r="I457" s="202"/>
      <c r="J457" s="202"/>
      <c r="K457" s="202"/>
      <c r="L457" s="220"/>
      <c r="M457" s="503">
        <f>SUM(M452:M456)</f>
        <v>-1.2576582700000001</v>
      </c>
      <c r="N457" s="504">
        <f t="shared" ref="N457:X457" si="54">SUM(N452:N456)</f>
        <v>0</v>
      </c>
      <c r="O457" s="504">
        <f t="shared" si="54"/>
        <v>0</v>
      </c>
      <c r="P457" s="504">
        <f t="shared" si="54"/>
        <v>0</v>
      </c>
      <c r="Q457" s="504">
        <f t="shared" si="54"/>
        <v>0</v>
      </c>
      <c r="R457" s="504">
        <f t="shared" si="54"/>
        <v>0</v>
      </c>
      <c r="S457" s="504">
        <f t="shared" si="54"/>
        <v>0</v>
      </c>
      <c r="T457" s="505">
        <f t="shared" si="54"/>
        <v>0</v>
      </c>
      <c r="U457" s="506">
        <f t="shared" si="54"/>
        <v>0</v>
      </c>
      <c r="V457" s="504">
        <f t="shared" si="54"/>
        <v>0</v>
      </c>
      <c r="X457" s="870">
        <f t="shared" si="54"/>
        <v>0</v>
      </c>
    </row>
    <row r="458" spans="2:24" outlineLevel="1">
      <c r="C458" s="239"/>
      <c r="D458" s="229"/>
      <c r="E458" s="230"/>
      <c r="F458" s="230"/>
      <c r="G458" s="229"/>
      <c r="H458" s="229"/>
      <c r="I458" s="229"/>
      <c r="J458" s="229"/>
      <c r="K458" s="229"/>
      <c r="L458" s="230"/>
      <c r="M458" s="160"/>
      <c r="N458" s="160"/>
      <c r="O458" s="160"/>
      <c r="P458" s="160"/>
      <c r="Q458" s="160"/>
      <c r="R458" s="160"/>
      <c r="S458" s="160"/>
      <c r="T458" s="160"/>
      <c r="U458" s="302"/>
      <c r="V458" s="160"/>
      <c r="X458" s="160"/>
    </row>
    <row r="459" spans="2:24" outlineLevel="1">
      <c r="C459" s="235" t="s">
        <v>639</v>
      </c>
      <c r="D459" s="236"/>
      <c r="E459" s="236"/>
      <c r="F459" s="236"/>
      <c r="G459" s="232"/>
      <c r="H459" s="232"/>
      <c r="I459" s="232"/>
      <c r="J459" s="232"/>
      <c r="K459" s="232"/>
      <c r="L459" s="233"/>
      <c r="U459" s="288"/>
    </row>
    <row r="460" spans="2:24" outlineLevel="1">
      <c r="C460" s="224" t="s">
        <v>640</v>
      </c>
      <c r="D460" s="224"/>
      <c r="E460" s="224"/>
      <c r="F460" s="224"/>
      <c r="G460" s="202"/>
      <c r="H460" s="202"/>
      <c r="I460" s="202"/>
      <c r="J460" s="202"/>
      <c r="K460" s="202"/>
      <c r="L460" s="202"/>
      <c r="M460" s="691">
        <f t="shared" ref="M460:X460" si="55">M445</f>
        <v>1.9325763599999999</v>
      </c>
      <c r="N460" s="692">
        <f t="shared" si="55"/>
        <v>1.1857912399999999</v>
      </c>
      <c r="O460" s="692">
        <f t="shared" si="55"/>
        <v>1.1857912399999999</v>
      </c>
      <c r="P460" s="692">
        <f t="shared" si="55"/>
        <v>1.1857912399999999</v>
      </c>
      <c r="Q460" s="692">
        <f t="shared" si="55"/>
        <v>1.1857912399999999</v>
      </c>
      <c r="R460" s="692">
        <f t="shared" si="55"/>
        <v>1.1857912399999999</v>
      </c>
      <c r="S460" s="692">
        <f t="shared" si="55"/>
        <v>0</v>
      </c>
      <c r="T460" s="693">
        <f t="shared" si="55"/>
        <v>0</v>
      </c>
      <c r="U460" s="694">
        <f t="shared" si="55"/>
        <v>0</v>
      </c>
      <c r="V460" s="692">
        <f t="shared" si="55"/>
        <v>0</v>
      </c>
      <c r="X460" s="1078">
        <f t="shared" si="55"/>
        <v>0</v>
      </c>
    </row>
    <row r="461" spans="2:24" ht="12.75" customHeight="1" outlineLevel="1">
      <c r="C461" s="224" t="s">
        <v>641</v>
      </c>
      <c r="D461" s="225"/>
      <c r="E461" s="225"/>
      <c r="F461" s="225"/>
      <c r="G461" s="202"/>
      <c r="H461" s="202"/>
      <c r="I461" s="202"/>
      <c r="J461" s="202"/>
      <c r="K461" s="202"/>
      <c r="L461" s="202"/>
      <c r="M461" s="695">
        <f t="shared" ref="M461:X461" si="56">M457</f>
        <v>-1.2576582700000001</v>
      </c>
      <c r="N461" s="696">
        <f t="shared" si="56"/>
        <v>0</v>
      </c>
      <c r="O461" s="696">
        <f t="shared" si="56"/>
        <v>0</v>
      </c>
      <c r="P461" s="696">
        <f t="shared" si="56"/>
        <v>0</v>
      </c>
      <c r="Q461" s="696">
        <f t="shared" si="56"/>
        <v>0</v>
      </c>
      <c r="R461" s="696">
        <f t="shared" si="56"/>
        <v>0</v>
      </c>
      <c r="S461" s="696">
        <f t="shared" si="56"/>
        <v>0</v>
      </c>
      <c r="T461" s="697">
        <f t="shared" si="56"/>
        <v>0</v>
      </c>
      <c r="U461" s="698">
        <f t="shared" si="56"/>
        <v>0</v>
      </c>
      <c r="V461" s="696">
        <f t="shared" si="56"/>
        <v>0</v>
      </c>
      <c r="X461" s="1078">
        <f t="shared" si="56"/>
        <v>0</v>
      </c>
    </row>
    <row r="462" spans="2:24" outlineLevel="1">
      <c r="C462" s="224" t="s">
        <v>642</v>
      </c>
      <c r="D462" s="224"/>
      <c r="E462" s="224"/>
      <c r="F462" s="224"/>
      <c r="G462" s="202"/>
      <c r="H462" s="202"/>
      <c r="I462" s="202"/>
      <c r="J462" s="202"/>
      <c r="K462" s="202"/>
      <c r="L462" s="202"/>
      <c r="M462" s="523">
        <f>SUM(M460:M461)</f>
        <v>0.6749180899999998</v>
      </c>
      <c r="N462" s="524">
        <f t="shared" ref="N462:X462" si="57">SUM(N460:N461)</f>
        <v>1.1857912399999999</v>
      </c>
      <c r="O462" s="524">
        <f t="shared" si="57"/>
        <v>1.1857912399999999</v>
      </c>
      <c r="P462" s="524">
        <f t="shared" si="57"/>
        <v>1.1857912399999999</v>
      </c>
      <c r="Q462" s="524">
        <f t="shared" si="57"/>
        <v>1.1857912399999999</v>
      </c>
      <c r="R462" s="524">
        <f t="shared" si="57"/>
        <v>1.1857912399999999</v>
      </c>
      <c r="S462" s="524">
        <f t="shared" si="57"/>
        <v>0</v>
      </c>
      <c r="T462" s="525">
        <f t="shared" si="57"/>
        <v>0</v>
      </c>
      <c r="U462" s="526">
        <f t="shared" si="57"/>
        <v>0</v>
      </c>
      <c r="V462" s="524">
        <f t="shared" si="57"/>
        <v>0</v>
      </c>
      <c r="X462" s="870">
        <f t="shared" si="57"/>
        <v>0</v>
      </c>
    </row>
    <row r="463" spans="2:24" outlineLevel="1">
      <c r="C463" s="229"/>
      <c r="D463" s="229"/>
      <c r="E463" s="229"/>
      <c r="F463" s="229"/>
      <c r="G463" s="229"/>
      <c r="H463" s="229"/>
      <c r="I463" s="229"/>
      <c r="J463" s="229"/>
      <c r="K463" s="229"/>
      <c r="L463" s="229"/>
      <c r="U463" s="288"/>
    </row>
    <row r="464" spans="2:24" outlineLevel="1">
      <c r="B464" s="162"/>
      <c r="C464" s="234" t="s">
        <v>643</v>
      </c>
      <c r="D464" s="234"/>
      <c r="E464" s="232"/>
      <c r="F464" s="232"/>
      <c r="G464" s="232"/>
      <c r="H464" s="232"/>
      <c r="I464" s="232"/>
      <c r="J464" s="232"/>
      <c r="K464" s="232"/>
      <c r="L464" s="232"/>
      <c r="U464" s="288"/>
    </row>
    <row r="465" spans="2:22" outlineLevel="1">
      <c r="B465" s="162"/>
      <c r="C465" s="202" t="s">
        <v>644</v>
      </c>
      <c r="D465" s="202"/>
      <c r="E465" s="202"/>
      <c r="F465" s="202"/>
      <c r="G465" s="202"/>
      <c r="H465" s="202"/>
      <c r="I465" s="202"/>
      <c r="J465" s="202"/>
      <c r="K465" s="202"/>
      <c r="L465" s="202"/>
      <c r="M465" s="630"/>
      <c r="N465" s="631"/>
      <c r="O465" s="631"/>
      <c r="P465" s="631"/>
      <c r="Q465" s="631"/>
      <c r="R465" s="631"/>
      <c r="S465" s="631"/>
      <c r="T465" s="632"/>
      <c r="U465" s="633"/>
      <c r="V465" s="631"/>
    </row>
    <row r="466" spans="2:22" outlineLevel="1">
      <c r="B466" s="162"/>
      <c r="C466" s="202" t="s">
        <v>645</v>
      </c>
      <c r="D466" s="202"/>
      <c r="E466" s="202"/>
      <c r="F466" s="202"/>
      <c r="G466" s="202"/>
      <c r="H466" s="202"/>
      <c r="I466" s="202"/>
      <c r="J466" s="202"/>
      <c r="K466" s="202"/>
      <c r="L466" s="202"/>
      <c r="M466" s="199">
        <f>1-M465</f>
        <v>1</v>
      </c>
      <c r="N466" s="200">
        <f t="shared" ref="N466:V466" si="58">1-N465</f>
        <v>1</v>
      </c>
      <c r="O466" s="200">
        <f t="shared" si="58"/>
        <v>1</v>
      </c>
      <c r="P466" s="200">
        <f t="shared" si="58"/>
        <v>1</v>
      </c>
      <c r="Q466" s="200">
        <f t="shared" si="58"/>
        <v>1</v>
      </c>
      <c r="R466" s="200">
        <f t="shared" si="58"/>
        <v>1</v>
      </c>
      <c r="S466" s="200">
        <f t="shared" si="58"/>
        <v>1</v>
      </c>
      <c r="T466" s="284">
        <f t="shared" si="58"/>
        <v>1</v>
      </c>
      <c r="U466" s="303">
        <f t="shared" si="58"/>
        <v>1</v>
      </c>
      <c r="V466" s="200">
        <f t="shared" si="58"/>
        <v>1</v>
      </c>
    </row>
    <row r="467" spans="2:22" outlineLevel="1">
      <c r="C467" s="229"/>
      <c r="D467" s="229"/>
      <c r="E467" s="229"/>
      <c r="F467" s="229"/>
      <c r="G467" s="229"/>
      <c r="H467" s="229"/>
      <c r="I467" s="229"/>
      <c r="J467" s="229"/>
      <c r="K467" s="229"/>
      <c r="L467" s="229"/>
      <c r="U467" s="288"/>
    </row>
    <row r="468" spans="2:22" outlineLevel="1">
      <c r="C468" s="235" t="s">
        <v>646</v>
      </c>
      <c r="D468" s="236"/>
      <c r="E468" s="236"/>
      <c r="F468" s="236"/>
      <c r="G468" s="232"/>
      <c r="H468" s="232"/>
      <c r="I468" s="232"/>
      <c r="J468" s="232"/>
      <c r="K468" s="232"/>
      <c r="L468" s="232"/>
      <c r="U468" s="288"/>
    </row>
    <row r="469" spans="2:22" outlineLevel="1">
      <c r="C469" s="224" t="s">
        <v>642</v>
      </c>
      <c r="D469" s="224"/>
      <c r="E469" s="224"/>
      <c r="F469" s="224"/>
      <c r="G469" s="202"/>
      <c r="H469" s="202"/>
      <c r="I469" s="202"/>
      <c r="J469" s="202"/>
      <c r="K469" s="202"/>
      <c r="L469" s="202"/>
      <c r="M469" s="691">
        <f t="shared" ref="M469:V469" si="59">M462</f>
        <v>0.6749180899999998</v>
      </c>
      <c r="N469" s="692">
        <f t="shared" si="59"/>
        <v>1.1857912399999999</v>
      </c>
      <c r="O469" s="692">
        <f t="shared" si="59"/>
        <v>1.1857912399999999</v>
      </c>
      <c r="P469" s="692">
        <f t="shared" si="59"/>
        <v>1.1857912399999999</v>
      </c>
      <c r="Q469" s="692">
        <f t="shared" si="59"/>
        <v>1.1857912399999999</v>
      </c>
      <c r="R469" s="692">
        <f t="shared" si="59"/>
        <v>1.1857912399999999</v>
      </c>
      <c r="S469" s="692">
        <f t="shared" si="59"/>
        <v>0</v>
      </c>
      <c r="T469" s="693">
        <f t="shared" si="59"/>
        <v>0</v>
      </c>
      <c r="U469" s="694">
        <f t="shared" si="59"/>
        <v>0</v>
      </c>
      <c r="V469" s="692">
        <f t="shared" si="59"/>
        <v>0</v>
      </c>
    </row>
    <row r="470" spans="2:22" ht="12.75" customHeight="1" outlineLevel="1">
      <c r="C470" s="224" t="s">
        <v>647</v>
      </c>
      <c r="D470" s="225"/>
      <c r="E470" s="225"/>
      <c r="F470" s="225"/>
      <c r="G470" s="202"/>
      <c r="H470" s="202"/>
      <c r="I470" s="202"/>
      <c r="J470" s="202"/>
      <c r="K470" s="202"/>
      <c r="L470" s="202"/>
      <c r="M470" s="491"/>
      <c r="N470" s="491"/>
      <c r="O470" s="491"/>
      <c r="P470" s="491"/>
      <c r="Q470" s="491"/>
      <c r="R470" s="491"/>
      <c r="S470" s="491"/>
      <c r="T470" s="491"/>
      <c r="U470" s="491"/>
      <c r="V470" s="491"/>
    </row>
    <row r="471" spans="2:22" ht="12.75" customHeight="1" outlineLevel="1">
      <c r="C471" s="224" t="s">
        <v>648</v>
      </c>
      <c r="D471" s="225"/>
      <c r="E471" s="225"/>
      <c r="F471" s="225"/>
      <c r="G471" s="202"/>
      <c r="H471" s="202"/>
      <c r="I471" s="202"/>
      <c r="J471" s="202"/>
      <c r="K471" s="202"/>
      <c r="L471" s="202"/>
      <c r="M471" s="491"/>
      <c r="N471" s="491"/>
      <c r="O471" s="491"/>
      <c r="P471" s="491"/>
      <c r="Q471" s="491"/>
      <c r="R471" s="491"/>
      <c r="S471" s="491"/>
      <c r="T471" s="491"/>
      <c r="U471" s="491"/>
      <c r="V471" s="491"/>
    </row>
    <row r="472" spans="2:22" ht="12.75" customHeight="1" outlineLevel="1">
      <c r="C472" s="224" t="s">
        <v>649</v>
      </c>
      <c r="D472" s="225"/>
      <c r="E472" s="225"/>
      <c r="F472" s="225"/>
      <c r="G472" s="202"/>
      <c r="H472" s="202"/>
      <c r="I472" s="202"/>
      <c r="J472" s="202"/>
      <c r="K472" s="202"/>
      <c r="L472" s="202"/>
      <c r="M472" s="491"/>
      <c r="N472" s="491"/>
      <c r="O472" s="491"/>
      <c r="P472" s="491"/>
      <c r="Q472" s="491"/>
      <c r="R472" s="491"/>
      <c r="S472" s="491"/>
      <c r="T472" s="491"/>
      <c r="U472" s="491"/>
      <c r="V472" s="491"/>
    </row>
    <row r="473" spans="2:22" ht="12.75" customHeight="1" outlineLevel="1">
      <c r="C473" s="224" t="s">
        <v>650</v>
      </c>
      <c r="D473" s="225"/>
      <c r="E473" s="225"/>
      <c r="F473" s="225"/>
      <c r="G473" s="202"/>
      <c r="H473" s="202"/>
      <c r="I473" s="202"/>
      <c r="J473" s="202"/>
      <c r="K473" s="202"/>
      <c r="L473" s="202"/>
      <c r="M473" s="491"/>
      <c r="N473" s="491"/>
      <c r="O473" s="491"/>
      <c r="P473" s="491"/>
      <c r="Q473" s="491"/>
      <c r="R473" s="491"/>
      <c r="S473" s="491"/>
      <c r="T473" s="491"/>
      <c r="U473" s="491"/>
      <c r="V473" s="491"/>
    </row>
    <row r="474" spans="2:22" ht="12.75" customHeight="1" outlineLevel="1">
      <c r="C474" s="224" t="s">
        <v>651</v>
      </c>
      <c r="D474" s="225"/>
      <c r="E474" s="225"/>
      <c r="F474" s="225"/>
      <c r="G474" s="202"/>
      <c r="H474" s="202"/>
      <c r="I474" s="202"/>
      <c r="J474" s="202"/>
      <c r="K474" s="202"/>
      <c r="L474" s="202"/>
      <c r="M474" s="491"/>
      <c r="N474" s="491"/>
      <c r="O474" s="491"/>
      <c r="P474" s="491"/>
      <c r="Q474" s="491"/>
      <c r="R474" s="491"/>
      <c r="S474" s="491"/>
      <c r="T474" s="491"/>
      <c r="U474" s="491"/>
      <c r="V474" s="491"/>
    </row>
    <row r="475" spans="2:22" ht="12.75" customHeight="1" outlineLevel="1">
      <c r="C475" s="224" t="s">
        <v>652</v>
      </c>
      <c r="D475" s="225"/>
      <c r="E475" s="225"/>
      <c r="F475" s="225"/>
      <c r="G475" s="202"/>
      <c r="H475" s="202"/>
      <c r="I475" s="202"/>
      <c r="J475" s="202"/>
      <c r="K475" s="202"/>
      <c r="L475" s="202"/>
      <c r="M475" s="491"/>
      <c r="N475" s="491"/>
      <c r="O475" s="491"/>
      <c r="P475" s="491"/>
      <c r="Q475" s="491"/>
      <c r="R475" s="491"/>
      <c r="S475" s="491"/>
      <c r="T475" s="491"/>
      <c r="U475" s="491"/>
      <c r="V475" s="491"/>
    </row>
    <row r="476" spans="2:22" ht="12.75" customHeight="1" outlineLevel="1">
      <c r="C476" s="224" t="s">
        <v>653</v>
      </c>
      <c r="D476" s="225"/>
      <c r="E476" s="225"/>
      <c r="F476" s="225"/>
      <c r="G476" s="202"/>
      <c r="H476" s="202"/>
      <c r="I476" s="202"/>
      <c r="J476" s="202"/>
      <c r="K476" s="202"/>
      <c r="L476" s="202"/>
      <c r="M476" s="491"/>
      <c r="N476" s="491"/>
      <c r="O476" s="491"/>
      <c r="P476" s="491"/>
      <c r="Q476" s="491"/>
      <c r="R476" s="491"/>
      <c r="S476" s="491"/>
      <c r="T476" s="491"/>
      <c r="U476" s="491"/>
      <c r="V476" s="491"/>
    </row>
    <row r="477" spans="2:22" ht="12.75" customHeight="1" outlineLevel="1">
      <c r="C477" s="224" t="s">
        <v>654</v>
      </c>
      <c r="D477" s="225"/>
      <c r="E477" s="225"/>
      <c r="F477" s="225"/>
      <c r="G477" s="202"/>
      <c r="H477" s="202"/>
      <c r="I477" s="202"/>
      <c r="J477" s="202"/>
      <c r="K477" s="202"/>
      <c r="L477" s="202"/>
      <c r="M477" s="491"/>
      <c r="N477" s="491"/>
      <c r="O477" s="491"/>
      <c r="P477" s="491"/>
      <c r="Q477" s="491"/>
      <c r="R477" s="491"/>
      <c r="S477" s="491"/>
      <c r="T477" s="491"/>
      <c r="U477" s="491"/>
      <c r="V477" s="491"/>
    </row>
    <row r="478" spans="2:22" outlineLevel="1">
      <c r="C478" s="641" t="s">
        <v>1052</v>
      </c>
      <c r="D478" s="645"/>
      <c r="E478" s="226"/>
      <c r="F478" s="226"/>
      <c r="G478" s="202"/>
      <c r="H478" s="202"/>
      <c r="I478" s="202"/>
      <c r="J478" s="202"/>
      <c r="K478" s="202"/>
      <c r="L478" s="202"/>
      <c r="M478" s="491">
        <v>0.40495103999999998</v>
      </c>
      <c r="N478" s="491">
        <v>0</v>
      </c>
      <c r="O478" s="491">
        <v>0</v>
      </c>
      <c r="P478" s="491">
        <v>0</v>
      </c>
      <c r="Q478" s="491">
        <v>0</v>
      </c>
      <c r="R478" s="491">
        <v>0</v>
      </c>
      <c r="S478" s="491">
        <v>0</v>
      </c>
      <c r="T478" s="491">
        <v>0</v>
      </c>
      <c r="U478" s="491">
        <v>0</v>
      </c>
      <c r="V478" s="491">
        <v>0</v>
      </c>
    </row>
    <row r="479" spans="2:22" outlineLevel="1">
      <c r="C479" s="641" t="s">
        <v>415</v>
      </c>
      <c r="D479" s="645"/>
      <c r="E479" s="226"/>
      <c r="F479" s="226"/>
      <c r="G479" s="202"/>
      <c r="H479" s="202"/>
      <c r="I479" s="202"/>
      <c r="J479" s="202"/>
      <c r="K479" s="202"/>
      <c r="L479" s="202"/>
      <c r="M479" s="491"/>
      <c r="N479" s="491"/>
      <c r="O479" s="491"/>
      <c r="P479" s="491"/>
      <c r="Q479" s="491"/>
      <c r="R479" s="491"/>
      <c r="S479" s="491"/>
      <c r="T479" s="491"/>
      <c r="U479" s="491"/>
      <c r="V479" s="491"/>
    </row>
    <row r="480" spans="2:22" outlineLevel="1">
      <c r="C480" s="641" t="s">
        <v>416</v>
      </c>
      <c r="D480" s="645"/>
      <c r="E480" s="226"/>
      <c r="F480" s="226"/>
      <c r="G480" s="202"/>
      <c r="H480" s="202"/>
      <c r="I480" s="202"/>
      <c r="J480" s="202"/>
      <c r="K480" s="202"/>
      <c r="L480" s="202"/>
      <c r="M480" s="491">
        <v>0.95578613000000001</v>
      </c>
      <c r="N480" s="491">
        <v>0</v>
      </c>
      <c r="O480" s="491">
        <v>0</v>
      </c>
      <c r="P480" s="491">
        <v>0</v>
      </c>
      <c r="Q480" s="491">
        <v>0</v>
      </c>
      <c r="R480" s="491">
        <v>0</v>
      </c>
      <c r="S480" s="491">
        <v>0</v>
      </c>
      <c r="T480" s="491">
        <v>0</v>
      </c>
      <c r="U480" s="491">
        <v>0</v>
      </c>
      <c r="V480" s="491">
        <v>0</v>
      </c>
    </row>
    <row r="481" spans="3:22" outlineLevel="1">
      <c r="C481" s="641" t="s">
        <v>1053</v>
      </c>
      <c r="D481" s="645"/>
      <c r="E481" s="226"/>
      <c r="F481" s="226"/>
      <c r="G481" s="202"/>
      <c r="H481" s="202"/>
      <c r="I481" s="202"/>
      <c r="J481" s="202"/>
      <c r="K481" s="202"/>
      <c r="L481" s="202"/>
      <c r="M481" s="491">
        <v>-1.07065126</v>
      </c>
      <c r="N481" s="491">
        <v>0</v>
      </c>
      <c r="O481" s="491">
        <v>0</v>
      </c>
      <c r="P481" s="491">
        <v>0</v>
      </c>
      <c r="Q481" s="491">
        <v>0</v>
      </c>
      <c r="R481" s="491">
        <v>0</v>
      </c>
      <c r="S481" s="491">
        <v>0</v>
      </c>
      <c r="T481" s="491">
        <v>0</v>
      </c>
      <c r="U481" s="491">
        <v>0</v>
      </c>
      <c r="V481" s="491">
        <v>0</v>
      </c>
    </row>
    <row r="482" spans="3:22" outlineLevel="1">
      <c r="C482" s="641" t="s">
        <v>1051</v>
      </c>
      <c r="D482" s="645"/>
      <c r="E482" s="226"/>
      <c r="F482" s="226"/>
      <c r="G482" s="202"/>
      <c r="H482" s="202"/>
      <c r="I482" s="202"/>
      <c r="J482" s="202"/>
      <c r="K482" s="202"/>
      <c r="L482" s="202"/>
      <c r="M482" s="491">
        <v>0.30187214000000001</v>
      </c>
      <c r="N482" s="491">
        <v>0</v>
      </c>
      <c r="O482" s="491">
        <v>0</v>
      </c>
      <c r="P482" s="491">
        <v>0</v>
      </c>
      <c r="Q482" s="491">
        <v>0</v>
      </c>
      <c r="R482" s="491">
        <v>0</v>
      </c>
      <c r="S482" s="491">
        <v>0</v>
      </c>
      <c r="T482" s="491">
        <v>0</v>
      </c>
      <c r="U482" s="491">
        <v>0</v>
      </c>
      <c r="V482" s="491">
        <v>0</v>
      </c>
    </row>
    <row r="483" spans="3:22" outlineLevel="1">
      <c r="C483" s="641" t="s">
        <v>804</v>
      </c>
      <c r="D483" s="645"/>
      <c r="E483" s="226"/>
      <c r="F483" s="226"/>
      <c r="G483" s="202"/>
      <c r="H483" s="202"/>
      <c r="I483" s="202"/>
      <c r="J483" s="202"/>
      <c r="K483" s="202"/>
      <c r="L483" s="202"/>
      <c r="M483" s="491"/>
      <c r="N483" s="491"/>
      <c r="O483" s="491"/>
      <c r="P483" s="491"/>
      <c r="Q483" s="491"/>
      <c r="R483" s="491"/>
      <c r="S483" s="491"/>
      <c r="T483" s="491"/>
      <c r="U483" s="491"/>
      <c r="V483" s="491"/>
    </row>
    <row r="484" spans="3:22" outlineLevel="1">
      <c r="C484" s="641" t="s">
        <v>1054</v>
      </c>
      <c r="D484" s="645"/>
      <c r="E484" s="226"/>
      <c r="F484" s="226"/>
      <c r="G484" s="202"/>
      <c r="H484" s="202"/>
      <c r="I484" s="202"/>
      <c r="J484" s="202"/>
      <c r="K484" s="202"/>
      <c r="L484" s="202"/>
      <c r="M484" s="491">
        <v>-8.1084899999999988E-2</v>
      </c>
      <c r="N484" s="491">
        <v>0</v>
      </c>
      <c r="O484" s="491">
        <v>0</v>
      </c>
      <c r="P484" s="491">
        <v>0</v>
      </c>
      <c r="Q484" s="491">
        <v>0</v>
      </c>
      <c r="R484" s="491">
        <v>0</v>
      </c>
      <c r="S484" s="491">
        <v>0</v>
      </c>
      <c r="T484" s="491">
        <v>0</v>
      </c>
      <c r="U484" s="491">
        <v>0</v>
      </c>
      <c r="V484" s="491">
        <v>0</v>
      </c>
    </row>
    <row r="485" spans="3:22" outlineLevel="1">
      <c r="C485" s="641" t="s">
        <v>655</v>
      </c>
      <c r="D485" s="645"/>
      <c r="E485" s="226"/>
      <c r="F485" s="226"/>
      <c r="G485" s="202"/>
      <c r="H485" s="202"/>
      <c r="I485" s="202"/>
      <c r="J485" s="202"/>
      <c r="K485" s="202"/>
      <c r="L485" s="202"/>
      <c r="M485" s="491"/>
      <c r="N485" s="491"/>
      <c r="O485" s="491"/>
      <c r="P485" s="491"/>
      <c r="Q485" s="491"/>
      <c r="R485" s="491"/>
      <c r="S485" s="491"/>
      <c r="T485" s="491"/>
      <c r="U485" s="491"/>
      <c r="V485" s="491"/>
    </row>
    <row r="486" spans="3:22" outlineLevel="1">
      <c r="C486" s="641" t="s">
        <v>655</v>
      </c>
      <c r="D486" s="645"/>
      <c r="E486" s="226"/>
      <c r="F486" s="226"/>
      <c r="G486" s="202"/>
      <c r="H486" s="202"/>
      <c r="I486" s="202"/>
      <c r="J486" s="202"/>
      <c r="K486" s="202"/>
      <c r="L486" s="202"/>
      <c r="M486" s="491"/>
      <c r="N486" s="491"/>
      <c r="O486" s="491"/>
      <c r="P486" s="491"/>
      <c r="Q486" s="491"/>
      <c r="R486" s="491"/>
      <c r="S486" s="491"/>
      <c r="T486" s="491"/>
      <c r="U486" s="491"/>
      <c r="V486" s="491"/>
    </row>
    <row r="487" spans="3:22" ht="12.75" customHeight="1" outlineLevel="1">
      <c r="C487" s="421" t="s">
        <v>300</v>
      </c>
      <c r="D487" s="227"/>
      <c r="E487" s="227"/>
      <c r="F487" s="227"/>
      <c r="G487" s="202"/>
      <c r="H487" s="202"/>
      <c r="I487" s="202"/>
      <c r="J487" s="202"/>
      <c r="K487" s="202"/>
      <c r="L487" s="202"/>
      <c r="M487" s="503">
        <f>SUM(M469:M486)</f>
        <v>1.1857912399999999</v>
      </c>
      <c r="N487" s="504">
        <f t="shared" ref="N487:V487" si="60">SUM(N469:N486)</f>
        <v>1.1857912399999999</v>
      </c>
      <c r="O487" s="504">
        <f t="shared" si="60"/>
        <v>1.1857912399999999</v>
      </c>
      <c r="P487" s="504">
        <f t="shared" si="60"/>
        <v>1.1857912399999999</v>
      </c>
      <c r="Q487" s="504">
        <f t="shared" si="60"/>
        <v>1.1857912399999999</v>
      </c>
      <c r="R487" s="504">
        <f t="shared" si="60"/>
        <v>1.1857912399999999</v>
      </c>
      <c r="S487" s="504">
        <f t="shared" si="60"/>
        <v>0</v>
      </c>
      <c r="T487" s="505">
        <f t="shared" si="60"/>
        <v>0</v>
      </c>
      <c r="U487" s="506">
        <f t="shared" si="60"/>
        <v>0</v>
      </c>
      <c r="V487" s="504">
        <f t="shared" si="60"/>
        <v>0</v>
      </c>
    </row>
    <row r="488" spans="3:22" outlineLevel="1">
      <c r="C488" s="237"/>
      <c r="D488" s="238"/>
      <c r="E488" s="238"/>
      <c r="F488" s="238"/>
      <c r="G488" s="229"/>
      <c r="H488" s="229"/>
      <c r="I488" s="229"/>
      <c r="J488" s="229"/>
      <c r="K488" s="229"/>
      <c r="L488" s="229"/>
      <c r="U488" s="288"/>
    </row>
    <row r="489" spans="3:22" outlineLevel="1">
      <c r="C489" s="224" t="s">
        <v>656</v>
      </c>
      <c r="D489" s="224"/>
      <c r="E489" s="224"/>
      <c r="F489" s="224"/>
      <c r="M489" s="503">
        <f>-M476</f>
        <v>0</v>
      </c>
      <c r="N489" s="503">
        <f t="shared" ref="N489:V489" si="61">-N476</f>
        <v>0</v>
      </c>
      <c r="O489" s="503">
        <f t="shared" si="61"/>
        <v>0</v>
      </c>
      <c r="P489" s="503">
        <f t="shared" si="61"/>
        <v>0</v>
      </c>
      <c r="Q489" s="503">
        <f t="shared" si="61"/>
        <v>0</v>
      </c>
      <c r="R489" s="503">
        <f t="shared" si="61"/>
        <v>0</v>
      </c>
      <c r="S489" s="503">
        <f t="shared" si="61"/>
        <v>0</v>
      </c>
      <c r="T489" s="503">
        <f t="shared" si="61"/>
        <v>0</v>
      </c>
      <c r="U489" s="503">
        <f t="shared" si="61"/>
        <v>0</v>
      </c>
      <c r="V489" s="503">
        <f t="shared" si="61"/>
        <v>0</v>
      </c>
    </row>
    <row r="490" spans="3:22" ht="12.75" customHeight="1" outlineLevel="1">
      <c r="C490" s="224" t="s">
        <v>657</v>
      </c>
      <c r="D490" s="225"/>
      <c r="E490" s="225"/>
      <c r="F490" s="225"/>
      <c r="G490" s="202"/>
      <c r="H490" s="202"/>
      <c r="I490" s="202"/>
      <c r="J490" s="202"/>
      <c r="K490" s="202"/>
      <c r="L490" s="202"/>
      <c r="M490" s="491"/>
      <c r="N490" s="491"/>
      <c r="O490" s="491"/>
      <c r="P490" s="491"/>
      <c r="Q490" s="491"/>
      <c r="R490" s="491"/>
      <c r="S490" s="491"/>
      <c r="T490" s="491"/>
      <c r="U490" s="491"/>
      <c r="V490" s="491"/>
    </row>
    <row r="491" spans="3:22" outlineLevel="1">
      <c r="C491" s="224" t="s">
        <v>658</v>
      </c>
      <c r="D491" s="224"/>
      <c r="E491" s="224"/>
      <c r="F491" s="224"/>
      <c r="G491" s="202"/>
      <c r="H491" s="202"/>
      <c r="I491" s="202"/>
      <c r="J491" s="202"/>
      <c r="K491" s="202"/>
      <c r="L491" s="202"/>
      <c r="M491" s="491"/>
      <c r="N491" s="491"/>
      <c r="O491" s="491"/>
      <c r="P491" s="491"/>
      <c r="Q491" s="491"/>
      <c r="R491" s="491"/>
      <c r="S491" s="491"/>
      <c r="T491" s="491"/>
      <c r="U491" s="491"/>
      <c r="V491" s="491"/>
    </row>
    <row r="492" spans="3:22" outlineLevel="1">
      <c r="C492" s="641" t="s">
        <v>655</v>
      </c>
      <c r="D492" s="645"/>
      <c r="E492" s="645"/>
      <c r="F492" s="645"/>
      <c r="M492" s="491"/>
      <c r="N492" s="491"/>
      <c r="O492" s="491"/>
      <c r="P492" s="491"/>
      <c r="Q492" s="491"/>
      <c r="R492" s="491"/>
      <c r="S492" s="491"/>
      <c r="T492" s="491"/>
      <c r="U492" s="491"/>
      <c r="V492" s="491"/>
    </row>
    <row r="493" spans="3:22" outlineLevel="1">
      <c r="C493" s="641" t="s">
        <v>655</v>
      </c>
      <c r="D493" s="645"/>
      <c r="E493" s="645"/>
      <c r="F493" s="645"/>
      <c r="M493" s="491"/>
      <c r="N493" s="491"/>
      <c r="O493" s="491"/>
      <c r="P493" s="491"/>
      <c r="Q493" s="491"/>
      <c r="R493" s="491"/>
      <c r="S493" s="491"/>
      <c r="T493" s="491"/>
      <c r="U493" s="491"/>
      <c r="V493" s="491"/>
    </row>
    <row r="494" spans="3:22" outlineLevel="1">
      <c r="C494" s="641" t="s">
        <v>655</v>
      </c>
      <c r="D494" s="645"/>
      <c r="E494" s="645"/>
      <c r="F494" s="645"/>
      <c r="M494" s="491"/>
      <c r="N494" s="491"/>
      <c r="O494" s="491"/>
      <c r="P494" s="491"/>
      <c r="Q494" s="491"/>
      <c r="R494" s="491"/>
      <c r="S494" s="491"/>
      <c r="T494" s="491"/>
      <c r="U494" s="491"/>
      <c r="V494" s="491"/>
    </row>
    <row r="495" spans="3:22" outlineLevel="1">
      <c r="C495" s="641" t="s">
        <v>655</v>
      </c>
      <c r="D495" s="641"/>
      <c r="E495" s="641"/>
      <c r="F495" s="641"/>
      <c r="M495" s="491"/>
      <c r="N495" s="491"/>
      <c r="O495" s="491"/>
      <c r="P495" s="491"/>
      <c r="Q495" s="491"/>
      <c r="R495" s="491"/>
      <c r="S495" s="491"/>
      <c r="T495" s="491"/>
      <c r="U495" s="491"/>
      <c r="V495" s="491"/>
    </row>
    <row r="496" spans="3:22" s="598" customFormat="1" outlineLevel="1">
      <c r="C496" s="642" t="s">
        <v>427</v>
      </c>
      <c r="D496" s="643"/>
      <c r="E496" s="643"/>
      <c r="F496" s="643"/>
      <c r="M496" s="503">
        <f>SUM(M489:M495)</f>
        <v>0</v>
      </c>
      <c r="N496" s="503">
        <f t="shared" ref="N496:V496" si="62">SUM(N489:N495)</f>
        <v>0</v>
      </c>
      <c r="O496" s="503">
        <f t="shared" si="62"/>
        <v>0</v>
      </c>
      <c r="P496" s="503">
        <f t="shared" si="62"/>
        <v>0</v>
      </c>
      <c r="Q496" s="503">
        <f t="shared" si="62"/>
        <v>0</v>
      </c>
      <c r="R496" s="503">
        <f t="shared" si="62"/>
        <v>0</v>
      </c>
      <c r="S496" s="503">
        <f t="shared" si="62"/>
        <v>0</v>
      </c>
      <c r="T496" s="503">
        <f t="shared" si="62"/>
        <v>0</v>
      </c>
      <c r="U496" s="503">
        <f t="shared" si="62"/>
        <v>0</v>
      </c>
      <c r="V496" s="503">
        <f t="shared" si="62"/>
        <v>0</v>
      </c>
    </row>
    <row r="497" spans="2:22" s="598" customFormat="1" outlineLevel="1">
      <c r="C497" s="642"/>
      <c r="D497" s="643"/>
      <c r="E497" s="643"/>
      <c r="F497" s="643"/>
      <c r="M497" s="644"/>
      <c r="N497" s="644"/>
      <c r="O497" s="644"/>
      <c r="P497" s="644"/>
      <c r="Q497" s="644"/>
      <c r="R497" s="644"/>
      <c r="S497" s="644"/>
      <c r="T497" s="644"/>
      <c r="U497" s="644"/>
      <c r="V497" s="644"/>
    </row>
    <row r="498" spans="2:22" outlineLevel="1">
      <c r="C498" s="234" t="s">
        <v>659</v>
      </c>
      <c r="D498" s="232"/>
      <c r="E498" s="232"/>
      <c r="F498" s="232"/>
      <c r="G498" s="232"/>
      <c r="H498" s="232"/>
      <c r="I498" s="232"/>
      <c r="J498" s="232"/>
      <c r="K498" s="232"/>
      <c r="L498" s="232"/>
      <c r="U498" s="288"/>
    </row>
    <row r="499" spans="2:22" outlineLevel="1">
      <c r="C499" s="202" t="s">
        <v>660</v>
      </c>
      <c r="D499" s="202"/>
      <c r="E499" s="202"/>
      <c r="F499" s="202"/>
      <c r="G499" s="202"/>
      <c r="H499" s="202"/>
      <c r="I499" s="202"/>
      <c r="J499" s="202"/>
      <c r="K499" s="202"/>
      <c r="L499" s="202"/>
      <c r="M499" s="626"/>
      <c r="N499" s="627"/>
      <c r="O499" s="627"/>
      <c r="P499" s="627"/>
      <c r="Q499" s="627"/>
      <c r="R499" s="627"/>
      <c r="S499" s="627"/>
      <c r="T499" s="628"/>
      <c r="U499" s="629"/>
      <c r="V499" s="627"/>
    </row>
    <row r="500" spans="2:22" outlineLevel="1">
      <c r="C500" s="202" t="s">
        <v>645</v>
      </c>
      <c r="D500" s="202"/>
      <c r="E500" s="202"/>
      <c r="F500" s="202"/>
      <c r="G500" s="202"/>
      <c r="H500" s="202"/>
      <c r="I500" s="202"/>
      <c r="J500" s="202"/>
      <c r="K500" s="202"/>
      <c r="L500" s="202"/>
      <c r="M500" s="199">
        <f>1-M499</f>
        <v>1</v>
      </c>
      <c r="N500" s="200">
        <f t="shared" ref="N500:V500" si="63">1-N499</f>
        <v>1</v>
      </c>
      <c r="O500" s="200">
        <f t="shared" si="63"/>
        <v>1</v>
      </c>
      <c r="P500" s="200">
        <f t="shared" si="63"/>
        <v>1</v>
      </c>
      <c r="Q500" s="200">
        <f t="shared" si="63"/>
        <v>1</v>
      </c>
      <c r="R500" s="200">
        <f t="shared" si="63"/>
        <v>1</v>
      </c>
      <c r="S500" s="200">
        <f t="shared" si="63"/>
        <v>1</v>
      </c>
      <c r="T500" s="284">
        <f t="shared" si="63"/>
        <v>1</v>
      </c>
      <c r="U500" s="303">
        <f t="shared" si="63"/>
        <v>1</v>
      </c>
      <c r="V500" s="200">
        <f t="shared" si="63"/>
        <v>1</v>
      </c>
    </row>
    <row r="501" spans="2:22" outlineLevel="1">
      <c r="C501" s="237"/>
      <c r="D501" s="238"/>
      <c r="E501" s="238"/>
      <c r="F501" s="238"/>
      <c r="G501" s="229"/>
      <c r="H501" s="229"/>
      <c r="I501" s="229"/>
      <c r="J501" s="229"/>
      <c r="K501" s="229"/>
      <c r="L501" s="229"/>
      <c r="U501" s="288"/>
    </row>
    <row r="502" spans="2:22" outlineLevel="1">
      <c r="C502" s="235" t="s">
        <v>661</v>
      </c>
      <c r="D502" s="236"/>
      <c r="E502" s="236"/>
      <c r="F502" s="236"/>
      <c r="G502" s="232"/>
      <c r="H502" s="232"/>
      <c r="I502" s="232"/>
      <c r="J502" s="232"/>
      <c r="K502" s="232"/>
      <c r="L502" s="232"/>
      <c r="U502" s="288"/>
    </row>
    <row r="503" spans="2:22" ht="12.75" customHeight="1" outlineLevel="1">
      <c r="C503" s="224" t="s">
        <v>662</v>
      </c>
      <c r="D503" s="225"/>
      <c r="E503" s="225"/>
      <c r="F503" s="225"/>
      <c r="G503" s="202"/>
      <c r="H503" s="202"/>
      <c r="I503" s="202"/>
      <c r="J503" s="202"/>
      <c r="K503" s="202"/>
      <c r="L503" s="202"/>
      <c r="M503" s="519">
        <f>'R6a - Net Debt input'!T306</f>
        <v>119.90677000000004</v>
      </c>
      <c r="N503" s="520">
        <f>'R6a - Net Debt input'!U306</f>
        <v>120.55800000000001</v>
      </c>
      <c r="O503" s="520">
        <f>'R6a - Net Debt input'!V306</f>
        <v>120.55800000000001</v>
      </c>
      <c r="P503" s="520">
        <f>'R6a - Net Debt input'!W306</f>
        <v>120.55800000000001</v>
      </c>
      <c r="Q503" s="520">
        <f>'R6a - Net Debt input'!X306</f>
        <v>120.55800000000001</v>
      </c>
      <c r="R503" s="520">
        <f>'R6a - Net Debt input'!Y306</f>
        <v>120.55800000000001</v>
      </c>
      <c r="S503" s="520">
        <f>'R6a - Net Debt input'!Z306</f>
        <v>0</v>
      </c>
      <c r="T503" s="521">
        <f>'R6a - Net Debt input'!AA306</f>
        <v>0</v>
      </c>
      <c r="U503" s="522">
        <f>'R6a - Net Debt input'!AB306</f>
        <v>0</v>
      </c>
      <c r="V503" s="520">
        <f>'R6a - Net Debt input'!AC306</f>
        <v>0</v>
      </c>
    </row>
    <row r="504" spans="2:22" ht="12.75" customHeight="1" outlineLevel="1">
      <c r="C504" s="224" t="s">
        <v>300</v>
      </c>
      <c r="D504" s="225"/>
      <c r="E504" s="225"/>
      <c r="F504" s="225"/>
      <c r="G504" s="202"/>
      <c r="H504" s="202"/>
      <c r="I504" s="202"/>
      <c r="J504" s="202"/>
      <c r="K504" s="202"/>
      <c r="L504" s="202"/>
      <c r="M504" s="687">
        <f>M487</f>
        <v>1.1857912399999999</v>
      </c>
      <c r="N504" s="688">
        <f t="shared" ref="N504:V504" si="64">N487</f>
        <v>1.1857912399999999</v>
      </c>
      <c r="O504" s="688">
        <f t="shared" si="64"/>
        <v>1.1857912399999999</v>
      </c>
      <c r="P504" s="688">
        <f t="shared" si="64"/>
        <v>1.1857912399999999</v>
      </c>
      <c r="Q504" s="688">
        <f t="shared" si="64"/>
        <v>1.1857912399999999</v>
      </c>
      <c r="R504" s="688">
        <f t="shared" si="64"/>
        <v>1.1857912399999999</v>
      </c>
      <c r="S504" s="688">
        <f t="shared" si="64"/>
        <v>0</v>
      </c>
      <c r="T504" s="689">
        <f t="shared" si="64"/>
        <v>0</v>
      </c>
      <c r="U504" s="690">
        <f t="shared" si="64"/>
        <v>0</v>
      </c>
      <c r="V504" s="688">
        <f t="shared" si="64"/>
        <v>0</v>
      </c>
    </row>
    <row r="505" spans="2:22">
      <c r="C505" s="229"/>
      <c r="D505" s="229"/>
      <c r="E505" s="229"/>
      <c r="F505" s="229"/>
      <c r="G505" s="229"/>
      <c r="H505" s="229"/>
      <c r="I505" s="229"/>
      <c r="J505" s="229"/>
      <c r="K505" s="229"/>
      <c r="L505" s="229"/>
      <c r="U505" s="288"/>
    </row>
    <row r="506" spans="2:22">
      <c r="U506" s="288"/>
    </row>
    <row r="507" spans="2:22" ht="15">
      <c r="B507" s="262" t="s">
        <v>663</v>
      </c>
      <c r="C507" s="258"/>
      <c r="D507" s="258"/>
      <c r="E507" s="258"/>
      <c r="F507" s="258"/>
      <c r="G507" s="258"/>
      <c r="H507" s="258"/>
      <c r="I507" s="258"/>
      <c r="J507" s="258"/>
      <c r="K507" s="258"/>
      <c r="L507" s="258"/>
      <c r="M507" s="258"/>
      <c r="N507" s="258"/>
      <c r="O507" s="258"/>
      <c r="P507" s="258"/>
      <c r="Q507" s="258"/>
      <c r="R507" s="258"/>
      <c r="S507" s="258"/>
      <c r="T507" s="258"/>
      <c r="U507" s="300"/>
      <c r="V507" s="258"/>
    </row>
    <row r="508" spans="2:22" outlineLevel="1">
      <c r="B508" s="159" t="s">
        <v>664</v>
      </c>
      <c r="U508" s="288"/>
    </row>
    <row r="509" spans="2:22" outlineLevel="1">
      <c r="C509" s="231" t="s">
        <v>665</v>
      </c>
      <c r="D509" s="232"/>
      <c r="E509" s="231"/>
      <c r="F509" s="233"/>
      <c r="G509" s="232"/>
      <c r="H509" s="232"/>
      <c r="I509" s="232"/>
      <c r="J509" s="232"/>
      <c r="K509" s="232"/>
      <c r="L509" s="232"/>
      <c r="M509" s="160"/>
      <c r="N509" s="160"/>
      <c r="O509" s="160"/>
      <c r="P509" s="160"/>
      <c r="Q509" s="160"/>
      <c r="R509" s="160"/>
      <c r="S509" s="160"/>
      <c r="T509" s="160"/>
      <c r="U509" s="302"/>
      <c r="V509" s="160"/>
    </row>
    <row r="510" spans="2:22" outlineLevel="1">
      <c r="C510" s="219" t="s">
        <v>611</v>
      </c>
      <c r="D510" s="202"/>
      <c r="E510" s="220"/>
      <c r="F510" s="202"/>
      <c r="G510" s="202"/>
      <c r="H510" s="202"/>
      <c r="I510" s="202"/>
      <c r="J510" s="202"/>
      <c r="K510" s="202"/>
      <c r="L510" s="202"/>
      <c r="M510" s="487"/>
      <c r="N510" s="488"/>
      <c r="O510" s="488"/>
      <c r="P510" s="488"/>
      <c r="Q510" s="488"/>
      <c r="R510" s="488"/>
      <c r="S510" s="488"/>
      <c r="T510" s="489"/>
      <c r="U510" s="490"/>
      <c r="V510" s="488"/>
    </row>
    <row r="511" spans="2:22" outlineLevel="1">
      <c r="C511" s="219" t="s">
        <v>612</v>
      </c>
      <c r="D511" s="202"/>
      <c r="E511" s="220"/>
      <c r="F511" s="220"/>
      <c r="G511" s="202"/>
      <c r="H511" s="202"/>
      <c r="I511" s="202"/>
      <c r="J511" s="202"/>
      <c r="K511" s="202"/>
      <c r="L511" s="202"/>
      <c r="M511" s="491"/>
      <c r="N511" s="492"/>
      <c r="O511" s="492"/>
      <c r="P511" s="492"/>
      <c r="Q511" s="492"/>
      <c r="R511" s="492"/>
      <c r="S511" s="492"/>
      <c r="T511" s="493"/>
      <c r="U511" s="494"/>
      <c r="V511" s="492"/>
    </row>
    <row r="512" spans="2:22" outlineLevel="1">
      <c r="B512" s="151" t="s">
        <v>449</v>
      </c>
      <c r="C512" s="202" t="s">
        <v>451</v>
      </c>
      <c r="D512" s="202"/>
      <c r="E512" s="220"/>
      <c r="F512" s="220"/>
      <c r="G512" s="202"/>
      <c r="H512" s="202"/>
      <c r="I512" s="202"/>
      <c r="J512" s="202"/>
      <c r="K512" s="202"/>
      <c r="L512" s="202"/>
      <c r="M512" s="511">
        <f t="shared" ref="M512:V512" si="65">M43</f>
        <v>0</v>
      </c>
      <c r="N512" s="512">
        <f t="shared" si="65"/>
        <v>0</v>
      </c>
      <c r="O512" s="512">
        <f t="shared" si="65"/>
        <v>0</v>
      </c>
      <c r="P512" s="512">
        <f t="shared" si="65"/>
        <v>0</v>
      </c>
      <c r="Q512" s="512">
        <f>Q43</f>
        <v>0</v>
      </c>
      <c r="R512" s="512">
        <f t="shared" si="65"/>
        <v>0</v>
      </c>
      <c r="S512" s="512">
        <f t="shared" si="65"/>
        <v>0</v>
      </c>
      <c r="T512" s="513">
        <f t="shared" si="65"/>
        <v>0</v>
      </c>
      <c r="U512" s="514">
        <f t="shared" si="65"/>
        <v>0</v>
      </c>
      <c r="V512" s="512">
        <f t="shared" si="65"/>
        <v>0</v>
      </c>
    </row>
    <row r="513" spans="2:22" outlineLevel="1">
      <c r="B513" s="151" t="s">
        <v>449</v>
      </c>
      <c r="C513" s="219" t="s">
        <v>613</v>
      </c>
      <c r="D513" s="202"/>
      <c r="E513" s="220"/>
      <c r="F513" s="220"/>
      <c r="G513" s="202"/>
      <c r="H513" s="202"/>
      <c r="I513" s="202"/>
      <c r="J513" s="202"/>
      <c r="K513" s="202"/>
      <c r="L513" s="202"/>
      <c r="M513" s="511">
        <f t="shared" ref="M513:V513" si="66">M87</f>
        <v>0</v>
      </c>
      <c r="N513" s="512">
        <f t="shared" si="66"/>
        <v>0</v>
      </c>
      <c r="O513" s="512">
        <f t="shared" si="66"/>
        <v>0</v>
      </c>
      <c r="P513" s="512">
        <f t="shared" si="66"/>
        <v>0</v>
      </c>
      <c r="Q513" s="512">
        <f t="shared" si="66"/>
        <v>0</v>
      </c>
      <c r="R513" s="512">
        <f t="shared" si="66"/>
        <v>0</v>
      </c>
      <c r="S513" s="512">
        <f t="shared" si="66"/>
        <v>0</v>
      </c>
      <c r="T513" s="513">
        <f t="shared" si="66"/>
        <v>0</v>
      </c>
      <c r="U513" s="514">
        <f t="shared" si="66"/>
        <v>0</v>
      </c>
      <c r="V513" s="512">
        <f t="shared" si="66"/>
        <v>0</v>
      </c>
    </row>
    <row r="514" spans="2:22" outlineLevel="1">
      <c r="B514" s="151" t="s">
        <v>482</v>
      </c>
      <c r="C514" s="219" t="s">
        <v>614</v>
      </c>
      <c r="D514" s="202"/>
      <c r="E514" s="220"/>
      <c r="F514" s="220"/>
      <c r="G514" s="202"/>
      <c r="H514" s="202"/>
      <c r="I514" s="202"/>
      <c r="J514" s="202"/>
      <c r="K514" s="202"/>
      <c r="L514" s="202"/>
      <c r="M514" s="511">
        <f t="shared" ref="M514:V514" si="67">M120</f>
        <v>1.1403458630136987</v>
      </c>
      <c r="N514" s="512">
        <f t="shared" si="67"/>
        <v>1.1857912399999999</v>
      </c>
      <c r="O514" s="512">
        <f t="shared" si="67"/>
        <v>1.1857912399999999</v>
      </c>
      <c r="P514" s="512">
        <f t="shared" si="67"/>
        <v>1.1857912399999999</v>
      </c>
      <c r="Q514" s="512">
        <f t="shared" si="67"/>
        <v>1.1857912399999999</v>
      </c>
      <c r="R514" s="512">
        <f t="shared" si="67"/>
        <v>1.1857912399999999</v>
      </c>
      <c r="S514" s="512">
        <f t="shared" si="67"/>
        <v>4.5445376986301245E-2</v>
      </c>
      <c r="T514" s="513">
        <f t="shared" si="67"/>
        <v>0</v>
      </c>
      <c r="U514" s="514">
        <f t="shared" si="67"/>
        <v>0</v>
      </c>
      <c r="V514" s="512">
        <f t="shared" si="67"/>
        <v>0</v>
      </c>
    </row>
    <row r="515" spans="2:22" outlineLevel="1">
      <c r="B515" s="151" t="s">
        <v>615</v>
      </c>
      <c r="C515" s="219" t="s">
        <v>666</v>
      </c>
      <c r="D515" s="202"/>
      <c r="E515" s="220"/>
      <c r="F515" s="220"/>
      <c r="G515" s="202"/>
      <c r="H515" s="202"/>
      <c r="I515" s="202"/>
      <c r="J515" s="202"/>
      <c r="K515" s="202"/>
      <c r="L515" s="202"/>
      <c r="M515" s="511">
        <f t="shared" ref="M515:V515" si="68">SUM(M252,M286,M320,M344,M368,M391,M413)</f>
        <v>1.40565126</v>
      </c>
      <c r="N515" s="512">
        <f t="shared" si="68"/>
        <v>0</v>
      </c>
      <c r="O515" s="512">
        <f t="shared" si="68"/>
        <v>0</v>
      </c>
      <c r="P515" s="512">
        <f t="shared" si="68"/>
        <v>0</v>
      </c>
      <c r="Q515" s="512">
        <f t="shared" si="68"/>
        <v>0</v>
      </c>
      <c r="R515" s="512">
        <f t="shared" si="68"/>
        <v>0</v>
      </c>
      <c r="S515" s="512">
        <f t="shared" si="68"/>
        <v>0</v>
      </c>
      <c r="T515" s="513">
        <f t="shared" si="68"/>
        <v>0</v>
      </c>
      <c r="U515" s="514">
        <f t="shared" si="68"/>
        <v>0</v>
      </c>
      <c r="V515" s="512">
        <f t="shared" si="68"/>
        <v>0</v>
      </c>
    </row>
    <row r="516" spans="2:22" outlineLevel="1">
      <c r="C516" s="418" t="s">
        <v>617</v>
      </c>
      <c r="D516" s="419"/>
      <c r="E516" s="420"/>
      <c r="F516" s="420"/>
      <c r="G516" s="202"/>
      <c r="H516" s="202"/>
      <c r="I516" s="202"/>
      <c r="J516" s="202"/>
      <c r="K516" s="202"/>
      <c r="L516" s="202"/>
      <c r="M516" s="515"/>
      <c r="N516" s="516"/>
      <c r="O516" s="516"/>
      <c r="P516" s="516"/>
      <c r="Q516" s="516"/>
      <c r="R516" s="516"/>
      <c r="S516" s="516"/>
      <c r="T516" s="517"/>
      <c r="U516" s="518"/>
      <c r="V516" s="516"/>
    </row>
    <row r="517" spans="2:22" outlineLevel="1">
      <c r="C517" s="221" t="s">
        <v>667</v>
      </c>
      <c r="D517" s="202"/>
      <c r="E517" s="220"/>
      <c r="F517" s="220"/>
      <c r="G517" s="202"/>
      <c r="H517" s="202"/>
      <c r="I517" s="202"/>
      <c r="J517" s="202"/>
      <c r="K517" s="202"/>
      <c r="L517" s="202"/>
      <c r="M517" s="511">
        <f>SUM(M510:M516)</f>
        <v>2.5459971230136986</v>
      </c>
      <c r="N517" s="512">
        <f t="shared" ref="N517:V517" si="69">SUM(N510:N516)</f>
        <v>1.1857912399999999</v>
      </c>
      <c r="O517" s="512">
        <f t="shared" si="69"/>
        <v>1.1857912399999999</v>
      </c>
      <c r="P517" s="512">
        <f t="shared" si="69"/>
        <v>1.1857912399999999</v>
      </c>
      <c r="Q517" s="512">
        <f t="shared" si="69"/>
        <v>1.1857912399999999</v>
      </c>
      <c r="R517" s="512">
        <f t="shared" si="69"/>
        <v>1.1857912399999999</v>
      </c>
      <c r="S517" s="512">
        <f t="shared" si="69"/>
        <v>4.5445376986301245E-2</v>
      </c>
      <c r="T517" s="513">
        <f t="shared" si="69"/>
        <v>0</v>
      </c>
      <c r="U517" s="514">
        <f t="shared" si="69"/>
        <v>0</v>
      </c>
      <c r="V517" s="512">
        <f t="shared" si="69"/>
        <v>0</v>
      </c>
    </row>
    <row r="518" spans="2:22" outlineLevel="1">
      <c r="C518" s="219" t="s">
        <v>621</v>
      </c>
      <c r="D518" s="202"/>
      <c r="E518" s="220"/>
      <c r="F518" s="220"/>
      <c r="G518" s="202"/>
      <c r="H518" s="202"/>
      <c r="I518" s="202"/>
      <c r="J518" s="202"/>
      <c r="K518" s="202"/>
      <c r="L518" s="202"/>
      <c r="M518" s="491"/>
      <c r="N518" s="492"/>
      <c r="O518" s="492"/>
      <c r="P518" s="492"/>
      <c r="Q518" s="492"/>
      <c r="R518" s="492"/>
      <c r="S518" s="492"/>
      <c r="T518" s="493"/>
      <c r="U518" s="494"/>
      <c r="V518" s="492"/>
    </row>
    <row r="519" spans="2:22" outlineLevel="1">
      <c r="C519" s="219" t="s">
        <v>668</v>
      </c>
      <c r="D519" s="202"/>
      <c r="E519" s="220"/>
      <c r="F519" s="220"/>
      <c r="G519" s="202"/>
      <c r="H519" s="202"/>
      <c r="I519" s="202"/>
      <c r="J519" s="202"/>
      <c r="K519" s="202"/>
      <c r="L519" s="202"/>
      <c r="M519" s="491"/>
      <c r="N519" s="491"/>
      <c r="O519" s="491"/>
      <c r="P519" s="491"/>
      <c r="Q519" s="491"/>
      <c r="R519" s="491"/>
      <c r="S519" s="491"/>
      <c r="T519" s="491"/>
      <c r="U519" s="491"/>
      <c r="V519" s="491"/>
    </row>
    <row r="520" spans="2:22" outlineLevel="1">
      <c r="C520" s="219" t="s">
        <v>637</v>
      </c>
      <c r="D520" s="202"/>
      <c r="E520" s="222"/>
      <c r="F520" s="222"/>
      <c r="G520" s="202"/>
      <c r="H520" s="202"/>
      <c r="I520" s="202"/>
      <c r="J520" s="202"/>
      <c r="K520" s="202"/>
      <c r="L520" s="202"/>
      <c r="M520" s="491"/>
      <c r="N520" s="491"/>
      <c r="O520" s="491"/>
      <c r="P520" s="491"/>
      <c r="Q520" s="491"/>
      <c r="R520" s="491"/>
      <c r="S520" s="491"/>
      <c r="T520" s="491"/>
      <c r="U520" s="491"/>
      <c r="V520" s="491"/>
    </row>
    <row r="521" spans="2:22" outlineLevel="1">
      <c r="C521" s="418" t="s">
        <v>669</v>
      </c>
      <c r="D521" s="419"/>
      <c r="E521" s="420"/>
      <c r="F521" s="420"/>
      <c r="G521" s="202"/>
      <c r="H521" s="202"/>
      <c r="I521" s="202"/>
      <c r="J521" s="202"/>
      <c r="K521" s="202"/>
      <c r="L521" s="202"/>
      <c r="M521" s="491"/>
      <c r="N521" s="491"/>
      <c r="O521" s="491"/>
      <c r="P521" s="491"/>
      <c r="Q521" s="491"/>
      <c r="R521" s="491"/>
      <c r="S521" s="491"/>
      <c r="T521" s="491"/>
      <c r="U521" s="491"/>
      <c r="V521" s="491"/>
    </row>
    <row r="522" spans="2:22" outlineLevel="1">
      <c r="C522" s="221" t="s">
        <v>670</v>
      </c>
      <c r="D522" s="202"/>
      <c r="E522" s="220"/>
      <c r="F522" s="220"/>
      <c r="G522" s="202"/>
      <c r="H522" s="202"/>
      <c r="I522" s="202"/>
      <c r="J522" s="202"/>
      <c r="K522" s="202"/>
      <c r="L522" s="202"/>
      <c r="M522" s="503">
        <f>SUM(M517:M521)</f>
        <v>2.5459971230136986</v>
      </c>
      <c r="N522" s="504">
        <f t="shared" ref="N522:V522" si="70">SUM(N517:N521)</f>
        <v>1.1857912399999999</v>
      </c>
      <c r="O522" s="504">
        <f t="shared" si="70"/>
        <v>1.1857912399999999</v>
      </c>
      <c r="P522" s="504">
        <f t="shared" si="70"/>
        <v>1.1857912399999999</v>
      </c>
      <c r="Q522" s="504">
        <f t="shared" si="70"/>
        <v>1.1857912399999999</v>
      </c>
      <c r="R522" s="504">
        <f t="shared" si="70"/>
        <v>1.1857912399999999</v>
      </c>
      <c r="S522" s="504">
        <f t="shared" si="70"/>
        <v>4.5445376986301245E-2</v>
      </c>
      <c r="T522" s="505">
        <f t="shared" si="70"/>
        <v>0</v>
      </c>
      <c r="U522" s="506">
        <f t="shared" si="70"/>
        <v>0</v>
      </c>
      <c r="V522" s="504">
        <f t="shared" si="70"/>
        <v>0</v>
      </c>
    </row>
    <row r="523" spans="2:22" outlineLevel="1">
      <c r="C523" s="229"/>
      <c r="D523" s="229"/>
      <c r="E523" s="229"/>
      <c r="F523" s="229"/>
      <c r="G523" s="229"/>
      <c r="H523" s="229"/>
      <c r="I523" s="229"/>
      <c r="J523" s="229"/>
      <c r="K523" s="229"/>
      <c r="L523" s="229"/>
      <c r="M523" s="277"/>
      <c r="N523" s="277"/>
      <c r="O523" s="277"/>
      <c r="P523" s="277"/>
      <c r="Q523" s="277"/>
      <c r="R523" s="277"/>
      <c r="S523" s="277"/>
      <c r="T523" s="277"/>
      <c r="U523" s="304"/>
      <c r="V523" s="277"/>
    </row>
    <row r="524" spans="2:22" outlineLevel="1">
      <c r="M524" s="277"/>
      <c r="N524" s="277"/>
      <c r="O524" s="277"/>
      <c r="P524" s="277"/>
      <c r="Q524" s="277"/>
      <c r="R524" s="277"/>
      <c r="S524" s="277"/>
      <c r="T524" s="277"/>
      <c r="U524" s="304"/>
      <c r="V524" s="277"/>
    </row>
    <row r="525" spans="2:22" outlineLevel="1">
      <c r="C525" s="231" t="s">
        <v>671</v>
      </c>
      <c r="D525" s="232"/>
      <c r="E525" s="231"/>
      <c r="F525" s="233"/>
      <c r="G525" s="232"/>
      <c r="H525" s="232"/>
      <c r="I525" s="232"/>
      <c r="J525" s="232"/>
      <c r="K525" s="232"/>
      <c r="L525" s="232"/>
      <c r="M525" s="278"/>
      <c r="N525" s="278"/>
      <c r="O525" s="278"/>
      <c r="P525" s="278"/>
      <c r="Q525" s="278"/>
      <c r="R525" s="278"/>
      <c r="S525" s="278"/>
      <c r="T525" s="278"/>
      <c r="U525" s="305"/>
      <c r="V525" s="278"/>
    </row>
    <row r="526" spans="2:22" outlineLevel="1">
      <c r="C526" s="219" t="s">
        <v>630</v>
      </c>
      <c r="D526" s="202"/>
      <c r="E526" s="220"/>
      <c r="F526" s="220"/>
      <c r="G526" s="202"/>
      <c r="H526" s="202"/>
      <c r="I526" s="202"/>
      <c r="J526" s="202"/>
      <c r="K526" s="202"/>
      <c r="L526" s="202"/>
      <c r="M526" s="487"/>
      <c r="N526" s="488"/>
      <c r="O526" s="488"/>
      <c r="P526" s="488"/>
      <c r="Q526" s="488"/>
      <c r="R526" s="488"/>
      <c r="S526" s="488"/>
      <c r="T526" s="489"/>
      <c r="U526" s="490"/>
      <c r="V526" s="488"/>
    </row>
    <row r="527" spans="2:22" outlineLevel="1">
      <c r="C527" s="220" t="s">
        <v>631</v>
      </c>
      <c r="D527" s="202"/>
      <c r="E527" s="220"/>
      <c r="F527" s="220"/>
      <c r="G527" s="202"/>
      <c r="H527" s="202"/>
      <c r="I527" s="202"/>
      <c r="J527" s="202"/>
      <c r="K527" s="202"/>
      <c r="L527" s="202"/>
      <c r="M527" s="491"/>
      <c r="N527" s="492"/>
      <c r="O527" s="492"/>
      <c r="P527" s="492"/>
      <c r="Q527" s="492"/>
      <c r="R527" s="492"/>
      <c r="S527" s="492"/>
      <c r="T527" s="493"/>
      <c r="U527" s="494"/>
      <c r="V527" s="492"/>
    </row>
    <row r="528" spans="2:22" outlineLevel="1">
      <c r="C528" s="220" t="s">
        <v>632</v>
      </c>
      <c r="D528" s="202"/>
      <c r="E528" s="220"/>
      <c r="F528" s="220"/>
      <c r="G528" s="202"/>
      <c r="H528" s="202"/>
      <c r="I528" s="202"/>
      <c r="J528" s="202"/>
      <c r="K528" s="202"/>
      <c r="L528" s="202"/>
      <c r="M528" s="491"/>
      <c r="N528" s="492"/>
      <c r="O528" s="492"/>
      <c r="P528" s="492"/>
      <c r="Q528" s="492"/>
      <c r="R528" s="492"/>
      <c r="S528" s="492"/>
      <c r="T528" s="493"/>
      <c r="U528" s="494"/>
      <c r="V528" s="492"/>
    </row>
    <row r="529" spans="2:22" outlineLevel="1">
      <c r="B529" s="151" t="s">
        <v>493</v>
      </c>
      <c r="C529" s="219" t="s">
        <v>633</v>
      </c>
      <c r="D529" s="202"/>
      <c r="E529" s="220"/>
      <c r="F529" s="220"/>
      <c r="G529" s="202"/>
      <c r="H529" s="202"/>
      <c r="I529" s="202"/>
      <c r="J529" s="202"/>
      <c r="K529" s="202"/>
      <c r="L529" s="202"/>
      <c r="M529" s="511">
        <f t="shared" ref="M529:V529" si="71">M153</f>
        <v>-0.95578613000000001</v>
      </c>
      <c r="N529" s="512">
        <f t="shared" si="71"/>
        <v>0</v>
      </c>
      <c r="O529" s="512">
        <f t="shared" si="71"/>
        <v>0</v>
      </c>
      <c r="P529" s="512">
        <f t="shared" si="71"/>
        <v>0</v>
      </c>
      <c r="Q529" s="512">
        <f t="shared" si="71"/>
        <v>0</v>
      </c>
      <c r="R529" s="512">
        <f t="shared" si="71"/>
        <v>0</v>
      </c>
      <c r="S529" s="512">
        <f t="shared" si="71"/>
        <v>0</v>
      </c>
      <c r="T529" s="513">
        <f t="shared" si="71"/>
        <v>0</v>
      </c>
      <c r="U529" s="514">
        <f t="shared" si="71"/>
        <v>0</v>
      </c>
      <c r="V529" s="512">
        <f t="shared" si="71"/>
        <v>0</v>
      </c>
    </row>
    <row r="530" spans="2:22" outlineLevel="1">
      <c r="C530" s="221" t="s">
        <v>672</v>
      </c>
      <c r="D530" s="202"/>
      <c r="E530" s="220"/>
      <c r="F530" s="220"/>
      <c r="G530" s="202"/>
      <c r="H530" s="202"/>
      <c r="I530" s="202"/>
      <c r="J530" s="202"/>
      <c r="K530" s="202"/>
      <c r="L530" s="202"/>
      <c r="M530" s="511">
        <f t="shared" ref="M530:V530" si="72">SUM(M526:M529)</f>
        <v>-0.95578613000000001</v>
      </c>
      <c r="N530" s="512">
        <f t="shared" si="72"/>
        <v>0</v>
      </c>
      <c r="O530" s="512">
        <f t="shared" si="72"/>
        <v>0</v>
      </c>
      <c r="P530" s="512">
        <f t="shared" si="72"/>
        <v>0</v>
      </c>
      <c r="Q530" s="512">
        <f t="shared" si="72"/>
        <v>0</v>
      </c>
      <c r="R530" s="512">
        <f t="shared" si="72"/>
        <v>0</v>
      </c>
      <c r="S530" s="512">
        <f t="shared" si="72"/>
        <v>0</v>
      </c>
      <c r="T530" s="513">
        <f t="shared" si="72"/>
        <v>0</v>
      </c>
      <c r="U530" s="514">
        <f t="shared" si="72"/>
        <v>0</v>
      </c>
      <c r="V530" s="512">
        <f t="shared" si="72"/>
        <v>0</v>
      </c>
    </row>
    <row r="531" spans="2:22" outlineLevel="1">
      <c r="C531" s="219" t="s">
        <v>673</v>
      </c>
      <c r="D531" s="202"/>
      <c r="E531" s="220"/>
      <c r="F531" s="220"/>
      <c r="G531" s="202"/>
      <c r="H531" s="202"/>
      <c r="I531" s="202"/>
      <c r="J531" s="202"/>
      <c r="K531" s="202"/>
      <c r="L531" s="202"/>
      <c r="M531" s="491"/>
      <c r="N531" s="492"/>
      <c r="O531" s="492"/>
      <c r="P531" s="492"/>
      <c r="Q531" s="492"/>
      <c r="R531" s="492"/>
      <c r="S531" s="492"/>
      <c r="T531" s="493"/>
      <c r="U531" s="494"/>
      <c r="V531" s="492"/>
    </row>
    <row r="532" spans="2:22" outlineLevel="1">
      <c r="C532" s="219" t="s">
        <v>636</v>
      </c>
      <c r="D532" s="202"/>
      <c r="E532" s="220"/>
      <c r="F532" s="220"/>
      <c r="G532" s="202"/>
      <c r="H532" s="202"/>
      <c r="I532" s="202"/>
      <c r="J532" s="202"/>
      <c r="K532" s="202"/>
      <c r="L532" s="202"/>
      <c r="M532" s="491"/>
      <c r="N532" s="492"/>
      <c r="O532" s="492"/>
      <c r="P532" s="492"/>
      <c r="Q532" s="492"/>
      <c r="R532" s="492"/>
      <c r="S532" s="492"/>
      <c r="T532" s="493"/>
      <c r="U532" s="494"/>
      <c r="V532" s="492"/>
    </row>
    <row r="533" spans="2:22" outlineLevel="1">
      <c r="C533" s="219" t="s">
        <v>674</v>
      </c>
      <c r="D533" s="202"/>
      <c r="E533" s="220"/>
      <c r="F533" s="220"/>
      <c r="G533" s="202"/>
      <c r="H533" s="202"/>
      <c r="I533" s="202"/>
      <c r="J533" s="202"/>
      <c r="K533" s="202"/>
      <c r="L533" s="202"/>
      <c r="M533" s="491"/>
      <c r="N533" s="492"/>
      <c r="O533" s="492"/>
      <c r="P533" s="492"/>
      <c r="Q533" s="492"/>
      <c r="R533" s="492"/>
      <c r="S533" s="492"/>
      <c r="T533" s="493"/>
      <c r="U533" s="494"/>
      <c r="V533" s="492"/>
    </row>
    <row r="534" spans="2:22" outlineLevel="1">
      <c r="C534" s="418" t="s">
        <v>617</v>
      </c>
      <c r="D534" s="419"/>
      <c r="E534" s="420"/>
      <c r="F534" s="420"/>
      <c r="G534" s="202"/>
      <c r="H534" s="202"/>
      <c r="I534" s="202"/>
      <c r="J534" s="202"/>
      <c r="K534" s="202"/>
      <c r="L534" s="202"/>
      <c r="M534" s="515"/>
      <c r="N534" s="516"/>
      <c r="O534" s="516"/>
      <c r="P534" s="516"/>
      <c r="Q534" s="516"/>
      <c r="R534" s="516"/>
      <c r="S534" s="516"/>
      <c r="T534" s="517"/>
      <c r="U534" s="518"/>
      <c r="V534" s="516"/>
    </row>
    <row r="535" spans="2:22" outlineLevel="1">
      <c r="C535" s="221" t="s">
        <v>675</v>
      </c>
      <c r="D535" s="202"/>
      <c r="E535" s="220"/>
      <c r="F535" s="220"/>
      <c r="G535" s="202"/>
      <c r="H535" s="202"/>
      <c r="I535" s="202"/>
      <c r="J535" s="202"/>
      <c r="K535" s="202"/>
      <c r="L535" s="202"/>
      <c r="M535" s="503">
        <f t="shared" ref="M535:V535" si="73">SUM(M530:M534)</f>
        <v>-0.95578613000000001</v>
      </c>
      <c r="N535" s="504">
        <f t="shared" si="73"/>
        <v>0</v>
      </c>
      <c r="O535" s="504">
        <f t="shared" si="73"/>
        <v>0</v>
      </c>
      <c r="P535" s="504">
        <f t="shared" si="73"/>
        <v>0</v>
      </c>
      <c r="Q535" s="504">
        <f t="shared" si="73"/>
        <v>0</v>
      </c>
      <c r="R535" s="504">
        <f t="shared" si="73"/>
        <v>0</v>
      </c>
      <c r="S535" s="504">
        <f t="shared" si="73"/>
        <v>0</v>
      </c>
      <c r="T535" s="505">
        <f t="shared" si="73"/>
        <v>0</v>
      </c>
      <c r="U535" s="506">
        <f t="shared" si="73"/>
        <v>0</v>
      </c>
      <c r="V535" s="504">
        <f t="shared" si="73"/>
        <v>0</v>
      </c>
    </row>
    <row r="536" spans="2:22" outlineLevel="1">
      <c r="C536" s="229"/>
      <c r="D536" s="229"/>
      <c r="E536" s="229"/>
      <c r="F536" s="229"/>
      <c r="G536" s="229"/>
      <c r="H536" s="229"/>
      <c r="I536" s="229"/>
      <c r="J536" s="229"/>
      <c r="K536" s="229"/>
      <c r="L536" s="229"/>
      <c r="M536" s="277"/>
      <c r="N536" s="277"/>
      <c r="O536" s="277"/>
      <c r="P536" s="277"/>
      <c r="Q536" s="277"/>
      <c r="R536" s="277"/>
      <c r="S536" s="277"/>
      <c r="T536" s="277"/>
      <c r="U536" s="304"/>
      <c r="V536" s="277"/>
    </row>
    <row r="537" spans="2:22" outlineLevel="1">
      <c r="C537" s="235" t="s">
        <v>676</v>
      </c>
      <c r="D537" s="236"/>
      <c r="E537" s="236"/>
      <c r="F537" s="236"/>
      <c r="G537" s="232"/>
      <c r="H537" s="232"/>
      <c r="I537" s="232"/>
      <c r="J537" s="232"/>
      <c r="K537" s="232"/>
      <c r="L537" s="233"/>
      <c r="M537" s="277"/>
      <c r="N537" s="277"/>
      <c r="O537" s="277"/>
      <c r="P537" s="277"/>
      <c r="Q537" s="277"/>
      <c r="R537" s="277"/>
      <c r="S537" s="277"/>
      <c r="T537" s="277"/>
      <c r="U537" s="304"/>
      <c r="V537" s="277"/>
    </row>
    <row r="538" spans="2:22" outlineLevel="1">
      <c r="C538" s="224" t="s">
        <v>677</v>
      </c>
      <c r="D538" s="224"/>
      <c r="E538" s="224"/>
      <c r="F538" s="224"/>
      <c r="G538" s="202"/>
      <c r="H538" s="202"/>
      <c r="I538" s="202"/>
      <c r="J538" s="202"/>
      <c r="K538" s="202"/>
      <c r="L538" s="202"/>
      <c r="M538" s="503">
        <f>M522</f>
        <v>2.5459971230136986</v>
      </c>
      <c r="N538" s="504">
        <f t="shared" ref="N538:V538" si="74">N522</f>
        <v>1.1857912399999999</v>
      </c>
      <c r="O538" s="504">
        <f t="shared" si="74"/>
        <v>1.1857912399999999</v>
      </c>
      <c r="P538" s="504">
        <f t="shared" si="74"/>
        <v>1.1857912399999999</v>
      </c>
      <c r="Q538" s="504">
        <f t="shared" si="74"/>
        <v>1.1857912399999999</v>
      </c>
      <c r="R538" s="504">
        <f t="shared" si="74"/>
        <v>1.1857912399999999</v>
      </c>
      <c r="S538" s="504">
        <f t="shared" si="74"/>
        <v>4.5445376986301245E-2</v>
      </c>
      <c r="T538" s="505">
        <f t="shared" si="74"/>
        <v>0</v>
      </c>
      <c r="U538" s="506">
        <f t="shared" si="74"/>
        <v>0</v>
      </c>
      <c r="V538" s="504">
        <f t="shared" si="74"/>
        <v>0</v>
      </c>
    </row>
    <row r="539" spans="2:22" outlineLevel="1">
      <c r="C539" s="224" t="s">
        <v>678</v>
      </c>
      <c r="D539" s="225"/>
      <c r="E539" s="225"/>
      <c r="F539" s="225"/>
      <c r="G539" s="202"/>
      <c r="H539" s="202"/>
      <c r="I539" s="202"/>
      <c r="J539" s="202"/>
      <c r="K539" s="202"/>
      <c r="L539" s="202"/>
      <c r="M539" s="503">
        <f>M535</f>
        <v>-0.95578613000000001</v>
      </c>
      <c r="N539" s="504">
        <f t="shared" ref="N539:V539" si="75">N535</f>
        <v>0</v>
      </c>
      <c r="O539" s="504">
        <f t="shared" si="75"/>
        <v>0</v>
      </c>
      <c r="P539" s="504">
        <f t="shared" si="75"/>
        <v>0</v>
      </c>
      <c r="Q539" s="504">
        <f t="shared" si="75"/>
        <v>0</v>
      </c>
      <c r="R539" s="504">
        <f t="shared" si="75"/>
        <v>0</v>
      </c>
      <c r="S539" s="504">
        <f t="shared" si="75"/>
        <v>0</v>
      </c>
      <c r="T539" s="505">
        <f t="shared" si="75"/>
        <v>0</v>
      </c>
      <c r="U539" s="506">
        <f t="shared" si="75"/>
        <v>0</v>
      </c>
      <c r="V539" s="504">
        <f t="shared" si="75"/>
        <v>0</v>
      </c>
    </row>
    <row r="540" spans="2:22" outlineLevel="1">
      <c r="C540" s="224" t="s">
        <v>679</v>
      </c>
      <c r="D540" s="224"/>
      <c r="E540" s="224"/>
      <c r="F540" s="224"/>
      <c r="G540" s="202"/>
      <c r="H540" s="202"/>
      <c r="I540" s="202"/>
      <c r="J540" s="202"/>
      <c r="K540" s="202"/>
      <c r="L540" s="202"/>
      <c r="M540" s="503">
        <f>SUM(M538:M539)</f>
        <v>1.5902109930136987</v>
      </c>
      <c r="N540" s="504">
        <f t="shared" ref="N540:V540" si="76">SUM(N538:N539)</f>
        <v>1.1857912399999999</v>
      </c>
      <c r="O540" s="504">
        <f t="shared" si="76"/>
        <v>1.1857912399999999</v>
      </c>
      <c r="P540" s="504">
        <f t="shared" si="76"/>
        <v>1.1857912399999999</v>
      </c>
      <c r="Q540" s="504">
        <f t="shared" si="76"/>
        <v>1.1857912399999999</v>
      </c>
      <c r="R540" s="504">
        <f t="shared" si="76"/>
        <v>1.1857912399999999</v>
      </c>
      <c r="S540" s="504">
        <f t="shared" si="76"/>
        <v>4.5445376986301245E-2</v>
      </c>
      <c r="T540" s="505">
        <f t="shared" si="76"/>
        <v>0</v>
      </c>
      <c r="U540" s="506">
        <f t="shared" si="76"/>
        <v>0</v>
      </c>
      <c r="V540" s="504">
        <f t="shared" si="76"/>
        <v>0</v>
      </c>
    </row>
    <row r="541" spans="2:22" outlineLevel="1">
      <c r="C541" s="240"/>
      <c r="D541" s="240"/>
      <c r="E541" s="240"/>
      <c r="F541" s="240"/>
      <c r="G541" s="229"/>
      <c r="H541" s="229"/>
      <c r="I541" s="229"/>
      <c r="J541" s="229"/>
      <c r="K541" s="229"/>
      <c r="L541" s="229"/>
      <c r="M541" s="277"/>
      <c r="N541" s="277"/>
      <c r="O541" s="277"/>
      <c r="P541" s="277"/>
      <c r="Q541" s="277"/>
      <c r="R541" s="277"/>
      <c r="S541" s="277"/>
      <c r="T541" s="277"/>
      <c r="U541" s="304"/>
      <c r="V541" s="277"/>
    </row>
    <row r="542" spans="2:22" outlineLevel="1">
      <c r="B542" s="162"/>
      <c r="C542" s="234" t="s">
        <v>680</v>
      </c>
      <c r="D542" s="234"/>
      <c r="E542" s="232"/>
      <c r="F542" s="232"/>
      <c r="G542" s="232"/>
      <c r="H542" s="232"/>
      <c r="I542" s="232"/>
      <c r="J542" s="232"/>
      <c r="K542" s="232"/>
      <c r="L542" s="232"/>
      <c r="M542" s="277"/>
      <c r="N542" s="277"/>
      <c r="O542" s="277"/>
      <c r="P542" s="277"/>
      <c r="Q542" s="277"/>
      <c r="R542" s="277"/>
      <c r="S542" s="277"/>
      <c r="T542" s="277"/>
      <c r="U542" s="304"/>
      <c r="V542" s="277"/>
    </row>
    <row r="543" spans="2:22" outlineLevel="1">
      <c r="B543" s="162"/>
      <c r="C543" s="202" t="s">
        <v>681</v>
      </c>
      <c r="D543" s="202"/>
      <c r="E543" s="202"/>
      <c r="F543" s="202"/>
      <c r="G543" s="202"/>
      <c r="H543" s="202"/>
      <c r="I543" s="202"/>
      <c r="J543" s="202"/>
      <c r="K543" s="202"/>
      <c r="L543" s="202"/>
      <c r="M543" s="368"/>
      <c r="N543" s="634"/>
      <c r="O543" s="634"/>
      <c r="P543" s="634"/>
      <c r="Q543" s="634"/>
      <c r="R543" s="634"/>
      <c r="S543" s="634"/>
      <c r="T543" s="391"/>
      <c r="U543" s="635"/>
      <c r="V543" s="634"/>
    </row>
    <row r="544" spans="2:22" outlineLevel="1">
      <c r="B544" s="162"/>
      <c r="C544" s="202" t="s">
        <v>645</v>
      </c>
      <c r="D544" s="202"/>
      <c r="E544" s="202"/>
      <c r="F544" s="202"/>
      <c r="G544" s="202"/>
      <c r="H544" s="202"/>
      <c r="I544" s="202"/>
      <c r="J544" s="202"/>
      <c r="K544" s="202"/>
      <c r="L544" s="202"/>
      <c r="M544" s="199">
        <f>1-M543</f>
        <v>1</v>
      </c>
      <c r="N544" s="200">
        <f t="shared" ref="N544:V544" si="77">1-N543</f>
        <v>1</v>
      </c>
      <c r="O544" s="200">
        <f t="shared" si="77"/>
        <v>1</v>
      </c>
      <c r="P544" s="200">
        <f t="shared" si="77"/>
        <v>1</v>
      </c>
      <c r="Q544" s="200">
        <f t="shared" si="77"/>
        <v>1</v>
      </c>
      <c r="R544" s="200">
        <f t="shared" si="77"/>
        <v>1</v>
      </c>
      <c r="S544" s="200">
        <f t="shared" si="77"/>
        <v>1</v>
      </c>
      <c r="T544" s="284">
        <f t="shared" si="77"/>
        <v>1</v>
      </c>
      <c r="U544" s="303">
        <f t="shared" si="77"/>
        <v>1</v>
      </c>
      <c r="V544" s="200">
        <f t="shared" si="77"/>
        <v>1</v>
      </c>
    </row>
    <row r="545" spans="2:31" outlineLevel="1">
      <c r="B545" s="162"/>
    </row>
    <row r="546" spans="2:31">
      <c r="B546" s="170"/>
      <c r="X546" s="288"/>
    </row>
    <row r="547" spans="2:31" s="166" customFormat="1" ht="15" customHeight="1">
      <c r="B547" s="164" t="s">
        <v>682</v>
      </c>
      <c r="C547" s="164"/>
      <c r="D547" s="164"/>
      <c r="E547" s="164"/>
      <c r="F547" s="164"/>
      <c r="G547" s="164"/>
      <c r="H547" s="164"/>
      <c r="I547" s="164"/>
      <c r="J547" s="164"/>
      <c r="K547" s="164"/>
      <c r="L547" s="164"/>
      <c r="M547" s="164"/>
      <c r="N547" s="164"/>
      <c r="O547" s="164"/>
      <c r="P547" s="164"/>
      <c r="Q547" s="164"/>
      <c r="R547" s="164"/>
      <c r="S547" s="164"/>
      <c r="T547" s="164"/>
      <c r="U547" s="164"/>
      <c r="V547" s="164"/>
      <c r="W547" s="165"/>
      <c r="X547" s="165"/>
      <c r="Y547" s="165"/>
      <c r="Z547" s="165"/>
      <c r="AA547" s="165"/>
      <c r="AB547" s="165"/>
      <c r="AC547" s="165"/>
      <c r="AD547" s="165"/>
      <c r="AE547" s="165"/>
    </row>
    <row r="550" spans="2:31">
      <c r="E550" s="152" t="s">
        <v>683</v>
      </c>
    </row>
  </sheetData>
  <mergeCells count="82">
    <mergeCell ref="C375:I375"/>
    <mergeCell ref="C376:I376"/>
    <mergeCell ref="C377:I377"/>
    <mergeCell ref="C378:I378"/>
    <mergeCell ref="C379:I379"/>
    <mergeCell ref="C386:I386"/>
    <mergeCell ref="C387:I387"/>
    <mergeCell ref="C388:I388"/>
    <mergeCell ref="C389:I389"/>
    <mergeCell ref="C390:I390"/>
    <mergeCell ref="C408:I408"/>
    <mergeCell ref="C409:I409"/>
    <mergeCell ref="C410:I410"/>
    <mergeCell ref="C411:I411"/>
    <mergeCell ref="C412:I412"/>
    <mergeCell ref="C398:I398"/>
    <mergeCell ref="C399:I399"/>
    <mergeCell ref="C400:I400"/>
    <mergeCell ref="C401:I401"/>
    <mergeCell ref="C402:I402"/>
    <mergeCell ref="C235:I235"/>
    <mergeCell ref="E258:I259"/>
    <mergeCell ref="C251:I251"/>
    <mergeCell ref="I255:Q255"/>
    <mergeCell ref="E250:I250"/>
    <mergeCell ref="E245:I245"/>
    <mergeCell ref="E243:I243"/>
    <mergeCell ref="E244:I244"/>
    <mergeCell ref="E224:I225"/>
    <mergeCell ref="B192:B193"/>
    <mergeCell ref="C192:I193"/>
    <mergeCell ref="B160:B161"/>
    <mergeCell ref="C160:I161"/>
    <mergeCell ref="C175:I176"/>
    <mergeCell ref="B175:B176"/>
    <mergeCell ref="C216:I216"/>
    <mergeCell ref="B207:B208"/>
    <mergeCell ref="C207:I208"/>
    <mergeCell ref="C209:I209"/>
    <mergeCell ref="C210:I210"/>
    <mergeCell ref="E366:I366"/>
    <mergeCell ref="E315:I315"/>
    <mergeCell ref="E316:I316"/>
    <mergeCell ref="E337:I338"/>
    <mergeCell ref="E318:I318"/>
    <mergeCell ref="C319:I319"/>
    <mergeCell ref="C332:I332"/>
    <mergeCell ref="E326:I327"/>
    <mergeCell ref="E339:I339"/>
    <mergeCell ref="E340:I340"/>
    <mergeCell ref="E341:I341"/>
    <mergeCell ref="E342:I342"/>
    <mergeCell ref="C343:I343"/>
    <mergeCell ref="E317:I317"/>
    <mergeCell ref="E363:I363"/>
    <mergeCell ref="E364:I364"/>
    <mergeCell ref="E365:I365"/>
    <mergeCell ref="E274:I275"/>
    <mergeCell ref="E308:I309"/>
    <mergeCell ref="E310:I310"/>
    <mergeCell ref="E311:I311"/>
    <mergeCell ref="C303:I303"/>
    <mergeCell ref="E292:I293"/>
    <mergeCell ref="E312:I312"/>
    <mergeCell ref="E313:I313"/>
    <mergeCell ref="E314:I314"/>
    <mergeCell ref="M7:Q7"/>
    <mergeCell ref="R7:V7"/>
    <mergeCell ref="E361:I362"/>
    <mergeCell ref="E350:I351"/>
    <mergeCell ref="C211:I211"/>
    <mergeCell ref="C217:I217"/>
    <mergeCell ref="C212:I212"/>
    <mergeCell ref="C213:I213"/>
    <mergeCell ref="C214:I214"/>
    <mergeCell ref="C215:I215"/>
    <mergeCell ref="E246:I246"/>
    <mergeCell ref="E247:I247"/>
    <mergeCell ref="E248:I248"/>
    <mergeCell ref="E249:I249"/>
    <mergeCell ref="E240:I241"/>
    <mergeCell ref="E242:I242"/>
  </mergeCells>
  <phoneticPr fontId="265" type="noConversion"/>
  <conditionalFormatting sqref="M499:V499">
    <cfRule type="cellIs" priority="66" stopIfTrue="1" operator="greaterThanOrEqual">
      <formula>0</formula>
    </cfRule>
  </conditionalFormatting>
  <conditionalFormatting sqref="M465:V465">
    <cfRule type="cellIs" priority="65" stopIfTrue="1" operator="greaterThanOrEqual">
      <formula>0</formula>
    </cfRule>
  </conditionalFormatting>
  <conditionalFormatting sqref="M543:V543">
    <cfRule type="cellIs" priority="64" stopIfTrue="1" operator="greaterThanOrEqual">
      <formula>0</formula>
    </cfRule>
  </conditionalFormatting>
  <conditionalFormatting sqref="U9">
    <cfRule type="expression" dxfId="40" priority="60">
      <formula>AND(U$5="Actuals",V$5="Forecast")</formula>
    </cfRule>
  </conditionalFormatting>
  <conditionalFormatting sqref="M9:U9">
    <cfRule type="expression" dxfId="39" priority="57">
      <formula>AND(M$8="Actuals",N$8="Forecast")</formula>
    </cfRule>
  </conditionalFormatting>
  <conditionalFormatting sqref="M339:V343 M388:V390 M363:V369 M408:V413 M310:V319 M276:V285 N386:V387">
    <cfRule type="cellIs" priority="55" stopIfTrue="1" operator="greaterThanOrEqual">
      <formula>0</formula>
    </cfRule>
  </conditionalFormatting>
  <conditionalFormatting sqref="M392:V392">
    <cfRule type="cellIs" priority="54" stopIfTrue="1" operator="greaterThanOrEqual">
      <formula>0</formula>
    </cfRule>
  </conditionalFormatting>
  <conditionalFormatting sqref="M391:V391">
    <cfRule type="cellIs" priority="53" stopIfTrue="1" operator="greaterThanOrEqual">
      <formula>0</formula>
    </cfRule>
  </conditionalFormatting>
  <conditionalFormatting sqref="B251">
    <cfRule type="cellIs" priority="52" stopIfTrue="1" operator="greaterThanOrEqual">
      <formula>0</formula>
    </cfRule>
  </conditionalFormatting>
  <conditionalFormatting sqref="C251">
    <cfRule type="cellIs" priority="47" stopIfTrue="1" operator="greaterThanOrEqual">
      <formula>0</formula>
    </cfRule>
  </conditionalFormatting>
  <conditionalFormatting sqref="M242:V251">
    <cfRule type="cellIs" priority="39" stopIfTrue="1" operator="greaterThanOrEqual">
      <formula>0</formula>
    </cfRule>
  </conditionalFormatting>
  <conditionalFormatting sqref="C367:D367">
    <cfRule type="cellIs" priority="26" stopIfTrue="1" operator="greaterThanOrEqual">
      <formula>0</formula>
    </cfRule>
  </conditionalFormatting>
  <conditionalFormatting sqref="C343">
    <cfRule type="cellIs" priority="27" stopIfTrue="1" operator="greaterThanOrEqual">
      <formula>0</formula>
    </cfRule>
  </conditionalFormatting>
  <conditionalFormatting sqref="C319">
    <cfRule type="cellIs" priority="22" stopIfTrue="1" operator="greaterThanOrEqual">
      <formula>0</formula>
    </cfRule>
  </conditionalFormatting>
  <conditionalFormatting sqref="M414:V414">
    <cfRule type="cellIs" priority="20" stopIfTrue="1" operator="greaterThanOrEqual">
      <formula>0</formula>
    </cfRule>
  </conditionalFormatting>
  <conditionalFormatting sqref="B235">
    <cfRule type="cellIs" priority="19" stopIfTrue="1" operator="greaterThanOrEqual">
      <formula>0</formula>
    </cfRule>
  </conditionalFormatting>
  <conditionalFormatting sqref="C235">
    <cfRule type="cellIs" priority="18" stopIfTrue="1" operator="greaterThanOrEqual">
      <formula>0</formula>
    </cfRule>
  </conditionalFormatting>
  <conditionalFormatting sqref="M226:V235">
    <cfRule type="cellIs" priority="17" stopIfTrue="1" operator="greaterThanOrEqual">
      <formula>0</formula>
    </cfRule>
  </conditionalFormatting>
  <conditionalFormatting sqref="M260:V269">
    <cfRule type="cellIs" priority="16" stopIfTrue="1" operator="greaterThanOrEqual">
      <formula>0</formula>
    </cfRule>
  </conditionalFormatting>
  <conditionalFormatting sqref="C269">
    <cfRule type="cellIs" priority="15" stopIfTrue="1" operator="greaterThanOrEqual">
      <formula>0</formula>
    </cfRule>
  </conditionalFormatting>
  <conditionalFormatting sqref="M294:V303">
    <cfRule type="cellIs" priority="14" stopIfTrue="1" operator="greaterThanOrEqual">
      <formula>0</formula>
    </cfRule>
  </conditionalFormatting>
  <conditionalFormatting sqref="C303">
    <cfRule type="cellIs" priority="13" stopIfTrue="1" operator="greaterThanOrEqual">
      <formula>0</formula>
    </cfRule>
  </conditionalFormatting>
  <conditionalFormatting sqref="M328:V332">
    <cfRule type="cellIs" priority="12" stopIfTrue="1" operator="greaterThanOrEqual">
      <formula>0</formula>
    </cfRule>
  </conditionalFormatting>
  <conditionalFormatting sqref="C332">
    <cfRule type="cellIs" priority="11" stopIfTrue="1" operator="greaterThanOrEqual">
      <formula>0</formula>
    </cfRule>
  </conditionalFormatting>
  <conditionalFormatting sqref="M352:V358">
    <cfRule type="cellIs" priority="10" stopIfTrue="1" operator="greaterThanOrEqual">
      <formula>0</formula>
    </cfRule>
  </conditionalFormatting>
  <conditionalFormatting sqref="C356:D356">
    <cfRule type="cellIs" priority="9" stopIfTrue="1" operator="greaterThanOrEqual">
      <formula>0</formula>
    </cfRule>
  </conditionalFormatting>
  <conditionalFormatting sqref="M377:V379 N375:V376">
    <cfRule type="cellIs" priority="8" stopIfTrue="1" operator="greaterThanOrEqual">
      <formula>0</formula>
    </cfRule>
  </conditionalFormatting>
  <conditionalFormatting sqref="M380:V380">
    <cfRule type="cellIs" priority="7" stopIfTrue="1" operator="greaterThanOrEqual">
      <formula>0</formula>
    </cfRule>
  </conditionalFormatting>
  <conditionalFormatting sqref="M398:V404">
    <cfRule type="cellIs" priority="5" stopIfTrue="1" operator="greaterThanOrEqual">
      <formula>0</formula>
    </cfRule>
  </conditionalFormatting>
  <conditionalFormatting sqref="V9">
    <cfRule type="expression" dxfId="38" priority="281">
      <formula>AND(V$5="Actuals",#REF!="Forecast")</formula>
    </cfRule>
  </conditionalFormatting>
  <conditionalFormatting sqref="V9">
    <cfRule type="expression" dxfId="37" priority="283">
      <formula>AND(V$8="Actuals",#REF!="Forecast")</formula>
    </cfRule>
  </conditionalFormatting>
  <conditionalFormatting sqref="M375:M376">
    <cfRule type="cellIs" priority="3" stopIfTrue="1" operator="greaterThanOrEqual">
      <formula>0</formula>
    </cfRule>
  </conditionalFormatting>
  <conditionalFormatting sqref="M386:M387">
    <cfRule type="cellIs" priority="2" stopIfTrue="1" operator="greaterThanOrEqual">
      <formula>0</formula>
    </cfRule>
  </conditionalFormatting>
  <conditionalFormatting sqref="M72">
    <cfRule type="cellIs" priority="1" stopIfTrue="1" operator="greaterThanOrEqual">
      <formula>0</formula>
    </cfRule>
  </conditionalFormatting>
  <dataValidations disablePrompts="1" count="2">
    <dataValidation type="decimal" operator="greaterThanOrEqual" allowBlank="1" showInputMessage="1" showErrorMessage="1" sqref="X430:X434" xr:uid="{00000000-0002-0000-0900-000000000000}">
      <formula1>0</formula1>
    </dataValidation>
    <dataValidation type="decimal" operator="lessThanOrEqual" allowBlank="1" showInputMessage="1" showErrorMessage="1" sqref="X435"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243:I250 C311:I318 C340:I342 C364:I366 C388:I389 C409:I410 C411 C310 F310:I310 F339:I339 F363:I363 D408:I408 C398"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K67"/>
  <sheetViews>
    <sheetView showGridLines="0" zoomScale="80" zoomScaleNormal="80" workbookViewId="0">
      <pane ySplit="7" topLeftCell="A36" activePane="bottomLeft" state="frozen"/>
      <selection activeCell="B9" sqref="B9"/>
      <selection pane="bottomLeft" activeCell="D48" sqref="D48"/>
    </sheetView>
  </sheetViews>
  <sheetFormatPr defaultRowHeight="13.5"/>
  <cols>
    <col min="1" max="1" width="8.3828125" customWidth="1"/>
    <col min="2" max="2" width="85.765625" bestFit="1" customWidth="1"/>
    <col min="3" max="3" width="14.15234375" customWidth="1"/>
    <col min="4" max="8" width="11.15234375" customWidth="1"/>
    <col min="9" max="9" width="5" customWidth="1"/>
    <col min="10" max="10" width="12.84375" customWidth="1"/>
  </cols>
  <sheetData>
    <row r="1" spans="1:9" ht="20">
      <c r="A1" s="1275" t="s">
        <v>182</v>
      </c>
      <c r="B1" s="839"/>
      <c r="C1" s="840"/>
      <c r="D1" s="840"/>
      <c r="E1" s="840"/>
      <c r="F1" s="840"/>
      <c r="G1" s="840"/>
      <c r="H1" s="840"/>
      <c r="I1" s="1284"/>
    </row>
    <row r="2" spans="1:9" ht="20">
      <c r="A2" s="712" t="str">
        <f>Licensee</f>
        <v>ESO</v>
      </c>
      <c r="B2" s="707"/>
      <c r="C2" s="16"/>
      <c r="D2" s="16"/>
      <c r="E2" s="16"/>
      <c r="F2" s="16"/>
      <c r="G2" s="16"/>
      <c r="H2" s="16"/>
      <c r="I2" s="66"/>
    </row>
    <row r="3" spans="1:9" ht="20">
      <c r="A3" s="707">
        <f>Reporting_Year</f>
        <v>2022</v>
      </c>
      <c r="B3" s="1067" t="str">
        <f>'R5 - Financing'!B3</f>
        <v/>
      </c>
      <c r="C3" s="1054"/>
      <c r="D3" s="1054"/>
      <c r="E3" s="1054"/>
      <c r="F3" s="1054"/>
      <c r="G3" s="1054"/>
      <c r="H3" s="1054"/>
      <c r="I3" s="120"/>
    </row>
    <row r="4" spans="1:9" ht="12.75" customHeight="1">
      <c r="A4" s="22"/>
      <c r="B4" s="22"/>
      <c r="C4" s="22"/>
      <c r="D4" s="22"/>
      <c r="E4" s="22"/>
      <c r="F4" s="22"/>
      <c r="G4" s="22"/>
      <c r="H4" s="22"/>
      <c r="I4" s="19"/>
    </row>
    <row r="5" spans="1:9" s="2" customFormat="1">
      <c r="B5" s="3"/>
      <c r="C5" s="3"/>
      <c r="D5" s="254" t="str">
        <f t="shared" ref="D5:H5" si="0">IF(D6&lt;=Reporting_Year,"Actuals","Forecast")</f>
        <v>Actuals</v>
      </c>
      <c r="E5" s="254" t="str">
        <f t="shared" si="0"/>
        <v>Forecast</v>
      </c>
      <c r="F5" s="254" t="str">
        <f t="shared" si="0"/>
        <v>Forecast</v>
      </c>
      <c r="G5" s="254" t="str">
        <f t="shared" si="0"/>
        <v>Forecast</v>
      </c>
      <c r="H5" s="254" t="str">
        <f t="shared" si="0"/>
        <v>Forecast</v>
      </c>
    </row>
    <row r="6" spans="1:9" s="2" customFormat="1">
      <c r="D6" s="63">
        <f>'RFPR cover'!$C$6</f>
        <v>2022</v>
      </c>
      <c r="E6" s="64">
        <f>D6+1</f>
        <v>2023</v>
      </c>
      <c r="F6" s="64">
        <f t="shared" ref="F6:H6" si="1">E6+1</f>
        <v>2024</v>
      </c>
      <c r="G6" s="64">
        <f t="shared" si="1"/>
        <v>2025</v>
      </c>
      <c r="H6" s="64">
        <f t="shared" si="1"/>
        <v>2026</v>
      </c>
    </row>
    <row r="7" spans="1:9"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96" t="str">
        <f>RIIO_2_start_date+3&amp;"/"&amp;RIGHT(RIIO_2_start_date+4,2)</f>
        <v>2025/26</v>
      </c>
    </row>
    <row r="8" spans="1:9" s="2" customFormat="1"/>
    <row r="9" spans="1:9" s="2" customFormat="1">
      <c r="B9" s="89" t="s">
        <v>684</v>
      </c>
      <c r="C9" s="76" t="s">
        <v>252</v>
      </c>
      <c r="D9" s="1079">
        <v>-29.971000000000004</v>
      </c>
      <c r="E9" s="1134">
        <f>D11</f>
        <v>9.9474292000000002</v>
      </c>
      <c r="F9" s="1134">
        <f t="shared" ref="F9:H9" si="2">E11</f>
        <v>0</v>
      </c>
      <c r="G9" s="1134">
        <f t="shared" si="2"/>
        <v>0</v>
      </c>
      <c r="H9" s="1134">
        <f t="shared" si="2"/>
        <v>0</v>
      </c>
    </row>
    <row r="10" spans="1:9" s="2" customFormat="1">
      <c r="B10" s="89"/>
    </row>
    <row r="11" spans="1:9">
      <c r="B11" s="89" t="s">
        <v>685</v>
      </c>
      <c r="C11" s="76" t="s">
        <v>252</v>
      </c>
      <c r="D11" s="469">
        <f>'R6a - Net Debt input'!T20</f>
        <v>9.9474292000000002</v>
      </c>
      <c r="E11" s="470">
        <f>'R6a - Net Debt input'!U20</f>
        <v>0</v>
      </c>
      <c r="F11" s="470">
        <f>'R6a - Net Debt input'!V20</f>
        <v>0</v>
      </c>
      <c r="G11" s="470">
        <f>'R6a - Net Debt input'!W20</f>
        <v>0</v>
      </c>
      <c r="H11" s="470">
        <f>'R6a - Net Debt input'!X20</f>
        <v>0</v>
      </c>
    </row>
    <row r="12" spans="1:9">
      <c r="B12" s="89" t="s">
        <v>686</v>
      </c>
      <c r="C12" s="76" t="s">
        <v>252</v>
      </c>
      <c r="D12" s="471">
        <f>'R6a - Net Debt input'!T55</f>
        <v>-0.20500000000000007</v>
      </c>
      <c r="E12" s="472">
        <f>'R6a - Net Debt input'!U55</f>
        <v>0</v>
      </c>
      <c r="F12" s="472">
        <f>'R6a - Net Debt input'!V55</f>
        <v>0</v>
      </c>
      <c r="G12" s="472">
        <f>'R6a - Net Debt input'!W55</f>
        <v>0</v>
      </c>
      <c r="H12" s="472">
        <f>'R6a - Net Debt input'!X55</f>
        <v>0</v>
      </c>
    </row>
    <row r="13" spans="1:9">
      <c r="B13" s="89" t="s">
        <v>687</v>
      </c>
      <c r="C13" s="76" t="s">
        <v>252</v>
      </c>
      <c r="D13" s="471">
        <f>'R6a - Net Debt input'!T70</f>
        <v>120.55800000000001</v>
      </c>
      <c r="E13" s="472">
        <f>'R6a - Net Debt input'!U70</f>
        <v>120.55800000000001</v>
      </c>
      <c r="F13" s="472">
        <f>'R6a - Net Debt input'!V70</f>
        <v>120.55800000000001</v>
      </c>
      <c r="G13" s="472">
        <f>'R6a - Net Debt input'!W70</f>
        <v>120.55800000000001</v>
      </c>
      <c r="H13" s="472">
        <f>'R6a - Net Debt input'!X70</f>
        <v>120.55800000000001</v>
      </c>
    </row>
    <row r="14" spans="1:9">
      <c r="B14" s="89" t="s">
        <v>688</v>
      </c>
      <c r="C14" s="76" t="s">
        <v>252</v>
      </c>
      <c r="D14" s="471">
        <f>'R6a - Net Debt input'!T85</f>
        <v>-258.73399999999998</v>
      </c>
      <c r="E14" s="472">
        <f>'R6a - Net Debt input'!U85</f>
        <v>0</v>
      </c>
      <c r="F14" s="472">
        <f>'R6a - Net Debt input'!V85</f>
        <v>0</v>
      </c>
      <c r="G14" s="472">
        <f>'R6a - Net Debt input'!W85</f>
        <v>0</v>
      </c>
      <c r="H14" s="472">
        <f>'R6a - Net Debt input'!X85</f>
        <v>0</v>
      </c>
    </row>
    <row r="15" spans="1:9">
      <c r="B15" s="89" t="s">
        <v>689</v>
      </c>
      <c r="C15" s="76" t="s">
        <v>252</v>
      </c>
      <c r="D15" s="471">
        <f>'R6a - Net Debt input'!T100</f>
        <v>0</v>
      </c>
      <c r="E15" s="472">
        <f>'R6a - Net Debt input'!U100</f>
        <v>0</v>
      </c>
      <c r="F15" s="472">
        <f>'R6a - Net Debt input'!V100</f>
        <v>0</v>
      </c>
      <c r="G15" s="472">
        <f>'R6a - Net Debt input'!W100</f>
        <v>0</v>
      </c>
      <c r="H15" s="472">
        <f>'R6a - Net Debt input'!X100</f>
        <v>0</v>
      </c>
    </row>
    <row r="16" spans="1:9">
      <c r="B16" s="89" t="s">
        <v>690</v>
      </c>
      <c r="C16" s="76" t="s">
        <v>252</v>
      </c>
      <c r="D16" s="471">
        <f>'R6a - Net Debt input'!T116</f>
        <v>0</v>
      </c>
      <c r="E16" s="472">
        <f>'R6a - Net Debt input'!U116</f>
        <v>0</v>
      </c>
      <c r="F16" s="472">
        <f>'R6a - Net Debt input'!V116</f>
        <v>0</v>
      </c>
      <c r="G16" s="472">
        <f>'R6a - Net Debt input'!W116</f>
        <v>0</v>
      </c>
      <c r="H16" s="472">
        <f>'R6a - Net Debt input'!X116</f>
        <v>0</v>
      </c>
    </row>
    <row r="17" spans="2:10">
      <c r="B17" s="89" t="s">
        <v>691</v>
      </c>
      <c r="C17" s="76" t="s">
        <v>252</v>
      </c>
      <c r="D17" s="471">
        <f>'R6a - Net Debt input'!T132</f>
        <v>0</v>
      </c>
      <c r="E17" s="472">
        <f>'R6a - Net Debt input'!U132</f>
        <v>0</v>
      </c>
      <c r="F17" s="472">
        <f>'R6a - Net Debt input'!V132</f>
        <v>0</v>
      </c>
      <c r="G17" s="472">
        <f>'R6a - Net Debt input'!W132</f>
        <v>0</v>
      </c>
      <c r="H17" s="472">
        <f>'R6a - Net Debt input'!X132</f>
        <v>0</v>
      </c>
    </row>
    <row r="18" spans="2:10">
      <c r="B18" s="89" t="s">
        <v>692</v>
      </c>
      <c r="C18" s="76" t="s">
        <v>252</v>
      </c>
      <c r="D18" s="471">
        <f>'R6a - Net Debt input'!T160</f>
        <v>0</v>
      </c>
      <c r="E18" s="472">
        <f>'R6a - Net Debt input'!U160</f>
        <v>0</v>
      </c>
      <c r="F18" s="472">
        <f>'R6a - Net Debt input'!V160</f>
        <v>0</v>
      </c>
      <c r="G18" s="472">
        <f>'R6a - Net Debt input'!W160</f>
        <v>0</v>
      </c>
      <c r="H18" s="472">
        <f>'R6a - Net Debt input'!X160</f>
        <v>0</v>
      </c>
    </row>
    <row r="19" spans="2:10">
      <c r="B19" s="89" t="s">
        <v>693</v>
      </c>
      <c r="C19" s="76" t="s">
        <v>252</v>
      </c>
      <c r="D19" s="471">
        <f>'R6a - Net Debt input'!T187</f>
        <v>0</v>
      </c>
      <c r="E19" s="472">
        <f>'R6a - Net Debt input'!U187</f>
        <v>0</v>
      </c>
      <c r="F19" s="472">
        <f>'R6a - Net Debt input'!V187</f>
        <v>0</v>
      </c>
      <c r="G19" s="472">
        <f>'R6a - Net Debt input'!W187</f>
        <v>0</v>
      </c>
      <c r="H19" s="472">
        <f>'R6a - Net Debt input'!X187</f>
        <v>0</v>
      </c>
    </row>
    <row r="20" spans="2:10">
      <c r="B20" s="89" t="s">
        <v>694</v>
      </c>
      <c r="C20" s="76" t="s">
        <v>252</v>
      </c>
      <c r="D20" s="471">
        <f>'R6a - Net Debt input'!T210</f>
        <v>0</v>
      </c>
      <c r="E20" s="472">
        <f>'R6a - Net Debt input'!U210</f>
        <v>0</v>
      </c>
      <c r="F20" s="472">
        <f>'R6a - Net Debt input'!V210</f>
        <v>0</v>
      </c>
      <c r="G20" s="472">
        <f>'R6a - Net Debt input'!W210</f>
        <v>0</v>
      </c>
      <c r="H20" s="472">
        <f>'R6a - Net Debt input'!X210</f>
        <v>0</v>
      </c>
    </row>
    <row r="21" spans="2:10">
      <c r="B21" s="89" t="s">
        <v>695</v>
      </c>
      <c r="C21" s="76" t="s">
        <v>252</v>
      </c>
      <c r="D21" s="471">
        <f>'R6a - Net Debt input'!T228</f>
        <v>0</v>
      </c>
      <c r="E21" s="472">
        <f>'R6a - Net Debt input'!U228</f>
        <v>0</v>
      </c>
      <c r="F21" s="472">
        <f>'R6a - Net Debt input'!V228</f>
        <v>0</v>
      </c>
      <c r="G21" s="472">
        <f>'R6a - Net Debt input'!W228</f>
        <v>0</v>
      </c>
      <c r="H21" s="472">
        <f>'R6a - Net Debt input'!X228</f>
        <v>0</v>
      </c>
    </row>
    <row r="22" spans="2:10">
      <c r="B22" s="89" t="s">
        <v>696</v>
      </c>
      <c r="C22" s="76" t="s">
        <v>252</v>
      </c>
      <c r="D22" s="471">
        <f>'R6a - Net Debt input'!T244</f>
        <v>0</v>
      </c>
      <c r="E22" s="472">
        <f>'R6a - Net Debt input'!U244</f>
        <v>0</v>
      </c>
      <c r="F22" s="472">
        <f>'R6a - Net Debt input'!V244</f>
        <v>0</v>
      </c>
      <c r="G22" s="472">
        <f>'R6a - Net Debt input'!W244</f>
        <v>0</v>
      </c>
      <c r="H22" s="472">
        <f>'R6a - Net Debt input'!X244</f>
        <v>0</v>
      </c>
    </row>
    <row r="23" spans="2:10">
      <c r="B23" s="89" t="s">
        <v>697</v>
      </c>
      <c r="C23" s="76" t="s">
        <v>252</v>
      </c>
      <c r="D23" s="471">
        <f>'R6a - Net Debt input'!T260</f>
        <v>0</v>
      </c>
      <c r="E23" s="472">
        <f>'R6a - Net Debt input'!U260</f>
        <v>0</v>
      </c>
      <c r="F23" s="472">
        <f>'R6a - Net Debt input'!V260</f>
        <v>0</v>
      </c>
      <c r="G23" s="472">
        <f>'R6a - Net Debt input'!W260</f>
        <v>0</v>
      </c>
      <c r="H23" s="472">
        <f>'R6a - Net Debt input'!X260</f>
        <v>0</v>
      </c>
    </row>
    <row r="24" spans="2:10">
      <c r="B24" s="6" t="s">
        <v>698</v>
      </c>
      <c r="C24" s="110" t="s">
        <v>252</v>
      </c>
      <c r="D24" s="473">
        <f>SUM(D11:D23)</f>
        <v>-128.43357079999998</v>
      </c>
      <c r="E24" s="473">
        <f t="shared" ref="E24:H24" si="3">SUM(E11:E23)</f>
        <v>120.55800000000001</v>
      </c>
      <c r="F24" s="473">
        <f t="shared" si="3"/>
        <v>120.55800000000001</v>
      </c>
      <c r="G24" s="473">
        <f t="shared" si="3"/>
        <v>120.55800000000001</v>
      </c>
      <c r="H24" s="473">
        <f t="shared" si="3"/>
        <v>120.55800000000001</v>
      </c>
      <c r="I24" s="2"/>
      <c r="J24" s="124"/>
    </row>
    <row r="25" spans="2:10">
      <c r="B25" s="6"/>
      <c r="C25" s="76"/>
      <c r="D25" s="113"/>
      <c r="E25" s="113"/>
      <c r="F25" s="113"/>
      <c r="G25" s="113"/>
      <c r="H25" s="113"/>
      <c r="I25" s="2"/>
      <c r="J25" s="2"/>
    </row>
    <row r="26" spans="2:10">
      <c r="B26" s="6" t="s">
        <v>699</v>
      </c>
      <c r="C26" s="8"/>
      <c r="D26" s="114"/>
      <c r="E26" s="114"/>
      <c r="F26" s="114"/>
      <c r="G26" s="114"/>
      <c r="H26" s="114"/>
      <c r="I26" s="2"/>
      <c r="J26" s="2"/>
    </row>
    <row r="27" spans="2:10">
      <c r="B27" s="184" t="str">
        <f>'R6a - Net Debt input'!D290</f>
        <v>Unamortised Issue Costs</v>
      </c>
      <c r="C27" s="76" t="s">
        <v>252</v>
      </c>
      <c r="D27" s="176">
        <f>'R6a - Net Debt input'!T290</f>
        <v>0</v>
      </c>
      <c r="E27" s="176">
        <f>'R6a - Net Debt input'!U290</f>
        <v>0</v>
      </c>
      <c r="F27" s="176">
        <f>'R6a - Net Debt input'!V290</f>
        <v>0</v>
      </c>
      <c r="G27" s="176">
        <f>'R6a - Net Debt input'!W290</f>
        <v>0</v>
      </c>
      <c r="H27" s="176">
        <f>'R6a - Net Debt input'!X290</f>
        <v>0</v>
      </c>
      <c r="I27" s="2"/>
      <c r="J27" s="2"/>
    </row>
    <row r="28" spans="2:10">
      <c r="B28" s="184" t="str">
        <f>'R6a - Net Debt input'!D291</f>
        <v>Fixed asset investments not readily convertible to cash</v>
      </c>
      <c r="C28" s="76" t="s">
        <v>252</v>
      </c>
      <c r="D28" s="176">
        <f>'R6a - Net Debt input'!T291</f>
        <v>0</v>
      </c>
      <c r="E28" s="187">
        <f>'R6a - Net Debt input'!U291</f>
        <v>0</v>
      </c>
      <c r="F28" s="187">
        <f>'R6a - Net Debt input'!V291</f>
        <v>0</v>
      </c>
      <c r="G28" s="187">
        <f>'R6a - Net Debt input'!W291</f>
        <v>0</v>
      </c>
      <c r="H28" s="187">
        <f>'R6a - Net Debt input'!X291</f>
        <v>0</v>
      </c>
      <c r="I28" s="2"/>
      <c r="J28" s="2"/>
    </row>
    <row r="29" spans="2:10">
      <c r="B29" s="184" t="str">
        <f>'R6a - Net Debt input'!D292</f>
        <v>Preference shares</v>
      </c>
      <c r="C29" s="76" t="s">
        <v>252</v>
      </c>
      <c r="D29" s="176">
        <f>'R6a - Net Debt input'!T292</f>
        <v>0</v>
      </c>
      <c r="E29" s="187">
        <f>'R6a - Net Debt input'!U292</f>
        <v>0</v>
      </c>
      <c r="F29" s="187">
        <f>'R6a - Net Debt input'!V292</f>
        <v>0</v>
      </c>
      <c r="G29" s="187">
        <f>'R6a - Net Debt input'!W292</f>
        <v>0</v>
      </c>
      <c r="H29" s="187">
        <f>'R6a - Net Debt input'!X292</f>
        <v>0</v>
      </c>
      <c r="I29" s="2"/>
      <c r="J29" s="2"/>
    </row>
    <row r="30" spans="2:10">
      <c r="B30" s="184" t="str">
        <f>'R6a - Net Debt input'!D293</f>
        <v>Long term loans (Not for benefit of regulated business or distribution in nature)</v>
      </c>
      <c r="C30" s="76" t="s">
        <v>252</v>
      </c>
      <c r="D30" s="176">
        <f>'R6a - Net Debt input'!T293</f>
        <v>0</v>
      </c>
      <c r="E30" s="187">
        <f>'R6a - Net Debt input'!U293</f>
        <v>0</v>
      </c>
      <c r="F30" s="187">
        <f>'R6a - Net Debt input'!V293</f>
        <v>0</v>
      </c>
      <c r="G30" s="187">
        <f>'R6a - Net Debt input'!W293</f>
        <v>0</v>
      </c>
      <c r="H30" s="187">
        <f>'R6a - Net Debt input'!X293</f>
        <v>0</v>
      </c>
      <c r="I30" s="2"/>
      <c r="J30" s="2"/>
    </row>
    <row r="31" spans="2:10">
      <c r="B31" s="184" t="str">
        <f>'R6a - Net Debt input'!D294</f>
        <v>1. Cash Relating to TNUoS</v>
      </c>
      <c r="C31" s="76" t="s">
        <v>252</v>
      </c>
      <c r="D31" s="176">
        <f>'R6a - Net Debt input'!T294</f>
        <v>249.07403780000001</v>
      </c>
      <c r="E31" s="187">
        <f>'R6a - Net Debt input'!U294</f>
        <v>0</v>
      </c>
      <c r="F31" s="187">
        <f>'R6a - Net Debt input'!V294</f>
        <v>0</v>
      </c>
      <c r="G31" s="187">
        <f>'R6a - Net Debt input'!W294</f>
        <v>0</v>
      </c>
      <c r="H31" s="187">
        <f>'R6a - Net Debt input'!X294</f>
        <v>0</v>
      </c>
      <c r="I31" s="2"/>
      <c r="J31" s="2"/>
    </row>
    <row r="32" spans="2:10">
      <c r="B32" s="184" t="str">
        <f>'R6a - Net Debt input'!D295</f>
        <v>2. Lease Liability</v>
      </c>
      <c r="C32" s="76" t="s">
        <v>252</v>
      </c>
      <c r="D32" s="176">
        <f>'R6a - Net Debt input'!T295</f>
        <v>-0.13</v>
      </c>
      <c r="E32" s="187">
        <f>'R6a - Net Debt input'!U295</f>
        <v>0</v>
      </c>
      <c r="F32" s="187">
        <f>'R6a - Net Debt input'!V295</f>
        <v>0</v>
      </c>
      <c r="G32" s="187">
        <f>'R6a - Net Debt input'!W295</f>
        <v>0</v>
      </c>
      <c r="H32" s="187">
        <f>'R6a - Net Debt input'!X295</f>
        <v>0</v>
      </c>
      <c r="I32" s="2"/>
      <c r="J32" s="2"/>
    </row>
    <row r="33" spans="2:11" ht="12.75" customHeight="1">
      <c r="B33" s="184" t="str">
        <f>'R6a - Net Debt input'!D296</f>
        <v>3. Interest Accrual</v>
      </c>
      <c r="C33" s="76" t="s">
        <v>252</v>
      </c>
      <c r="D33" s="176">
        <f>'R6a - Net Debt input'!T296</f>
        <v>-0.60369700000000004</v>
      </c>
      <c r="E33" s="187">
        <f>'R6a - Net Debt input'!U296</f>
        <v>0</v>
      </c>
      <c r="F33" s="187">
        <f>'R6a - Net Debt input'!V296</f>
        <v>0</v>
      </c>
      <c r="G33" s="187">
        <f>'R6a - Net Debt input'!W296</f>
        <v>0</v>
      </c>
      <c r="H33" s="187">
        <f>'R6a - Net Debt input'!X296</f>
        <v>0</v>
      </c>
      <c r="I33" s="2"/>
      <c r="J33" s="2"/>
    </row>
    <row r="34" spans="2:11">
      <c r="B34" s="184" t="str">
        <f>'R6a - Net Debt input'!D297</f>
        <v>4. [Insert adjustment as necessary]</v>
      </c>
      <c r="C34" s="76" t="s">
        <v>252</v>
      </c>
      <c r="D34" s="176">
        <f>'R6a - Net Debt input'!T297</f>
        <v>0</v>
      </c>
      <c r="E34" s="187">
        <f>'R6a - Net Debt input'!U297</f>
        <v>0</v>
      </c>
      <c r="F34" s="187">
        <f>'R6a - Net Debt input'!V297</f>
        <v>0</v>
      </c>
      <c r="G34" s="187">
        <f>'R6a - Net Debt input'!W297</f>
        <v>0</v>
      </c>
      <c r="H34" s="187">
        <f>'R6a - Net Debt input'!X297</f>
        <v>0</v>
      </c>
      <c r="I34" s="2"/>
      <c r="J34" s="2"/>
    </row>
    <row r="35" spans="2:11">
      <c r="B35" s="184" t="str">
        <f>'R6a - Net Debt input'!D298</f>
        <v>5. [Insert adjustment as necessary]</v>
      </c>
      <c r="C35" s="76" t="s">
        <v>252</v>
      </c>
      <c r="D35" s="176">
        <f>'R6a - Net Debt input'!T298</f>
        <v>0</v>
      </c>
      <c r="E35" s="187">
        <f>'R6a - Net Debt input'!U298</f>
        <v>0</v>
      </c>
      <c r="F35" s="187">
        <f>'R6a - Net Debt input'!V298</f>
        <v>0</v>
      </c>
      <c r="G35" s="187">
        <f>'R6a - Net Debt input'!W298</f>
        <v>0</v>
      </c>
      <c r="H35" s="187">
        <f>'R6a - Net Debt input'!X298</f>
        <v>0</v>
      </c>
      <c r="I35" s="2"/>
      <c r="J35" s="2"/>
    </row>
    <row r="36" spans="2:11">
      <c r="B36" s="184" t="str">
        <f>'R6a - Net Debt input'!D299</f>
        <v>6. [Insert adjustment as necessary]</v>
      </c>
      <c r="C36" s="76" t="s">
        <v>252</v>
      </c>
      <c r="D36" s="176">
        <f>'R6a - Net Debt input'!T299</f>
        <v>0</v>
      </c>
      <c r="E36" s="187">
        <f>'R6a - Net Debt input'!U299</f>
        <v>0</v>
      </c>
      <c r="F36" s="187">
        <f>'R6a - Net Debt input'!V299</f>
        <v>0</v>
      </c>
      <c r="G36" s="187">
        <f>'R6a - Net Debt input'!W299</f>
        <v>0</v>
      </c>
      <c r="H36" s="187">
        <f>'R6a - Net Debt input'!X299</f>
        <v>0</v>
      </c>
      <c r="I36" s="2"/>
      <c r="J36" s="2"/>
    </row>
    <row r="37" spans="2:11">
      <c r="B37" s="184" t="str">
        <f>'R6a - Net Debt input'!D300</f>
        <v>7. [Insert adjustment as necessary]</v>
      </c>
      <c r="C37" s="76" t="s">
        <v>252</v>
      </c>
      <c r="D37" s="176">
        <f>'R6a - Net Debt input'!T300</f>
        <v>0</v>
      </c>
      <c r="E37" s="187">
        <f>'R6a - Net Debt input'!U300</f>
        <v>0</v>
      </c>
      <c r="F37" s="187">
        <f>'R6a - Net Debt input'!V300</f>
        <v>0</v>
      </c>
      <c r="G37" s="187">
        <f>'R6a - Net Debt input'!W300</f>
        <v>0</v>
      </c>
      <c r="H37" s="187">
        <f>'R6a - Net Debt input'!X300</f>
        <v>0</v>
      </c>
      <c r="I37" s="2"/>
      <c r="J37" s="2"/>
    </row>
    <row r="38" spans="2:11">
      <c r="B38" s="184" t="str">
        <f>'R6a - Net Debt input'!D301</f>
        <v>8. [Insert adjustment as necessary]</v>
      </c>
      <c r="C38" s="76" t="s">
        <v>252</v>
      </c>
      <c r="D38" s="176">
        <f>'R6a - Net Debt input'!T301</f>
        <v>0</v>
      </c>
      <c r="E38" s="187">
        <f>'R6a - Net Debt input'!U301</f>
        <v>0</v>
      </c>
      <c r="F38" s="187">
        <f>'R6a - Net Debt input'!V301</f>
        <v>0</v>
      </c>
      <c r="G38" s="187">
        <f>'R6a - Net Debt input'!W301</f>
        <v>0</v>
      </c>
      <c r="H38" s="187">
        <f>'R6a - Net Debt input'!X301</f>
        <v>0</v>
      </c>
      <c r="I38" s="2"/>
      <c r="J38" s="2"/>
      <c r="K38" s="732"/>
    </row>
    <row r="39" spans="2:11">
      <c r="B39" s="184" t="str">
        <f>'R6a - Net Debt input'!D302</f>
        <v>9. [Insert adjustment as necessary]</v>
      </c>
      <c r="C39" s="76" t="s">
        <v>252</v>
      </c>
      <c r="D39" s="176">
        <f>'R6a - Net Debt input'!T302</f>
        <v>0</v>
      </c>
      <c r="E39" s="187">
        <f>'R6a - Net Debt input'!U302</f>
        <v>0</v>
      </c>
      <c r="F39" s="187">
        <f>'R6a - Net Debt input'!V302</f>
        <v>0</v>
      </c>
      <c r="G39" s="187">
        <f>'R6a - Net Debt input'!W302</f>
        <v>0</v>
      </c>
      <c r="H39" s="187">
        <f>'R6a - Net Debt input'!X302</f>
        <v>0</v>
      </c>
    </row>
    <row r="40" spans="2:11">
      <c r="B40" s="184" t="str">
        <f>'R6a - Net Debt input'!D303</f>
        <v>10. [Insert adjustment as necessary]</v>
      </c>
      <c r="C40" s="76" t="s">
        <v>252</v>
      </c>
      <c r="D40" s="176">
        <f>'R6a - Net Debt input'!T303</f>
        <v>0</v>
      </c>
      <c r="E40" s="187">
        <f>'R6a - Net Debt input'!U303</f>
        <v>0</v>
      </c>
      <c r="F40" s="187">
        <f>'R6a - Net Debt input'!V303</f>
        <v>0</v>
      </c>
      <c r="G40" s="187">
        <f>'R6a - Net Debt input'!W303</f>
        <v>0</v>
      </c>
      <c r="H40" s="187">
        <f>'R6a - Net Debt input'!X303</f>
        <v>0</v>
      </c>
    </row>
    <row r="41" spans="2:11">
      <c r="B41" s="184" t="str">
        <f>'R6a - Net Debt input'!D304</f>
        <v>11. [Insert adjustment as necessary]</v>
      </c>
      <c r="C41" s="76" t="s">
        <v>252</v>
      </c>
      <c r="D41" s="176">
        <f>'R6a - Net Debt input'!T304</f>
        <v>0</v>
      </c>
      <c r="E41" s="187">
        <f>'R6a - Net Debt input'!U304</f>
        <v>0</v>
      </c>
      <c r="F41" s="187">
        <f>'R6a - Net Debt input'!V304</f>
        <v>0</v>
      </c>
      <c r="G41" s="187">
        <f>'R6a - Net Debt input'!W304</f>
        <v>0</v>
      </c>
      <c r="H41" s="187">
        <f>'R6a - Net Debt input'!X304</f>
        <v>0</v>
      </c>
    </row>
    <row r="42" spans="2:11">
      <c r="B42" s="184" t="str">
        <f>'R6a - Net Debt input'!D305</f>
        <v>12. [Insert adjustment as necessary]</v>
      </c>
      <c r="C42" s="76" t="s">
        <v>252</v>
      </c>
      <c r="D42" s="188">
        <f>'R6a - Net Debt input'!T305</f>
        <v>0</v>
      </c>
      <c r="E42" s="189">
        <f>'R6a - Net Debt input'!U305</f>
        <v>0</v>
      </c>
      <c r="F42" s="189">
        <f>'R6a - Net Debt input'!V305</f>
        <v>0</v>
      </c>
      <c r="G42" s="189">
        <f>'R6a - Net Debt input'!W305</f>
        <v>0</v>
      </c>
      <c r="H42" s="189">
        <f>'R6a - Net Debt input'!X305</f>
        <v>0</v>
      </c>
    </row>
    <row r="43" spans="2:11">
      <c r="B43" s="816" t="s">
        <v>700</v>
      </c>
      <c r="C43" s="76" t="s">
        <v>252</v>
      </c>
      <c r="D43" s="476">
        <f>SUM(D24,D27:D42)</f>
        <v>119.90677000000004</v>
      </c>
      <c r="E43" s="476">
        <f t="shared" ref="E43:H43" si="4">SUM(E24,E27:E42)</f>
        <v>120.55800000000001</v>
      </c>
      <c r="F43" s="476">
        <f t="shared" si="4"/>
        <v>120.55800000000001</v>
      </c>
      <c r="G43" s="476">
        <f t="shared" si="4"/>
        <v>120.55800000000001</v>
      </c>
      <c r="H43" s="476">
        <f t="shared" si="4"/>
        <v>120.55800000000001</v>
      </c>
    </row>
    <row r="44" spans="2:11">
      <c r="B44" s="185" t="s">
        <v>701</v>
      </c>
      <c r="C44" s="76" t="s">
        <v>252</v>
      </c>
      <c r="D44" s="1010">
        <v>0</v>
      </c>
      <c r="E44" s="596">
        <v>0</v>
      </c>
      <c r="F44" s="596">
        <v>0</v>
      </c>
      <c r="G44" s="596">
        <v>0</v>
      </c>
      <c r="H44" s="596">
        <v>0</v>
      </c>
    </row>
    <row r="45" spans="2:11">
      <c r="B45" s="816" t="s">
        <v>702</v>
      </c>
      <c r="C45" s="76" t="s">
        <v>252</v>
      </c>
      <c r="D45" s="47">
        <f>SUM(D43:D44)</f>
        <v>119.90677000000004</v>
      </c>
      <c r="E45" s="48">
        <f t="shared" ref="E45:H45" si="5">SUM(E43:E44)</f>
        <v>120.55800000000001</v>
      </c>
      <c r="F45" s="48">
        <f t="shared" si="5"/>
        <v>120.55800000000001</v>
      </c>
      <c r="G45" s="48">
        <f t="shared" si="5"/>
        <v>120.55800000000001</v>
      </c>
      <c r="H45" s="48">
        <f t="shared" si="5"/>
        <v>120.55800000000001</v>
      </c>
    </row>
    <row r="46" spans="2:11">
      <c r="D46" s="104" t="str">
        <f>IF(ABS(D43-'R6a - Net Debt input'!T306)&lt;Data!$F$7,"OK","Error")</f>
        <v>OK</v>
      </c>
      <c r="E46" s="105" t="str">
        <f>IF(ABS(E43-'R6a - Net Debt input'!U306)&lt;Data!$F$7,"OK","Error")</f>
        <v>OK</v>
      </c>
      <c r="F46" s="105" t="str">
        <f>IF(ABS(F43-'R6a - Net Debt input'!V306)&lt;Data!$F$7,"OK","Error")</f>
        <v>OK</v>
      </c>
      <c r="G46" s="105" t="str">
        <f>IF(ABS(G43-'R6a - Net Debt input'!W306)&lt;Data!$F$7,"OK","Error")</f>
        <v>OK</v>
      </c>
      <c r="H46" s="105" t="str">
        <f>IF(ABS(H43-'R6a - Net Debt input'!X306)&lt;Data!$F$7,"OK","Error")</f>
        <v>OK</v>
      </c>
    </row>
    <row r="48" spans="2:11">
      <c r="B48" s="817" t="s">
        <v>703</v>
      </c>
      <c r="C48" s="76" t="s">
        <v>252</v>
      </c>
      <c r="D48" s="596">
        <v>91.250955587987022</v>
      </c>
      <c r="E48" s="48">
        <f>D49</f>
        <v>119.90677000000004</v>
      </c>
      <c r="F48" s="48">
        <f t="shared" ref="F48:H48" si="6">E49</f>
        <v>120.55800000000001</v>
      </c>
      <c r="G48" s="48">
        <f t="shared" si="6"/>
        <v>120.55800000000001</v>
      </c>
      <c r="H48" s="48">
        <f t="shared" si="6"/>
        <v>120.55800000000001</v>
      </c>
      <c r="I48" s="91"/>
    </row>
    <row r="49" spans="2:10">
      <c r="B49" s="817" t="s">
        <v>704</v>
      </c>
      <c r="C49" s="76" t="s">
        <v>252</v>
      </c>
      <c r="D49" s="438">
        <f>D45</f>
        <v>119.90677000000004</v>
      </c>
      <c r="E49" s="439">
        <f>E45</f>
        <v>120.55800000000001</v>
      </c>
      <c r="F49" s="439">
        <f t="shared" ref="F49:H49" si="7">F45</f>
        <v>120.55800000000001</v>
      </c>
      <c r="G49" s="439">
        <f t="shared" si="7"/>
        <v>120.55800000000001</v>
      </c>
      <c r="H49" s="439">
        <f t="shared" si="7"/>
        <v>120.55800000000001</v>
      </c>
      <c r="I49" s="91"/>
    </row>
    <row r="50" spans="2:10">
      <c r="D50" s="12"/>
      <c r="E50" s="12"/>
      <c r="F50" s="12"/>
      <c r="G50" s="12"/>
      <c r="H50" s="12"/>
    </row>
    <row r="51" spans="2:10">
      <c r="B51" s="6" t="s">
        <v>705</v>
      </c>
    </row>
    <row r="52" spans="2:10">
      <c r="B52" t="s">
        <v>706</v>
      </c>
      <c r="C52" s="91" t="s">
        <v>216</v>
      </c>
      <c r="D52" s="872">
        <f>'R6a - Net Debt input'!T309</f>
        <v>0</v>
      </c>
      <c r="E52" s="873">
        <f>'R6a - Net Debt input'!U309</f>
        <v>0</v>
      </c>
      <c r="F52" s="873">
        <f>'R6a - Net Debt input'!V309</f>
        <v>0</v>
      </c>
      <c r="G52" s="873">
        <f>'R6a - Net Debt input'!W309</f>
        <v>0</v>
      </c>
      <c r="H52" s="873">
        <f>'R6a - Net Debt input'!X309</f>
        <v>0</v>
      </c>
    </row>
    <row r="53" spans="2:10">
      <c r="B53" t="s">
        <v>645</v>
      </c>
      <c r="C53" s="91" t="s">
        <v>216</v>
      </c>
      <c r="D53" s="411">
        <f>1-D52</f>
        <v>1</v>
      </c>
      <c r="E53" s="412">
        <f t="shared" ref="E53:H53" si="8">1-E52</f>
        <v>1</v>
      </c>
      <c r="F53" s="412">
        <f t="shared" si="8"/>
        <v>1</v>
      </c>
      <c r="G53" s="412">
        <f t="shared" si="8"/>
        <v>1</v>
      </c>
      <c r="H53" s="412">
        <f t="shared" si="8"/>
        <v>1</v>
      </c>
      <c r="J53" s="732"/>
    </row>
    <row r="54" spans="2:10">
      <c r="C54" s="91"/>
      <c r="D54" s="91"/>
      <c r="E54" s="91"/>
      <c r="F54" s="91"/>
      <c r="G54" s="91"/>
      <c r="H54" s="91"/>
      <c r="I54" s="91"/>
    </row>
    <row r="55" spans="2:10">
      <c r="B55" t="s">
        <v>707</v>
      </c>
      <c r="C55" s="76" t="s">
        <v>252</v>
      </c>
      <c r="D55" s="477">
        <f>AVERAGE(D48:D49)*D53</f>
        <v>105.57886279399352</v>
      </c>
      <c r="E55" s="478">
        <f t="shared" ref="E55:H55" si="9">AVERAGE(E48:E49)*E53</f>
        <v>120.23238500000002</v>
      </c>
      <c r="F55" s="478">
        <f t="shared" si="9"/>
        <v>120.55800000000001</v>
      </c>
      <c r="G55" s="478">
        <f t="shared" si="9"/>
        <v>120.55800000000001</v>
      </c>
      <c r="H55" s="478">
        <f t="shared" si="9"/>
        <v>120.55800000000001</v>
      </c>
    </row>
    <row r="56" spans="2:10">
      <c r="B56" t="s">
        <v>708</v>
      </c>
      <c r="C56" s="76" t="s">
        <v>252</v>
      </c>
      <c r="D56" s="474">
        <f>D57-D55</f>
        <v>158.22293085473316</v>
      </c>
      <c r="E56" s="475">
        <f t="shared" ref="E56:H56" si="10">E57-E55</f>
        <v>225.29782356035332</v>
      </c>
      <c r="F56" s="475">
        <f t="shared" si="10"/>
        <v>316.71706852136504</v>
      </c>
      <c r="G56" s="475">
        <f t="shared" si="10"/>
        <v>413.1189598898543</v>
      </c>
      <c r="H56" s="475">
        <f t="shared" si="10"/>
        <v>487.17251435204855</v>
      </c>
    </row>
    <row r="57" spans="2:10">
      <c r="B57" t="s">
        <v>709</v>
      </c>
      <c r="C57" s="76" t="s">
        <v>252</v>
      </c>
      <c r="D57" s="650">
        <f>IF(D6=RIIO_2_start_date,AVERAGE(('R7 - RAV'!E15*'R7 - RAV'!E30),'R7 - RAV'!E32),AVERAGE('R7 - RAV'!D32:E32))</f>
        <v>263.80179364872669</v>
      </c>
      <c r="E57" s="650">
        <f>IF(E6=RIIO_2_start_date,AVERAGE(('R7 - RAV'!F15*'R7 - RAV'!F30),'R7 - RAV'!F32),AVERAGE('R7 - RAV'!E32:F32))</f>
        <v>345.53020856035334</v>
      </c>
      <c r="F57" s="650">
        <f>IF(F6=RIIO_2_start_date,AVERAGE(('R7 - RAV'!G15*'R7 - RAV'!G30),'R7 - RAV'!G32),AVERAGE('R7 - RAV'!F32:G32))</f>
        <v>437.27506852136503</v>
      </c>
      <c r="G57" s="650">
        <f>IF(G6=RIIO_2_start_date,AVERAGE(('R7 - RAV'!H15*'R7 - RAV'!H30),'R7 - RAV'!H32),AVERAGE('R7 - RAV'!G32:H32))</f>
        <v>533.67695988985429</v>
      </c>
      <c r="H57" s="650">
        <f>IF(H6=RIIO_2_start_date,AVERAGE(('R7 - RAV'!I15*'R7 - RAV'!I30),'R7 - RAV'!I32),AVERAGE('R7 - RAV'!H32:I32))</f>
        <v>607.73051435204854</v>
      </c>
    </row>
    <row r="58" spans="2:10">
      <c r="B58" t="s">
        <v>710</v>
      </c>
      <c r="C58" s="76" t="s">
        <v>216</v>
      </c>
      <c r="D58" s="108">
        <f>D55/D57</f>
        <v>0.40022041296118049</v>
      </c>
      <c r="E58" s="109">
        <f t="shared" ref="E58:H58" si="11">E55/E57</f>
        <v>0.34796490153768761</v>
      </c>
      <c r="F58" s="109">
        <f t="shared" si="11"/>
        <v>0.27570288973406132</v>
      </c>
      <c r="G58" s="109">
        <f t="shared" si="11"/>
        <v>0.22590070222421069</v>
      </c>
      <c r="H58" s="109">
        <f t="shared" si="11"/>
        <v>0.19837411015725745</v>
      </c>
    </row>
    <row r="59" spans="2:10">
      <c r="B59" t="s">
        <v>24</v>
      </c>
      <c r="C59" s="76" t="s">
        <v>216</v>
      </c>
      <c r="D59" s="651">
        <f>Data!$C$8</f>
        <v>0.55000000000000004</v>
      </c>
      <c r="E59" s="652">
        <f>Data!$C$8</f>
        <v>0.55000000000000004</v>
      </c>
      <c r="F59" s="652">
        <f>Data!$C$8</f>
        <v>0.55000000000000004</v>
      </c>
      <c r="G59" s="652">
        <f>Data!$C$8</f>
        <v>0.55000000000000004</v>
      </c>
      <c r="H59" s="652">
        <f>Data!$C$8</f>
        <v>0.55000000000000004</v>
      </c>
    </row>
    <row r="60" spans="2:10">
      <c r="B60" t="s">
        <v>711</v>
      </c>
      <c r="C60" s="76" t="s">
        <v>216</v>
      </c>
      <c r="D60" s="111">
        <f t="shared" ref="D60:H60" si="12">IF(ISBLANK(D24),"n/a",D58-D59)</f>
        <v>-0.14977958703881955</v>
      </c>
      <c r="E60" s="112">
        <f t="shared" si="12"/>
        <v>-0.20203509846231243</v>
      </c>
      <c r="F60" s="112">
        <f t="shared" si="12"/>
        <v>-0.27429711026593873</v>
      </c>
      <c r="G60" s="112">
        <f t="shared" si="12"/>
        <v>-0.32409929777578939</v>
      </c>
      <c r="H60" s="112">
        <f t="shared" si="12"/>
        <v>-0.35162588984274257</v>
      </c>
    </row>
    <row r="62" spans="2:10">
      <c r="B62" t="s">
        <v>712</v>
      </c>
      <c r="C62" s="39" t="str">
        <f>Data!$C$9</f>
        <v>£m 18/19</v>
      </c>
      <c r="D62" s="1003">
        <f>D64*D58</f>
        <v>94.570390290943692</v>
      </c>
      <c r="E62" s="764">
        <f t="shared" ref="E62:H62" si="13">E64*E58</f>
        <v>101.19487264549009</v>
      </c>
      <c r="F62" s="764">
        <f t="shared" si="13"/>
        <v>97.851312056420369</v>
      </c>
      <c r="G62" s="764">
        <f t="shared" si="13"/>
        <v>96.131910006056941</v>
      </c>
      <c r="H62" s="764">
        <f t="shared" si="13"/>
        <v>94.527325477241973</v>
      </c>
    </row>
    <row r="63" spans="2:10">
      <c r="B63" t="s">
        <v>713</v>
      </c>
      <c r="C63" s="39" t="str">
        <f>Data!$C$9</f>
        <v>£m 18/19</v>
      </c>
      <c r="D63" s="462">
        <f>D64*(1-D58)</f>
        <v>141.72537881096011</v>
      </c>
      <c r="E63" s="463">
        <f t="shared" ref="E63:H63" si="14">E64*(1-E58)</f>
        <v>189.62432261903524</v>
      </c>
      <c r="F63" s="463">
        <f t="shared" si="14"/>
        <v>257.06448933690638</v>
      </c>
      <c r="G63" s="463">
        <f t="shared" si="14"/>
        <v>329.41749758562116</v>
      </c>
      <c r="H63" s="463">
        <f t="shared" si="14"/>
        <v>381.98306896035456</v>
      </c>
    </row>
    <row r="64" spans="2:10">
      <c r="B64" t="s">
        <v>714</v>
      </c>
      <c r="C64" s="39" t="str">
        <f>Data!$C$9</f>
        <v>£m 18/19</v>
      </c>
      <c r="D64" s="650">
        <f>'R7 - RAV'!E41</f>
        <v>236.2957691019038</v>
      </c>
      <c r="E64" s="650">
        <f>'R7 - RAV'!F41</f>
        <v>290.81919526452532</v>
      </c>
      <c r="F64" s="650">
        <f>'R7 - RAV'!G41</f>
        <v>354.91580139332672</v>
      </c>
      <c r="G64" s="650">
        <f>'R7 - RAV'!H41</f>
        <v>425.54940759167812</v>
      </c>
      <c r="H64" s="650">
        <f>'R7 - RAV'!I41</f>
        <v>476.51039443759657</v>
      </c>
    </row>
    <row r="65" spans="2:8">
      <c r="B65" t="s">
        <v>710</v>
      </c>
      <c r="C65" s="76" t="s">
        <v>216</v>
      </c>
      <c r="D65" s="108">
        <f>D62/D64</f>
        <v>0.40022041296118049</v>
      </c>
      <c r="E65" s="109">
        <f t="shared" ref="E65:H65" si="15">E62/E64</f>
        <v>0.34796490153768761</v>
      </c>
      <c r="F65" s="109">
        <f t="shared" si="15"/>
        <v>0.27570288973406132</v>
      </c>
      <c r="G65" s="109">
        <f t="shared" si="15"/>
        <v>0.22590070222421069</v>
      </c>
      <c r="H65" s="109">
        <f t="shared" si="15"/>
        <v>0.19837411015725742</v>
      </c>
    </row>
    <row r="66" spans="2:8">
      <c r="B66" t="s">
        <v>24</v>
      </c>
      <c r="C66" s="76" t="s">
        <v>216</v>
      </c>
      <c r="D66" s="651">
        <f>Data!$C$8</f>
        <v>0.55000000000000004</v>
      </c>
      <c r="E66" s="652">
        <f>Data!$C$8</f>
        <v>0.55000000000000004</v>
      </c>
      <c r="F66" s="652">
        <f>Data!$C$8</f>
        <v>0.55000000000000004</v>
      </c>
      <c r="G66" s="652">
        <f>Data!$C$8</f>
        <v>0.55000000000000004</v>
      </c>
      <c r="H66" s="652">
        <f>Data!$C$8</f>
        <v>0.55000000000000004</v>
      </c>
    </row>
    <row r="67" spans="2:8">
      <c r="B67" t="s">
        <v>711</v>
      </c>
      <c r="C67" s="76" t="s">
        <v>216</v>
      </c>
      <c r="D67" s="111">
        <f t="shared" ref="D67:H67" si="16">IF(ISBLANK(D24),"n/a",D65-D66)</f>
        <v>-0.14977958703881955</v>
      </c>
      <c r="E67" s="112">
        <f t="shared" si="16"/>
        <v>-0.20203509846231243</v>
      </c>
      <c r="F67" s="112">
        <f t="shared" si="16"/>
        <v>-0.27429711026593873</v>
      </c>
      <c r="G67" s="112">
        <f t="shared" si="16"/>
        <v>-0.32409929777578939</v>
      </c>
      <c r="H67" s="112">
        <f t="shared" si="16"/>
        <v>-0.35162588984274262</v>
      </c>
    </row>
  </sheetData>
  <sheetProtection algorithmName="SHA-512" hashValue="DOqJDTEJy8zfOoLU4aFRuWKyRejFlWFRmN40QUOLrjEotu/gFEk2L0sAWO5w16jOXvlrp/XYvHGyIld8xBN2Dg==" saltValue="jbkVIHs2vDC0hbXkk5mqGA==" spinCount="100000" sheet="1" objects="1" scenarios="1"/>
  <conditionalFormatting sqref="D44">
    <cfRule type="expression" dxfId="36" priority="4">
      <formula>C$12="N/A"</formula>
    </cfRule>
  </conditionalFormatting>
  <conditionalFormatting sqref="D44">
    <cfRule type="expression" dxfId="35" priority="3">
      <formula>D$5="Forecast"</formula>
    </cfRule>
  </conditionalFormatting>
  <conditionalFormatting sqref="D44">
    <cfRule type="expression" dxfId="34" priority="2">
      <formula>D$5="Actuals"</formula>
    </cfRule>
  </conditionalFormatting>
  <conditionalFormatting sqref="E44:H44">
    <cfRule type="expression" dxfId="33" priority="1">
      <formula>E$5="Actuals"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344"/>
  <sheetViews>
    <sheetView showGridLines="0" topLeftCell="R1" zoomScale="90" zoomScaleNormal="90" zoomScaleSheetLayoutView="70" zoomScalePageLayoutView="55" workbookViewId="0">
      <pane ySplit="10" topLeftCell="A339" activePane="bottomLeft" state="frozen"/>
      <selection activeCell="B9" sqref="B9"/>
      <selection pane="bottomLeft" activeCell="D5" sqref="D5"/>
    </sheetView>
  </sheetViews>
  <sheetFormatPr defaultColWidth="0" defaultRowHeight="13.5" outlineLevelRow="1"/>
  <cols>
    <col min="1" max="1" width="8" style="152" customWidth="1"/>
    <col min="2" max="2" width="6.3828125" style="170" customWidth="1"/>
    <col min="3" max="3" width="12.84375" style="170" customWidth="1"/>
    <col min="4" max="4" width="14.15234375" style="152" customWidth="1"/>
    <col min="5" max="5" width="11.23046875" style="152" bestFit="1" customWidth="1"/>
    <col min="6" max="6" width="21.15234375" style="152" customWidth="1"/>
    <col min="7" max="7" width="27.15234375" style="152" customWidth="1"/>
    <col min="8" max="8" width="5.61328125" style="152" customWidth="1"/>
    <col min="9" max="9" width="16.765625" style="152" customWidth="1"/>
    <col min="10" max="16" width="6.84375" style="152" customWidth="1"/>
    <col min="17" max="17" width="5.84375" style="152" customWidth="1"/>
    <col min="18" max="19" width="17" style="152" customWidth="1"/>
    <col min="20" max="29" width="10.4609375" style="152" customWidth="1"/>
    <col min="30" max="30" width="8.61328125" style="152" customWidth="1"/>
    <col min="31" max="16369" width="0" style="152" hidden="1"/>
    <col min="16370" max="16380" width="9.15234375" style="152" hidden="1"/>
    <col min="16381" max="16384" width="2.15234375" style="152" customWidth="1"/>
  </cols>
  <sheetData>
    <row r="1" spans="1:16380" s="180" customFormat="1" ht="20">
      <c r="A1" s="1275" t="s">
        <v>183</v>
      </c>
      <c r="B1" s="838"/>
      <c r="C1" s="838"/>
      <c r="D1" s="840"/>
      <c r="E1" s="840"/>
      <c r="F1" s="840"/>
      <c r="G1" s="840"/>
      <c r="H1" s="840"/>
      <c r="I1" s="850"/>
      <c r="J1" s="850"/>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1"/>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c r="IW1" s="841"/>
      <c r="IX1" s="841"/>
      <c r="IY1" s="841"/>
      <c r="IZ1" s="841"/>
      <c r="JA1" s="841"/>
      <c r="JB1" s="841"/>
      <c r="JC1" s="841"/>
      <c r="JD1" s="841"/>
      <c r="JE1" s="841"/>
      <c r="JF1" s="841"/>
      <c r="JG1" s="841"/>
      <c r="JH1" s="841"/>
      <c r="JI1" s="841"/>
      <c r="JJ1" s="841"/>
      <c r="JK1" s="841"/>
      <c r="JL1" s="841"/>
      <c r="JM1" s="841"/>
      <c r="JN1" s="841"/>
      <c r="JO1" s="841"/>
      <c r="JP1" s="841"/>
      <c r="JQ1" s="841"/>
      <c r="JR1" s="841"/>
      <c r="JS1" s="841"/>
      <c r="JT1" s="841"/>
      <c r="JU1" s="841"/>
      <c r="JV1" s="841"/>
      <c r="JW1" s="841"/>
      <c r="JX1" s="841"/>
      <c r="JY1" s="841"/>
      <c r="JZ1" s="841"/>
      <c r="KA1" s="841"/>
      <c r="KB1" s="841"/>
      <c r="KC1" s="841"/>
      <c r="KD1" s="841"/>
      <c r="KE1" s="841"/>
      <c r="KF1" s="841"/>
      <c r="KG1" s="841"/>
      <c r="KH1" s="841"/>
      <c r="KI1" s="841"/>
      <c r="KJ1" s="841"/>
      <c r="KK1" s="841"/>
      <c r="KL1" s="841"/>
      <c r="KM1" s="841"/>
      <c r="KN1" s="841"/>
      <c r="KO1" s="841"/>
      <c r="KP1" s="841"/>
      <c r="KQ1" s="841"/>
      <c r="KR1" s="841"/>
      <c r="KS1" s="841"/>
      <c r="KT1" s="841"/>
      <c r="KU1" s="841"/>
      <c r="KV1" s="841"/>
      <c r="KW1" s="841"/>
      <c r="KX1" s="841"/>
      <c r="KY1" s="841"/>
      <c r="KZ1" s="841"/>
      <c r="LA1" s="841"/>
      <c r="LB1" s="841"/>
      <c r="LC1" s="841"/>
      <c r="LD1" s="841"/>
      <c r="LE1" s="841"/>
      <c r="LF1" s="841"/>
      <c r="LG1" s="841"/>
      <c r="LH1" s="841"/>
      <c r="LI1" s="841"/>
      <c r="LJ1" s="841"/>
      <c r="LK1" s="841"/>
      <c r="LL1" s="841"/>
      <c r="LM1" s="841"/>
      <c r="LN1" s="841"/>
      <c r="LO1" s="841"/>
      <c r="LP1" s="841"/>
      <c r="LQ1" s="841"/>
      <c r="LR1" s="841"/>
      <c r="LS1" s="841"/>
      <c r="LT1" s="841"/>
      <c r="LU1" s="841"/>
      <c r="LV1" s="841"/>
      <c r="LW1" s="841"/>
      <c r="LX1" s="841"/>
      <c r="LY1" s="841"/>
      <c r="LZ1" s="841"/>
      <c r="MA1" s="841"/>
      <c r="MB1" s="841"/>
      <c r="MC1" s="841"/>
      <c r="MD1" s="841"/>
      <c r="ME1" s="841"/>
      <c r="MF1" s="841"/>
      <c r="MG1" s="841"/>
      <c r="MH1" s="841"/>
      <c r="MI1" s="841"/>
      <c r="MJ1" s="841"/>
      <c r="MK1" s="841"/>
      <c r="ML1" s="841"/>
      <c r="MM1" s="841"/>
      <c r="MN1" s="841"/>
      <c r="MO1" s="841"/>
      <c r="MP1" s="841"/>
      <c r="MQ1" s="841"/>
      <c r="MR1" s="841"/>
      <c r="MS1" s="841"/>
      <c r="MT1" s="841"/>
      <c r="MU1" s="841"/>
      <c r="MV1" s="841"/>
      <c r="MW1" s="841"/>
      <c r="MX1" s="841"/>
      <c r="MY1" s="841"/>
      <c r="MZ1" s="841"/>
      <c r="NA1" s="841"/>
      <c r="NB1" s="841"/>
      <c r="NC1" s="841"/>
      <c r="ND1" s="841"/>
      <c r="NE1" s="841"/>
      <c r="NF1" s="841"/>
      <c r="NG1" s="841"/>
      <c r="NH1" s="841"/>
      <c r="NI1" s="841"/>
      <c r="NJ1" s="841"/>
      <c r="NK1" s="841"/>
      <c r="NL1" s="841"/>
      <c r="NM1" s="841"/>
      <c r="NN1" s="841"/>
      <c r="NO1" s="841"/>
      <c r="NP1" s="841"/>
      <c r="NQ1" s="841"/>
      <c r="NR1" s="841"/>
      <c r="NS1" s="841"/>
      <c r="NT1" s="841"/>
      <c r="NU1" s="841"/>
      <c r="NV1" s="841"/>
      <c r="NW1" s="841"/>
      <c r="NX1" s="841"/>
      <c r="NY1" s="841"/>
      <c r="NZ1" s="841"/>
      <c r="OA1" s="841"/>
      <c r="OB1" s="841"/>
      <c r="OC1" s="841"/>
      <c r="OD1" s="841"/>
      <c r="OE1" s="841"/>
      <c r="OF1" s="841"/>
      <c r="OG1" s="841"/>
      <c r="OH1" s="841"/>
      <c r="OI1" s="841"/>
      <c r="OJ1" s="841"/>
      <c r="OK1" s="841"/>
      <c r="OL1" s="841"/>
      <c r="OM1" s="841"/>
      <c r="ON1" s="841"/>
      <c r="OO1" s="841"/>
      <c r="OP1" s="841"/>
      <c r="OQ1" s="841"/>
      <c r="OR1" s="841"/>
      <c r="OS1" s="841"/>
      <c r="OT1" s="841"/>
      <c r="OU1" s="841"/>
      <c r="OV1" s="841"/>
      <c r="OW1" s="841"/>
      <c r="OX1" s="841"/>
      <c r="OY1" s="841"/>
      <c r="OZ1" s="841"/>
      <c r="PA1" s="841"/>
      <c r="PB1" s="841"/>
      <c r="PC1" s="841"/>
      <c r="PD1" s="841"/>
      <c r="PE1" s="841"/>
      <c r="PF1" s="841"/>
      <c r="PG1" s="841"/>
      <c r="PH1" s="841"/>
      <c r="PI1" s="841"/>
      <c r="PJ1" s="841"/>
      <c r="PK1" s="841"/>
      <c r="PL1" s="841"/>
      <c r="PM1" s="841"/>
      <c r="PN1" s="841"/>
      <c r="PO1" s="841"/>
      <c r="PP1" s="841"/>
      <c r="PQ1" s="841"/>
      <c r="PR1" s="841"/>
      <c r="PS1" s="841"/>
      <c r="PT1" s="841"/>
      <c r="PU1" s="841"/>
      <c r="PV1" s="841"/>
      <c r="PW1" s="841"/>
      <c r="PX1" s="841"/>
      <c r="PY1" s="841"/>
      <c r="PZ1" s="841"/>
      <c r="QA1" s="841"/>
      <c r="QB1" s="841"/>
      <c r="QC1" s="841"/>
      <c r="QD1" s="841"/>
      <c r="QE1" s="841"/>
      <c r="QF1" s="841"/>
      <c r="QG1" s="841"/>
      <c r="QH1" s="841"/>
      <c r="QI1" s="841"/>
      <c r="QJ1" s="841"/>
      <c r="QK1" s="841"/>
      <c r="QL1" s="841"/>
      <c r="QM1" s="841"/>
      <c r="QN1" s="841"/>
      <c r="QO1" s="841"/>
      <c r="QP1" s="841"/>
      <c r="QQ1" s="841"/>
      <c r="QR1" s="841"/>
      <c r="QS1" s="841"/>
      <c r="QT1" s="841"/>
      <c r="QU1" s="841"/>
      <c r="QV1" s="841"/>
      <c r="QW1" s="841"/>
      <c r="QX1" s="841"/>
      <c r="QY1" s="841"/>
      <c r="QZ1" s="841"/>
      <c r="RA1" s="841"/>
      <c r="RB1" s="841"/>
      <c r="RC1" s="841"/>
      <c r="RD1" s="841"/>
      <c r="RE1" s="841"/>
      <c r="RF1" s="841"/>
      <c r="RG1" s="841"/>
      <c r="RH1" s="841"/>
      <c r="RI1" s="841"/>
      <c r="RJ1" s="841"/>
      <c r="RK1" s="841"/>
      <c r="RL1" s="841"/>
      <c r="RM1" s="841"/>
      <c r="RN1" s="841"/>
      <c r="RO1" s="841"/>
      <c r="RP1" s="841"/>
      <c r="RQ1" s="841"/>
      <c r="RR1" s="841"/>
      <c r="RS1" s="841"/>
      <c r="RT1" s="841"/>
      <c r="RU1" s="841"/>
      <c r="RV1" s="841"/>
      <c r="RW1" s="841"/>
      <c r="RX1" s="841"/>
      <c r="RY1" s="841"/>
      <c r="RZ1" s="841"/>
      <c r="SA1" s="841"/>
      <c r="SB1" s="841"/>
      <c r="SC1" s="841"/>
      <c r="SD1" s="841"/>
      <c r="SE1" s="841"/>
      <c r="SF1" s="841"/>
      <c r="SG1" s="841"/>
      <c r="SH1" s="841"/>
      <c r="SI1" s="841"/>
      <c r="SJ1" s="841"/>
      <c r="SK1" s="841"/>
      <c r="SL1" s="841"/>
      <c r="SM1" s="841"/>
      <c r="SN1" s="841"/>
      <c r="SO1" s="841"/>
      <c r="SP1" s="841"/>
      <c r="SQ1" s="841"/>
      <c r="SR1" s="841"/>
      <c r="SS1" s="841"/>
      <c r="ST1" s="841"/>
      <c r="SU1" s="841"/>
      <c r="SV1" s="841"/>
      <c r="SW1" s="841"/>
      <c r="SX1" s="841"/>
      <c r="SY1" s="841"/>
      <c r="SZ1" s="841"/>
      <c r="TA1" s="841"/>
      <c r="TB1" s="841"/>
      <c r="TC1" s="841"/>
      <c r="TD1" s="841"/>
      <c r="TE1" s="841"/>
      <c r="TF1" s="841"/>
      <c r="TG1" s="841"/>
      <c r="TH1" s="841"/>
      <c r="TI1" s="841"/>
      <c r="TJ1" s="841"/>
      <c r="TK1" s="841"/>
      <c r="TL1" s="841"/>
      <c r="TM1" s="841"/>
      <c r="TN1" s="841"/>
      <c r="TO1" s="841"/>
      <c r="TP1" s="841"/>
      <c r="TQ1" s="841"/>
      <c r="TR1" s="841"/>
      <c r="TS1" s="841"/>
      <c r="TT1" s="841"/>
      <c r="TU1" s="841"/>
      <c r="TV1" s="841"/>
      <c r="TW1" s="841"/>
      <c r="TX1" s="841"/>
      <c r="TY1" s="841"/>
      <c r="TZ1" s="841"/>
      <c r="UA1" s="841"/>
      <c r="UB1" s="841"/>
      <c r="UC1" s="841"/>
      <c r="UD1" s="841"/>
      <c r="UE1" s="841"/>
      <c r="UF1" s="841"/>
      <c r="UG1" s="841"/>
      <c r="UH1" s="841"/>
      <c r="UI1" s="841"/>
      <c r="UJ1" s="841"/>
      <c r="UK1" s="841"/>
      <c r="UL1" s="841"/>
      <c r="UM1" s="841"/>
      <c r="UN1" s="841"/>
      <c r="UO1" s="841"/>
      <c r="UP1" s="841"/>
      <c r="UQ1" s="841"/>
      <c r="UR1" s="841"/>
      <c r="US1" s="841"/>
      <c r="UT1" s="841"/>
      <c r="UU1" s="841"/>
      <c r="UV1" s="841"/>
      <c r="UW1" s="841"/>
      <c r="UX1" s="841"/>
      <c r="UY1" s="841"/>
      <c r="UZ1" s="841"/>
      <c r="VA1" s="841"/>
      <c r="VB1" s="841"/>
      <c r="VC1" s="841"/>
      <c r="VD1" s="841"/>
      <c r="VE1" s="841"/>
      <c r="VF1" s="841"/>
      <c r="VG1" s="841"/>
      <c r="VH1" s="841"/>
      <c r="VI1" s="841"/>
      <c r="VJ1" s="841"/>
      <c r="VK1" s="841"/>
      <c r="VL1" s="841"/>
      <c r="VM1" s="841"/>
      <c r="VN1" s="841"/>
      <c r="VO1" s="841"/>
      <c r="VP1" s="841"/>
      <c r="VQ1" s="841"/>
      <c r="VR1" s="841"/>
      <c r="VS1" s="841"/>
      <c r="VT1" s="841"/>
      <c r="VU1" s="841"/>
      <c r="VV1" s="841"/>
      <c r="VW1" s="841"/>
      <c r="VX1" s="841"/>
      <c r="VY1" s="841"/>
      <c r="VZ1" s="841"/>
      <c r="WA1" s="841"/>
      <c r="WB1" s="841"/>
      <c r="WC1" s="841"/>
      <c r="WD1" s="841"/>
      <c r="WE1" s="841"/>
      <c r="WF1" s="841"/>
      <c r="WG1" s="841"/>
      <c r="WH1" s="841"/>
      <c r="WI1" s="841"/>
      <c r="WJ1" s="841"/>
      <c r="WK1" s="841"/>
      <c r="WL1" s="841"/>
      <c r="WM1" s="841"/>
      <c r="WN1" s="841"/>
      <c r="WO1" s="841"/>
      <c r="WP1" s="841"/>
      <c r="WQ1" s="841"/>
      <c r="WR1" s="841"/>
      <c r="WS1" s="841"/>
      <c r="WT1" s="841"/>
      <c r="WU1" s="841"/>
      <c r="WV1" s="841"/>
      <c r="WW1" s="841"/>
      <c r="WX1" s="841"/>
      <c r="WY1" s="841"/>
      <c r="WZ1" s="841"/>
      <c r="XA1" s="841"/>
      <c r="XB1" s="841"/>
      <c r="XC1" s="841"/>
      <c r="XD1" s="841"/>
      <c r="XE1" s="841"/>
      <c r="XF1" s="841"/>
      <c r="XG1" s="841"/>
      <c r="XH1" s="841"/>
      <c r="XI1" s="841"/>
      <c r="XJ1" s="841"/>
      <c r="XK1" s="841"/>
      <c r="XL1" s="841"/>
      <c r="XM1" s="841"/>
      <c r="XN1" s="841"/>
      <c r="XO1" s="841"/>
      <c r="XP1" s="841"/>
      <c r="XQ1" s="841"/>
      <c r="XR1" s="841"/>
      <c r="XS1" s="841"/>
      <c r="XT1" s="841"/>
      <c r="XU1" s="841"/>
      <c r="XV1" s="841"/>
      <c r="XW1" s="841"/>
      <c r="XX1" s="841"/>
      <c r="XY1" s="841"/>
      <c r="XZ1" s="841"/>
      <c r="YA1" s="841"/>
      <c r="YB1" s="841"/>
      <c r="YC1" s="841"/>
      <c r="YD1" s="841"/>
      <c r="YE1" s="841"/>
      <c r="YF1" s="841"/>
      <c r="YG1" s="841"/>
      <c r="YH1" s="841"/>
      <c r="YI1" s="841"/>
      <c r="YJ1" s="841"/>
      <c r="YK1" s="841"/>
      <c r="YL1" s="841"/>
      <c r="YM1" s="841"/>
      <c r="YN1" s="841"/>
      <c r="YO1" s="841"/>
      <c r="YP1" s="841"/>
      <c r="YQ1" s="841"/>
      <c r="YR1" s="841"/>
      <c r="YS1" s="841"/>
      <c r="YT1" s="841"/>
      <c r="YU1" s="841"/>
      <c r="YV1" s="841"/>
      <c r="YW1" s="841"/>
      <c r="YX1" s="841"/>
      <c r="YY1" s="841"/>
      <c r="YZ1" s="841"/>
      <c r="ZA1" s="841"/>
      <c r="ZB1" s="841"/>
      <c r="ZC1" s="841"/>
      <c r="ZD1" s="841"/>
      <c r="ZE1" s="841"/>
      <c r="ZF1" s="841"/>
      <c r="ZG1" s="841"/>
      <c r="ZH1" s="841"/>
      <c r="ZI1" s="841"/>
      <c r="ZJ1" s="841"/>
      <c r="ZK1" s="841"/>
      <c r="ZL1" s="841"/>
      <c r="ZM1" s="841"/>
      <c r="ZN1" s="841"/>
      <c r="ZO1" s="841"/>
      <c r="ZP1" s="841"/>
      <c r="ZQ1" s="841"/>
      <c r="ZR1" s="841"/>
      <c r="ZS1" s="841"/>
      <c r="ZT1" s="841"/>
      <c r="ZU1" s="841"/>
      <c r="ZV1" s="841"/>
      <c r="ZW1" s="841"/>
      <c r="ZX1" s="841"/>
      <c r="ZY1" s="841"/>
      <c r="ZZ1" s="841"/>
      <c r="AAA1" s="841"/>
      <c r="AAB1" s="841"/>
      <c r="AAC1" s="841"/>
      <c r="AAD1" s="841"/>
      <c r="AAE1" s="841"/>
      <c r="AAF1" s="841"/>
      <c r="AAG1" s="841"/>
      <c r="AAH1" s="841"/>
      <c r="AAI1" s="841"/>
      <c r="AAJ1" s="841"/>
      <c r="AAK1" s="841"/>
      <c r="AAL1" s="841"/>
      <c r="AAM1" s="841"/>
      <c r="AAN1" s="841"/>
      <c r="AAO1" s="841"/>
      <c r="AAP1" s="841"/>
      <c r="AAQ1" s="841"/>
      <c r="AAR1" s="841"/>
      <c r="AAS1" s="841"/>
      <c r="AAT1" s="841"/>
      <c r="AAU1" s="841"/>
      <c r="AAV1" s="841"/>
      <c r="AAW1" s="841"/>
      <c r="AAX1" s="841"/>
      <c r="AAY1" s="841"/>
      <c r="AAZ1" s="841"/>
      <c r="ABA1" s="841"/>
      <c r="ABB1" s="841"/>
      <c r="ABC1" s="841"/>
      <c r="ABD1" s="841"/>
      <c r="ABE1" s="841"/>
      <c r="ABF1" s="841"/>
      <c r="ABG1" s="841"/>
      <c r="ABH1" s="841"/>
      <c r="ABI1" s="841"/>
      <c r="ABJ1" s="841"/>
      <c r="ABK1" s="841"/>
      <c r="ABL1" s="841"/>
      <c r="ABM1" s="841"/>
      <c r="ABN1" s="841"/>
      <c r="ABO1" s="841"/>
      <c r="ABP1" s="841"/>
      <c r="ABQ1" s="841"/>
      <c r="ABR1" s="841"/>
      <c r="ABS1" s="841"/>
      <c r="ABT1" s="841"/>
      <c r="ABU1" s="841"/>
      <c r="ABV1" s="841"/>
      <c r="ABW1" s="841"/>
      <c r="ABX1" s="841"/>
      <c r="ABY1" s="841"/>
      <c r="ABZ1" s="841"/>
      <c r="ACA1" s="841"/>
      <c r="ACB1" s="841"/>
      <c r="ACC1" s="841"/>
      <c r="ACD1" s="841"/>
      <c r="ACE1" s="841"/>
      <c r="ACF1" s="841"/>
      <c r="ACG1" s="841"/>
      <c r="ACH1" s="841"/>
      <c r="ACI1" s="841"/>
      <c r="ACJ1" s="841"/>
      <c r="ACK1" s="841"/>
      <c r="ACL1" s="841"/>
      <c r="ACM1" s="841"/>
      <c r="ACN1" s="841"/>
      <c r="ACO1" s="841"/>
      <c r="ACP1" s="841"/>
      <c r="ACQ1" s="841"/>
      <c r="ACR1" s="841"/>
      <c r="ACS1" s="841"/>
      <c r="ACT1" s="841"/>
      <c r="ACU1" s="841"/>
      <c r="ACV1" s="841"/>
      <c r="ACW1" s="841"/>
      <c r="ACX1" s="841"/>
      <c r="ACY1" s="841"/>
      <c r="ACZ1" s="841"/>
      <c r="ADA1" s="841"/>
      <c r="ADB1" s="841"/>
      <c r="ADC1" s="841"/>
      <c r="ADD1" s="841"/>
      <c r="ADE1" s="841"/>
      <c r="ADF1" s="841"/>
      <c r="ADG1" s="841"/>
      <c r="ADH1" s="841"/>
      <c r="ADI1" s="841"/>
      <c r="ADJ1" s="841"/>
      <c r="ADK1" s="841"/>
      <c r="ADL1" s="841"/>
      <c r="ADM1" s="841"/>
      <c r="ADN1" s="841"/>
      <c r="ADO1" s="841"/>
      <c r="ADP1" s="841"/>
      <c r="ADQ1" s="841"/>
      <c r="ADR1" s="841"/>
      <c r="ADS1" s="841"/>
      <c r="ADT1" s="841"/>
      <c r="ADU1" s="841"/>
      <c r="ADV1" s="841"/>
      <c r="ADW1" s="841"/>
      <c r="ADX1" s="841"/>
      <c r="ADY1" s="841"/>
      <c r="ADZ1" s="841"/>
      <c r="AEA1" s="841"/>
      <c r="AEB1" s="841"/>
      <c r="AEC1" s="841"/>
      <c r="AED1" s="841"/>
      <c r="AEE1" s="841"/>
      <c r="AEF1" s="841"/>
      <c r="AEG1" s="841"/>
      <c r="AEH1" s="841"/>
      <c r="AEI1" s="841"/>
      <c r="AEJ1" s="841"/>
      <c r="AEK1" s="841"/>
      <c r="AEL1" s="841"/>
      <c r="AEM1" s="841"/>
      <c r="AEN1" s="841"/>
      <c r="AEO1" s="841"/>
      <c r="AEP1" s="841"/>
      <c r="AEQ1" s="841"/>
      <c r="AER1" s="841"/>
      <c r="AES1" s="841"/>
      <c r="AET1" s="841"/>
      <c r="AEU1" s="841"/>
      <c r="AEV1" s="841"/>
      <c r="AEW1" s="841"/>
      <c r="AEX1" s="841"/>
      <c r="AEY1" s="841"/>
      <c r="AEZ1" s="841"/>
      <c r="AFA1" s="841"/>
      <c r="AFB1" s="841"/>
      <c r="AFC1" s="841"/>
      <c r="AFD1" s="841"/>
      <c r="AFE1" s="841"/>
      <c r="AFF1" s="841"/>
      <c r="AFG1" s="841"/>
      <c r="AFH1" s="841"/>
      <c r="AFI1" s="841"/>
      <c r="AFJ1" s="841"/>
      <c r="AFK1" s="841"/>
      <c r="AFL1" s="841"/>
      <c r="AFM1" s="841"/>
      <c r="AFN1" s="841"/>
      <c r="AFO1" s="841"/>
      <c r="AFP1" s="841"/>
      <c r="AFQ1" s="841"/>
      <c r="AFR1" s="841"/>
      <c r="AFS1" s="841"/>
      <c r="AFT1" s="841"/>
      <c r="AFU1" s="841"/>
      <c r="AFV1" s="841"/>
      <c r="AFW1" s="841"/>
      <c r="AFX1" s="841"/>
      <c r="AFY1" s="841"/>
      <c r="AFZ1" s="841"/>
      <c r="AGA1" s="841"/>
      <c r="AGB1" s="841"/>
      <c r="AGC1" s="841"/>
      <c r="AGD1" s="841"/>
      <c r="AGE1" s="841"/>
      <c r="AGF1" s="841"/>
      <c r="AGG1" s="841"/>
      <c r="AGH1" s="841"/>
      <c r="AGI1" s="841"/>
      <c r="AGJ1" s="841"/>
      <c r="AGK1" s="841"/>
      <c r="AGL1" s="841"/>
      <c r="AGM1" s="841"/>
      <c r="AGN1" s="841"/>
      <c r="AGO1" s="841"/>
      <c r="AGP1" s="841"/>
      <c r="AGQ1" s="841"/>
      <c r="AGR1" s="841"/>
      <c r="AGS1" s="841"/>
      <c r="AGT1" s="841"/>
      <c r="AGU1" s="841"/>
      <c r="AGV1" s="841"/>
      <c r="AGW1" s="841"/>
      <c r="AGX1" s="841"/>
      <c r="AGY1" s="841"/>
      <c r="AGZ1" s="841"/>
      <c r="AHA1" s="841"/>
      <c r="AHB1" s="841"/>
      <c r="AHC1" s="841"/>
      <c r="AHD1" s="841"/>
      <c r="AHE1" s="841"/>
      <c r="AHF1" s="841"/>
      <c r="AHG1" s="841"/>
      <c r="AHH1" s="841"/>
      <c r="AHI1" s="841"/>
      <c r="AHJ1" s="841"/>
      <c r="AHK1" s="841"/>
      <c r="AHL1" s="841"/>
      <c r="AHM1" s="841"/>
      <c r="AHN1" s="841"/>
      <c r="AHO1" s="841"/>
      <c r="AHP1" s="841"/>
      <c r="AHQ1" s="841"/>
      <c r="AHR1" s="841"/>
      <c r="AHS1" s="841"/>
      <c r="AHT1" s="841"/>
      <c r="AHU1" s="841"/>
      <c r="AHV1" s="841"/>
      <c r="AHW1" s="841"/>
      <c r="AHX1" s="841"/>
      <c r="AHY1" s="841"/>
      <c r="AHZ1" s="841"/>
      <c r="AIA1" s="841"/>
      <c r="AIB1" s="841"/>
      <c r="AIC1" s="841"/>
      <c r="AID1" s="841"/>
      <c r="AIE1" s="841"/>
      <c r="AIF1" s="841"/>
      <c r="AIG1" s="841"/>
      <c r="AIH1" s="841"/>
      <c r="AII1" s="841"/>
      <c r="AIJ1" s="841"/>
      <c r="AIK1" s="841"/>
      <c r="AIL1" s="841"/>
      <c r="AIM1" s="841"/>
      <c r="AIN1" s="841"/>
      <c r="AIO1" s="841"/>
      <c r="AIP1" s="841"/>
      <c r="AIQ1" s="841"/>
      <c r="AIR1" s="841"/>
      <c r="AIS1" s="841"/>
      <c r="AIT1" s="841"/>
      <c r="AIU1" s="841"/>
      <c r="AIV1" s="841"/>
      <c r="AIW1" s="841"/>
      <c r="AIX1" s="841"/>
      <c r="AIY1" s="841"/>
      <c r="AIZ1" s="841"/>
      <c r="AJA1" s="841"/>
      <c r="AJB1" s="841"/>
      <c r="AJC1" s="841"/>
      <c r="AJD1" s="841"/>
      <c r="AJE1" s="841"/>
      <c r="AJF1" s="841"/>
      <c r="AJG1" s="841"/>
      <c r="AJH1" s="841"/>
      <c r="AJI1" s="841"/>
      <c r="AJJ1" s="841"/>
      <c r="AJK1" s="841"/>
      <c r="AJL1" s="841"/>
      <c r="AJM1" s="841"/>
      <c r="AJN1" s="841"/>
      <c r="AJO1" s="841"/>
      <c r="AJP1" s="841"/>
      <c r="AJQ1" s="841"/>
      <c r="AJR1" s="841"/>
      <c r="AJS1" s="841"/>
      <c r="AJT1" s="841"/>
      <c r="AJU1" s="841"/>
      <c r="AJV1" s="841"/>
      <c r="AJW1" s="841"/>
      <c r="AJX1" s="841"/>
      <c r="AJY1" s="841"/>
      <c r="AJZ1" s="841"/>
      <c r="AKA1" s="841"/>
      <c r="AKB1" s="841"/>
      <c r="AKC1" s="841"/>
      <c r="AKD1" s="841"/>
      <c r="AKE1" s="841"/>
      <c r="AKF1" s="841"/>
      <c r="AKG1" s="841"/>
      <c r="AKH1" s="841"/>
      <c r="AKI1" s="841"/>
      <c r="AKJ1" s="841"/>
      <c r="AKK1" s="841"/>
      <c r="AKL1" s="841"/>
      <c r="AKM1" s="841"/>
      <c r="AKN1" s="841"/>
      <c r="AKO1" s="841"/>
      <c r="AKP1" s="841"/>
      <c r="AKQ1" s="841"/>
      <c r="AKR1" s="841"/>
      <c r="AKS1" s="841"/>
      <c r="AKT1" s="841"/>
      <c r="AKU1" s="841"/>
      <c r="AKV1" s="841"/>
      <c r="AKW1" s="841"/>
      <c r="AKX1" s="841"/>
      <c r="AKY1" s="841"/>
      <c r="AKZ1" s="841"/>
      <c r="ALA1" s="841"/>
      <c r="ALB1" s="841"/>
      <c r="ALC1" s="841"/>
      <c r="ALD1" s="841"/>
      <c r="ALE1" s="841"/>
      <c r="ALF1" s="841"/>
      <c r="ALG1" s="841"/>
      <c r="ALH1" s="841"/>
      <c r="ALI1" s="841"/>
      <c r="ALJ1" s="841"/>
      <c r="ALK1" s="841"/>
      <c r="ALL1" s="841"/>
      <c r="ALM1" s="841"/>
      <c r="ALN1" s="841"/>
      <c r="ALO1" s="841"/>
      <c r="ALP1" s="841"/>
      <c r="ALQ1" s="841"/>
      <c r="ALR1" s="841"/>
      <c r="ALS1" s="841"/>
      <c r="ALT1" s="841"/>
      <c r="ALU1" s="841"/>
      <c r="ALV1" s="841"/>
      <c r="ALW1" s="841"/>
      <c r="ALX1" s="841"/>
      <c r="ALY1" s="841"/>
      <c r="ALZ1" s="841"/>
      <c r="AMA1" s="841"/>
      <c r="AMB1" s="841"/>
      <c r="AMC1" s="841"/>
      <c r="AMD1" s="841"/>
      <c r="AME1" s="841"/>
      <c r="AMF1" s="841"/>
      <c r="AMG1" s="841"/>
      <c r="AMH1" s="841"/>
      <c r="AMI1" s="841"/>
      <c r="AMJ1" s="841"/>
      <c r="AMK1" s="841"/>
      <c r="AML1" s="841"/>
      <c r="AMM1" s="841"/>
      <c r="AMN1" s="841"/>
      <c r="AMO1" s="841"/>
      <c r="AMP1" s="841"/>
      <c r="AMQ1" s="841"/>
      <c r="AMR1" s="841"/>
      <c r="AMS1" s="841"/>
      <c r="AMT1" s="841"/>
      <c r="AMU1" s="841"/>
      <c r="AMV1" s="841"/>
      <c r="AMW1" s="841"/>
      <c r="AMX1" s="841"/>
      <c r="AMY1" s="841"/>
      <c r="AMZ1" s="841"/>
      <c r="ANA1" s="841"/>
      <c r="ANB1" s="841"/>
      <c r="ANC1" s="841"/>
      <c r="AND1" s="841"/>
      <c r="ANE1" s="841"/>
      <c r="ANF1" s="841"/>
      <c r="ANG1" s="841"/>
      <c r="ANH1" s="841"/>
      <c r="ANI1" s="841"/>
      <c r="ANJ1" s="841"/>
      <c r="ANK1" s="841"/>
      <c r="ANL1" s="841"/>
      <c r="ANM1" s="841"/>
      <c r="ANN1" s="841"/>
      <c r="ANO1" s="841"/>
      <c r="ANP1" s="841"/>
      <c r="ANQ1" s="841"/>
      <c r="ANR1" s="841"/>
      <c r="ANS1" s="841"/>
      <c r="ANT1" s="841"/>
      <c r="ANU1" s="841"/>
      <c r="ANV1" s="841"/>
      <c r="ANW1" s="841"/>
      <c r="ANX1" s="841"/>
      <c r="ANY1" s="841"/>
      <c r="ANZ1" s="841"/>
      <c r="AOA1" s="841"/>
      <c r="AOB1" s="841"/>
      <c r="AOC1" s="841"/>
      <c r="AOD1" s="841"/>
      <c r="AOE1" s="841"/>
      <c r="AOF1" s="841"/>
      <c r="AOG1" s="841"/>
      <c r="AOH1" s="841"/>
      <c r="AOI1" s="841"/>
      <c r="AOJ1" s="841"/>
      <c r="AOK1" s="841"/>
      <c r="AOL1" s="841"/>
      <c r="AOM1" s="841"/>
      <c r="AON1" s="841"/>
      <c r="AOO1" s="841"/>
      <c r="AOP1" s="841"/>
      <c r="AOQ1" s="841"/>
      <c r="AOR1" s="841"/>
      <c r="AOS1" s="841"/>
      <c r="AOT1" s="841"/>
      <c r="AOU1" s="841"/>
      <c r="AOV1" s="841"/>
      <c r="AOW1" s="841"/>
      <c r="AOX1" s="841"/>
      <c r="AOY1" s="841"/>
      <c r="AOZ1" s="841"/>
      <c r="APA1" s="841"/>
      <c r="APB1" s="841"/>
      <c r="APC1" s="841"/>
      <c r="APD1" s="841"/>
      <c r="APE1" s="841"/>
      <c r="APF1" s="841"/>
      <c r="APG1" s="841"/>
      <c r="APH1" s="841"/>
      <c r="API1" s="841"/>
      <c r="APJ1" s="841"/>
      <c r="APK1" s="841"/>
      <c r="APL1" s="841"/>
      <c r="APM1" s="841"/>
      <c r="APN1" s="841"/>
      <c r="APO1" s="841"/>
      <c r="APP1" s="841"/>
      <c r="APQ1" s="841"/>
      <c r="APR1" s="841"/>
      <c r="APS1" s="841"/>
      <c r="APT1" s="841"/>
      <c r="APU1" s="841"/>
      <c r="APV1" s="841"/>
      <c r="APW1" s="841"/>
      <c r="APX1" s="841"/>
      <c r="APY1" s="841"/>
      <c r="APZ1" s="841"/>
      <c r="AQA1" s="841"/>
      <c r="AQB1" s="841"/>
      <c r="AQC1" s="841"/>
      <c r="AQD1" s="841"/>
      <c r="AQE1" s="841"/>
      <c r="AQF1" s="841"/>
      <c r="AQG1" s="841"/>
      <c r="AQH1" s="841"/>
      <c r="AQI1" s="841"/>
      <c r="AQJ1" s="841"/>
      <c r="AQK1" s="841"/>
      <c r="AQL1" s="841"/>
      <c r="AQM1" s="841"/>
      <c r="AQN1" s="841"/>
      <c r="AQO1" s="841"/>
      <c r="AQP1" s="841"/>
      <c r="AQQ1" s="841"/>
      <c r="AQR1" s="841"/>
      <c r="AQS1" s="841"/>
      <c r="AQT1" s="841"/>
      <c r="AQU1" s="841"/>
      <c r="AQV1" s="841"/>
      <c r="AQW1" s="841"/>
      <c r="AQX1" s="841"/>
      <c r="AQY1" s="841"/>
      <c r="AQZ1" s="841"/>
      <c r="ARA1" s="841"/>
      <c r="ARB1" s="841"/>
      <c r="ARC1" s="841"/>
      <c r="ARD1" s="841"/>
      <c r="ARE1" s="841"/>
      <c r="ARF1" s="841"/>
      <c r="ARG1" s="841"/>
      <c r="ARH1" s="841"/>
      <c r="ARI1" s="841"/>
      <c r="ARJ1" s="841"/>
      <c r="ARK1" s="841"/>
      <c r="ARL1" s="841"/>
      <c r="ARM1" s="841"/>
      <c r="ARN1" s="841"/>
      <c r="ARO1" s="841"/>
      <c r="ARP1" s="841"/>
      <c r="ARQ1" s="841"/>
      <c r="ARR1" s="841"/>
      <c r="ARS1" s="841"/>
      <c r="ART1" s="841"/>
      <c r="ARU1" s="841"/>
      <c r="ARV1" s="841"/>
      <c r="ARW1" s="841"/>
      <c r="ARX1" s="841"/>
      <c r="ARY1" s="841"/>
      <c r="ARZ1" s="841"/>
      <c r="ASA1" s="841"/>
      <c r="ASB1" s="841"/>
      <c r="ASC1" s="841"/>
      <c r="ASD1" s="841"/>
      <c r="ASE1" s="841"/>
      <c r="ASF1" s="841"/>
      <c r="ASG1" s="841"/>
      <c r="ASH1" s="841"/>
      <c r="ASI1" s="841"/>
      <c r="ASJ1" s="841"/>
      <c r="ASK1" s="841"/>
      <c r="ASL1" s="841"/>
      <c r="ASM1" s="841"/>
      <c r="ASN1" s="841"/>
      <c r="ASO1" s="841"/>
      <c r="ASP1" s="841"/>
      <c r="ASQ1" s="841"/>
      <c r="ASR1" s="841"/>
      <c r="ASS1" s="841"/>
      <c r="AST1" s="841"/>
      <c r="ASU1" s="841"/>
      <c r="ASV1" s="841"/>
      <c r="ASW1" s="841"/>
      <c r="ASX1" s="841"/>
      <c r="ASY1" s="841"/>
      <c r="ASZ1" s="841"/>
      <c r="ATA1" s="841"/>
      <c r="ATB1" s="841"/>
      <c r="ATC1" s="841"/>
      <c r="ATD1" s="841"/>
      <c r="ATE1" s="841"/>
      <c r="ATF1" s="841"/>
      <c r="ATG1" s="841"/>
      <c r="ATH1" s="841"/>
      <c r="ATI1" s="841"/>
      <c r="ATJ1" s="841"/>
      <c r="ATK1" s="841"/>
      <c r="ATL1" s="841"/>
      <c r="ATM1" s="841"/>
      <c r="ATN1" s="841"/>
      <c r="ATO1" s="841"/>
      <c r="ATP1" s="841"/>
      <c r="ATQ1" s="841"/>
      <c r="ATR1" s="841"/>
      <c r="ATS1" s="841"/>
      <c r="ATT1" s="841"/>
      <c r="ATU1" s="841"/>
      <c r="ATV1" s="841"/>
      <c r="ATW1" s="841"/>
      <c r="ATX1" s="841"/>
      <c r="ATY1" s="841"/>
      <c r="ATZ1" s="841"/>
      <c r="AUA1" s="841"/>
      <c r="AUB1" s="841"/>
      <c r="AUC1" s="841"/>
      <c r="AUD1" s="841"/>
      <c r="AUE1" s="841"/>
      <c r="AUF1" s="841"/>
      <c r="AUG1" s="841"/>
      <c r="AUH1" s="841"/>
      <c r="AUI1" s="841"/>
      <c r="AUJ1" s="841"/>
      <c r="AUK1" s="841"/>
      <c r="AUL1" s="841"/>
      <c r="AUM1" s="841"/>
      <c r="AUN1" s="841"/>
      <c r="AUO1" s="841"/>
      <c r="AUP1" s="841"/>
      <c r="AUQ1" s="841"/>
      <c r="AUR1" s="841"/>
      <c r="AUS1" s="841"/>
      <c r="AUT1" s="841"/>
      <c r="AUU1" s="841"/>
      <c r="AUV1" s="841"/>
      <c r="AUW1" s="841"/>
      <c r="AUX1" s="841"/>
      <c r="AUY1" s="841"/>
      <c r="AUZ1" s="841"/>
      <c r="AVA1" s="841"/>
      <c r="AVB1" s="841"/>
      <c r="AVC1" s="841"/>
      <c r="AVD1" s="841"/>
      <c r="AVE1" s="841"/>
      <c r="AVF1" s="841"/>
      <c r="AVG1" s="841"/>
      <c r="AVH1" s="841"/>
      <c r="AVI1" s="841"/>
      <c r="AVJ1" s="841"/>
      <c r="AVK1" s="841"/>
      <c r="AVL1" s="841"/>
      <c r="AVM1" s="841"/>
      <c r="AVN1" s="841"/>
      <c r="AVO1" s="841"/>
      <c r="AVP1" s="841"/>
      <c r="AVQ1" s="841"/>
      <c r="AVR1" s="841"/>
      <c r="AVS1" s="841"/>
      <c r="AVT1" s="841"/>
      <c r="AVU1" s="841"/>
      <c r="AVV1" s="841"/>
      <c r="AVW1" s="841"/>
      <c r="AVX1" s="841"/>
      <c r="AVY1" s="841"/>
      <c r="AVZ1" s="841"/>
      <c r="AWA1" s="841"/>
      <c r="AWB1" s="841"/>
      <c r="AWC1" s="841"/>
      <c r="AWD1" s="841"/>
      <c r="AWE1" s="841"/>
      <c r="AWF1" s="841"/>
      <c r="AWG1" s="841"/>
      <c r="AWH1" s="841"/>
      <c r="AWI1" s="841"/>
      <c r="AWJ1" s="841"/>
      <c r="AWK1" s="841"/>
      <c r="AWL1" s="841"/>
      <c r="AWM1" s="841"/>
      <c r="AWN1" s="841"/>
      <c r="AWO1" s="841"/>
      <c r="AWP1" s="841"/>
      <c r="AWQ1" s="841"/>
      <c r="AWR1" s="841"/>
      <c r="AWS1" s="841"/>
      <c r="AWT1" s="841"/>
      <c r="AWU1" s="841"/>
      <c r="AWV1" s="841"/>
      <c r="AWW1" s="841"/>
      <c r="AWX1" s="841"/>
      <c r="AWY1" s="841"/>
      <c r="AWZ1" s="841"/>
      <c r="AXA1" s="841"/>
      <c r="AXB1" s="841"/>
      <c r="AXC1" s="841"/>
      <c r="AXD1" s="841"/>
      <c r="AXE1" s="841"/>
      <c r="AXF1" s="841"/>
      <c r="AXG1" s="841"/>
      <c r="AXH1" s="841"/>
      <c r="AXI1" s="841"/>
      <c r="AXJ1" s="841"/>
      <c r="AXK1" s="841"/>
      <c r="AXL1" s="841"/>
      <c r="AXM1" s="841"/>
      <c r="AXN1" s="841"/>
      <c r="AXO1" s="841"/>
      <c r="AXP1" s="841"/>
      <c r="AXQ1" s="841"/>
      <c r="AXR1" s="841"/>
      <c r="AXS1" s="841"/>
      <c r="AXT1" s="841"/>
      <c r="AXU1" s="841"/>
      <c r="AXV1" s="841"/>
      <c r="AXW1" s="841"/>
      <c r="AXX1" s="841"/>
      <c r="AXY1" s="841"/>
      <c r="AXZ1" s="841"/>
      <c r="AYA1" s="841"/>
      <c r="AYB1" s="841"/>
      <c r="AYC1" s="841"/>
      <c r="AYD1" s="841"/>
      <c r="AYE1" s="841"/>
      <c r="AYF1" s="841"/>
      <c r="AYG1" s="841"/>
      <c r="AYH1" s="841"/>
      <c r="AYI1" s="841"/>
      <c r="AYJ1" s="841"/>
      <c r="AYK1" s="841"/>
      <c r="AYL1" s="841"/>
      <c r="AYM1" s="841"/>
      <c r="AYN1" s="841"/>
      <c r="AYO1" s="841"/>
      <c r="AYP1" s="841"/>
      <c r="AYQ1" s="841"/>
      <c r="AYR1" s="841"/>
      <c r="AYS1" s="841"/>
      <c r="AYT1" s="841"/>
      <c r="AYU1" s="841"/>
      <c r="AYV1" s="841"/>
      <c r="AYW1" s="841"/>
      <c r="AYX1" s="841"/>
      <c r="AYY1" s="841"/>
      <c r="AYZ1" s="841"/>
      <c r="AZA1" s="841"/>
      <c r="AZB1" s="841"/>
      <c r="AZC1" s="841"/>
      <c r="AZD1" s="841"/>
      <c r="AZE1" s="841"/>
      <c r="AZF1" s="841"/>
      <c r="AZG1" s="841"/>
      <c r="AZH1" s="841"/>
      <c r="AZI1" s="841"/>
      <c r="AZJ1" s="841"/>
      <c r="AZK1" s="841"/>
      <c r="AZL1" s="841"/>
      <c r="AZM1" s="841"/>
      <c r="AZN1" s="841"/>
      <c r="AZO1" s="841"/>
      <c r="AZP1" s="841"/>
      <c r="AZQ1" s="841"/>
      <c r="AZR1" s="841"/>
      <c r="AZS1" s="841"/>
      <c r="AZT1" s="841"/>
      <c r="AZU1" s="841"/>
      <c r="AZV1" s="841"/>
      <c r="AZW1" s="841"/>
      <c r="AZX1" s="841"/>
      <c r="AZY1" s="841"/>
      <c r="AZZ1" s="841"/>
      <c r="BAA1" s="841"/>
      <c r="BAB1" s="841"/>
      <c r="BAC1" s="841"/>
      <c r="BAD1" s="841"/>
      <c r="BAE1" s="841"/>
      <c r="BAF1" s="841"/>
      <c r="BAG1" s="841"/>
      <c r="BAH1" s="841"/>
      <c r="BAI1" s="841"/>
      <c r="BAJ1" s="841"/>
      <c r="BAK1" s="841"/>
      <c r="BAL1" s="841"/>
      <c r="BAM1" s="841"/>
      <c r="BAN1" s="841"/>
      <c r="BAO1" s="841"/>
      <c r="BAP1" s="841"/>
      <c r="BAQ1" s="841"/>
      <c r="BAR1" s="841"/>
      <c r="BAS1" s="841"/>
      <c r="BAT1" s="841"/>
      <c r="BAU1" s="841"/>
      <c r="BAV1" s="841"/>
      <c r="BAW1" s="841"/>
      <c r="BAX1" s="841"/>
      <c r="BAY1" s="841"/>
      <c r="BAZ1" s="841"/>
      <c r="BBA1" s="841"/>
      <c r="BBB1" s="841"/>
      <c r="BBC1" s="841"/>
      <c r="BBD1" s="841"/>
      <c r="BBE1" s="841"/>
      <c r="BBF1" s="841"/>
      <c r="BBG1" s="841"/>
      <c r="BBH1" s="841"/>
      <c r="BBI1" s="841"/>
      <c r="BBJ1" s="841"/>
      <c r="BBK1" s="841"/>
      <c r="BBL1" s="841"/>
      <c r="BBM1" s="841"/>
      <c r="BBN1" s="841"/>
      <c r="BBO1" s="841"/>
      <c r="BBP1" s="841"/>
      <c r="BBQ1" s="841"/>
      <c r="BBR1" s="841"/>
      <c r="BBS1" s="841"/>
      <c r="BBT1" s="841"/>
      <c r="BBU1" s="841"/>
      <c r="BBV1" s="841"/>
      <c r="BBW1" s="841"/>
      <c r="BBX1" s="841"/>
      <c r="BBY1" s="841"/>
      <c r="BBZ1" s="841"/>
      <c r="BCA1" s="841"/>
      <c r="BCB1" s="841"/>
      <c r="BCC1" s="841"/>
      <c r="BCD1" s="841"/>
      <c r="BCE1" s="841"/>
      <c r="BCF1" s="841"/>
      <c r="BCG1" s="841"/>
      <c r="BCH1" s="841"/>
      <c r="BCI1" s="841"/>
      <c r="BCJ1" s="841"/>
      <c r="BCK1" s="841"/>
      <c r="BCL1" s="841"/>
      <c r="BCM1" s="841"/>
      <c r="BCN1" s="841"/>
      <c r="BCO1" s="841"/>
      <c r="BCP1" s="841"/>
      <c r="BCQ1" s="841"/>
      <c r="BCR1" s="841"/>
      <c r="BCS1" s="841"/>
      <c r="BCT1" s="841"/>
      <c r="BCU1" s="841"/>
      <c r="BCV1" s="841"/>
      <c r="BCW1" s="841"/>
      <c r="BCX1" s="841"/>
      <c r="BCY1" s="841"/>
      <c r="BCZ1" s="841"/>
      <c r="BDA1" s="841"/>
      <c r="BDB1" s="841"/>
      <c r="BDC1" s="841"/>
      <c r="BDD1" s="841"/>
      <c r="BDE1" s="841"/>
      <c r="BDF1" s="841"/>
      <c r="BDG1" s="841"/>
      <c r="BDH1" s="841"/>
      <c r="BDI1" s="841"/>
      <c r="BDJ1" s="841"/>
      <c r="BDK1" s="841"/>
      <c r="BDL1" s="841"/>
      <c r="BDM1" s="841"/>
      <c r="BDN1" s="841"/>
      <c r="BDO1" s="841"/>
      <c r="BDP1" s="841"/>
      <c r="BDQ1" s="841"/>
      <c r="BDR1" s="841"/>
      <c r="BDS1" s="841"/>
      <c r="BDT1" s="841"/>
      <c r="BDU1" s="841"/>
      <c r="BDV1" s="841"/>
      <c r="BDW1" s="841"/>
      <c r="BDX1" s="841"/>
      <c r="BDY1" s="841"/>
      <c r="BDZ1" s="841"/>
      <c r="BEA1" s="841"/>
      <c r="BEB1" s="841"/>
      <c r="BEC1" s="841"/>
      <c r="BED1" s="841"/>
      <c r="BEE1" s="841"/>
      <c r="BEF1" s="841"/>
      <c r="BEG1" s="841"/>
      <c r="BEH1" s="841"/>
      <c r="BEI1" s="841"/>
      <c r="BEJ1" s="841"/>
      <c r="BEK1" s="841"/>
      <c r="BEL1" s="841"/>
      <c r="BEM1" s="841"/>
      <c r="BEN1" s="841"/>
      <c r="BEO1" s="841"/>
      <c r="BEP1" s="841"/>
      <c r="BEQ1" s="841"/>
      <c r="BER1" s="841"/>
      <c r="BES1" s="841"/>
      <c r="BET1" s="841"/>
      <c r="BEU1" s="841"/>
      <c r="BEV1" s="841"/>
      <c r="BEW1" s="841"/>
      <c r="BEX1" s="841"/>
      <c r="BEY1" s="841"/>
      <c r="BEZ1" s="841"/>
      <c r="BFA1" s="841"/>
      <c r="BFB1" s="841"/>
      <c r="BFC1" s="841"/>
      <c r="BFD1" s="841"/>
      <c r="BFE1" s="841"/>
      <c r="BFF1" s="841"/>
      <c r="BFG1" s="841"/>
      <c r="BFH1" s="841"/>
      <c r="BFI1" s="841"/>
      <c r="BFJ1" s="841"/>
      <c r="BFK1" s="841"/>
      <c r="BFL1" s="841"/>
      <c r="BFM1" s="841"/>
      <c r="BFN1" s="841"/>
      <c r="BFO1" s="841"/>
      <c r="BFP1" s="841"/>
      <c r="BFQ1" s="841"/>
      <c r="BFR1" s="841"/>
      <c r="BFS1" s="841"/>
      <c r="BFT1" s="841"/>
      <c r="BFU1" s="841"/>
      <c r="BFV1" s="841"/>
      <c r="BFW1" s="841"/>
      <c r="BFX1" s="841"/>
      <c r="BFY1" s="841"/>
      <c r="BFZ1" s="841"/>
      <c r="BGA1" s="841"/>
      <c r="BGB1" s="841"/>
      <c r="BGC1" s="841"/>
      <c r="BGD1" s="841"/>
      <c r="BGE1" s="841"/>
      <c r="BGF1" s="841"/>
      <c r="BGG1" s="841"/>
      <c r="BGH1" s="841"/>
      <c r="BGI1" s="841"/>
      <c r="BGJ1" s="841"/>
      <c r="BGK1" s="841"/>
      <c r="BGL1" s="841"/>
      <c r="BGM1" s="841"/>
      <c r="BGN1" s="841"/>
      <c r="BGO1" s="841"/>
      <c r="BGP1" s="841"/>
      <c r="BGQ1" s="841"/>
      <c r="BGR1" s="841"/>
      <c r="BGS1" s="841"/>
      <c r="BGT1" s="841"/>
      <c r="BGU1" s="841"/>
      <c r="BGV1" s="841"/>
      <c r="BGW1" s="841"/>
      <c r="BGX1" s="841"/>
      <c r="BGY1" s="841"/>
      <c r="BGZ1" s="841"/>
      <c r="BHA1" s="841"/>
      <c r="BHB1" s="841"/>
      <c r="BHC1" s="841"/>
      <c r="BHD1" s="841"/>
      <c r="BHE1" s="841"/>
      <c r="BHF1" s="841"/>
      <c r="BHG1" s="841"/>
      <c r="BHH1" s="841"/>
      <c r="BHI1" s="841"/>
      <c r="BHJ1" s="841"/>
      <c r="BHK1" s="841"/>
      <c r="BHL1" s="841"/>
      <c r="BHM1" s="841"/>
      <c r="BHN1" s="841"/>
      <c r="BHO1" s="841"/>
      <c r="BHP1" s="841"/>
      <c r="BHQ1" s="841"/>
      <c r="BHR1" s="841"/>
      <c r="BHS1" s="841"/>
      <c r="BHT1" s="841"/>
      <c r="BHU1" s="841"/>
      <c r="BHV1" s="841"/>
      <c r="BHW1" s="841"/>
      <c r="BHX1" s="841"/>
      <c r="BHY1" s="841"/>
      <c r="BHZ1" s="841"/>
      <c r="BIA1" s="841"/>
      <c r="BIB1" s="841"/>
      <c r="BIC1" s="841"/>
      <c r="BID1" s="841"/>
      <c r="BIE1" s="841"/>
      <c r="BIF1" s="841"/>
      <c r="BIG1" s="841"/>
      <c r="BIH1" s="841"/>
      <c r="BII1" s="841"/>
      <c r="BIJ1" s="841"/>
      <c r="BIK1" s="841"/>
      <c r="BIL1" s="841"/>
      <c r="BIM1" s="841"/>
      <c r="BIN1" s="841"/>
      <c r="BIO1" s="841"/>
      <c r="BIP1" s="841"/>
      <c r="BIQ1" s="841"/>
      <c r="BIR1" s="841"/>
      <c r="BIS1" s="841"/>
      <c r="BIT1" s="841"/>
      <c r="BIU1" s="841"/>
      <c r="BIV1" s="841"/>
      <c r="BIW1" s="841"/>
      <c r="BIX1" s="841"/>
      <c r="BIY1" s="841"/>
      <c r="BIZ1" s="841"/>
      <c r="BJA1" s="841"/>
      <c r="BJB1" s="841"/>
      <c r="BJC1" s="841"/>
      <c r="BJD1" s="841"/>
      <c r="BJE1" s="841"/>
      <c r="BJF1" s="841"/>
      <c r="BJG1" s="841"/>
      <c r="BJH1" s="841"/>
      <c r="BJI1" s="841"/>
      <c r="BJJ1" s="841"/>
      <c r="BJK1" s="841"/>
      <c r="BJL1" s="841"/>
      <c r="BJM1" s="841"/>
      <c r="BJN1" s="841"/>
      <c r="BJO1" s="841"/>
      <c r="BJP1" s="841"/>
      <c r="BJQ1" s="841"/>
      <c r="BJR1" s="841"/>
      <c r="BJS1" s="841"/>
      <c r="BJT1" s="841"/>
      <c r="BJU1" s="841"/>
      <c r="BJV1" s="841"/>
      <c r="BJW1" s="841"/>
      <c r="BJX1" s="841"/>
      <c r="BJY1" s="841"/>
      <c r="BJZ1" s="841"/>
      <c r="BKA1" s="841"/>
      <c r="BKB1" s="841"/>
      <c r="BKC1" s="841"/>
      <c r="BKD1" s="841"/>
      <c r="BKE1" s="841"/>
      <c r="BKF1" s="841"/>
      <c r="BKG1" s="841"/>
      <c r="BKH1" s="841"/>
      <c r="BKI1" s="841"/>
      <c r="BKJ1" s="841"/>
      <c r="BKK1" s="841"/>
      <c r="BKL1" s="841"/>
      <c r="BKM1" s="841"/>
      <c r="BKN1" s="841"/>
      <c r="BKO1" s="841"/>
      <c r="BKP1" s="841"/>
      <c r="BKQ1" s="841"/>
      <c r="BKR1" s="841"/>
      <c r="BKS1" s="841"/>
      <c r="BKT1" s="841"/>
      <c r="BKU1" s="841"/>
      <c r="BKV1" s="841"/>
      <c r="BKW1" s="841"/>
      <c r="BKX1" s="841"/>
      <c r="BKY1" s="841"/>
      <c r="BKZ1" s="841"/>
      <c r="BLA1" s="841"/>
      <c r="BLB1" s="841"/>
      <c r="BLC1" s="841"/>
      <c r="BLD1" s="841"/>
      <c r="BLE1" s="841"/>
      <c r="BLF1" s="841"/>
      <c r="BLG1" s="841"/>
      <c r="BLH1" s="841"/>
      <c r="BLI1" s="841"/>
      <c r="BLJ1" s="841"/>
      <c r="BLK1" s="841"/>
      <c r="BLL1" s="841"/>
      <c r="BLM1" s="841"/>
      <c r="BLN1" s="841"/>
      <c r="BLO1" s="841"/>
      <c r="BLP1" s="841"/>
      <c r="BLQ1" s="841"/>
      <c r="BLR1" s="841"/>
      <c r="BLS1" s="841"/>
      <c r="BLT1" s="841"/>
      <c r="BLU1" s="841"/>
      <c r="BLV1" s="841"/>
      <c r="BLW1" s="841"/>
      <c r="BLX1" s="841"/>
      <c r="BLY1" s="841"/>
      <c r="BLZ1" s="841"/>
      <c r="BMA1" s="841"/>
      <c r="BMB1" s="841"/>
      <c r="BMC1" s="841"/>
      <c r="BMD1" s="841"/>
      <c r="BME1" s="841"/>
      <c r="BMF1" s="841"/>
      <c r="BMG1" s="841"/>
      <c r="BMH1" s="841"/>
      <c r="BMI1" s="841"/>
      <c r="BMJ1" s="841"/>
      <c r="BMK1" s="841"/>
      <c r="BML1" s="841"/>
      <c r="BMM1" s="841"/>
      <c r="BMN1" s="841"/>
      <c r="BMO1" s="841"/>
      <c r="BMP1" s="841"/>
      <c r="BMQ1" s="841"/>
      <c r="BMR1" s="841"/>
      <c r="BMS1" s="841"/>
      <c r="BMT1" s="841"/>
      <c r="BMU1" s="841"/>
      <c r="BMV1" s="841"/>
      <c r="BMW1" s="841"/>
      <c r="BMX1" s="841"/>
      <c r="BMY1" s="841"/>
      <c r="BMZ1" s="841"/>
      <c r="BNA1" s="841"/>
      <c r="BNB1" s="841"/>
      <c r="BNC1" s="841"/>
      <c r="BND1" s="841"/>
      <c r="BNE1" s="841"/>
      <c r="BNF1" s="841"/>
      <c r="BNG1" s="841"/>
      <c r="BNH1" s="841"/>
      <c r="BNI1" s="841"/>
      <c r="BNJ1" s="841"/>
      <c r="BNK1" s="841"/>
      <c r="BNL1" s="841"/>
      <c r="BNM1" s="841"/>
      <c r="BNN1" s="841"/>
      <c r="BNO1" s="841"/>
      <c r="BNP1" s="841"/>
      <c r="BNQ1" s="841"/>
      <c r="BNR1" s="841"/>
      <c r="BNS1" s="841"/>
      <c r="BNT1" s="841"/>
      <c r="BNU1" s="841"/>
      <c r="BNV1" s="841"/>
      <c r="BNW1" s="841"/>
      <c r="BNX1" s="841"/>
      <c r="BNY1" s="841"/>
      <c r="BNZ1" s="841"/>
      <c r="BOA1" s="841"/>
      <c r="BOB1" s="841"/>
      <c r="BOC1" s="841"/>
      <c r="BOD1" s="841"/>
      <c r="BOE1" s="841"/>
      <c r="BOF1" s="841"/>
      <c r="BOG1" s="841"/>
      <c r="BOH1" s="841"/>
      <c r="BOI1" s="841"/>
      <c r="BOJ1" s="841"/>
      <c r="BOK1" s="841"/>
      <c r="BOL1" s="841"/>
      <c r="BOM1" s="841"/>
      <c r="BON1" s="841"/>
      <c r="BOO1" s="841"/>
      <c r="BOP1" s="841"/>
      <c r="BOQ1" s="841"/>
      <c r="BOR1" s="841"/>
      <c r="BOS1" s="841"/>
      <c r="BOT1" s="841"/>
      <c r="BOU1" s="841"/>
      <c r="BOV1" s="841"/>
      <c r="BOW1" s="841"/>
      <c r="BOX1" s="841"/>
      <c r="BOY1" s="841"/>
      <c r="BOZ1" s="841"/>
      <c r="BPA1" s="841"/>
      <c r="BPB1" s="841"/>
      <c r="BPC1" s="841"/>
      <c r="BPD1" s="841"/>
      <c r="BPE1" s="841"/>
      <c r="BPF1" s="841"/>
      <c r="BPG1" s="841"/>
      <c r="BPH1" s="841"/>
      <c r="BPI1" s="841"/>
      <c r="BPJ1" s="841"/>
      <c r="BPK1" s="841"/>
      <c r="BPL1" s="841"/>
      <c r="BPM1" s="841"/>
      <c r="BPN1" s="841"/>
      <c r="BPO1" s="841"/>
      <c r="BPP1" s="841"/>
      <c r="BPQ1" s="841"/>
      <c r="BPR1" s="841"/>
      <c r="BPS1" s="841"/>
      <c r="BPT1" s="841"/>
      <c r="BPU1" s="841"/>
      <c r="BPV1" s="841"/>
      <c r="BPW1" s="841"/>
      <c r="BPX1" s="841"/>
      <c r="BPY1" s="841"/>
      <c r="BPZ1" s="841"/>
      <c r="BQA1" s="841"/>
      <c r="BQB1" s="841"/>
      <c r="BQC1" s="841"/>
      <c r="BQD1" s="841"/>
      <c r="BQE1" s="841"/>
      <c r="BQF1" s="841"/>
      <c r="BQG1" s="841"/>
      <c r="BQH1" s="841"/>
      <c r="BQI1" s="841"/>
      <c r="BQJ1" s="841"/>
      <c r="BQK1" s="841"/>
      <c r="BQL1" s="841"/>
      <c r="BQM1" s="841"/>
      <c r="BQN1" s="841"/>
      <c r="BQO1" s="841"/>
      <c r="BQP1" s="841"/>
      <c r="BQQ1" s="841"/>
      <c r="BQR1" s="841"/>
      <c r="BQS1" s="841"/>
      <c r="BQT1" s="841"/>
      <c r="BQU1" s="841"/>
      <c r="BQV1" s="841"/>
      <c r="BQW1" s="841"/>
      <c r="BQX1" s="841"/>
      <c r="BQY1" s="841"/>
      <c r="BQZ1" s="841"/>
      <c r="BRA1" s="841"/>
      <c r="BRB1" s="841"/>
      <c r="BRC1" s="841"/>
      <c r="BRD1" s="841"/>
      <c r="BRE1" s="841"/>
      <c r="BRF1" s="841"/>
      <c r="BRG1" s="841"/>
      <c r="BRH1" s="841"/>
      <c r="BRI1" s="841"/>
      <c r="BRJ1" s="841"/>
      <c r="BRK1" s="841"/>
      <c r="BRL1" s="841"/>
      <c r="BRM1" s="841"/>
      <c r="BRN1" s="841"/>
      <c r="BRO1" s="841"/>
      <c r="BRP1" s="841"/>
      <c r="BRQ1" s="841"/>
      <c r="BRR1" s="841"/>
      <c r="BRS1" s="841"/>
      <c r="BRT1" s="841"/>
      <c r="BRU1" s="841"/>
      <c r="BRV1" s="841"/>
      <c r="BRW1" s="841"/>
      <c r="BRX1" s="841"/>
      <c r="BRY1" s="841"/>
      <c r="BRZ1" s="841"/>
      <c r="BSA1" s="841"/>
      <c r="BSB1" s="841"/>
      <c r="BSC1" s="841"/>
      <c r="BSD1" s="841"/>
      <c r="BSE1" s="841"/>
      <c r="BSF1" s="841"/>
      <c r="BSG1" s="841"/>
      <c r="BSH1" s="841"/>
      <c r="BSI1" s="841"/>
      <c r="BSJ1" s="841"/>
      <c r="BSK1" s="841"/>
      <c r="BSL1" s="841"/>
      <c r="BSM1" s="841"/>
      <c r="BSN1" s="841"/>
      <c r="BSO1" s="841"/>
      <c r="BSP1" s="841"/>
      <c r="BSQ1" s="841"/>
      <c r="BSR1" s="841"/>
      <c r="BSS1" s="841"/>
      <c r="BST1" s="841"/>
      <c r="BSU1" s="841"/>
      <c r="BSV1" s="841"/>
      <c r="BSW1" s="841"/>
      <c r="BSX1" s="841"/>
      <c r="BSY1" s="841"/>
      <c r="BSZ1" s="841"/>
      <c r="BTA1" s="841"/>
      <c r="BTB1" s="841"/>
      <c r="BTC1" s="841"/>
      <c r="BTD1" s="841"/>
      <c r="BTE1" s="841"/>
      <c r="BTF1" s="841"/>
      <c r="BTG1" s="841"/>
      <c r="BTH1" s="841"/>
      <c r="BTI1" s="841"/>
      <c r="BTJ1" s="841"/>
      <c r="BTK1" s="841"/>
      <c r="BTL1" s="841"/>
      <c r="BTM1" s="841"/>
      <c r="BTN1" s="841"/>
      <c r="BTO1" s="841"/>
      <c r="BTP1" s="841"/>
      <c r="BTQ1" s="841"/>
      <c r="BTR1" s="841"/>
      <c r="BTS1" s="841"/>
      <c r="BTT1" s="841"/>
      <c r="BTU1" s="841"/>
      <c r="BTV1" s="841"/>
      <c r="BTW1" s="841"/>
      <c r="BTX1" s="841"/>
      <c r="BTY1" s="841"/>
      <c r="BTZ1" s="841"/>
      <c r="BUA1" s="841"/>
      <c r="BUB1" s="841"/>
      <c r="BUC1" s="841"/>
      <c r="BUD1" s="841"/>
      <c r="BUE1" s="841"/>
      <c r="BUF1" s="841"/>
      <c r="BUG1" s="841"/>
      <c r="BUH1" s="841"/>
      <c r="BUI1" s="841"/>
      <c r="BUJ1" s="841"/>
      <c r="BUK1" s="841"/>
      <c r="BUL1" s="841"/>
      <c r="BUM1" s="841"/>
      <c r="BUN1" s="841"/>
      <c r="BUO1" s="841"/>
      <c r="BUP1" s="841"/>
      <c r="BUQ1" s="841"/>
      <c r="BUR1" s="841"/>
      <c r="BUS1" s="841"/>
      <c r="BUT1" s="841"/>
      <c r="BUU1" s="841"/>
      <c r="BUV1" s="841"/>
      <c r="BUW1" s="841"/>
      <c r="BUX1" s="841"/>
      <c r="BUY1" s="841"/>
      <c r="BUZ1" s="841"/>
      <c r="BVA1" s="841"/>
      <c r="BVB1" s="841"/>
      <c r="BVC1" s="841"/>
      <c r="BVD1" s="841"/>
      <c r="BVE1" s="841"/>
      <c r="BVF1" s="841"/>
      <c r="BVG1" s="841"/>
      <c r="BVH1" s="841"/>
      <c r="BVI1" s="841"/>
      <c r="BVJ1" s="841"/>
      <c r="BVK1" s="841"/>
      <c r="BVL1" s="841"/>
      <c r="BVM1" s="841"/>
      <c r="BVN1" s="841"/>
      <c r="BVO1" s="841"/>
      <c r="BVP1" s="841"/>
      <c r="BVQ1" s="841"/>
      <c r="BVR1" s="841"/>
      <c r="BVS1" s="841"/>
      <c r="BVT1" s="841"/>
      <c r="BVU1" s="841"/>
      <c r="BVV1" s="841"/>
      <c r="BVW1" s="841"/>
      <c r="BVX1" s="841"/>
      <c r="BVY1" s="841"/>
      <c r="BVZ1" s="841"/>
      <c r="BWA1" s="841"/>
      <c r="BWB1" s="841"/>
      <c r="BWC1" s="841"/>
      <c r="BWD1" s="841"/>
      <c r="BWE1" s="841"/>
      <c r="BWF1" s="841"/>
      <c r="BWG1" s="841"/>
      <c r="BWH1" s="841"/>
      <c r="BWI1" s="841"/>
      <c r="BWJ1" s="841"/>
      <c r="BWK1" s="841"/>
      <c r="BWL1" s="841"/>
      <c r="BWM1" s="841"/>
      <c r="BWN1" s="841"/>
      <c r="BWO1" s="841"/>
      <c r="BWP1" s="841"/>
      <c r="BWQ1" s="841"/>
      <c r="BWR1" s="841"/>
      <c r="BWS1" s="841"/>
      <c r="BWT1" s="841"/>
      <c r="BWU1" s="841"/>
      <c r="BWV1" s="841"/>
      <c r="BWW1" s="841"/>
      <c r="BWX1" s="841"/>
      <c r="BWY1" s="841"/>
      <c r="BWZ1" s="841"/>
      <c r="BXA1" s="841"/>
      <c r="BXB1" s="841"/>
      <c r="BXC1" s="841"/>
      <c r="BXD1" s="841"/>
      <c r="BXE1" s="841"/>
      <c r="BXF1" s="841"/>
      <c r="BXG1" s="841"/>
      <c r="BXH1" s="841"/>
      <c r="BXI1" s="841"/>
      <c r="BXJ1" s="841"/>
      <c r="BXK1" s="841"/>
      <c r="BXL1" s="841"/>
      <c r="BXM1" s="841"/>
      <c r="BXN1" s="841"/>
      <c r="BXO1" s="841"/>
      <c r="BXP1" s="841"/>
      <c r="BXQ1" s="841"/>
      <c r="BXR1" s="841"/>
      <c r="BXS1" s="841"/>
      <c r="BXT1" s="841"/>
      <c r="BXU1" s="841"/>
      <c r="BXV1" s="841"/>
      <c r="BXW1" s="841"/>
      <c r="BXX1" s="841"/>
      <c r="BXY1" s="841"/>
      <c r="BXZ1" s="841"/>
      <c r="BYA1" s="841"/>
      <c r="BYB1" s="841"/>
      <c r="BYC1" s="841"/>
      <c r="BYD1" s="841"/>
      <c r="BYE1" s="841"/>
      <c r="BYF1" s="841"/>
      <c r="BYG1" s="841"/>
      <c r="BYH1" s="841"/>
      <c r="BYI1" s="841"/>
      <c r="BYJ1" s="841"/>
      <c r="BYK1" s="841"/>
      <c r="BYL1" s="841"/>
      <c r="BYM1" s="841"/>
      <c r="BYN1" s="841"/>
      <c r="BYO1" s="841"/>
      <c r="BYP1" s="841"/>
      <c r="BYQ1" s="841"/>
      <c r="BYR1" s="841"/>
      <c r="BYS1" s="841"/>
      <c r="BYT1" s="841"/>
      <c r="BYU1" s="841"/>
      <c r="BYV1" s="841"/>
      <c r="BYW1" s="841"/>
      <c r="BYX1" s="841"/>
      <c r="BYY1" s="841"/>
      <c r="BYZ1" s="841"/>
      <c r="BZA1" s="841"/>
      <c r="BZB1" s="841"/>
      <c r="BZC1" s="841"/>
      <c r="BZD1" s="841"/>
      <c r="BZE1" s="841"/>
      <c r="BZF1" s="841"/>
      <c r="BZG1" s="841"/>
      <c r="BZH1" s="841"/>
      <c r="BZI1" s="841"/>
      <c r="BZJ1" s="841"/>
      <c r="BZK1" s="841"/>
      <c r="BZL1" s="841"/>
      <c r="BZM1" s="841"/>
      <c r="BZN1" s="841"/>
      <c r="BZO1" s="841"/>
      <c r="BZP1" s="841"/>
      <c r="BZQ1" s="841"/>
      <c r="BZR1" s="841"/>
      <c r="BZS1" s="841"/>
      <c r="BZT1" s="841"/>
      <c r="BZU1" s="841"/>
      <c r="BZV1" s="841"/>
      <c r="BZW1" s="841"/>
      <c r="BZX1" s="841"/>
      <c r="BZY1" s="841"/>
      <c r="BZZ1" s="841"/>
      <c r="CAA1" s="841"/>
      <c r="CAB1" s="841"/>
      <c r="CAC1" s="841"/>
      <c r="CAD1" s="841"/>
      <c r="CAE1" s="841"/>
      <c r="CAF1" s="841"/>
      <c r="CAG1" s="841"/>
      <c r="CAH1" s="841"/>
      <c r="CAI1" s="841"/>
      <c r="CAJ1" s="841"/>
      <c r="CAK1" s="841"/>
      <c r="CAL1" s="841"/>
      <c r="CAM1" s="841"/>
      <c r="CAN1" s="841"/>
      <c r="CAO1" s="841"/>
      <c r="CAP1" s="841"/>
      <c r="CAQ1" s="841"/>
      <c r="CAR1" s="841"/>
      <c r="CAS1" s="841"/>
      <c r="CAT1" s="841"/>
      <c r="CAU1" s="841"/>
      <c r="CAV1" s="841"/>
      <c r="CAW1" s="841"/>
      <c r="CAX1" s="841"/>
      <c r="CAY1" s="841"/>
      <c r="CAZ1" s="841"/>
      <c r="CBA1" s="841"/>
      <c r="CBB1" s="841"/>
      <c r="CBC1" s="841"/>
      <c r="CBD1" s="841"/>
      <c r="CBE1" s="841"/>
      <c r="CBF1" s="841"/>
      <c r="CBG1" s="841"/>
      <c r="CBH1" s="841"/>
      <c r="CBI1" s="841"/>
      <c r="CBJ1" s="841"/>
      <c r="CBK1" s="841"/>
      <c r="CBL1" s="841"/>
      <c r="CBM1" s="841"/>
      <c r="CBN1" s="841"/>
      <c r="CBO1" s="841"/>
      <c r="CBP1" s="841"/>
      <c r="CBQ1" s="841"/>
      <c r="CBR1" s="841"/>
      <c r="CBS1" s="841"/>
      <c r="CBT1" s="841"/>
      <c r="CBU1" s="841"/>
      <c r="CBV1" s="841"/>
      <c r="CBW1" s="841"/>
      <c r="CBX1" s="841"/>
      <c r="CBY1" s="841"/>
      <c r="CBZ1" s="841"/>
      <c r="CCA1" s="841"/>
      <c r="CCB1" s="841"/>
      <c r="CCC1" s="841"/>
      <c r="CCD1" s="841"/>
      <c r="CCE1" s="841"/>
      <c r="CCF1" s="841"/>
      <c r="CCG1" s="841"/>
      <c r="CCH1" s="841"/>
      <c r="CCI1" s="841"/>
      <c r="CCJ1" s="841"/>
      <c r="CCK1" s="841"/>
      <c r="CCL1" s="841"/>
      <c r="CCM1" s="841"/>
      <c r="CCN1" s="841"/>
      <c r="CCO1" s="841"/>
      <c r="CCP1" s="841"/>
      <c r="CCQ1" s="841"/>
      <c r="CCR1" s="841"/>
      <c r="CCS1" s="841"/>
      <c r="CCT1" s="841"/>
      <c r="CCU1" s="841"/>
      <c r="CCV1" s="841"/>
      <c r="CCW1" s="841"/>
      <c r="CCX1" s="841"/>
      <c r="CCY1" s="841"/>
      <c r="CCZ1" s="841"/>
      <c r="CDA1" s="841"/>
      <c r="CDB1" s="841"/>
      <c r="CDC1" s="841"/>
      <c r="CDD1" s="841"/>
      <c r="CDE1" s="841"/>
      <c r="CDF1" s="841"/>
      <c r="CDG1" s="841"/>
      <c r="CDH1" s="841"/>
      <c r="CDI1" s="841"/>
      <c r="CDJ1" s="841"/>
      <c r="CDK1" s="841"/>
      <c r="CDL1" s="841"/>
      <c r="CDM1" s="841"/>
      <c r="CDN1" s="841"/>
      <c r="CDO1" s="841"/>
      <c r="CDP1" s="841"/>
      <c r="CDQ1" s="841"/>
      <c r="CDR1" s="841"/>
      <c r="CDS1" s="841"/>
      <c r="CDT1" s="841"/>
      <c r="CDU1" s="841"/>
      <c r="CDV1" s="841"/>
      <c r="CDW1" s="841"/>
      <c r="CDX1" s="841"/>
      <c r="CDY1" s="841"/>
      <c r="CDZ1" s="841"/>
      <c r="CEA1" s="841"/>
      <c r="CEB1" s="841"/>
      <c r="CEC1" s="841"/>
      <c r="CED1" s="841"/>
      <c r="CEE1" s="841"/>
      <c r="CEF1" s="841"/>
      <c r="CEG1" s="841"/>
      <c r="CEH1" s="841"/>
      <c r="CEI1" s="841"/>
      <c r="CEJ1" s="841"/>
      <c r="CEK1" s="841"/>
      <c r="CEL1" s="841"/>
      <c r="CEM1" s="841"/>
      <c r="CEN1" s="841"/>
      <c r="CEO1" s="841"/>
      <c r="CEP1" s="841"/>
      <c r="CEQ1" s="841"/>
      <c r="CER1" s="841"/>
      <c r="CES1" s="841"/>
      <c r="CET1" s="841"/>
      <c r="CEU1" s="841"/>
      <c r="CEV1" s="841"/>
      <c r="CEW1" s="841"/>
      <c r="CEX1" s="841"/>
      <c r="CEY1" s="841"/>
      <c r="CEZ1" s="841"/>
      <c r="CFA1" s="841"/>
      <c r="CFB1" s="841"/>
      <c r="CFC1" s="841"/>
      <c r="CFD1" s="841"/>
      <c r="CFE1" s="841"/>
      <c r="CFF1" s="841"/>
      <c r="CFG1" s="841"/>
      <c r="CFH1" s="841"/>
      <c r="CFI1" s="841"/>
      <c r="CFJ1" s="841"/>
      <c r="CFK1" s="841"/>
      <c r="CFL1" s="841"/>
      <c r="CFM1" s="841"/>
      <c r="CFN1" s="841"/>
      <c r="CFO1" s="841"/>
      <c r="CFP1" s="841"/>
      <c r="CFQ1" s="841"/>
      <c r="CFR1" s="841"/>
      <c r="CFS1" s="841"/>
      <c r="CFT1" s="841"/>
      <c r="CFU1" s="841"/>
      <c r="CFV1" s="841"/>
      <c r="CFW1" s="841"/>
      <c r="CFX1" s="841"/>
      <c r="CFY1" s="841"/>
      <c r="CFZ1" s="841"/>
      <c r="CGA1" s="841"/>
      <c r="CGB1" s="841"/>
      <c r="CGC1" s="841"/>
      <c r="CGD1" s="841"/>
      <c r="CGE1" s="841"/>
      <c r="CGF1" s="841"/>
      <c r="CGG1" s="841"/>
      <c r="CGH1" s="841"/>
      <c r="CGI1" s="841"/>
      <c r="CGJ1" s="841"/>
      <c r="CGK1" s="841"/>
      <c r="CGL1" s="841"/>
      <c r="CGM1" s="841"/>
      <c r="CGN1" s="841"/>
      <c r="CGO1" s="841"/>
      <c r="CGP1" s="841"/>
      <c r="CGQ1" s="841"/>
      <c r="CGR1" s="841"/>
      <c r="CGS1" s="841"/>
      <c r="CGT1" s="841"/>
      <c r="CGU1" s="841"/>
      <c r="CGV1" s="841"/>
      <c r="CGW1" s="841"/>
      <c r="CGX1" s="841"/>
      <c r="CGY1" s="841"/>
      <c r="CGZ1" s="841"/>
      <c r="CHA1" s="841"/>
      <c r="CHB1" s="841"/>
      <c r="CHC1" s="841"/>
      <c r="CHD1" s="841"/>
      <c r="CHE1" s="841"/>
      <c r="CHF1" s="841"/>
      <c r="CHG1" s="841"/>
      <c r="CHH1" s="841"/>
      <c r="CHI1" s="841"/>
      <c r="CHJ1" s="841"/>
      <c r="CHK1" s="841"/>
      <c r="CHL1" s="841"/>
      <c r="CHM1" s="841"/>
      <c r="CHN1" s="841"/>
      <c r="CHO1" s="841"/>
      <c r="CHP1" s="841"/>
      <c r="CHQ1" s="841"/>
      <c r="CHR1" s="841"/>
      <c r="CHS1" s="841"/>
      <c r="CHT1" s="841"/>
      <c r="CHU1" s="841"/>
      <c r="CHV1" s="841"/>
      <c r="CHW1" s="841"/>
      <c r="CHX1" s="841"/>
      <c r="CHY1" s="841"/>
      <c r="CHZ1" s="841"/>
      <c r="CIA1" s="841"/>
      <c r="CIB1" s="841"/>
      <c r="CIC1" s="841"/>
      <c r="CID1" s="841"/>
      <c r="CIE1" s="841"/>
      <c r="CIF1" s="841"/>
      <c r="CIG1" s="841"/>
      <c r="CIH1" s="841"/>
      <c r="CII1" s="841"/>
      <c r="CIJ1" s="841"/>
      <c r="CIK1" s="841"/>
      <c r="CIL1" s="841"/>
      <c r="CIM1" s="841"/>
      <c r="CIN1" s="841"/>
      <c r="CIO1" s="841"/>
      <c r="CIP1" s="841"/>
      <c r="CIQ1" s="841"/>
      <c r="CIR1" s="841"/>
      <c r="CIS1" s="841"/>
      <c r="CIT1" s="841"/>
      <c r="CIU1" s="841"/>
      <c r="CIV1" s="841"/>
      <c r="CIW1" s="841"/>
      <c r="CIX1" s="841"/>
      <c r="CIY1" s="841"/>
      <c r="CIZ1" s="841"/>
      <c r="CJA1" s="841"/>
      <c r="CJB1" s="841"/>
      <c r="CJC1" s="841"/>
      <c r="CJD1" s="841"/>
      <c r="CJE1" s="841"/>
      <c r="CJF1" s="841"/>
      <c r="CJG1" s="841"/>
      <c r="CJH1" s="841"/>
      <c r="CJI1" s="841"/>
      <c r="CJJ1" s="841"/>
      <c r="CJK1" s="841"/>
      <c r="CJL1" s="841"/>
      <c r="CJM1" s="841"/>
      <c r="CJN1" s="841"/>
      <c r="CJO1" s="841"/>
      <c r="CJP1" s="841"/>
      <c r="CJQ1" s="841"/>
      <c r="CJR1" s="841"/>
      <c r="CJS1" s="841"/>
      <c r="CJT1" s="841"/>
      <c r="CJU1" s="841"/>
      <c r="CJV1" s="841"/>
      <c r="CJW1" s="841"/>
      <c r="CJX1" s="841"/>
      <c r="CJY1" s="841"/>
      <c r="CJZ1" s="841"/>
      <c r="CKA1" s="841"/>
      <c r="CKB1" s="841"/>
      <c r="CKC1" s="841"/>
      <c r="CKD1" s="841"/>
      <c r="CKE1" s="841"/>
      <c r="CKF1" s="841"/>
      <c r="CKG1" s="841"/>
      <c r="CKH1" s="841"/>
      <c r="CKI1" s="841"/>
      <c r="CKJ1" s="841"/>
      <c r="CKK1" s="841"/>
      <c r="CKL1" s="841"/>
      <c r="CKM1" s="841"/>
      <c r="CKN1" s="841"/>
      <c r="CKO1" s="841"/>
      <c r="CKP1" s="841"/>
      <c r="CKQ1" s="841"/>
      <c r="CKR1" s="841"/>
      <c r="CKS1" s="841"/>
      <c r="CKT1" s="841"/>
      <c r="CKU1" s="841"/>
      <c r="CKV1" s="841"/>
      <c r="CKW1" s="841"/>
      <c r="CKX1" s="841"/>
      <c r="CKY1" s="841"/>
      <c r="CKZ1" s="841"/>
      <c r="CLA1" s="841"/>
      <c r="CLB1" s="841"/>
      <c r="CLC1" s="841"/>
      <c r="CLD1" s="841"/>
      <c r="CLE1" s="841"/>
      <c r="CLF1" s="841"/>
      <c r="CLG1" s="841"/>
      <c r="CLH1" s="841"/>
      <c r="CLI1" s="841"/>
      <c r="CLJ1" s="841"/>
      <c r="CLK1" s="841"/>
      <c r="CLL1" s="841"/>
      <c r="CLM1" s="841"/>
      <c r="CLN1" s="841"/>
      <c r="CLO1" s="841"/>
      <c r="CLP1" s="841"/>
      <c r="CLQ1" s="841"/>
      <c r="CLR1" s="841"/>
      <c r="CLS1" s="841"/>
      <c r="CLT1" s="841"/>
      <c r="CLU1" s="841"/>
      <c r="CLV1" s="841"/>
      <c r="CLW1" s="841"/>
      <c r="CLX1" s="841"/>
      <c r="CLY1" s="841"/>
      <c r="CLZ1" s="841"/>
      <c r="CMA1" s="841"/>
      <c r="CMB1" s="841"/>
      <c r="CMC1" s="841"/>
      <c r="CMD1" s="841"/>
      <c r="CME1" s="841"/>
      <c r="CMF1" s="841"/>
      <c r="CMG1" s="841"/>
      <c r="CMH1" s="841"/>
      <c r="CMI1" s="841"/>
      <c r="CMJ1" s="841"/>
      <c r="CMK1" s="841"/>
      <c r="CML1" s="841"/>
      <c r="CMM1" s="841"/>
      <c r="CMN1" s="841"/>
      <c r="CMO1" s="841"/>
      <c r="CMP1" s="841"/>
      <c r="CMQ1" s="841"/>
      <c r="CMR1" s="841"/>
      <c r="CMS1" s="841"/>
      <c r="CMT1" s="841"/>
      <c r="CMU1" s="841"/>
      <c r="CMV1" s="841"/>
      <c r="CMW1" s="841"/>
      <c r="CMX1" s="841"/>
      <c r="CMY1" s="841"/>
      <c r="CMZ1" s="841"/>
      <c r="CNA1" s="841"/>
      <c r="CNB1" s="841"/>
      <c r="CNC1" s="841"/>
      <c r="CND1" s="841"/>
      <c r="CNE1" s="841"/>
      <c r="CNF1" s="841"/>
      <c r="CNG1" s="841"/>
      <c r="CNH1" s="841"/>
      <c r="CNI1" s="841"/>
      <c r="CNJ1" s="841"/>
      <c r="CNK1" s="841"/>
      <c r="CNL1" s="841"/>
      <c r="CNM1" s="841"/>
      <c r="CNN1" s="841"/>
      <c r="CNO1" s="841"/>
      <c r="CNP1" s="841"/>
      <c r="CNQ1" s="841"/>
      <c r="CNR1" s="841"/>
      <c r="CNS1" s="841"/>
      <c r="CNT1" s="841"/>
      <c r="CNU1" s="841"/>
      <c r="CNV1" s="841"/>
      <c r="CNW1" s="841"/>
      <c r="CNX1" s="841"/>
      <c r="CNY1" s="841"/>
      <c r="CNZ1" s="841"/>
      <c r="COA1" s="841"/>
      <c r="COB1" s="841"/>
      <c r="COC1" s="841"/>
      <c r="COD1" s="841"/>
      <c r="COE1" s="841"/>
      <c r="COF1" s="841"/>
      <c r="COG1" s="841"/>
      <c r="COH1" s="841"/>
      <c r="COI1" s="841"/>
      <c r="COJ1" s="841"/>
      <c r="COK1" s="841"/>
      <c r="COL1" s="841"/>
      <c r="COM1" s="841"/>
      <c r="CON1" s="841"/>
      <c r="COO1" s="841"/>
      <c r="COP1" s="841"/>
      <c r="COQ1" s="841"/>
      <c r="COR1" s="841"/>
      <c r="COS1" s="841"/>
      <c r="COT1" s="841"/>
      <c r="COU1" s="841"/>
      <c r="COV1" s="841"/>
      <c r="COW1" s="841"/>
      <c r="COX1" s="841"/>
      <c r="COY1" s="841"/>
      <c r="COZ1" s="841"/>
      <c r="CPA1" s="841"/>
      <c r="CPB1" s="841"/>
      <c r="CPC1" s="841"/>
      <c r="CPD1" s="841"/>
      <c r="CPE1" s="841"/>
      <c r="CPF1" s="841"/>
      <c r="CPG1" s="841"/>
      <c r="CPH1" s="841"/>
      <c r="CPI1" s="841"/>
      <c r="CPJ1" s="841"/>
      <c r="CPK1" s="841"/>
      <c r="CPL1" s="841"/>
      <c r="CPM1" s="841"/>
      <c r="CPN1" s="841"/>
      <c r="CPO1" s="841"/>
      <c r="CPP1" s="841"/>
      <c r="CPQ1" s="841"/>
      <c r="CPR1" s="841"/>
      <c r="CPS1" s="841"/>
      <c r="CPT1" s="841"/>
      <c r="CPU1" s="841"/>
      <c r="CPV1" s="841"/>
      <c r="CPW1" s="841"/>
      <c r="CPX1" s="841"/>
      <c r="CPY1" s="841"/>
      <c r="CPZ1" s="841"/>
      <c r="CQA1" s="841"/>
      <c r="CQB1" s="841"/>
      <c r="CQC1" s="841"/>
      <c r="CQD1" s="841"/>
      <c r="CQE1" s="841"/>
      <c r="CQF1" s="841"/>
      <c r="CQG1" s="841"/>
      <c r="CQH1" s="841"/>
      <c r="CQI1" s="841"/>
      <c r="CQJ1" s="841"/>
      <c r="CQK1" s="841"/>
      <c r="CQL1" s="841"/>
      <c r="CQM1" s="841"/>
      <c r="CQN1" s="841"/>
      <c r="CQO1" s="841"/>
      <c r="CQP1" s="841"/>
      <c r="CQQ1" s="841"/>
      <c r="CQR1" s="841"/>
      <c r="CQS1" s="841"/>
      <c r="CQT1" s="841"/>
      <c r="CQU1" s="841"/>
      <c r="CQV1" s="841"/>
      <c r="CQW1" s="841"/>
      <c r="CQX1" s="841"/>
      <c r="CQY1" s="841"/>
      <c r="CQZ1" s="841"/>
      <c r="CRA1" s="841"/>
      <c r="CRB1" s="841"/>
      <c r="CRC1" s="841"/>
      <c r="CRD1" s="841"/>
      <c r="CRE1" s="841"/>
      <c r="CRF1" s="841"/>
      <c r="CRG1" s="841"/>
      <c r="CRH1" s="841"/>
      <c r="CRI1" s="841"/>
      <c r="CRJ1" s="841"/>
      <c r="CRK1" s="841"/>
      <c r="CRL1" s="841"/>
      <c r="CRM1" s="841"/>
      <c r="CRN1" s="841"/>
      <c r="CRO1" s="841"/>
      <c r="CRP1" s="841"/>
      <c r="CRQ1" s="841"/>
      <c r="CRR1" s="841"/>
      <c r="CRS1" s="841"/>
      <c r="CRT1" s="841"/>
      <c r="CRU1" s="841"/>
      <c r="CRV1" s="841"/>
      <c r="CRW1" s="841"/>
      <c r="CRX1" s="841"/>
      <c r="CRY1" s="841"/>
      <c r="CRZ1" s="841"/>
      <c r="CSA1" s="841"/>
      <c r="CSB1" s="841"/>
      <c r="CSC1" s="841"/>
      <c r="CSD1" s="841"/>
      <c r="CSE1" s="841"/>
      <c r="CSF1" s="841"/>
      <c r="CSG1" s="841"/>
      <c r="CSH1" s="841"/>
      <c r="CSI1" s="841"/>
      <c r="CSJ1" s="841"/>
      <c r="CSK1" s="841"/>
      <c r="CSL1" s="841"/>
      <c r="CSM1" s="841"/>
      <c r="CSN1" s="841"/>
      <c r="CSO1" s="841"/>
      <c r="CSP1" s="841"/>
      <c r="CSQ1" s="841"/>
      <c r="CSR1" s="841"/>
      <c r="CSS1" s="841"/>
      <c r="CST1" s="841"/>
      <c r="CSU1" s="841"/>
      <c r="CSV1" s="841"/>
      <c r="CSW1" s="841"/>
      <c r="CSX1" s="841"/>
      <c r="CSY1" s="841"/>
      <c r="CSZ1" s="841"/>
      <c r="CTA1" s="841"/>
      <c r="CTB1" s="841"/>
      <c r="CTC1" s="841"/>
      <c r="CTD1" s="841"/>
      <c r="CTE1" s="841"/>
      <c r="CTF1" s="841"/>
      <c r="CTG1" s="841"/>
      <c r="CTH1" s="841"/>
      <c r="CTI1" s="841"/>
      <c r="CTJ1" s="841"/>
      <c r="CTK1" s="841"/>
      <c r="CTL1" s="841"/>
      <c r="CTM1" s="841"/>
      <c r="CTN1" s="841"/>
      <c r="CTO1" s="841"/>
      <c r="CTP1" s="841"/>
      <c r="CTQ1" s="841"/>
      <c r="CTR1" s="841"/>
      <c r="CTS1" s="841"/>
      <c r="CTT1" s="841"/>
      <c r="CTU1" s="841"/>
      <c r="CTV1" s="841"/>
      <c r="CTW1" s="841"/>
      <c r="CTX1" s="841"/>
      <c r="CTY1" s="841"/>
      <c r="CTZ1" s="841"/>
      <c r="CUA1" s="841"/>
      <c r="CUB1" s="841"/>
      <c r="CUC1" s="841"/>
      <c r="CUD1" s="841"/>
      <c r="CUE1" s="841"/>
      <c r="CUF1" s="841"/>
      <c r="CUG1" s="841"/>
      <c r="CUH1" s="841"/>
      <c r="CUI1" s="841"/>
      <c r="CUJ1" s="841"/>
      <c r="CUK1" s="841"/>
      <c r="CUL1" s="841"/>
      <c r="CUM1" s="841"/>
      <c r="CUN1" s="841"/>
      <c r="CUO1" s="841"/>
      <c r="CUP1" s="841"/>
      <c r="CUQ1" s="841"/>
      <c r="CUR1" s="841"/>
      <c r="CUS1" s="841"/>
      <c r="CUT1" s="841"/>
      <c r="CUU1" s="841"/>
      <c r="CUV1" s="841"/>
      <c r="CUW1" s="841"/>
      <c r="CUX1" s="841"/>
      <c r="CUY1" s="841"/>
      <c r="CUZ1" s="841"/>
      <c r="CVA1" s="841"/>
      <c r="CVB1" s="841"/>
      <c r="CVC1" s="841"/>
      <c r="CVD1" s="841"/>
      <c r="CVE1" s="841"/>
      <c r="CVF1" s="841"/>
      <c r="CVG1" s="841"/>
      <c r="CVH1" s="841"/>
      <c r="CVI1" s="841"/>
      <c r="CVJ1" s="841"/>
      <c r="CVK1" s="841"/>
      <c r="CVL1" s="841"/>
      <c r="CVM1" s="841"/>
      <c r="CVN1" s="841"/>
      <c r="CVO1" s="841"/>
      <c r="CVP1" s="841"/>
      <c r="CVQ1" s="841"/>
      <c r="CVR1" s="841"/>
      <c r="CVS1" s="841"/>
      <c r="CVT1" s="841"/>
      <c r="CVU1" s="841"/>
      <c r="CVV1" s="841"/>
      <c r="CVW1" s="841"/>
      <c r="CVX1" s="841"/>
      <c r="CVY1" s="841"/>
      <c r="CVZ1" s="841"/>
      <c r="CWA1" s="841"/>
      <c r="CWB1" s="841"/>
      <c r="CWC1" s="841"/>
      <c r="CWD1" s="841"/>
      <c r="CWE1" s="841"/>
      <c r="CWF1" s="841"/>
      <c r="CWG1" s="841"/>
      <c r="CWH1" s="841"/>
      <c r="CWI1" s="841"/>
      <c r="CWJ1" s="841"/>
      <c r="CWK1" s="841"/>
      <c r="CWL1" s="841"/>
      <c r="CWM1" s="841"/>
      <c r="CWN1" s="841"/>
      <c r="CWO1" s="841"/>
      <c r="CWP1" s="841"/>
      <c r="CWQ1" s="841"/>
      <c r="CWR1" s="841"/>
      <c r="CWS1" s="841"/>
      <c r="CWT1" s="841"/>
      <c r="CWU1" s="841"/>
      <c r="CWV1" s="841"/>
      <c r="CWW1" s="841"/>
      <c r="CWX1" s="841"/>
      <c r="CWY1" s="841"/>
      <c r="CWZ1" s="841"/>
      <c r="CXA1" s="841"/>
      <c r="CXB1" s="841"/>
      <c r="CXC1" s="841"/>
      <c r="CXD1" s="841"/>
      <c r="CXE1" s="841"/>
      <c r="CXF1" s="841"/>
      <c r="CXG1" s="841"/>
      <c r="CXH1" s="841"/>
      <c r="CXI1" s="841"/>
      <c r="CXJ1" s="841"/>
      <c r="CXK1" s="841"/>
      <c r="CXL1" s="841"/>
      <c r="CXM1" s="841"/>
      <c r="CXN1" s="841"/>
      <c r="CXO1" s="841"/>
      <c r="CXP1" s="841"/>
      <c r="CXQ1" s="841"/>
      <c r="CXR1" s="841"/>
      <c r="CXS1" s="841"/>
      <c r="CXT1" s="841"/>
      <c r="CXU1" s="841"/>
      <c r="CXV1" s="841"/>
      <c r="CXW1" s="841"/>
      <c r="CXX1" s="841"/>
      <c r="CXY1" s="841"/>
      <c r="CXZ1" s="841"/>
      <c r="CYA1" s="841"/>
      <c r="CYB1" s="841"/>
      <c r="CYC1" s="841"/>
      <c r="CYD1" s="841"/>
      <c r="CYE1" s="841"/>
      <c r="CYF1" s="841"/>
      <c r="CYG1" s="841"/>
      <c r="CYH1" s="841"/>
      <c r="CYI1" s="841"/>
      <c r="CYJ1" s="841"/>
      <c r="CYK1" s="841"/>
      <c r="CYL1" s="841"/>
      <c r="CYM1" s="841"/>
      <c r="CYN1" s="841"/>
      <c r="CYO1" s="841"/>
      <c r="CYP1" s="841"/>
      <c r="CYQ1" s="841"/>
      <c r="CYR1" s="841"/>
      <c r="CYS1" s="841"/>
      <c r="CYT1" s="841"/>
      <c r="CYU1" s="841"/>
      <c r="CYV1" s="841"/>
      <c r="CYW1" s="841"/>
      <c r="CYX1" s="841"/>
      <c r="CYY1" s="841"/>
      <c r="CYZ1" s="841"/>
      <c r="CZA1" s="841"/>
      <c r="CZB1" s="841"/>
      <c r="CZC1" s="841"/>
      <c r="CZD1" s="841"/>
      <c r="CZE1" s="841"/>
      <c r="CZF1" s="841"/>
      <c r="CZG1" s="841"/>
      <c r="CZH1" s="841"/>
      <c r="CZI1" s="841"/>
      <c r="CZJ1" s="841"/>
      <c r="CZK1" s="841"/>
      <c r="CZL1" s="841"/>
      <c r="CZM1" s="841"/>
      <c r="CZN1" s="841"/>
      <c r="CZO1" s="841"/>
      <c r="CZP1" s="841"/>
      <c r="CZQ1" s="841"/>
      <c r="CZR1" s="841"/>
      <c r="CZS1" s="841"/>
      <c r="CZT1" s="841"/>
      <c r="CZU1" s="841"/>
      <c r="CZV1" s="841"/>
      <c r="CZW1" s="841"/>
      <c r="CZX1" s="841"/>
      <c r="CZY1" s="841"/>
      <c r="CZZ1" s="841"/>
      <c r="DAA1" s="841"/>
      <c r="DAB1" s="841"/>
      <c r="DAC1" s="841"/>
      <c r="DAD1" s="841"/>
      <c r="DAE1" s="841"/>
      <c r="DAF1" s="841"/>
      <c r="DAG1" s="841"/>
      <c r="DAH1" s="841"/>
      <c r="DAI1" s="841"/>
      <c r="DAJ1" s="841"/>
      <c r="DAK1" s="841"/>
      <c r="DAL1" s="841"/>
      <c r="DAM1" s="841"/>
      <c r="DAN1" s="841"/>
      <c r="DAO1" s="841"/>
      <c r="DAP1" s="841"/>
      <c r="DAQ1" s="841"/>
      <c r="DAR1" s="841"/>
      <c r="DAS1" s="841"/>
      <c r="DAT1" s="841"/>
      <c r="DAU1" s="841"/>
      <c r="DAV1" s="841"/>
      <c r="DAW1" s="841"/>
      <c r="DAX1" s="841"/>
      <c r="DAY1" s="841"/>
      <c r="DAZ1" s="841"/>
      <c r="DBA1" s="841"/>
      <c r="DBB1" s="841"/>
      <c r="DBC1" s="841"/>
      <c r="DBD1" s="841"/>
      <c r="DBE1" s="841"/>
      <c r="DBF1" s="841"/>
      <c r="DBG1" s="841"/>
      <c r="DBH1" s="841"/>
      <c r="DBI1" s="841"/>
      <c r="DBJ1" s="841"/>
      <c r="DBK1" s="841"/>
      <c r="DBL1" s="841"/>
      <c r="DBM1" s="841"/>
      <c r="DBN1" s="841"/>
      <c r="DBO1" s="841"/>
      <c r="DBP1" s="841"/>
      <c r="DBQ1" s="841"/>
      <c r="DBR1" s="841"/>
      <c r="DBS1" s="841"/>
      <c r="DBT1" s="841"/>
      <c r="DBU1" s="841"/>
      <c r="DBV1" s="841"/>
      <c r="DBW1" s="841"/>
      <c r="DBX1" s="841"/>
      <c r="DBY1" s="841"/>
      <c r="DBZ1" s="841"/>
      <c r="DCA1" s="841"/>
      <c r="DCB1" s="841"/>
      <c r="DCC1" s="841"/>
      <c r="DCD1" s="841"/>
      <c r="DCE1" s="841"/>
      <c r="DCF1" s="841"/>
      <c r="DCG1" s="841"/>
      <c r="DCH1" s="841"/>
      <c r="DCI1" s="841"/>
      <c r="DCJ1" s="841"/>
      <c r="DCK1" s="841"/>
      <c r="DCL1" s="841"/>
      <c r="DCM1" s="841"/>
      <c r="DCN1" s="841"/>
      <c r="DCO1" s="841"/>
      <c r="DCP1" s="841"/>
      <c r="DCQ1" s="841"/>
      <c r="DCR1" s="841"/>
      <c r="DCS1" s="841"/>
      <c r="DCT1" s="841"/>
      <c r="DCU1" s="841"/>
      <c r="DCV1" s="841"/>
      <c r="DCW1" s="841"/>
      <c r="DCX1" s="841"/>
      <c r="DCY1" s="841"/>
      <c r="DCZ1" s="841"/>
      <c r="DDA1" s="841"/>
      <c r="DDB1" s="841"/>
      <c r="DDC1" s="841"/>
      <c r="DDD1" s="841"/>
      <c r="DDE1" s="841"/>
      <c r="DDF1" s="841"/>
      <c r="DDG1" s="841"/>
      <c r="DDH1" s="841"/>
      <c r="DDI1" s="841"/>
      <c r="DDJ1" s="841"/>
      <c r="DDK1" s="841"/>
      <c r="DDL1" s="841"/>
      <c r="DDM1" s="841"/>
      <c r="DDN1" s="841"/>
      <c r="DDO1" s="841"/>
      <c r="DDP1" s="841"/>
      <c r="DDQ1" s="841"/>
      <c r="DDR1" s="841"/>
      <c r="DDS1" s="841"/>
      <c r="DDT1" s="841"/>
      <c r="DDU1" s="841"/>
      <c r="DDV1" s="841"/>
      <c r="DDW1" s="841"/>
      <c r="DDX1" s="841"/>
      <c r="DDY1" s="841"/>
      <c r="DDZ1" s="841"/>
      <c r="DEA1" s="841"/>
      <c r="DEB1" s="841"/>
      <c r="DEC1" s="841"/>
      <c r="DED1" s="841"/>
      <c r="DEE1" s="841"/>
      <c r="DEF1" s="841"/>
      <c r="DEG1" s="841"/>
      <c r="DEH1" s="841"/>
      <c r="DEI1" s="841"/>
      <c r="DEJ1" s="841"/>
      <c r="DEK1" s="841"/>
      <c r="DEL1" s="841"/>
      <c r="DEM1" s="841"/>
      <c r="DEN1" s="841"/>
      <c r="DEO1" s="841"/>
      <c r="DEP1" s="841"/>
      <c r="DEQ1" s="841"/>
      <c r="DER1" s="841"/>
      <c r="DES1" s="841"/>
      <c r="DET1" s="841"/>
      <c r="DEU1" s="841"/>
      <c r="DEV1" s="841"/>
      <c r="DEW1" s="841"/>
      <c r="DEX1" s="841"/>
      <c r="DEY1" s="841"/>
      <c r="DEZ1" s="841"/>
      <c r="DFA1" s="841"/>
      <c r="DFB1" s="841"/>
      <c r="DFC1" s="841"/>
      <c r="DFD1" s="841"/>
      <c r="DFE1" s="841"/>
      <c r="DFF1" s="841"/>
      <c r="DFG1" s="841"/>
      <c r="DFH1" s="841"/>
      <c r="DFI1" s="841"/>
      <c r="DFJ1" s="841"/>
      <c r="DFK1" s="841"/>
      <c r="DFL1" s="841"/>
      <c r="DFM1" s="841"/>
      <c r="DFN1" s="841"/>
      <c r="DFO1" s="841"/>
      <c r="DFP1" s="841"/>
      <c r="DFQ1" s="841"/>
      <c r="DFR1" s="841"/>
      <c r="DFS1" s="841"/>
      <c r="DFT1" s="841"/>
      <c r="DFU1" s="841"/>
      <c r="DFV1" s="841"/>
      <c r="DFW1" s="841"/>
      <c r="DFX1" s="841"/>
      <c r="DFY1" s="841"/>
      <c r="DFZ1" s="841"/>
      <c r="DGA1" s="841"/>
      <c r="DGB1" s="841"/>
      <c r="DGC1" s="841"/>
      <c r="DGD1" s="841"/>
      <c r="DGE1" s="841"/>
      <c r="DGF1" s="841"/>
      <c r="DGG1" s="841"/>
      <c r="DGH1" s="841"/>
      <c r="DGI1" s="841"/>
      <c r="DGJ1" s="841"/>
      <c r="DGK1" s="841"/>
      <c r="DGL1" s="841"/>
      <c r="DGM1" s="841"/>
      <c r="DGN1" s="841"/>
      <c r="DGO1" s="841"/>
      <c r="DGP1" s="841"/>
      <c r="DGQ1" s="841"/>
      <c r="DGR1" s="841"/>
      <c r="DGS1" s="841"/>
      <c r="DGT1" s="841"/>
      <c r="DGU1" s="841"/>
      <c r="DGV1" s="841"/>
      <c r="DGW1" s="841"/>
      <c r="DGX1" s="841"/>
      <c r="DGY1" s="841"/>
      <c r="DGZ1" s="841"/>
      <c r="DHA1" s="841"/>
      <c r="DHB1" s="841"/>
      <c r="DHC1" s="841"/>
      <c r="DHD1" s="841"/>
      <c r="DHE1" s="841"/>
      <c r="DHF1" s="841"/>
      <c r="DHG1" s="841"/>
      <c r="DHH1" s="841"/>
      <c r="DHI1" s="841"/>
      <c r="DHJ1" s="841"/>
      <c r="DHK1" s="841"/>
      <c r="DHL1" s="841"/>
      <c r="DHM1" s="841"/>
      <c r="DHN1" s="841"/>
      <c r="DHO1" s="841"/>
      <c r="DHP1" s="841"/>
      <c r="DHQ1" s="841"/>
      <c r="DHR1" s="841"/>
      <c r="DHS1" s="841"/>
      <c r="DHT1" s="841"/>
      <c r="DHU1" s="841"/>
      <c r="DHV1" s="841"/>
      <c r="DHW1" s="841"/>
      <c r="DHX1" s="841"/>
      <c r="DHY1" s="841"/>
      <c r="DHZ1" s="841"/>
      <c r="DIA1" s="841"/>
      <c r="DIB1" s="841"/>
      <c r="DIC1" s="841"/>
      <c r="DID1" s="841"/>
      <c r="DIE1" s="841"/>
      <c r="DIF1" s="841"/>
      <c r="DIG1" s="841"/>
      <c r="DIH1" s="841"/>
      <c r="DII1" s="841"/>
      <c r="DIJ1" s="841"/>
      <c r="DIK1" s="841"/>
      <c r="DIL1" s="841"/>
      <c r="DIM1" s="841"/>
      <c r="DIN1" s="841"/>
      <c r="DIO1" s="841"/>
      <c r="DIP1" s="841"/>
      <c r="DIQ1" s="841"/>
      <c r="DIR1" s="841"/>
      <c r="DIS1" s="841"/>
      <c r="DIT1" s="841"/>
      <c r="DIU1" s="841"/>
      <c r="DIV1" s="841"/>
      <c r="DIW1" s="841"/>
      <c r="DIX1" s="841"/>
      <c r="DIY1" s="841"/>
      <c r="DIZ1" s="841"/>
      <c r="DJA1" s="841"/>
      <c r="DJB1" s="841"/>
      <c r="DJC1" s="841"/>
      <c r="DJD1" s="841"/>
      <c r="DJE1" s="841"/>
      <c r="DJF1" s="841"/>
      <c r="DJG1" s="841"/>
      <c r="DJH1" s="841"/>
      <c r="DJI1" s="841"/>
      <c r="DJJ1" s="841"/>
      <c r="DJK1" s="841"/>
      <c r="DJL1" s="841"/>
      <c r="DJM1" s="841"/>
      <c r="DJN1" s="841"/>
      <c r="DJO1" s="841"/>
      <c r="DJP1" s="841"/>
      <c r="DJQ1" s="841"/>
      <c r="DJR1" s="841"/>
      <c r="DJS1" s="841"/>
      <c r="DJT1" s="841"/>
      <c r="DJU1" s="841"/>
      <c r="DJV1" s="841"/>
      <c r="DJW1" s="841"/>
      <c r="DJX1" s="841"/>
      <c r="DJY1" s="841"/>
      <c r="DJZ1" s="841"/>
      <c r="DKA1" s="841"/>
      <c r="DKB1" s="841"/>
      <c r="DKC1" s="841"/>
      <c r="DKD1" s="841"/>
      <c r="DKE1" s="841"/>
      <c r="DKF1" s="841"/>
      <c r="DKG1" s="841"/>
      <c r="DKH1" s="841"/>
      <c r="DKI1" s="841"/>
      <c r="DKJ1" s="841"/>
      <c r="DKK1" s="841"/>
      <c r="DKL1" s="841"/>
      <c r="DKM1" s="841"/>
      <c r="DKN1" s="841"/>
      <c r="DKO1" s="841"/>
      <c r="DKP1" s="841"/>
      <c r="DKQ1" s="841"/>
      <c r="DKR1" s="841"/>
      <c r="DKS1" s="841"/>
      <c r="DKT1" s="841"/>
      <c r="DKU1" s="841"/>
      <c r="DKV1" s="841"/>
      <c r="DKW1" s="841"/>
      <c r="DKX1" s="841"/>
      <c r="DKY1" s="841"/>
      <c r="DKZ1" s="841"/>
      <c r="DLA1" s="841"/>
      <c r="DLB1" s="841"/>
      <c r="DLC1" s="841"/>
      <c r="DLD1" s="841"/>
      <c r="DLE1" s="841"/>
      <c r="DLF1" s="841"/>
      <c r="DLG1" s="841"/>
      <c r="DLH1" s="841"/>
      <c r="DLI1" s="841"/>
      <c r="DLJ1" s="841"/>
      <c r="DLK1" s="841"/>
      <c r="DLL1" s="841"/>
      <c r="DLM1" s="841"/>
      <c r="DLN1" s="841"/>
      <c r="DLO1" s="841"/>
      <c r="DLP1" s="841"/>
      <c r="DLQ1" s="841"/>
      <c r="DLR1" s="841"/>
      <c r="DLS1" s="841"/>
      <c r="DLT1" s="841"/>
      <c r="DLU1" s="841"/>
      <c r="DLV1" s="841"/>
      <c r="DLW1" s="841"/>
      <c r="DLX1" s="841"/>
      <c r="DLY1" s="841"/>
      <c r="DLZ1" s="841"/>
      <c r="DMA1" s="841"/>
      <c r="DMB1" s="841"/>
      <c r="DMC1" s="841"/>
      <c r="DMD1" s="841"/>
      <c r="DME1" s="841"/>
      <c r="DMF1" s="841"/>
      <c r="DMG1" s="841"/>
      <c r="DMH1" s="841"/>
      <c r="DMI1" s="841"/>
      <c r="DMJ1" s="841"/>
      <c r="DMK1" s="841"/>
      <c r="DML1" s="841"/>
      <c r="DMM1" s="841"/>
      <c r="DMN1" s="841"/>
      <c r="DMO1" s="841"/>
      <c r="DMP1" s="841"/>
      <c r="DMQ1" s="841"/>
      <c r="DMR1" s="841"/>
      <c r="DMS1" s="841"/>
      <c r="DMT1" s="841"/>
      <c r="DMU1" s="841"/>
      <c r="DMV1" s="841"/>
      <c r="DMW1" s="841"/>
      <c r="DMX1" s="841"/>
      <c r="DMY1" s="841"/>
      <c r="DMZ1" s="841"/>
      <c r="DNA1" s="841"/>
      <c r="DNB1" s="841"/>
      <c r="DNC1" s="841"/>
      <c r="DND1" s="841"/>
      <c r="DNE1" s="841"/>
      <c r="DNF1" s="841"/>
      <c r="DNG1" s="841"/>
      <c r="DNH1" s="841"/>
      <c r="DNI1" s="841"/>
      <c r="DNJ1" s="841"/>
      <c r="DNK1" s="841"/>
      <c r="DNL1" s="841"/>
      <c r="DNM1" s="841"/>
      <c r="DNN1" s="841"/>
      <c r="DNO1" s="841"/>
      <c r="DNP1" s="841"/>
      <c r="DNQ1" s="841"/>
      <c r="DNR1" s="841"/>
      <c r="DNS1" s="841"/>
      <c r="DNT1" s="841"/>
      <c r="DNU1" s="841"/>
      <c r="DNV1" s="841"/>
      <c r="DNW1" s="841"/>
      <c r="DNX1" s="841"/>
      <c r="DNY1" s="841"/>
      <c r="DNZ1" s="841"/>
      <c r="DOA1" s="841"/>
      <c r="DOB1" s="841"/>
      <c r="DOC1" s="841"/>
      <c r="DOD1" s="841"/>
      <c r="DOE1" s="841"/>
      <c r="DOF1" s="841"/>
      <c r="DOG1" s="841"/>
      <c r="DOH1" s="841"/>
      <c r="DOI1" s="841"/>
      <c r="DOJ1" s="841"/>
      <c r="DOK1" s="841"/>
      <c r="DOL1" s="841"/>
      <c r="DOM1" s="841"/>
      <c r="DON1" s="841"/>
      <c r="DOO1" s="841"/>
      <c r="DOP1" s="841"/>
      <c r="DOQ1" s="841"/>
      <c r="DOR1" s="841"/>
      <c r="DOS1" s="841"/>
      <c r="DOT1" s="841"/>
      <c r="DOU1" s="841"/>
      <c r="DOV1" s="841"/>
      <c r="DOW1" s="841"/>
      <c r="DOX1" s="841"/>
      <c r="DOY1" s="841"/>
      <c r="DOZ1" s="841"/>
      <c r="DPA1" s="841"/>
      <c r="DPB1" s="841"/>
      <c r="DPC1" s="841"/>
      <c r="DPD1" s="841"/>
      <c r="DPE1" s="841"/>
      <c r="DPF1" s="841"/>
      <c r="DPG1" s="841"/>
      <c r="DPH1" s="841"/>
      <c r="DPI1" s="841"/>
      <c r="DPJ1" s="841"/>
      <c r="DPK1" s="841"/>
      <c r="DPL1" s="841"/>
      <c r="DPM1" s="841"/>
      <c r="DPN1" s="841"/>
      <c r="DPO1" s="841"/>
      <c r="DPP1" s="841"/>
      <c r="DPQ1" s="841"/>
      <c r="DPR1" s="841"/>
      <c r="DPS1" s="841"/>
      <c r="DPT1" s="841"/>
      <c r="DPU1" s="841"/>
      <c r="DPV1" s="841"/>
      <c r="DPW1" s="841"/>
      <c r="DPX1" s="841"/>
      <c r="DPY1" s="841"/>
      <c r="DPZ1" s="841"/>
      <c r="DQA1" s="841"/>
      <c r="DQB1" s="841"/>
      <c r="DQC1" s="841"/>
      <c r="DQD1" s="841"/>
      <c r="DQE1" s="841"/>
      <c r="DQF1" s="841"/>
      <c r="DQG1" s="841"/>
      <c r="DQH1" s="841"/>
      <c r="DQI1" s="841"/>
      <c r="DQJ1" s="841"/>
      <c r="DQK1" s="841"/>
      <c r="DQL1" s="841"/>
      <c r="DQM1" s="841"/>
      <c r="DQN1" s="841"/>
      <c r="DQO1" s="841"/>
      <c r="DQP1" s="841"/>
      <c r="DQQ1" s="841"/>
      <c r="DQR1" s="841"/>
      <c r="DQS1" s="841"/>
      <c r="DQT1" s="841"/>
      <c r="DQU1" s="841"/>
      <c r="DQV1" s="841"/>
      <c r="DQW1" s="841"/>
      <c r="DQX1" s="841"/>
      <c r="DQY1" s="841"/>
      <c r="DQZ1" s="841"/>
      <c r="DRA1" s="841"/>
      <c r="DRB1" s="841"/>
      <c r="DRC1" s="841"/>
      <c r="DRD1" s="841"/>
      <c r="DRE1" s="841"/>
      <c r="DRF1" s="841"/>
      <c r="DRG1" s="841"/>
      <c r="DRH1" s="841"/>
      <c r="DRI1" s="841"/>
      <c r="DRJ1" s="841"/>
      <c r="DRK1" s="841"/>
      <c r="DRL1" s="841"/>
      <c r="DRM1" s="841"/>
      <c r="DRN1" s="841"/>
      <c r="DRO1" s="841"/>
      <c r="DRP1" s="841"/>
      <c r="DRQ1" s="841"/>
      <c r="DRR1" s="841"/>
      <c r="DRS1" s="841"/>
      <c r="DRT1" s="841"/>
      <c r="DRU1" s="841"/>
      <c r="DRV1" s="841"/>
      <c r="DRW1" s="841"/>
      <c r="DRX1" s="841"/>
      <c r="DRY1" s="841"/>
      <c r="DRZ1" s="841"/>
      <c r="DSA1" s="841"/>
      <c r="DSB1" s="841"/>
      <c r="DSC1" s="841"/>
      <c r="DSD1" s="841"/>
      <c r="DSE1" s="841"/>
      <c r="DSF1" s="841"/>
      <c r="DSG1" s="841"/>
      <c r="DSH1" s="841"/>
      <c r="DSI1" s="841"/>
      <c r="DSJ1" s="841"/>
      <c r="DSK1" s="841"/>
      <c r="DSL1" s="841"/>
      <c r="DSM1" s="841"/>
      <c r="DSN1" s="841"/>
      <c r="DSO1" s="841"/>
      <c r="DSP1" s="841"/>
      <c r="DSQ1" s="841"/>
      <c r="DSR1" s="841"/>
      <c r="DSS1" s="841"/>
      <c r="DST1" s="841"/>
      <c r="DSU1" s="841"/>
      <c r="DSV1" s="841"/>
      <c r="DSW1" s="841"/>
      <c r="DSX1" s="841"/>
      <c r="DSY1" s="841"/>
      <c r="DSZ1" s="841"/>
      <c r="DTA1" s="841"/>
      <c r="DTB1" s="841"/>
      <c r="DTC1" s="841"/>
      <c r="DTD1" s="841"/>
      <c r="DTE1" s="841"/>
      <c r="DTF1" s="841"/>
      <c r="DTG1" s="841"/>
      <c r="DTH1" s="841"/>
      <c r="DTI1" s="841"/>
      <c r="DTJ1" s="841"/>
      <c r="DTK1" s="841"/>
      <c r="DTL1" s="841"/>
      <c r="DTM1" s="841"/>
      <c r="DTN1" s="841"/>
      <c r="DTO1" s="841"/>
      <c r="DTP1" s="841"/>
      <c r="DTQ1" s="841"/>
      <c r="DTR1" s="841"/>
      <c r="DTS1" s="841"/>
      <c r="DTT1" s="841"/>
      <c r="DTU1" s="841"/>
      <c r="DTV1" s="841"/>
      <c r="DTW1" s="841"/>
      <c r="DTX1" s="841"/>
      <c r="DTY1" s="841"/>
      <c r="DTZ1" s="841"/>
      <c r="DUA1" s="841"/>
      <c r="DUB1" s="841"/>
      <c r="DUC1" s="841"/>
      <c r="DUD1" s="841"/>
      <c r="DUE1" s="841"/>
      <c r="DUF1" s="841"/>
      <c r="DUG1" s="841"/>
      <c r="DUH1" s="841"/>
      <c r="DUI1" s="841"/>
      <c r="DUJ1" s="841"/>
      <c r="DUK1" s="841"/>
      <c r="DUL1" s="841"/>
      <c r="DUM1" s="841"/>
      <c r="DUN1" s="841"/>
      <c r="DUO1" s="841"/>
      <c r="DUP1" s="841"/>
      <c r="DUQ1" s="841"/>
      <c r="DUR1" s="841"/>
      <c r="DUS1" s="841"/>
      <c r="DUT1" s="841"/>
      <c r="DUU1" s="841"/>
      <c r="DUV1" s="841"/>
      <c r="DUW1" s="841"/>
      <c r="DUX1" s="841"/>
      <c r="DUY1" s="841"/>
      <c r="DUZ1" s="841"/>
      <c r="DVA1" s="841"/>
      <c r="DVB1" s="841"/>
      <c r="DVC1" s="841"/>
      <c r="DVD1" s="841"/>
      <c r="DVE1" s="841"/>
      <c r="DVF1" s="841"/>
      <c r="DVG1" s="841"/>
      <c r="DVH1" s="841"/>
      <c r="DVI1" s="841"/>
      <c r="DVJ1" s="841"/>
      <c r="DVK1" s="841"/>
      <c r="DVL1" s="841"/>
      <c r="DVM1" s="841"/>
      <c r="DVN1" s="841"/>
      <c r="DVO1" s="841"/>
      <c r="DVP1" s="841"/>
      <c r="DVQ1" s="841"/>
      <c r="DVR1" s="841"/>
      <c r="DVS1" s="841"/>
      <c r="DVT1" s="841"/>
      <c r="DVU1" s="841"/>
      <c r="DVV1" s="841"/>
      <c r="DVW1" s="841"/>
      <c r="DVX1" s="841"/>
      <c r="DVY1" s="841"/>
      <c r="DVZ1" s="841"/>
      <c r="DWA1" s="841"/>
      <c r="DWB1" s="841"/>
      <c r="DWC1" s="841"/>
      <c r="DWD1" s="841"/>
      <c r="DWE1" s="841"/>
      <c r="DWF1" s="841"/>
      <c r="DWG1" s="841"/>
      <c r="DWH1" s="841"/>
      <c r="DWI1" s="841"/>
      <c r="DWJ1" s="841"/>
      <c r="DWK1" s="841"/>
      <c r="DWL1" s="841"/>
      <c r="DWM1" s="841"/>
      <c r="DWN1" s="841"/>
      <c r="DWO1" s="841"/>
      <c r="DWP1" s="841"/>
      <c r="DWQ1" s="841"/>
      <c r="DWR1" s="841"/>
      <c r="DWS1" s="841"/>
      <c r="DWT1" s="841"/>
      <c r="DWU1" s="841"/>
      <c r="DWV1" s="841"/>
      <c r="DWW1" s="841"/>
      <c r="DWX1" s="841"/>
      <c r="DWY1" s="841"/>
      <c r="DWZ1" s="841"/>
      <c r="DXA1" s="841"/>
      <c r="DXB1" s="841"/>
      <c r="DXC1" s="841"/>
      <c r="DXD1" s="841"/>
      <c r="DXE1" s="841"/>
      <c r="DXF1" s="841"/>
      <c r="DXG1" s="841"/>
      <c r="DXH1" s="841"/>
      <c r="DXI1" s="841"/>
      <c r="DXJ1" s="841"/>
      <c r="DXK1" s="841"/>
      <c r="DXL1" s="841"/>
      <c r="DXM1" s="841"/>
      <c r="DXN1" s="841"/>
      <c r="DXO1" s="841"/>
      <c r="DXP1" s="841"/>
      <c r="DXQ1" s="841"/>
      <c r="DXR1" s="841"/>
      <c r="DXS1" s="841"/>
      <c r="DXT1" s="841"/>
      <c r="DXU1" s="841"/>
      <c r="DXV1" s="841"/>
      <c r="DXW1" s="841"/>
      <c r="DXX1" s="841"/>
      <c r="DXY1" s="841"/>
      <c r="DXZ1" s="841"/>
      <c r="DYA1" s="841"/>
      <c r="DYB1" s="841"/>
      <c r="DYC1" s="841"/>
      <c r="DYD1" s="841"/>
      <c r="DYE1" s="841"/>
      <c r="DYF1" s="841"/>
      <c r="DYG1" s="841"/>
      <c r="DYH1" s="841"/>
      <c r="DYI1" s="841"/>
      <c r="DYJ1" s="841"/>
      <c r="DYK1" s="841"/>
      <c r="DYL1" s="841"/>
      <c r="DYM1" s="841"/>
      <c r="DYN1" s="841"/>
      <c r="DYO1" s="841"/>
      <c r="DYP1" s="841"/>
      <c r="DYQ1" s="841"/>
      <c r="DYR1" s="841"/>
      <c r="DYS1" s="841"/>
      <c r="DYT1" s="841"/>
      <c r="DYU1" s="841"/>
      <c r="DYV1" s="841"/>
      <c r="DYW1" s="841"/>
      <c r="DYX1" s="841"/>
      <c r="DYY1" s="841"/>
      <c r="DYZ1" s="841"/>
      <c r="DZA1" s="841"/>
      <c r="DZB1" s="841"/>
      <c r="DZC1" s="841"/>
      <c r="DZD1" s="841"/>
      <c r="DZE1" s="841"/>
      <c r="DZF1" s="841"/>
      <c r="DZG1" s="841"/>
      <c r="DZH1" s="841"/>
      <c r="DZI1" s="841"/>
      <c r="DZJ1" s="841"/>
      <c r="DZK1" s="841"/>
      <c r="DZL1" s="841"/>
      <c r="DZM1" s="841"/>
      <c r="DZN1" s="841"/>
      <c r="DZO1" s="841"/>
      <c r="DZP1" s="841"/>
      <c r="DZQ1" s="841"/>
      <c r="DZR1" s="841"/>
      <c r="DZS1" s="841"/>
      <c r="DZT1" s="841"/>
      <c r="DZU1" s="841"/>
      <c r="DZV1" s="841"/>
      <c r="DZW1" s="841"/>
      <c r="DZX1" s="841"/>
      <c r="DZY1" s="841"/>
      <c r="DZZ1" s="841"/>
      <c r="EAA1" s="841"/>
      <c r="EAB1" s="841"/>
      <c r="EAC1" s="841"/>
      <c r="EAD1" s="841"/>
      <c r="EAE1" s="841"/>
      <c r="EAF1" s="841"/>
      <c r="EAG1" s="841"/>
      <c r="EAH1" s="841"/>
      <c r="EAI1" s="841"/>
      <c r="EAJ1" s="841"/>
      <c r="EAK1" s="841"/>
      <c r="EAL1" s="841"/>
      <c r="EAM1" s="841"/>
      <c r="EAN1" s="841"/>
      <c r="EAO1" s="841"/>
      <c r="EAP1" s="841"/>
      <c r="EAQ1" s="841"/>
      <c r="EAR1" s="841"/>
      <c r="EAS1" s="841"/>
      <c r="EAT1" s="841"/>
      <c r="EAU1" s="841"/>
      <c r="EAV1" s="841"/>
      <c r="EAW1" s="841"/>
      <c r="EAX1" s="841"/>
      <c r="EAY1" s="841"/>
      <c r="EAZ1" s="841"/>
      <c r="EBA1" s="841"/>
      <c r="EBB1" s="841"/>
      <c r="EBC1" s="841"/>
      <c r="EBD1" s="841"/>
      <c r="EBE1" s="841"/>
      <c r="EBF1" s="841"/>
      <c r="EBG1" s="841"/>
      <c r="EBH1" s="841"/>
      <c r="EBI1" s="841"/>
      <c r="EBJ1" s="841"/>
      <c r="EBK1" s="841"/>
      <c r="EBL1" s="841"/>
      <c r="EBM1" s="841"/>
      <c r="EBN1" s="841"/>
      <c r="EBO1" s="841"/>
      <c r="EBP1" s="841"/>
      <c r="EBQ1" s="841"/>
      <c r="EBR1" s="841"/>
      <c r="EBS1" s="841"/>
      <c r="EBT1" s="841"/>
      <c r="EBU1" s="841"/>
      <c r="EBV1" s="841"/>
      <c r="EBW1" s="841"/>
      <c r="EBX1" s="841"/>
      <c r="EBY1" s="841"/>
      <c r="EBZ1" s="841"/>
      <c r="ECA1" s="841"/>
      <c r="ECB1" s="841"/>
      <c r="ECC1" s="841"/>
      <c r="ECD1" s="841"/>
      <c r="ECE1" s="841"/>
      <c r="ECF1" s="841"/>
      <c r="ECG1" s="841"/>
      <c r="ECH1" s="841"/>
      <c r="ECI1" s="841"/>
      <c r="ECJ1" s="841"/>
      <c r="ECK1" s="841"/>
      <c r="ECL1" s="841"/>
      <c r="ECM1" s="841"/>
      <c r="ECN1" s="841"/>
      <c r="ECO1" s="841"/>
      <c r="ECP1" s="841"/>
      <c r="ECQ1" s="841"/>
      <c r="ECR1" s="841"/>
      <c r="ECS1" s="841"/>
      <c r="ECT1" s="841"/>
      <c r="ECU1" s="841"/>
      <c r="ECV1" s="841"/>
      <c r="ECW1" s="841"/>
      <c r="ECX1" s="841"/>
      <c r="ECY1" s="841"/>
      <c r="ECZ1" s="841"/>
      <c r="EDA1" s="841"/>
      <c r="EDB1" s="841"/>
      <c r="EDC1" s="841"/>
      <c r="EDD1" s="841"/>
      <c r="EDE1" s="841"/>
      <c r="EDF1" s="841"/>
      <c r="EDG1" s="841"/>
      <c r="EDH1" s="841"/>
      <c r="EDI1" s="841"/>
      <c r="EDJ1" s="841"/>
      <c r="EDK1" s="841"/>
      <c r="EDL1" s="841"/>
      <c r="EDM1" s="841"/>
      <c r="EDN1" s="841"/>
      <c r="EDO1" s="841"/>
      <c r="EDP1" s="841"/>
      <c r="EDQ1" s="841"/>
      <c r="EDR1" s="841"/>
      <c r="EDS1" s="841"/>
      <c r="EDT1" s="841"/>
      <c r="EDU1" s="841"/>
      <c r="EDV1" s="841"/>
      <c r="EDW1" s="841"/>
      <c r="EDX1" s="841"/>
      <c r="EDY1" s="841"/>
      <c r="EDZ1" s="841"/>
      <c r="EEA1" s="841"/>
      <c r="EEB1" s="841"/>
      <c r="EEC1" s="841"/>
      <c r="EED1" s="841"/>
      <c r="EEE1" s="841"/>
      <c r="EEF1" s="841"/>
      <c r="EEG1" s="841"/>
      <c r="EEH1" s="841"/>
      <c r="EEI1" s="841"/>
      <c r="EEJ1" s="841"/>
      <c r="EEK1" s="841"/>
      <c r="EEL1" s="841"/>
      <c r="EEM1" s="841"/>
      <c r="EEN1" s="841"/>
      <c r="EEO1" s="841"/>
      <c r="EEP1" s="841"/>
      <c r="EEQ1" s="841"/>
      <c r="EER1" s="841"/>
      <c r="EES1" s="841"/>
      <c r="EET1" s="841"/>
      <c r="EEU1" s="841"/>
      <c r="EEV1" s="841"/>
      <c r="EEW1" s="841"/>
      <c r="EEX1" s="841"/>
      <c r="EEY1" s="841"/>
      <c r="EEZ1" s="841"/>
      <c r="EFA1" s="841"/>
      <c r="EFB1" s="841"/>
      <c r="EFC1" s="841"/>
      <c r="EFD1" s="841"/>
      <c r="EFE1" s="841"/>
      <c r="EFF1" s="841"/>
      <c r="EFG1" s="841"/>
      <c r="EFH1" s="841"/>
      <c r="EFI1" s="841"/>
      <c r="EFJ1" s="841"/>
      <c r="EFK1" s="841"/>
      <c r="EFL1" s="841"/>
      <c r="EFM1" s="841"/>
      <c r="EFN1" s="841"/>
      <c r="EFO1" s="841"/>
      <c r="EFP1" s="841"/>
      <c r="EFQ1" s="841"/>
      <c r="EFR1" s="841"/>
      <c r="EFS1" s="841"/>
      <c r="EFT1" s="841"/>
      <c r="EFU1" s="841"/>
      <c r="EFV1" s="841"/>
      <c r="EFW1" s="841"/>
      <c r="EFX1" s="841"/>
      <c r="EFY1" s="841"/>
      <c r="EFZ1" s="841"/>
      <c r="EGA1" s="841"/>
      <c r="EGB1" s="841"/>
      <c r="EGC1" s="841"/>
      <c r="EGD1" s="841"/>
      <c r="EGE1" s="841"/>
      <c r="EGF1" s="841"/>
      <c r="EGG1" s="841"/>
      <c r="EGH1" s="841"/>
      <c r="EGI1" s="841"/>
      <c r="EGJ1" s="841"/>
      <c r="EGK1" s="841"/>
      <c r="EGL1" s="841"/>
      <c r="EGM1" s="841"/>
      <c r="EGN1" s="841"/>
      <c r="EGO1" s="841"/>
      <c r="EGP1" s="841"/>
      <c r="EGQ1" s="841"/>
      <c r="EGR1" s="841"/>
      <c r="EGS1" s="841"/>
      <c r="EGT1" s="841"/>
      <c r="EGU1" s="841"/>
      <c r="EGV1" s="841"/>
      <c r="EGW1" s="841"/>
      <c r="EGX1" s="841"/>
      <c r="EGY1" s="841"/>
      <c r="EGZ1" s="841"/>
      <c r="EHA1" s="841"/>
      <c r="EHB1" s="841"/>
      <c r="EHC1" s="841"/>
      <c r="EHD1" s="841"/>
      <c r="EHE1" s="841"/>
      <c r="EHF1" s="841"/>
      <c r="EHG1" s="841"/>
      <c r="EHH1" s="841"/>
      <c r="EHI1" s="841"/>
      <c r="EHJ1" s="841"/>
      <c r="EHK1" s="841"/>
      <c r="EHL1" s="841"/>
      <c r="EHM1" s="841"/>
      <c r="EHN1" s="841"/>
      <c r="EHO1" s="841"/>
      <c r="EHP1" s="841"/>
      <c r="EHQ1" s="841"/>
      <c r="EHR1" s="841"/>
      <c r="EHS1" s="841"/>
      <c r="EHT1" s="841"/>
      <c r="EHU1" s="841"/>
      <c r="EHV1" s="841"/>
      <c r="EHW1" s="841"/>
      <c r="EHX1" s="841"/>
      <c r="EHY1" s="841"/>
      <c r="EHZ1" s="841"/>
      <c r="EIA1" s="841"/>
      <c r="EIB1" s="841"/>
      <c r="EIC1" s="841"/>
      <c r="EID1" s="841"/>
      <c r="EIE1" s="841"/>
      <c r="EIF1" s="841"/>
      <c r="EIG1" s="841"/>
      <c r="EIH1" s="841"/>
      <c r="EII1" s="841"/>
      <c r="EIJ1" s="841"/>
      <c r="EIK1" s="841"/>
      <c r="EIL1" s="841"/>
      <c r="EIM1" s="841"/>
      <c r="EIN1" s="841"/>
      <c r="EIO1" s="841"/>
      <c r="EIP1" s="841"/>
      <c r="EIQ1" s="841"/>
      <c r="EIR1" s="841"/>
      <c r="EIS1" s="841"/>
      <c r="EIT1" s="841"/>
      <c r="EIU1" s="841"/>
      <c r="EIV1" s="841"/>
      <c r="EIW1" s="841"/>
      <c r="EIX1" s="841"/>
      <c r="EIY1" s="841"/>
      <c r="EIZ1" s="841"/>
      <c r="EJA1" s="841"/>
      <c r="EJB1" s="841"/>
      <c r="EJC1" s="841"/>
      <c r="EJD1" s="841"/>
      <c r="EJE1" s="841"/>
      <c r="EJF1" s="841"/>
      <c r="EJG1" s="841"/>
      <c r="EJH1" s="841"/>
      <c r="EJI1" s="841"/>
      <c r="EJJ1" s="841"/>
      <c r="EJK1" s="841"/>
      <c r="EJL1" s="841"/>
      <c r="EJM1" s="841"/>
      <c r="EJN1" s="841"/>
      <c r="EJO1" s="841"/>
      <c r="EJP1" s="841"/>
      <c r="EJQ1" s="841"/>
      <c r="EJR1" s="841"/>
      <c r="EJS1" s="841"/>
      <c r="EJT1" s="841"/>
      <c r="EJU1" s="841"/>
      <c r="EJV1" s="841"/>
      <c r="EJW1" s="841"/>
      <c r="EJX1" s="841"/>
      <c r="EJY1" s="841"/>
      <c r="EJZ1" s="841"/>
      <c r="EKA1" s="841"/>
      <c r="EKB1" s="841"/>
      <c r="EKC1" s="841"/>
      <c r="EKD1" s="841"/>
      <c r="EKE1" s="841"/>
      <c r="EKF1" s="841"/>
      <c r="EKG1" s="841"/>
      <c r="EKH1" s="841"/>
      <c r="EKI1" s="841"/>
      <c r="EKJ1" s="841"/>
      <c r="EKK1" s="841"/>
      <c r="EKL1" s="841"/>
      <c r="EKM1" s="841"/>
      <c r="EKN1" s="841"/>
      <c r="EKO1" s="841"/>
      <c r="EKP1" s="841"/>
      <c r="EKQ1" s="841"/>
      <c r="EKR1" s="841"/>
      <c r="EKS1" s="841"/>
      <c r="EKT1" s="841"/>
      <c r="EKU1" s="841"/>
      <c r="EKV1" s="841"/>
      <c r="EKW1" s="841"/>
      <c r="EKX1" s="841"/>
      <c r="EKY1" s="841"/>
      <c r="EKZ1" s="841"/>
      <c r="ELA1" s="841"/>
      <c r="ELB1" s="841"/>
      <c r="ELC1" s="841"/>
      <c r="ELD1" s="841"/>
      <c r="ELE1" s="841"/>
      <c r="ELF1" s="841"/>
      <c r="ELG1" s="841"/>
      <c r="ELH1" s="841"/>
      <c r="ELI1" s="841"/>
      <c r="ELJ1" s="841"/>
      <c r="ELK1" s="841"/>
      <c r="ELL1" s="841"/>
      <c r="ELM1" s="841"/>
      <c r="ELN1" s="841"/>
      <c r="ELO1" s="841"/>
      <c r="ELP1" s="841"/>
      <c r="ELQ1" s="841"/>
      <c r="ELR1" s="841"/>
      <c r="ELS1" s="841"/>
      <c r="ELT1" s="841"/>
      <c r="ELU1" s="841"/>
      <c r="ELV1" s="841"/>
      <c r="ELW1" s="841"/>
      <c r="ELX1" s="841"/>
      <c r="ELY1" s="841"/>
      <c r="ELZ1" s="841"/>
      <c r="EMA1" s="841"/>
      <c r="EMB1" s="841"/>
      <c r="EMC1" s="841"/>
      <c r="EMD1" s="841"/>
      <c r="EME1" s="841"/>
      <c r="EMF1" s="841"/>
      <c r="EMG1" s="841"/>
      <c r="EMH1" s="841"/>
      <c r="EMI1" s="841"/>
      <c r="EMJ1" s="841"/>
      <c r="EMK1" s="841"/>
      <c r="EML1" s="841"/>
      <c r="EMM1" s="841"/>
      <c r="EMN1" s="841"/>
      <c r="EMO1" s="841"/>
      <c r="EMP1" s="841"/>
      <c r="EMQ1" s="841"/>
      <c r="EMR1" s="841"/>
      <c r="EMS1" s="841"/>
      <c r="EMT1" s="841"/>
      <c r="EMU1" s="841"/>
      <c r="EMV1" s="841"/>
      <c r="EMW1" s="841"/>
      <c r="EMX1" s="841"/>
      <c r="EMY1" s="841"/>
      <c r="EMZ1" s="841"/>
      <c r="ENA1" s="841"/>
      <c r="ENB1" s="841"/>
      <c r="ENC1" s="841"/>
      <c r="END1" s="841"/>
      <c r="ENE1" s="841"/>
      <c r="ENF1" s="841"/>
      <c r="ENG1" s="841"/>
      <c r="ENH1" s="841"/>
      <c r="ENI1" s="841"/>
      <c r="ENJ1" s="841"/>
      <c r="ENK1" s="841"/>
      <c r="ENL1" s="841"/>
      <c r="ENM1" s="841"/>
      <c r="ENN1" s="841"/>
      <c r="ENO1" s="841"/>
      <c r="ENP1" s="841"/>
      <c r="ENQ1" s="841"/>
      <c r="ENR1" s="841"/>
      <c r="ENS1" s="841"/>
      <c r="ENT1" s="841"/>
      <c r="ENU1" s="841"/>
      <c r="ENV1" s="841"/>
      <c r="ENW1" s="841"/>
      <c r="ENX1" s="841"/>
      <c r="ENY1" s="841"/>
      <c r="ENZ1" s="841"/>
      <c r="EOA1" s="841"/>
      <c r="EOB1" s="841"/>
      <c r="EOC1" s="841"/>
      <c r="EOD1" s="841"/>
      <c r="EOE1" s="841"/>
      <c r="EOF1" s="841"/>
      <c r="EOG1" s="841"/>
      <c r="EOH1" s="841"/>
      <c r="EOI1" s="841"/>
      <c r="EOJ1" s="841"/>
      <c r="EOK1" s="841"/>
      <c r="EOL1" s="841"/>
      <c r="EOM1" s="841"/>
      <c r="EON1" s="841"/>
      <c r="EOO1" s="841"/>
      <c r="EOP1" s="841"/>
      <c r="EOQ1" s="841"/>
      <c r="EOR1" s="841"/>
      <c r="EOS1" s="841"/>
      <c r="EOT1" s="841"/>
      <c r="EOU1" s="841"/>
      <c r="EOV1" s="841"/>
      <c r="EOW1" s="841"/>
      <c r="EOX1" s="841"/>
      <c r="EOY1" s="841"/>
      <c r="EOZ1" s="841"/>
      <c r="EPA1" s="841"/>
      <c r="EPB1" s="841"/>
      <c r="EPC1" s="841"/>
      <c r="EPD1" s="841"/>
      <c r="EPE1" s="841"/>
      <c r="EPF1" s="841"/>
      <c r="EPG1" s="841"/>
      <c r="EPH1" s="841"/>
      <c r="EPI1" s="841"/>
      <c r="EPJ1" s="841"/>
      <c r="EPK1" s="841"/>
      <c r="EPL1" s="841"/>
      <c r="EPM1" s="841"/>
      <c r="EPN1" s="841"/>
      <c r="EPO1" s="841"/>
      <c r="EPP1" s="841"/>
      <c r="EPQ1" s="841"/>
      <c r="EPR1" s="841"/>
      <c r="EPS1" s="841"/>
      <c r="EPT1" s="841"/>
      <c r="EPU1" s="841"/>
      <c r="EPV1" s="841"/>
      <c r="EPW1" s="841"/>
      <c r="EPX1" s="841"/>
      <c r="EPY1" s="841"/>
      <c r="EPZ1" s="841"/>
      <c r="EQA1" s="841"/>
      <c r="EQB1" s="841"/>
      <c r="EQC1" s="841"/>
      <c r="EQD1" s="841"/>
      <c r="EQE1" s="841"/>
      <c r="EQF1" s="841"/>
      <c r="EQG1" s="841"/>
      <c r="EQH1" s="841"/>
      <c r="EQI1" s="841"/>
      <c r="EQJ1" s="841"/>
      <c r="EQK1" s="841"/>
      <c r="EQL1" s="841"/>
      <c r="EQM1" s="841"/>
      <c r="EQN1" s="841"/>
      <c r="EQO1" s="841"/>
      <c r="EQP1" s="841"/>
      <c r="EQQ1" s="841"/>
      <c r="EQR1" s="841"/>
      <c r="EQS1" s="841"/>
      <c r="EQT1" s="841"/>
      <c r="EQU1" s="841"/>
      <c r="EQV1" s="841"/>
      <c r="EQW1" s="841"/>
      <c r="EQX1" s="841"/>
      <c r="EQY1" s="841"/>
      <c r="EQZ1" s="841"/>
      <c r="ERA1" s="841"/>
      <c r="ERB1" s="841"/>
      <c r="ERC1" s="841"/>
      <c r="ERD1" s="841"/>
      <c r="ERE1" s="841"/>
      <c r="ERF1" s="841"/>
      <c r="ERG1" s="841"/>
      <c r="ERH1" s="841"/>
      <c r="ERI1" s="841"/>
      <c r="ERJ1" s="841"/>
      <c r="ERK1" s="841"/>
      <c r="ERL1" s="841"/>
      <c r="ERM1" s="841"/>
      <c r="ERN1" s="841"/>
      <c r="ERO1" s="841"/>
      <c r="ERP1" s="841"/>
      <c r="ERQ1" s="841"/>
      <c r="ERR1" s="841"/>
      <c r="ERS1" s="841"/>
      <c r="ERT1" s="841"/>
      <c r="ERU1" s="841"/>
      <c r="ERV1" s="841"/>
      <c r="ERW1" s="841"/>
      <c r="ERX1" s="841"/>
      <c r="ERY1" s="841"/>
      <c r="ERZ1" s="841"/>
      <c r="ESA1" s="841"/>
      <c r="ESB1" s="841"/>
      <c r="ESC1" s="841"/>
      <c r="ESD1" s="841"/>
      <c r="ESE1" s="841"/>
      <c r="ESF1" s="841"/>
      <c r="ESG1" s="841"/>
      <c r="ESH1" s="841"/>
      <c r="ESI1" s="841"/>
      <c r="ESJ1" s="841"/>
      <c r="ESK1" s="841"/>
      <c r="ESL1" s="841"/>
      <c r="ESM1" s="841"/>
      <c r="ESN1" s="841"/>
      <c r="ESO1" s="841"/>
      <c r="ESP1" s="841"/>
      <c r="ESQ1" s="841"/>
      <c r="ESR1" s="841"/>
      <c r="ESS1" s="841"/>
      <c r="EST1" s="841"/>
      <c r="ESU1" s="841"/>
      <c r="ESV1" s="841"/>
      <c r="ESW1" s="841"/>
      <c r="ESX1" s="841"/>
      <c r="ESY1" s="841"/>
      <c r="ESZ1" s="841"/>
      <c r="ETA1" s="841"/>
      <c r="ETB1" s="841"/>
      <c r="ETC1" s="841"/>
      <c r="ETD1" s="841"/>
      <c r="ETE1" s="841"/>
      <c r="ETF1" s="841"/>
      <c r="ETG1" s="841"/>
      <c r="ETH1" s="841"/>
      <c r="ETI1" s="841"/>
      <c r="ETJ1" s="841"/>
      <c r="ETK1" s="841"/>
      <c r="ETL1" s="841"/>
      <c r="ETM1" s="841"/>
      <c r="ETN1" s="841"/>
      <c r="ETO1" s="841"/>
      <c r="ETP1" s="841"/>
      <c r="ETQ1" s="841"/>
      <c r="ETR1" s="841"/>
      <c r="ETS1" s="841"/>
      <c r="ETT1" s="841"/>
      <c r="ETU1" s="841"/>
      <c r="ETV1" s="841"/>
      <c r="ETW1" s="841"/>
      <c r="ETX1" s="841"/>
      <c r="ETY1" s="841"/>
      <c r="ETZ1" s="841"/>
      <c r="EUA1" s="841"/>
      <c r="EUB1" s="841"/>
      <c r="EUC1" s="841"/>
      <c r="EUD1" s="841"/>
      <c r="EUE1" s="841"/>
      <c r="EUF1" s="841"/>
      <c r="EUG1" s="841"/>
      <c r="EUH1" s="841"/>
      <c r="EUI1" s="841"/>
      <c r="EUJ1" s="841"/>
      <c r="EUK1" s="841"/>
      <c r="EUL1" s="841"/>
      <c r="EUM1" s="841"/>
      <c r="EUN1" s="841"/>
      <c r="EUO1" s="841"/>
      <c r="EUP1" s="841"/>
      <c r="EUQ1" s="841"/>
      <c r="EUR1" s="841"/>
      <c r="EUS1" s="841"/>
      <c r="EUT1" s="841"/>
      <c r="EUU1" s="841"/>
      <c r="EUV1" s="841"/>
      <c r="EUW1" s="841"/>
      <c r="EUX1" s="841"/>
      <c r="EUY1" s="841"/>
      <c r="EUZ1" s="841"/>
      <c r="EVA1" s="841"/>
      <c r="EVB1" s="841"/>
      <c r="EVC1" s="841"/>
      <c r="EVD1" s="841"/>
      <c r="EVE1" s="841"/>
      <c r="EVF1" s="841"/>
      <c r="EVG1" s="841"/>
      <c r="EVH1" s="841"/>
      <c r="EVI1" s="841"/>
      <c r="EVJ1" s="841"/>
      <c r="EVK1" s="841"/>
      <c r="EVL1" s="841"/>
      <c r="EVM1" s="841"/>
      <c r="EVN1" s="841"/>
      <c r="EVO1" s="841"/>
      <c r="EVP1" s="841"/>
      <c r="EVQ1" s="841"/>
      <c r="EVR1" s="841"/>
      <c r="EVS1" s="841"/>
      <c r="EVT1" s="841"/>
      <c r="EVU1" s="841"/>
      <c r="EVV1" s="841"/>
      <c r="EVW1" s="841"/>
      <c r="EVX1" s="841"/>
      <c r="EVY1" s="841"/>
      <c r="EVZ1" s="841"/>
      <c r="EWA1" s="841"/>
      <c r="EWB1" s="841"/>
      <c r="EWC1" s="841"/>
      <c r="EWD1" s="841"/>
      <c r="EWE1" s="841"/>
      <c r="EWF1" s="841"/>
      <c r="EWG1" s="841"/>
      <c r="EWH1" s="841"/>
      <c r="EWI1" s="841"/>
      <c r="EWJ1" s="841"/>
      <c r="EWK1" s="841"/>
      <c r="EWL1" s="841"/>
      <c r="EWM1" s="841"/>
      <c r="EWN1" s="841"/>
      <c r="EWO1" s="841"/>
      <c r="EWP1" s="841"/>
      <c r="EWQ1" s="841"/>
      <c r="EWR1" s="841"/>
      <c r="EWS1" s="841"/>
      <c r="EWT1" s="841"/>
      <c r="EWU1" s="841"/>
      <c r="EWV1" s="841"/>
      <c r="EWW1" s="841"/>
      <c r="EWX1" s="841"/>
      <c r="EWY1" s="841"/>
      <c r="EWZ1" s="841"/>
      <c r="EXA1" s="841"/>
      <c r="EXB1" s="841"/>
      <c r="EXC1" s="841"/>
      <c r="EXD1" s="841"/>
      <c r="EXE1" s="841"/>
      <c r="EXF1" s="841"/>
      <c r="EXG1" s="841"/>
      <c r="EXH1" s="841"/>
      <c r="EXI1" s="841"/>
      <c r="EXJ1" s="841"/>
      <c r="EXK1" s="841"/>
      <c r="EXL1" s="841"/>
      <c r="EXM1" s="841"/>
      <c r="EXN1" s="841"/>
      <c r="EXO1" s="841"/>
      <c r="EXP1" s="841"/>
      <c r="EXQ1" s="841"/>
      <c r="EXR1" s="841"/>
      <c r="EXS1" s="841"/>
      <c r="EXT1" s="841"/>
      <c r="EXU1" s="841"/>
      <c r="EXV1" s="841"/>
      <c r="EXW1" s="841"/>
      <c r="EXX1" s="841"/>
      <c r="EXY1" s="841"/>
      <c r="EXZ1" s="841"/>
      <c r="EYA1" s="841"/>
      <c r="EYB1" s="841"/>
      <c r="EYC1" s="841"/>
      <c r="EYD1" s="841"/>
      <c r="EYE1" s="841"/>
      <c r="EYF1" s="841"/>
      <c r="EYG1" s="841"/>
      <c r="EYH1" s="841"/>
      <c r="EYI1" s="841"/>
      <c r="EYJ1" s="841"/>
      <c r="EYK1" s="841"/>
      <c r="EYL1" s="841"/>
      <c r="EYM1" s="841"/>
      <c r="EYN1" s="841"/>
      <c r="EYO1" s="841"/>
      <c r="EYP1" s="841"/>
      <c r="EYQ1" s="841"/>
      <c r="EYR1" s="841"/>
      <c r="EYS1" s="841"/>
      <c r="EYT1" s="841"/>
      <c r="EYU1" s="841"/>
      <c r="EYV1" s="841"/>
      <c r="EYW1" s="841"/>
      <c r="EYX1" s="841"/>
      <c r="EYY1" s="841"/>
      <c r="EYZ1" s="841"/>
      <c r="EZA1" s="841"/>
      <c r="EZB1" s="841"/>
      <c r="EZC1" s="841"/>
      <c r="EZD1" s="841"/>
      <c r="EZE1" s="841"/>
      <c r="EZF1" s="841"/>
      <c r="EZG1" s="841"/>
      <c r="EZH1" s="841"/>
      <c r="EZI1" s="841"/>
      <c r="EZJ1" s="841"/>
      <c r="EZK1" s="841"/>
      <c r="EZL1" s="841"/>
      <c r="EZM1" s="841"/>
      <c r="EZN1" s="841"/>
      <c r="EZO1" s="841"/>
      <c r="EZP1" s="841"/>
      <c r="EZQ1" s="841"/>
      <c r="EZR1" s="841"/>
      <c r="EZS1" s="841"/>
      <c r="EZT1" s="841"/>
      <c r="EZU1" s="841"/>
      <c r="EZV1" s="841"/>
      <c r="EZW1" s="841"/>
      <c r="EZX1" s="841"/>
      <c r="EZY1" s="841"/>
      <c r="EZZ1" s="841"/>
      <c r="FAA1" s="841"/>
      <c r="FAB1" s="841"/>
      <c r="FAC1" s="841"/>
      <c r="FAD1" s="841"/>
      <c r="FAE1" s="841"/>
      <c r="FAF1" s="841"/>
      <c r="FAG1" s="841"/>
      <c r="FAH1" s="841"/>
      <c r="FAI1" s="841"/>
      <c r="FAJ1" s="841"/>
      <c r="FAK1" s="841"/>
      <c r="FAL1" s="841"/>
      <c r="FAM1" s="841"/>
      <c r="FAN1" s="841"/>
      <c r="FAO1" s="841"/>
      <c r="FAP1" s="841"/>
      <c r="FAQ1" s="841"/>
      <c r="FAR1" s="841"/>
      <c r="FAS1" s="841"/>
      <c r="FAT1" s="841"/>
      <c r="FAU1" s="841"/>
      <c r="FAV1" s="841"/>
      <c r="FAW1" s="841"/>
      <c r="FAX1" s="841"/>
      <c r="FAY1" s="841"/>
      <c r="FAZ1" s="841"/>
      <c r="FBA1" s="841"/>
      <c r="FBB1" s="841"/>
      <c r="FBC1" s="841"/>
      <c r="FBD1" s="841"/>
      <c r="FBE1" s="841"/>
      <c r="FBF1" s="841"/>
      <c r="FBG1" s="841"/>
      <c r="FBH1" s="841"/>
      <c r="FBI1" s="841"/>
      <c r="FBJ1" s="841"/>
      <c r="FBK1" s="841"/>
      <c r="FBL1" s="841"/>
      <c r="FBM1" s="841"/>
      <c r="FBN1" s="841"/>
      <c r="FBO1" s="841"/>
      <c r="FBP1" s="841"/>
      <c r="FBQ1" s="841"/>
      <c r="FBR1" s="841"/>
      <c r="FBS1" s="841"/>
      <c r="FBT1" s="841"/>
      <c r="FBU1" s="841"/>
      <c r="FBV1" s="841"/>
      <c r="FBW1" s="841"/>
      <c r="FBX1" s="841"/>
      <c r="FBY1" s="841"/>
      <c r="FBZ1" s="841"/>
      <c r="FCA1" s="841"/>
      <c r="FCB1" s="841"/>
      <c r="FCC1" s="841"/>
      <c r="FCD1" s="841"/>
      <c r="FCE1" s="841"/>
      <c r="FCF1" s="841"/>
      <c r="FCG1" s="841"/>
      <c r="FCH1" s="841"/>
      <c r="FCI1" s="841"/>
      <c r="FCJ1" s="841"/>
      <c r="FCK1" s="841"/>
      <c r="FCL1" s="841"/>
      <c r="FCM1" s="841"/>
      <c r="FCN1" s="841"/>
      <c r="FCO1" s="841"/>
      <c r="FCP1" s="841"/>
      <c r="FCQ1" s="841"/>
      <c r="FCR1" s="841"/>
      <c r="FCS1" s="841"/>
      <c r="FCT1" s="841"/>
      <c r="FCU1" s="841"/>
      <c r="FCV1" s="841"/>
      <c r="FCW1" s="841"/>
      <c r="FCX1" s="841"/>
      <c r="FCY1" s="841"/>
      <c r="FCZ1" s="841"/>
      <c r="FDA1" s="841"/>
      <c r="FDB1" s="841"/>
      <c r="FDC1" s="841"/>
      <c r="FDD1" s="841"/>
      <c r="FDE1" s="841"/>
      <c r="FDF1" s="841"/>
      <c r="FDG1" s="841"/>
      <c r="FDH1" s="841"/>
      <c r="FDI1" s="841"/>
      <c r="FDJ1" s="841"/>
      <c r="FDK1" s="841"/>
      <c r="FDL1" s="841"/>
      <c r="FDM1" s="841"/>
      <c r="FDN1" s="841"/>
      <c r="FDO1" s="841"/>
      <c r="FDP1" s="841"/>
      <c r="FDQ1" s="841"/>
      <c r="FDR1" s="841"/>
      <c r="FDS1" s="841"/>
      <c r="FDT1" s="841"/>
      <c r="FDU1" s="841"/>
      <c r="FDV1" s="841"/>
      <c r="FDW1" s="841"/>
      <c r="FDX1" s="841"/>
      <c r="FDY1" s="841"/>
      <c r="FDZ1" s="841"/>
      <c r="FEA1" s="841"/>
      <c r="FEB1" s="841"/>
      <c r="FEC1" s="841"/>
      <c r="FED1" s="841"/>
      <c r="FEE1" s="841"/>
      <c r="FEF1" s="841"/>
      <c r="FEG1" s="841"/>
      <c r="FEH1" s="841"/>
      <c r="FEI1" s="841"/>
      <c r="FEJ1" s="841"/>
      <c r="FEK1" s="841"/>
      <c r="FEL1" s="841"/>
      <c r="FEM1" s="841"/>
      <c r="FEN1" s="841"/>
      <c r="FEO1" s="841"/>
      <c r="FEP1" s="841"/>
      <c r="FEQ1" s="841"/>
      <c r="FER1" s="841"/>
      <c r="FES1" s="841"/>
      <c r="FET1" s="841"/>
      <c r="FEU1" s="841"/>
      <c r="FEV1" s="841"/>
      <c r="FEW1" s="841"/>
      <c r="FEX1" s="841"/>
      <c r="FEY1" s="841"/>
      <c r="FEZ1" s="841"/>
      <c r="FFA1" s="841"/>
      <c r="FFB1" s="841"/>
      <c r="FFC1" s="841"/>
      <c r="FFD1" s="841"/>
      <c r="FFE1" s="841"/>
      <c r="FFF1" s="841"/>
      <c r="FFG1" s="841"/>
      <c r="FFH1" s="841"/>
      <c r="FFI1" s="841"/>
      <c r="FFJ1" s="841"/>
      <c r="FFK1" s="841"/>
      <c r="FFL1" s="841"/>
      <c r="FFM1" s="841"/>
      <c r="FFN1" s="841"/>
      <c r="FFO1" s="841"/>
      <c r="FFP1" s="841"/>
      <c r="FFQ1" s="841"/>
      <c r="FFR1" s="841"/>
      <c r="FFS1" s="841"/>
      <c r="FFT1" s="841"/>
      <c r="FFU1" s="841"/>
      <c r="FFV1" s="841"/>
      <c r="FFW1" s="841"/>
      <c r="FFX1" s="841"/>
      <c r="FFY1" s="841"/>
      <c r="FFZ1" s="841"/>
      <c r="FGA1" s="841"/>
      <c r="FGB1" s="841"/>
      <c r="FGC1" s="841"/>
      <c r="FGD1" s="841"/>
      <c r="FGE1" s="841"/>
      <c r="FGF1" s="841"/>
      <c r="FGG1" s="841"/>
      <c r="FGH1" s="841"/>
      <c r="FGI1" s="841"/>
      <c r="FGJ1" s="841"/>
      <c r="FGK1" s="841"/>
      <c r="FGL1" s="841"/>
      <c r="FGM1" s="841"/>
      <c r="FGN1" s="841"/>
      <c r="FGO1" s="841"/>
      <c r="FGP1" s="841"/>
      <c r="FGQ1" s="841"/>
      <c r="FGR1" s="841"/>
      <c r="FGS1" s="841"/>
      <c r="FGT1" s="841"/>
      <c r="FGU1" s="841"/>
      <c r="FGV1" s="841"/>
      <c r="FGW1" s="841"/>
      <c r="FGX1" s="841"/>
      <c r="FGY1" s="841"/>
      <c r="FGZ1" s="841"/>
      <c r="FHA1" s="841"/>
      <c r="FHB1" s="841"/>
      <c r="FHC1" s="841"/>
      <c r="FHD1" s="841"/>
      <c r="FHE1" s="841"/>
      <c r="FHF1" s="841"/>
      <c r="FHG1" s="841"/>
      <c r="FHH1" s="841"/>
      <c r="FHI1" s="841"/>
      <c r="FHJ1" s="841"/>
      <c r="FHK1" s="841"/>
      <c r="FHL1" s="841"/>
      <c r="FHM1" s="841"/>
      <c r="FHN1" s="841"/>
      <c r="FHO1" s="841"/>
      <c r="FHP1" s="841"/>
      <c r="FHQ1" s="841"/>
      <c r="FHR1" s="841"/>
      <c r="FHS1" s="841"/>
      <c r="FHT1" s="841"/>
      <c r="FHU1" s="841"/>
      <c r="FHV1" s="841"/>
      <c r="FHW1" s="841"/>
      <c r="FHX1" s="841"/>
      <c r="FHY1" s="841"/>
      <c r="FHZ1" s="841"/>
      <c r="FIA1" s="841"/>
      <c r="FIB1" s="841"/>
      <c r="FIC1" s="841"/>
      <c r="FID1" s="841"/>
      <c r="FIE1" s="841"/>
      <c r="FIF1" s="841"/>
      <c r="FIG1" s="841"/>
      <c r="FIH1" s="841"/>
      <c r="FII1" s="841"/>
      <c r="FIJ1" s="841"/>
      <c r="FIK1" s="841"/>
      <c r="FIL1" s="841"/>
      <c r="FIM1" s="841"/>
      <c r="FIN1" s="841"/>
      <c r="FIO1" s="841"/>
      <c r="FIP1" s="841"/>
      <c r="FIQ1" s="841"/>
      <c r="FIR1" s="841"/>
      <c r="FIS1" s="841"/>
      <c r="FIT1" s="841"/>
      <c r="FIU1" s="841"/>
      <c r="FIV1" s="841"/>
      <c r="FIW1" s="841"/>
      <c r="FIX1" s="841"/>
      <c r="FIY1" s="841"/>
      <c r="FIZ1" s="841"/>
      <c r="FJA1" s="841"/>
      <c r="FJB1" s="841"/>
      <c r="FJC1" s="841"/>
      <c r="FJD1" s="841"/>
      <c r="FJE1" s="841"/>
      <c r="FJF1" s="841"/>
      <c r="FJG1" s="841"/>
      <c r="FJH1" s="841"/>
      <c r="FJI1" s="841"/>
      <c r="FJJ1" s="841"/>
      <c r="FJK1" s="841"/>
      <c r="FJL1" s="841"/>
      <c r="FJM1" s="841"/>
      <c r="FJN1" s="841"/>
      <c r="FJO1" s="841"/>
      <c r="FJP1" s="841"/>
      <c r="FJQ1" s="841"/>
      <c r="FJR1" s="841"/>
      <c r="FJS1" s="841"/>
      <c r="FJT1" s="841"/>
      <c r="FJU1" s="841"/>
      <c r="FJV1" s="841"/>
      <c r="FJW1" s="841"/>
      <c r="FJX1" s="841"/>
      <c r="FJY1" s="841"/>
      <c r="FJZ1" s="841"/>
      <c r="FKA1" s="841"/>
      <c r="FKB1" s="841"/>
      <c r="FKC1" s="841"/>
      <c r="FKD1" s="841"/>
      <c r="FKE1" s="841"/>
      <c r="FKF1" s="841"/>
      <c r="FKG1" s="841"/>
      <c r="FKH1" s="841"/>
      <c r="FKI1" s="841"/>
      <c r="FKJ1" s="841"/>
      <c r="FKK1" s="841"/>
      <c r="FKL1" s="841"/>
      <c r="FKM1" s="841"/>
      <c r="FKN1" s="841"/>
      <c r="FKO1" s="841"/>
      <c r="FKP1" s="841"/>
      <c r="FKQ1" s="841"/>
      <c r="FKR1" s="841"/>
      <c r="FKS1" s="841"/>
      <c r="FKT1" s="841"/>
      <c r="FKU1" s="841"/>
      <c r="FKV1" s="841"/>
      <c r="FKW1" s="841"/>
      <c r="FKX1" s="841"/>
      <c r="FKY1" s="841"/>
      <c r="FKZ1" s="841"/>
      <c r="FLA1" s="841"/>
      <c r="FLB1" s="841"/>
      <c r="FLC1" s="841"/>
      <c r="FLD1" s="841"/>
      <c r="FLE1" s="841"/>
      <c r="FLF1" s="841"/>
      <c r="FLG1" s="841"/>
      <c r="FLH1" s="841"/>
      <c r="FLI1" s="841"/>
      <c r="FLJ1" s="841"/>
      <c r="FLK1" s="841"/>
      <c r="FLL1" s="841"/>
      <c r="FLM1" s="841"/>
      <c r="FLN1" s="841"/>
      <c r="FLO1" s="841"/>
      <c r="FLP1" s="841"/>
      <c r="FLQ1" s="841"/>
      <c r="FLR1" s="841"/>
      <c r="FLS1" s="841"/>
      <c r="FLT1" s="841"/>
      <c r="FLU1" s="841"/>
      <c r="FLV1" s="841"/>
      <c r="FLW1" s="841"/>
      <c r="FLX1" s="841"/>
      <c r="FLY1" s="841"/>
      <c r="FLZ1" s="841"/>
      <c r="FMA1" s="841"/>
      <c r="FMB1" s="841"/>
      <c r="FMC1" s="841"/>
      <c r="FMD1" s="841"/>
      <c r="FME1" s="841"/>
      <c r="FMF1" s="841"/>
      <c r="FMG1" s="841"/>
      <c r="FMH1" s="841"/>
      <c r="FMI1" s="841"/>
      <c r="FMJ1" s="841"/>
      <c r="FMK1" s="841"/>
      <c r="FML1" s="841"/>
      <c r="FMM1" s="841"/>
      <c r="FMN1" s="841"/>
      <c r="FMO1" s="841"/>
      <c r="FMP1" s="841"/>
      <c r="FMQ1" s="841"/>
      <c r="FMR1" s="841"/>
      <c r="FMS1" s="841"/>
      <c r="FMT1" s="841"/>
      <c r="FMU1" s="841"/>
      <c r="FMV1" s="841"/>
      <c r="FMW1" s="841"/>
      <c r="FMX1" s="841"/>
      <c r="FMY1" s="841"/>
      <c r="FMZ1" s="841"/>
      <c r="FNA1" s="841"/>
      <c r="FNB1" s="841"/>
      <c r="FNC1" s="841"/>
      <c r="FND1" s="841"/>
      <c r="FNE1" s="841"/>
      <c r="FNF1" s="841"/>
      <c r="FNG1" s="841"/>
      <c r="FNH1" s="841"/>
      <c r="FNI1" s="841"/>
      <c r="FNJ1" s="841"/>
      <c r="FNK1" s="841"/>
      <c r="FNL1" s="841"/>
      <c r="FNM1" s="841"/>
      <c r="FNN1" s="841"/>
      <c r="FNO1" s="841"/>
      <c r="FNP1" s="841"/>
      <c r="FNQ1" s="841"/>
      <c r="FNR1" s="841"/>
      <c r="FNS1" s="841"/>
      <c r="FNT1" s="841"/>
      <c r="FNU1" s="841"/>
      <c r="FNV1" s="841"/>
      <c r="FNW1" s="841"/>
      <c r="FNX1" s="841"/>
      <c r="FNY1" s="841"/>
      <c r="FNZ1" s="841"/>
      <c r="FOA1" s="841"/>
      <c r="FOB1" s="841"/>
      <c r="FOC1" s="841"/>
      <c r="FOD1" s="841"/>
      <c r="FOE1" s="841"/>
      <c r="FOF1" s="841"/>
      <c r="FOG1" s="841"/>
      <c r="FOH1" s="841"/>
      <c r="FOI1" s="841"/>
      <c r="FOJ1" s="841"/>
      <c r="FOK1" s="841"/>
      <c r="FOL1" s="841"/>
      <c r="FOM1" s="841"/>
      <c r="FON1" s="841"/>
      <c r="FOO1" s="841"/>
      <c r="FOP1" s="841"/>
      <c r="FOQ1" s="841"/>
      <c r="FOR1" s="841"/>
      <c r="FOS1" s="841"/>
      <c r="FOT1" s="841"/>
      <c r="FOU1" s="841"/>
      <c r="FOV1" s="841"/>
      <c r="FOW1" s="841"/>
      <c r="FOX1" s="841"/>
      <c r="FOY1" s="841"/>
      <c r="FOZ1" s="841"/>
      <c r="FPA1" s="841"/>
      <c r="FPB1" s="841"/>
      <c r="FPC1" s="841"/>
      <c r="FPD1" s="841"/>
      <c r="FPE1" s="841"/>
      <c r="FPF1" s="841"/>
      <c r="FPG1" s="841"/>
      <c r="FPH1" s="841"/>
      <c r="FPI1" s="841"/>
      <c r="FPJ1" s="841"/>
      <c r="FPK1" s="841"/>
      <c r="FPL1" s="841"/>
      <c r="FPM1" s="841"/>
      <c r="FPN1" s="841"/>
      <c r="FPO1" s="841"/>
      <c r="FPP1" s="841"/>
      <c r="FPQ1" s="841"/>
      <c r="FPR1" s="841"/>
      <c r="FPS1" s="841"/>
      <c r="FPT1" s="841"/>
      <c r="FPU1" s="841"/>
      <c r="FPV1" s="841"/>
      <c r="FPW1" s="841"/>
      <c r="FPX1" s="841"/>
      <c r="FPY1" s="841"/>
      <c r="FPZ1" s="841"/>
      <c r="FQA1" s="841"/>
      <c r="FQB1" s="841"/>
      <c r="FQC1" s="841"/>
      <c r="FQD1" s="841"/>
      <c r="FQE1" s="841"/>
      <c r="FQF1" s="841"/>
      <c r="FQG1" s="841"/>
      <c r="FQH1" s="841"/>
      <c r="FQI1" s="841"/>
      <c r="FQJ1" s="841"/>
      <c r="FQK1" s="841"/>
      <c r="FQL1" s="841"/>
      <c r="FQM1" s="841"/>
      <c r="FQN1" s="841"/>
      <c r="FQO1" s="841"/>
      <c r="FQP1" s="841"/>
      <c r="FQQ1" s="841"/>
      <c r="FQR1" s="841"/>
      <c r="FQS1" s="841"/>
      <c r="FQT1" s="841"/>
      <c r="FQU1" s="841"/>
      <c r="FQV1" s="841"/>
      <c r="FQW1" s="841"/>
      <c r="FQX1" s="841"/>
      <c r="FQY1" s="841"/>
      <c r="FQZ1" s="841"/>
      <c r="FRA1" s="841"/>
      <c r="FRB1" s="841"/>
      <c r="FRC1" s="841"/>
      <c r="FRD1" s="841"/>
      <c r="FRE1" s="841"/>
      <c r="FRF1" s="841"/>
      <c r="FRG1" s="841"/>
      <c r="FRH1" s="841"/>
      <c r="FRI1" s="841"/>
      <c r="FRJ1" s="841"/>
      <c r="FRK1" s="841"/>
      <c r="FRL1" s="841"/>
      <c r="FRM1" s="841"/>
      <c r="FRN1" s="841"/>
      <c r="FRO1" s="841"/>
      <c r="FRP1" s="841"/>
      <c r="FRQ1" s="841"/>
      <c r="FRR1" s="841"/>
      <c r="FRS1" s="841"/>
      <c r="FRT1" s="841"/>
      <c r="FRU1" s="841"/>
      <c r="FRV1" s="841"/>
      <c r="FRW1" s="841"/>
      <c r="FRX1" s="841"/>
      <c r="FRY1" s="841"/>
      <c r="FRZ1" s="841"/>
      <c r="FSA1" s="841"/>
      <c r="FSB1" s="841"/>
      <c r="FSC1" s="841"/>
      <c r="FSD1" s="841"/>
      <c r="FSE1" s="841"/>
      <c r="FSF1" s="841"/>
      <c r="FSG1" s="841"/>
      <c r="FSH1" s="841"/>
      <c r="FSI1" s="841"/>
      <c r="FSJ1" s="841"/>
      <c r="FSK1" s="841"/>
      <c r="FSL1" s="841"/>
      <c r="FSM1" s="841"/>
      <c r="FSN1" s="841"/>
      <c r="FSO1" s="841"/>
      <c r="FSP1" s="841"/>
      <c r="FSQ1" s="841"/>
      <c r="FSR1" s="841"/>
      <c r="FSS1" s="841"/>
      <c r="FST1" s="841"/>
      <c r="FSU1" s="841"/>
      <c r="FSV1" s="841"/>
      <c r="FSW1" s="841"/>
      <c r="FSX1" s="841"/>
      <c r="FSY1" s="841"/>
      <c r="FSZ1" s="841"/>
      <c r="FTA1" s="841"/>
      <c r="FTB1" s="841"/>
      <c r="FTC1" s="841"/>
      <c r="FTD1" s="841"/>
      <c r="FTE1" s="841"/>
      <c r="FTF1" s="841"/>
      <c r="FTG1" s="841"/>
      <c r="FTH1" s="841"/>
      <c r="FTI1" s="841"/>
      <c r="FTJ1" s="841"/>
      <c r="FTK1" s="841"/>
      <c r="FTL1" s="841"/>
      <c r="FTM1" s="841"/>
      <c r="FTN1" s="841"/>
      <c r="FTO1" s="841"/>
      <c r="FTP1" s="841"/>
      <c r="FTQ1" s="841"/>
      <c r="FTR1" s="841"/>
      <c r="FTS1" s="841"/>
      <c r="FTT1" s="841"/>
      <c r="FTU1" s="841"/>
      <c r="FTV1" s="841"/>
      <c r="FTW1" s="841"/>
      <c r="FTX1" s="841"/>
      <c r="FTY1" s="841"/>
      <c r="FTZ1" s="841"/>
      <c r="FUA1" s="841"/>
      <c r="FUB1" s="841"/>
      <c r="FUC1" s="841"/>
      <c r="FUD1" s="841"/>
      <c r="FUE1" s="841"/>
      <c r="FUF1" s="841"/>
      <c r="FUG1" s="841"/>
      <c r="FUH1" s="841"/>
      <c r="FUI1" s="841"/>
      <c r="FUJ1" s="841"/>
      <c r="FUK1" s="841"/>
      <c r="FUL1" s="841"/>
      <c r="FUM1" s="841"/>
      <c r="FUN1" s="841"/>
      <c r="FUO1" s="841"/>
      <c r="FUP1" s="841"/>
      <c r="FUQ1" s="841"/>
      <c r="FUR1" s="841"/>
      <c r="FUS1" s="841"/>
      <c r="FUT1" s="841"/>
      <c r="FUU1" s="841"/>
      <c r="FUV1" s="841"/>
      <c r="FUW1" s="841"/>
      <c r="FUX1" s="841"/>
      <c r="FUY1" s="841"/>
      <c r="FUZ1" s="841"/>
      <c r="FVA1" s="841"/>
      <c r="FVB1" s="841"/>
      <c r="FVC1" s="841"/>
      <c r="FVD1" s="841"/>
      <c r="FVE1" s="841"/>
      <c r="FVF1" s="841"/>
      <c r="FVG1" s="841"/>
      <c r="FVH1" s="841"/>
      <c r="FVI1" s="841"/>
      <c r="FVJ1" s="841"/>
      <c r="FVK1" s="841"/>
      <c r="FVL1" s="841"/>
      <c r="FVM1" s="841"/>
      <c r="FVN1" s="841"/>
      <c r="FVO1" s="841"/>
      <c r="FVP1" s="841"/>
      <c r="FVQ1" s="841"/>
      <c r="FVR1" s="841"/>
      <c r="FVS1" s="841"/>
      <c r="FVT1" s="841"/>
      <c r="FVU1" s="841"/>
      <c r="FVV1" s="841"/>
      <c r="FVW1" s="841"/>
      <c r="FVX1" s="841"/>
      <c r="FVY1" s="841"/>
      <c r="FVZ1" s="841"/>
      <c r="FWA1" s="841"/>
      <c r="FWB1" s="841"/>
      <c r="FWC1" s="841"/>
      <c r="FWD1" s="841"/>
      <c r="FWE1" s="841"/>
      <c r="FWF1" s="841"/>
      <c r="FWG1" s="841"/>
      <c r="FWH1" s="841"/>
      <c r="FWI1" s="841"/>
      <c r="FWJ1" s="841"/>
      <c r="FWK1" s="841"/>
      <c r="FWL1" s="841"/>
      <c r="FWM1" s="841"/>
      <c r="FWN1" s="841"/>
      <c r="FWO1" s="841"/>
      <c r="FWP1" s="841"/>
      <c r="FWQ1" s="841"/>
      <c r="FWR1" s="841"/>
      <c r="FWS1" s="841"/>
      <c r="FWT1" s="841"/>
      <c r="FWU1" s="841"/>
      <c r="FWV1" s="841"/>
      <c r="FWW1" s="841"/>
      <c r="FWX1" s="841"/>
      <c r="FWY1" s="841"/>
      <c r="FWZ1" s="841"/>
      <c r="FXA1" s="841"/>
      <c r="FXB1" s="841"/>
      <c r="FXC1" s="841"/>
      <c r="FXD1" s="841"/>
      <c r="FXE1" s="841"/>
      <c r="FXF1" s="841"/>
      <c r="FXG1" s="841"/>
      <c r="FXH1" s="841"/>
      <c r="FXI1" s="841"/>
      <c r="FXJ1" s="841"/>
      <c r="FXK1" s="841"/>
      <c r="FXL1" s="841"/>
      <c r="FXM1" s="841"/>
      <c r="FXN1" s="841"/>
      <c r="FXO1" s="841"/>
      <c r="FXP1" s="841"/>
      <c r="FXQ1" s="841"/>
      <c r="FXR1" s="841"/>
      <c r="FXS1" s="841"/>
      <c r="FXT1" s="841"/>
      <c r="FXU1" s="841"/>
      <c r="FXV1" s="841"/>
      <c r="FXW1" s="841"/>
      <c r="FXX1" s="841"/>
      <c r="FXY1" s="841"/>
      <c r="FXZ1" s="841"/>
      <c r="FYA1" s="841"/>
      <c r="FYB1" s="841"/>
      <c r="FYC1" s="841"/>
      <c r="FYD1" s="841"/>
      <c r="FYE1" s="841"/>
      <c r="FYF1" s="841"/>
      <c r="FYG1" s="841"/>
      <c r="FYH1" s="841"/>
      <c r="FYI1" s="841"/>
      <c r="FYJ1" s="841"/>
      <c r="FYK1" s="841"/>
      <c r="FYL1" s="841"/>
      <c r="FYM1" s="841"/>
      <c r="FYN1" s="841"/>
      <c r="FYO1" s="841"/>
      <c r="FYP1" s="841"/>
      <c r="FYQ1" s="841"/>
      <c r="FYR1" s="841"/>
      <c r="FYS1" s="841"/>
      <c r="FYT1" s="841"/>
      <c r="FYU1" s="841"/>
      <c r="FYV1" s="841"/>
      <c r="FYW1" s="841"/>
      <c r="FYX1" s="841"/>
      <c r="FYY1" s="841"/>
      <c r="FYZ1" s="841"/>
      <c r="FZA1" s="841"/>
      <c r="FZB1" s="841"/>
      <c r="FZC1" s="841"/>
      <c r="FZD1" s="841"/>
      <c r="FZE1" s="841"/>
      <c r="FZF1" s="841"/>
      <c r="FZG1" s="841"/>
      <c r="FZH1" s="841"/>
      <c r="FZI1" s="841"/>
      <c r="FZJ1" s="841"/>
      <c r="FZK1" s="841"/>
      <c r="FZL1" s="841"/>
      <c r="FZM1" s="841"/>
      <c r="FZN1" s="841"/>
      <c r="FZO1" s="841"/>
      <c r="FZP1" s="841"/>
      <c r="FZQ1" s="841"/>
      <c r="FZR1" s="841"/>
      <c r="FZS1" s="841"/>
      <c r="FZT1" s="841"/>
      <c r="FZU1" s="841"/>
      <c r="FZV1" s="841"/>
      <c r="FZW1" s="841"/>
      <c r="FZX1" s="841"/>
      <c r="FZY1" s="841"/>
      <c r="FZZ1" s="841"/>
      <c r="GAA1" s="841"/>
      <c r="GAB1" s="841"/>
      <c r="GAC1" s="841"/>
      <c r="GAD1" s="841"/>
      <c r="GAE1" s="841"/>
      <c r="GAF1" s="841"/>
      <c r="GAG1" s="841"/>
      <c r="GAH1" s="841"/>
      <c r="GAI1" s="841"/>
      <c r="GAJ1" s="841"/>
      <c r="GAK1" s="841"/>
      <c r="GAL1" s="841"/>
      <c r="GAM1" s="841"/>
      <c r="GAN1" s="841"/>
      <c r="GAO1" s="841"/>
      <c r="GAP1" s="841"/>
      <c r="GAQ1" s="841"/>
      <c r="GAR1" s="841"/>
      <c r="GAS1" s="841"/>
      <c r="GAT1" s="841"/>
      <c r="GAU1" s="841"/>
      <c r="GAV1" s="841"/>
      <c r="GAW1" s="841"/>
      <c r="GAX1" s="841"/>
      <c r="GAY1" s="841"/>
      <c r="GAZ1" s="841"/>
      <c r="GBA1" s="841"/>
      <c r="GBB1" s="841"/>
      <c r="GBC1" s="841"/>
      <c r="GBD1" s="841"/>
      <c r="GBE1" s="841"/>
      <c r="GBF1" s="841"/>
      <c r="GBG1" s="841"/>
      <c r="GBH1" s="841"/>
      <c r="GBI1" s="841"/>
      <c r="GBJ1" s="841"/>
      <c r="GBK1" s="841"/>
      <c r="GBL1" s="841"/>
      <c r="GBM1" s="841"/>
      <c r="GBN1" s="841"/>
      <c r="GBO1" s="841"/>
      <c r="GBP1" s="841"/>
      <c r="GBQ1" s="841"/>
      <c r="GBR1" s="841"/>
      <c r="GBS1" s="841"/>
      <c r="GBT1" s="841"/>
      <c r="GBU1" s="841"/>
      <c r="GBV1" s="841"/>
      <c r="GBW1" s="841"/>
      <c r="GBX1" s="841"/>
      <c r="GBY1" s="841"/>
      <c r="GBZ1" s="841"/>
      <c r="GCA1" s="841"/>
      <c r="GCB1" s="841"/>
      <c r="GCC1" s="841"/>
      <c r="GCD1" s="841"/>
      <c r="GCE1" s="841"/>
      <c r="GCF1" s="841"/>
      <c r="GCG1" s="841"/>
      <c r="GCH1" s="841"/>
      <c r="GCI1" s="841"/>
      <c r="GCJ1" s="841"/>
      <c r="GCK1" s="841"/>
      <c r="GCL1" s="841"/>
      <c r="GCM1" s="841"/>
      <c r="GCN1" s="841"/>
      <c r="GCO1" s="841"/>
      <c r="GCP1" s="841"/>
      <c r="GCQ1" s="841"/>
      <c r="GCR1" s="841"/>
      <c r="GCS1" s="841"/>
      <c r="GCT1" s="841"/>
      <c r="GCU1" s="841"/>
      <c r="GCV1" s="841"/>
      <c r="GCW1" s="841"/>
      <c r="GCX1" s="841"/>
      <c r="GCY1" s="841"/>
      <c r="GCZ1" s="841"/>
      <c r="GDA1" s="841"/>
      <c r="GDB1" s="841"/>
      <c r="GDC1" s="841"/>
      <c r="GDD1" s="841"/>
      <c r="GDE1" s="841"/>
      <c r="GDF1" s="841"/>
      <c r="GDG1" s="841"/>
      <c r="GDH1" s="841"/>
      <c r="GDI1" s="841"/>
      <c r="GDJ1" s="841"/>
      <c r="GDK1" s="841"/>
      <c r="GDL1" s="841"/>
      <c r="GDM1" s="841"/>
      <c r="GDN1" s="841"/>
      <c r="GDO1" s="841"/>
      <c r="GDP1" s="841"/>
      <c r="GDQ1" s="841"/>
      <c r="GDR1" s="841"/>
      <c r="GDS1" s="841"/>
      <c r="GDT1" s="841"/>
      <c r="GDU1" s="841"/>
      <c r="GDV1" s="841"/>
      <c r="GDW1" s="841"/>
      <c r="GDX1" s="841"/>
      <c r="GDY1" s="841"/>
      <c r="GDZ1" s="841"/>
      <c r="GEA1" s="841"/>
      <c r="GEB1" s="841"/>
      <c r="GEC1" s="841"/>
      <c r="GED1" s="841"/>
      <c r="GEE1" s="841"/>
      <c r="GEF1" s="841"/>
      <c r="GEG1" s="841"/>
      <c r="GEH1" s="841"/>
      <c r="GEI1" s="841"/>
      <c r="GEJ1" s="841"/>
      <c r="GEK1" s="841"/>
      <c r="GEL1" s="841"/>
      <c r="GEM1" s="841"/>
      <c r="GEN1" s="841"/>
      <c r="GEO1" s="841"/>
      <c r="GEP1" s="841"/>
      <c r="GEQ1" s="841"/>
      <c r="GER1" s="841"/>
      <c r="GES1" s="841"/>
      <c r="GET1" s="841"/>
      <c r="GEU1" s="841"/>
      <c r="GEV1" s="841"/>
      <c r="GEW1" s="841"/>
      <c r="GEX1" s="841"/>
      <c r="GEY1" s="841"/>
      <c r="GEZ1" s="841"/>
      <c r="GFA1" s="841"/>
      <c r="GFB1" s="841"/>
      <c r="GFC1" s="841"/>
      <c r="GFD1" s="841"/>
      <c r="GFE1" s="841"/>
      <c r="GFF1" s="841"/>
      <c r="GFG1" s="841"/>
      <c r="GFH1" s="841"/>
      <c r="GFI1" s="841"/>
      <c r="GFJ1" s="841"/>
      <c r="GFK1" s="841"/>
      <c r="GFL1" s="841"/>
      <c r="GFM1" s="841"/>
      <c r="GFN1" s="841"/>
      <c r="GFO1" s="841"/>
      <c r="GFP1" s="841"/>
      <c r="GFQ1" s="841"/>
      <c r="GFR1" s="841"/>
      <c r="GFS1" s="841"/>
      <c r="GFT1" s="841"/>
      <c r="GFU1" s="841"/>
      <c r="GFV1" s="841"/>
      <c r="GFW1" s="841"/>
      <c r="GFX1" s="841"/>
      <c r="GFY1" s="841"/>
      <c r="GFZ1" s="841"/>
      <c r="GGA1" s="841"/>
      <c r="GGB1" s="841"/>
      <c r="GGC1" s="841"/>
      <c r="GGD1" s="841"/>
      <c r="GGE1" s="841"/>
      <c r="GGF1" s="841"/>
      <c r="GGG1" s="841"/>
      <c r="GGH1" s="841"/>
      <c r="GGI1" s="841"/>
      <c r="GGJ1" s="841"/>
      <c r="GGK1" s="841"/>
      <c r="GGL1" s="841"/>
      <c r="GGM1" s="841"/>
      <c r="GGN1" s="841"/>
      <c r="GGO1" s="841"/>
      <c r="GGP1" s="841"/>
      <c r="GGQ1" s="841"/>
      <c r="GGR1" s="841"/>
      <c r="GGS1" s="841"/>
      <c r="GGT1" s="841"/>
      <c r="GGU1" s="841"/>
      <c r="GGV1" s="841"/>
      <c r="GGW1" s="841"/>
      <c r="GGX1" s="841"/>
      <c r="GGY1" s="841"/>
      <c r="GGZ1" s="841"/>
      <c r="GHA1" s="841"/>
      <c r="GHB1" s="841"/>
      <c r="GHC1" s="841"/>
      <c r="GHD1" s="841"/>
      <c r="GHE1" s="841"/>
      <c r="GHF1" s="841"/>
      <c r="GHG1" s="841"/>
      <c r="GHH1" s="841"/>
      <c r="GHI1" s="841"/>
      <c r="GHJ1" s="841"/>
      <c r="GHK1" s="841"/>
      <c r="GHL1" s="841"/>
      <c r="GHM1" s="841"/>
      <c r="GHN1" s="841"/>
      <c r="GHO1" s="841"/>
      <c r="GHP1" s="841"/>
      <c r="GHQ1" s="841"/>
      <c r="GHR1" s="841"/>
      <c r="GHS1" s="841"/>
      <c r="GHT1" s="841"/>
      <c r="GHU1" s="841"/>
      <c r="GHV1" s="841"/>
      <c r="GHW1" s="841"/>
      <c r="GHX1" s="841"/>
      <c r="GHY1" s="841"/>
      <c r="GHZ1" s="841"/>
      <c r="GIA1" s="841"/>
      <c r="GIB1" s="841"/>
      <c r="GIC1" s="841"/>
      <c r="GID1" s="841"/>
      <c r="GIE1" s="841"/>
      <c r="GIF1" s="841"/>
      <c r="GIG1" s="841"/>
      <c r="GIH1" s="841"/>
      <c r="GII1" s="841"/>
      <c r="GIJ1" s="841"/>
      <c r="GIK1" s="841"/>
      <c r="GIL1" s="841"/>
      <c r="GIM1" s="841"/>
      <c r="GIN1" s="841"/>
      <c r="GIO1" s="841"/>
      <c r="GIP1" s="841"/>
      <c r="GIQ1" s="841"/>
      <c r="GIR1" s="841"/>
      <c r="GIS1" s="841"/>
      <c r="GIT1" s="841"/>
      <c r="GIU1" s="841"/>
      <c r="GIV1" s="841"/>
      <c r="GIW1" s="841"/>
      <c r="GIX1" s="841"/>
      <c r="GIY1" s="841"/>
      <c r="GIZ1" s="841"/>
      <c r="GJA1" s="841"/>
      <c r="GJB1" s="841"/>
      <c r="GJC1" s="841"/>
      <c r="GJD1" s="841"/>
      <c r="GJE1" s="841"/>
      <c r="GJF1" s="841"/>
      <c r="GJG1" s="841"/>
      <c r="GJH1" s="841"/>
      <c r="GJI1" s="841"/>
      <c r="GJJ1" s="841"/>
      <c r="GJK1" s="841"/>
      <c r="GJL1" s="841"/>
      <c r="GJM1" s="841"/>
      <c r="GJN1" s="841"/>
      <c r="GJO1" s="841"/>
      <c r="GJP1" s="841"/>
      <c r="GJQ1" s="841"/>
      <c r="GJR1" s="841"/>
      <c r="GJS1" s="841"/>
      <c r="GJT1" s="841"/>
      <c r="GJU1" s="841"/>
      <c r="GJV1" s="841"/>
      <c r="GJW1" s="841"/>
      <c r="GJX1" s="841"/>
      <c r="GJY1" s="841"/>
      <c r="GJZ1" s="841"/>
      <c r="GKA1" s="841"/>
      <c r="GKB1" s="841"/>
      <c r="GKC1" s="841"/>
      <c r="GKD1" s="841"/>
      <c r="GKE1" s="841"/>
      <c r="GKF1" s="841"/>
      <c r="GKG1" s="841"/>
      <c r="GKH1" s="841"/>
      <c r="GKI1" s="841"/>
      <c r="GKJ1" s="841"/>
      <c r="GKK1" s="841"/>
      <c r="GKL1" s="841"/>
      <c r="GKM1" s="841"/>
      <c r="GKN1" s="841"/>
      <c r="GKO1" s="841"/>
      <c r="GKP1" s="841"/>
      <c r="GKQ1" s="841"/>
      <c r="GKR1" s="841"/>
      <c r="GKS1" s="841"/>
      <c r="GKT1" s="841"/>
      <c r="GKU1" s="841"/>
      <c r="GKV1" s="841"/>
      <c r="GKW1" s="841"/>
      <c r="GKX1" s="841"/>
      <c r="GKY1" s="841"/>
      <c r="GKZ1" s="841"/>
      <c r="GLA1" s="841"/>
      <c r="GLB1" s="841"/>
      <c r="GLC1" s="841"/>
      <c r="GLD1" s="841"/>
      <c r="GLE1" s="841"/>
      <c r="GLF1" s="841"/>
      <c r="GLG1" s="841"/>
      <c r="GLH1" s="841"/>
      <c r="GLI1" s="841"/>
      <c r="GLJ1" s="841"/>
      <c r="GLK1" s="841"/>
      <c r="GLL1" s="841"/>
      <c r="GLM1" s="841"/>
      <c r="GLN1" s="841"/>
      <c r="GLO1" s="841"/>
      <c r="GLP1" s="841"/>
      <c r="GLQ1" s="841"/>
      <c r="GLR1" s="841"/>
      <c r="GLS1" s="841"/>
      <c r="GLT1" s="841"/>
      <c r="GLU1" s="841"/>
      <c r="GLV1" s="841"/>
      <c r="GLW1" s="841"/>
      <c r="GLX1" s="841"/>
      <c r="GLY1" s="841"/>
      <c r="GLZ1" s="841"/>
      <c r="GMA1" s="841"/>
      <c r="GMB1" s="841"/>
      <c r="GMC1" s="841"/>
      <c r="GMD1" s="841"/>
      <c r="GME1" s="841"/>
      <c r="GMF1" s="841"/>
      <c r="GMG1" s="841"/>
      <c r="GMH1" s="841"/>
      <c r="GMI1" s="841"/>
      <c r="GMJ1" s="841"/>
      <c r="GMK1" s="841"/>
      <c r="GML1" s="841"/>
      <c r="GMM1" s="841"/>
      <c r="GMN1" s="841"/>
      <c r="GMO1" s="841"/>
      <c r="GMP1" s="841"/>
      <c r="GMQ1" s="841"/>
      <c r="GMR1" s="841"/>
      <c r="GMS1" s="841"/>
      <c r="GMT1" s="841"/>
      <c r="GMU1" s="841"/>
      <c r="GMV1" s="841"/>
      <c r="GMW1" s="841"/>
      <c r="GMX1" s="841"/>
      <c r="GMY1" s="841"/>
      <c r="GMZ1" s="841"/>
      <c r="GNA1" s="841"/>
      <c r="GNB1" s="841"/>
      <c r="GNC1" s="841"/>
      <c r="GND1" s="841"/>
      <c r="GNE1" s="841"/>
      <c r="GNF1" s="841"/>
      <c r="GNG1" s="841"/>
      <c r="GNH1" s="841"/>
      <c r="GNI1" s="841"/>
      <c r="GNJ1" s="841"/>
      <c r="GNK1" s="841"/>
      <c r="GNL1" s="841"/>
      <c r="GNM1" s="841"/>
      <c r="GNN1" s="841"/>
      <c r="GNO1" s="841"/>
      <c r="GNP1" s="841"/>
      <c r="GNQ1" s="841"/>
      <c r="GNR1" s="841"/>
      <c r="GNS1" s="841"/>
      <c r="GNT1" s="841"/>
      <c r="GNU1" s="841"/>
      <c r="GNV1" s="841"/>
      <c r="GNW1" s="841"/>
      <c r="GNX1" s="841"/>
      <c r="GNY1" s="841"/>
      <c r="GNZ1" s="841"/>
      <c r="GOA1" s="841"/>
      <c r="GOB1" s="841"/>
      <c r="GOC1" s="841"/>
      <c r="GOD1" s="841"/>
      <c r="GOE1" s="841"/>
      <c r="GOF1" s="841"/>
      <c r="GOG1" s="841"/>
      <c r="GOH1" s="841"/>
      <c r="GOI1" s="841"/>
      <c r="GOJ1" s="841"/>
      <c r="GOK1" s="841"/>
      <c r="GOL1" s="841"/>
      <c r="GOM1" s="841"/>
      <c r="GON1" s="841"/>
      <c r="GOO1" s="841"/>
      <c r="GOP1" s="841"/>
      <c r="GOQ1" s="841"/>
      <c r="GOR1" s="841"/>
      <c r="GOS1" s="841"/>
      <c r="GOT1" s="841"/>
      <c r="GOU1" s="841"/>
      <c r="GOV1" s="841"/>
      <c r="GOW1" s="841"/>
      <c r="GOX1" s="841"/>
      <c r="GOY1" s="841"/>
      <c r="GOZ1" s="841"/>
      <c r="GPA1" s="841"/>
      <c r="GPB1" s="841"/>
      <c r="GPC1" s="841"/>
      <c r="GPD1" s="841"/>
      <c r="GPE1" s="841"/>
      <c r="GPF1" s="841"/>
      <c r="GPG1" s="841"/>
      <c r="GPH1" s="841"/>
      <c r="GPI1" s="841"/>
      <c r="GPJ1" s="841"/>
      <c r="GPK1" s="841"/>
      <c r="GPL1" s="841"/>
      <c r="GPM1" s="841"/>
      <c r="GPN1" s="841"/>
      <c r="GPO1" s="841"/>
      <c r="GPP1" s="841"/>
      <c r="GPQ1" s="841"/>
      <c r="GPR1" s="841"/>
      <c r="GPS1" s="841"/>
      <c r="GPT1" s="841"/>
      <c r="GPU1" s="841"/>
      <c r="GPV1" s="841"/>
      <c r="GPW1" s="841"/>
      <c r="GPX1" s="841"/>
      <c r="GPY1" s="841"/>
      <c r="GPZ1" s="841"/>
      <c r="GQA1" s="841"/>
      <c r="GQB1" s="841"/>
      <c r="GQC1" s="841"/>
      <c r="GQD1" s="841"/>
      <c r="GQE1" s="841"/>
      <c r="GQF1" s="841"/>
      <c r="GQG1" s="841"/>
      <c r="GQH1" s="841"/>
      <c r="GQI1" s="841"/>
      <c r="GQJ1" s="841"/>
      <c r="GQK1" s="841"/>
      <c r="GQL1" s="841"/>
      <c r="GQM1" s="841"/>
      <c r="GQN1" s="841"/>
      <c r="GQO1" s="841"/>
      <c r="GQP1" s="841"/>
      <c r="GQQ1" s="841"/>
      <c r="GQR1" s="841"/>
      <c r="GQS1" s="841"/>
      <c r="GQT1" s="841"/>
      <c r="GQU1" s="841"/>
      <c r="GQV1" s="841"/>
      <c r="GQW1" s="841"/>
      <c r="GQX1" s="841"/>
      <c r="GQY1" s="841"/>
      <c r="GQZ1" s="841"/>
      <c r="GRA1" s="841"/>
      <c r="GRB1" s="841"/>
      <c r="GRC1" s="841"/>
      <c r="GRD1" s="841"/>
      <c r="GRE1" s="841"/>
      <c r="GRF1" s="841"/>
      <c r="GRG1" s="841"/>
      <c r="GRH1" s="841"/>
      <c r="GRI1" s="841"/>
      <c r="GRJ1" s="841"/>
      <c r="GRK1" s="841"/>
      <c r="GRL1" s="841"/>
      <c r="GRM1" s="841"/>
      <c r="GRN1" s="841"/>
      <c r="GRO1" s="841"/>
      <c r="GRP1" s="841"/>
      <c r="GRQ1" s="841"/>
      <c r="GRR1" s="841"/>
      <c r="GRS1" s="841"/>
      <c r="GRT1" s="841"/>
      <c r="GRU1" s="841"/>
      <c r="GRV1" s="841"/>
      <c r="GRW1" s="841"/>
      <c r="GRX1" s="841"/>
      <c r="GRY1" s="841"/>
      <c r="GRZ1" s="841"/>
      <c r="GSA1" s="841"/>
      <c r="GSB1" s="841"/>
      <c r="GSC1" s="841"/>
      <c r="GSD1" s="841"/>
      <c r="GSE1" s="841"/>
      <c r="GSF1" s="841"/>
      <c r="GSG1" s="841"/>
      <c r="GSH1" s="841"/>
      <c r="GSI1" s="841"/>
      <c r="GSJ1" s="841"/>
      <c r="GSK1" s="841"/>
      <c r="GSL1" s="841"/>
      <c r="GSM1" s="841"/>
      <c r="GSN1" s="841"/>
      <c r="GSO1" s="841"/>
      <c r="GSP1" s="841"/>
      <c r="GSQ1" s="841"/>
      <c r="GSR1" s="841"/>
      <c r="GSS1" s="841"/>
      <c r="GST1" s="841"/>
      <c r="GSU1" s="841"/>
      <c r="GSV1" s="841"/>
      <c r="GSW1" s="841"/>
      <c r="GSX1" s="841"/>
      <c r="GSY1" s="841"/>
      <c r="GSZ1" s="841"/>
      <c r="GTA1" s="841"/>
      <c r="GTB1" s="841"/>
      <c r="GTC1" s="841"/>
      <c r="GTD1" s="841"/>
      <c r="GTE1" s="841"/>
      <c r="GTF1" s="841"/>
      <c r="GTG1" s="841"/>
      <c r="GTH1" s="841"/>
      <c r="GTI1" s="841"/>
      <c r="GTJ1" s="841"/>
      <c r="GTK1" s="841"/>
      <c r="GTL1" s="841"/>
      <c r="GTM1" s="841"/>
      <c r="GTN1" s="841"/>
      <c r="GTO1" s="841"/>
      <c r="GTP1" s="841"/>
      <c r="GTQ1" s="841"/>
      <c r="GTR1" s="841"/>
      <c r="GTS1" s="841"/>
      <c r="GTT1" s="841"/>
      <c r="GTU1" s="841"/>
      <c r="GTV1" s="841"/>
      <c r="GTW1" s="841"/>
      <c r="GTX1" s="841"/>
      <c r="GTY1" s="841"/>
      <c r="GTZ1" s="841"/>
      <c r="GUA1" s="841"/>
      <c r="GUB1" s="841"/>
      <c r="GUC1" s="841"/>
      <c r="GUD1" s="841"/>
      <c r="GUE1" s="841"/>
      <c r="GUF1" s="841"/>
      <c r="GUG1" s="841"/>
      <c r="GUH1" s="841"/>
      <c r="GUI1" s="841"/>
      <c r="GUJ1" s="841"/>
      <c r="GUK1" s="841"/>
      <c r="GUL1" s="841"/>
      <c r="GUM1" s="841"/>
      <c r="GUN1" s="841"/>
      <c r="GUO1" s="841"/>
      <c r="GUP1" s="841"/>
      <c r="GUQ1" s="841"/>
      <c r="GUR1" s="841"/>
      <c r="GUS1" s="841"/>
      <c r="GUT1" s="841"/>
      <c r="GUU1" s="841"/>
      <c r="GUV1" s="841"/>
      <c r="GUW1" s="841"/>
      <c r="GUX1" s="841"/>
      <c r="GUY1" s="841"/>
      <c r="GUZ1" s="841"/>
      <c r="GVA1" s="841"/>
      <c r="GVB1" s="841"/>
      <c r="GVC1" s="841"/>
      <c r="GVD1" s="841"/>
      <c r="GVE1" s="841"/>
      <c r="GVF1" s="841"/>
      <c r="GVG1" s="841"/>
      <c r="GVH1" s="841"/>
      <c r="GVI1" s="841"/>
      <c r="GVJ1" s="841"/>
      <c r="GVK1" s="841"/>
      <c r="GVL1" s="841"/>
      <c r="GVM1" s="841"/>
      <c r="GVN1" s="841"/>
      <c r="GVO1" s="841"/>
      <c r="GVP1" s="841"/>
      <c r="GVQ1" s="841"/>
      <c r="GVR1" s="841"/>
      <c r="GVS1" s="841"/>
      <c r="GVT1" s="841"/>
      <c r="GVU1" s="841"/>
      <c r="GVV1" s="841"/>
      <c r="GVW1" s="841"/>
      <c r="GVX1" s="841"/>
      <c r="GVY1" s="841"/>
      <c r="GVZ1" s="841"/>
      <c r="GWA1" s="841"/>
      <c r="GWB1" s="841"/>
      <c r="GWC1" s="841"/>
      <c r="GWD1" s="841"/>
      <c r="GWE1" s="841"/>
      <c r="GWF1" s="841"/>
      <c r="GWG1" s="841"/>
      <c r="GWH1" s="841"/>
      <c r="GWI1" s="841"/>
      <c r="GWJ1" s="841"/>
      <c r="GWK1" s="841"/>
      <c r="GWL1" s="841"/>
      <c r="GWM1" s="841"/>
      <c r="GWN1" s="841"/>
      <c r="GWO1" s="841"/>
      <c r="GWP1" s="841"/>
      <c r="GWQ1" s="841"/>
      <c r="GWR1" s="841"/>
      <c r="GWS1" s="841"/>
      <c r="GWT1" s="841"/>
      <c r="GWU1" s="841"/>
      <c r="GWV1" s="841"/>
      <c r="GWW1" s="841"/>
      <c r="GWX1" s="841"/>
      <c r="GWY1" s="841"/>
      <c r="GWZ1" s="841"/>
      <c r="GXA1" s="841"/>
      <c r="GXB1" s="841"/>
      <c r="GXC1" s="841"/>
      <c r="GXD1" s="841"/>
      <c r="GXE1" s="841"/>
      <c r="GXF1" s="841"/>
      <c r="GXG1" s="841"/>
      <c r="GXH1" s="841"/>
      <c r="GXI1" s="841"/>
      <c r="GXJ1" s="841"/>
      <c r="GXK1" s="841"/>
      <c r="GXL1" s="841"/>
      <c r="GXM1" s="841"/>
      <c r="GXN1" s="841"/>
      <c r="GXO1" s="841"/>
      <c r="GXP1" s="841"/>
      <c r="GXQ1" s="841"/>
      <c r="GXR1" s="841"/>
      <c r="GXS1" s="841"/>
      <c r="GXT1" s="841"/>
      <c r="GXU1" s="841"/>
      <c r="GXV1" s="841"/>
      <c r="GXW1" s="841"/>
      <c r="GXX1" s="841"/>
      <c r="GXY1" s="841"/>
      <c r="GXZ1" s="841"/>
      <c r="GYA1" s="841"/>
      <c r="GYB1" s="841"/>
      <c r="GYC1" s="841"/>
      <c r="GYD1" s="841"/>
      <c r="GYE1" s="841"/>
      <c r="GYF1" s="841"/>
      <c r="GYG1" s="841"/>
      <c r="GYH1" s="841"/>
      <c r="GYI1" s="841"/>
      <c r="GYJ1" s="841"/>
      <c r="GYK1" s="841"/>
      <c r="GYL1" s="841"/>
      <c r="GYM1" s="841"/>
      <c r="GYN1" s="841"/>
      <c r="GYO1" s="841"/>
      <c r="GYP1" s="841"/>
      <c r="GYQ1" s="841"/>
      <c r="GYR1" s="841"/>
      <c r="GYS1" s="841"/>
      <c r="GYT1" s="841"/>
      <c r="GYU1" s="841"/>
      <c r="GYV1" s="841"/>
      <c r="GYW1" s="841"/>
      <c r="GYX1" s="841"/>
      <c r="GYY1" s="841"/>
      <c r="GYZ1" s="841"/>
      <c r="GZA1" s="841"/>
      <c r="GZB1" s="841"/>
      <c r="GZC1" s="841"/>
      <c r="GZD1" s="841"/>
      <c r="GZE1" s="841"/>
      <c r="GZF1" s="841"/>
      <c r="GZG1" s="841"/>
      <c r="GZH1" s="841"/>
      <c r="GZI1" s="841"/>
      <c r="GZJ1" s="841"/>
      <c r="GZK1" s="841"/>
      <c r="GZL1" s="841"/>
      <c r="GZM1" s="841"/>
      <c r="GZN1" s="841"/>
      <c r="GZO1" s="841"/>
      <c r="GZP1" s="841"/>
      <c r="GZQ1" s="841"/>
      <c r="GZR1" s="841"/>
      <c r="GZS1" s="841"/>
      <c r="GZT1" s="841"/>
      <c r="GZU1" s="841"/>
      <c r="GZV1" s="841"/>
      <c r="GZW1" s="841"/>
      <c r="GZX1" s="841"/>
      <c r="GZY1" s="841"/>
      <c r="GZZ1" s="841"/>
      <c r="HAA1" s="841"/>
      <c r="HAB1" s="841"/>
      <c r="HAC1" s="841"/>
      <c r="HAD1" s="841"/>
      <c r="HAE1" s="841"/>
      <c r="HAF1" s="841"/>
      <c r="HAG1" s="841"/>
      <c r="HAH1" s="841"/>
      <c r="HAI1" s="841"/>
      <c r="HAJ1" s="841"/>
      <c r="HAK1" s="841"/>
      <c r="HAL1" s="841"/>
      <c r="HAM1" s="841"/>
      <c r="HAN1" s="841"/>
      <c r="HAO1" s="841"/>
      <c r="HAP1" s="841"/>
      <c r="HAQ1" s="841"/>
      <c r="HAR1" s="841"/>
      <c r="HAS1" s="841"/>
      <c r="HAT1" s="841"/>
      <c r="HAU1" s="841"/>
      <c r="HAV1" s="841"/>
      <c r="HAW1" s="841"/>
      <c r="HAX1" s="841"/>
      <c r="HAY1" s="841"/>
      <c r="HAZ1" s="841"/>
      <c r="HBA1" s="841"/>
      <c r="HBB1" s="841"/>
      <c r="HBC1" s="841"/>
      <c r="HBD1" s="841"/>
      <c r="HBE1" s="841"/>
      <c r="HBF1" s="841"/>
      <c r="HBG1" s="841"/>
      <c r="HBH1" s="841"/>
      <c r="HBI1" s="841"/>
      <c r="HBJ1" s="841"/>
      <c r="HBK1" s="841"/>
      <c r="HBL1" s="841"/>
      <c r="HBM1" s="841"/>
      <c r="HBN1" s="841"/>
      <c r="HBO1" s="841"/>
      <c r="HBP1" s="841"/>
      <c r="HBQ1" s="841"/>
      <c r="HBR1" s="841"/>
      <c r="HBS1" s="841"/>
      <c r="HBT1" s="841"/>
      <c r="HBU1" s="841"/>
      <c r="HBV1" s="841"/>
      <c r="HBW1" s="841"/>
      <c r="HBX1" s="841"/>
      <c r="HBY1" s="841"/>
      <c r="HBZ1" s="841"/>
      <c r="HCA1" s="841"/>
      <c r="HCB1" s="841"/>
      <c r="HCC1" s="841"/>
      <c r="HCD1" s="841"/>
      <c r="HCE1" s="841"/>
      <c r="HCF1" s="841"/>
      <c r="HCG1" s="841"/>
      <c r="HCH1" s="841"/>
      <c r="HCI1" s="841"/>
      <c r="HCJ1" s="841"/>
      <c r="HCK1" s="841"/>
      <c r="HCL1" s="841"/>
      <c r="HCM1" s="841"/>
      <c r="HCN1" s="841"/>
      <c r="HCO1" s="841"/>
      <c r="HCP1" s="841"/>
      <c r="HCQ1" s="841"/>
      <c r="HCR1" s="841"/>
      <c r="HCS1" s="841"/>
      <c r="HCT1" s="841"/>
      <c r="HCU1" s="841"/>
      <c r="HCV1" s="841"/>
      <c r="HCW1" s="841"/>
      <c r="HCX1" s="841"/>
      <c r="HCY1" s="841"/>
      <c r="HCZ1" s="841"/>
      <c r="HDA1" s="841"/>
      <c r="HDB1" s="841"/>
      <c r="HDC1" s="841"/>
      <c r="HDD1" s="841"/>
      <c r="HDE1" s="841"/>
      <c r="HDF1" s="841"/>
      <c r="HDG1" s="841"/>
      <c r="HDH1" s="841"/>
      <c r="HDI1" s="841"/>
      <c r="HDJ1" s="841"/>
      <c r="HDK1" s="841"/>
      <c r="HDL1" s="841"/>
      <c r="HDM1" s="841"/>
      <c r="HDN1" s="841"/>
      <c r="HDO1" s="841"/>
      <c r="HDP1" s="841"/>
      <c r="HDQ1" s="841"/>
      <c r="HDR1" s="841"/>
      <c r="HDS1" s="841"/>
      <c r="HDT1" s="841"/>
      <c r="HDU1" s="841"/>
      <c r="HDV1" s="841"/>
      <c r="HDW1" s="841"/>
      <c r="HDX1" s="841"/>
      <c r="HDY1" s="841"/>
      <c r="HDZ1" s="841"/>
      <c r="HEA1" s="841"/>
      <c r="HEB1" s="841"/>
      <c r="HEC1" s="841"/>
      <c r="HED1" s="841"/>
      <c r="HEE1" s="841"/>
      <c r="HEF1" s="841"/>
      <c r="HEG1" s="841"/>
      <c r="HEH1" s="841"/>
      <c r="HEI1" s="841"/>
      <c r="HEJ1" s="841"/>
      <c r="HEK1" s="841"/>
      <c r="HEL1" s="841"/>
      <c r="HEM1" s="841"/>
      <c r="HEN1" s="841"/>
      <c r="HEO1" s="841"/>
      <c r="HEP1" s="841"/>
      <c r="HEQ1" s="841"/>
      <c r="HER1" s="841"/>
      <c r="HES1" s="841"/>
      <c r="HET1" s="841"/>
      <c r="HEU1" s="841"/>
      <c r="HEV1" s="841"/>
      <c r="HEW1" s="841"/>
      <c r="HEX1" s="841"/>
      <c r="HEY1" s="841"/>
      <c r="HEZ1" s="841"/>
      <c r="HFA1" s="841"/>
      <c r="HFB1" s="841"/>
      <c r="HFC1" s="841"/>
      <c r="HFD1" s="841"/>
      <c r="HFE1" s="841"/>
      <c r="HFF1" s="841"/>
      <c r="HFG1" s="841"/>
      <c r="HFH1" s="841"/>
      <c r="HFI1" s="841"/>
      <c r="HFJ1" s="841"/>
      <c r="HFK1" s="841"/>
      <c r="HFL1" s="841"/>
      <c r="HFM1" s="841"/>
      <c r="HFN1" s="841"/>
      <c r="HFO1" s="841"/>
      <c r="HFP1" s="841"/>
      <c r="HFQ1" s="841"/>
      <c r="HFR1" s="841"/>
      <c r="HFS1" s="841"/>
      <c r="HFT1" s="841"/>
      <c r="HFU1" s="841"/>
      <c r="HFV1" s="841"/>
      <c r="HFW1" s="841"/>
      <c r="HFX1" s="841"/>
      <c r="HFY1" s="841"/>
      <c r="HFZ1" s="841"/>
      <c r="HGA1" s="841"/>
      <c r="HGB1" s="841"/>
      <c r="HGC1" s="841"/>
      <c r="HGD1" s="841"/>
      <c r="HGE1" s="841"/>
      <c r="HGF1" s="841"/>
      <c r="HGG1" s="841"/>
      <c r="HGH1" s="841"/>
      <c r="HGI1" s="841"/>
      <c r="HGJ1" s="841"/>
      <c r="HGK1" s="841"/>
      <c r="HGL1" s="841"/>
      <c r="HGM1" s="841"/>
      <c r="HGN1" s="841"/>
      <c r="HGO1" s="841"/>
      <c r="HGP1" s="841"/>
      <c r="HGQ1" s="841"/>
      <c r="HGR1" s="841"/>
      <c r="HGS1" s="841"/>
      <c r="HGT1" s="841"/>
      <c r="HGU1" s="841"/>
      <c r="HGV1" s="841"/>
      <c r="HGW1" s="841"/>
      <c r="HGX1" s="841"/>
      <c r="HGY1" s="841"/>
      <c r="HGZ1" s="841"/>
      <c r="HHA1" s="841"/>
      <c r="HHB1" s="841"/>
      <c r="HHC1" s="841"/>
      <c r="HHD1" s="841"/>
      <c r="HHE1" s="841"/>
      <c r="HHF1" s="841"/>
      <c r="HHG1" s="841"/>
      <c r="HHH1" s="841"/>
      <c r="HHI1" s="841"/>
      <c r="HHJ1" s="841"/>
      <c r="HHK1" s="841"/>
      <c r="HHL1" s="841"/>
      <c r="HHM1" s="841"/>
      <c r="HHN1" s="841"/>
      <c r="HHO1" s="841"/>
      <c r="HHP1" s="841"/>
      <c r="HHQ1" s="841"/>
      <c r="HHR1" s="841"/>
      <c r="HHS1" s="841"/>
      <c r="HHT1" s="841"/>
      <c r="HHU1" s="841"/>
      <c r="HHV1" s="841"/>
      <c r="HHW1" s="841"/>
      <c r="HHX1" s="841"/>
      <c r="HHY1" s="841"/>
      <c r="HHZ1" s="841"/>
      <c r="HIA1" s="841"/>
      <c r="HIB1" s="841"/>
      <c r="HIC1" s="841"/>
      <c r="HID1" s="841"/>
      <c r="HIE1" s="841"/>
      <c r="HIF1" s="841"/>
      <c r="HIG1" s="841"/>
      <c r="HIH1" s="841"/>
      <c r="HII1" s="841"/>
      <c r="HIJ1" s="841"/>
      <c r="HIK1" s="841"/>
      <c r="HIL1" s="841"/>
      <c r="HIM1" s="841"/>
      <c r="HIN1" s="841"/>
      <c r="HIO1" s="841"/>
      <c r="HIP1" s="841"/>
      <c r="HIQ1" s="841"/>
      <c r="HIR1" s="841"/>
      <c r="HIS1" s="841"/>
      <c r="HIT1" s="841"/>
      <c r="HIU1" s="841"/>
      <c r="HIV1" s="841"/>
      <c r="HIW1" s="841"/>
      <c r="HIX1" s="841"/>
      <c r="HIY1" s="841"/>
      <c r="HIZ1" s="841"/>
      <c r="HJA1" s="841"/>
      <c r="HJB1" s="841"/>
      <c r="HJC1" s="841"/>
      <c r="HJD1" s="841"/>
      <c r="HJE1" s="841"/>
      <c r="HJF1" s="841"/>
      <c r="HJG1" s="841"/>
      <c r="HJH1" s="841"/>
      <c r="HJI1" s="841"/>
      <c r="HJJ1" s="841"/>
      <c r="HJK1" s="841"/>
      <c r="HJL1" s="841"/>
      <c r="HJM1" s="841"/>
      <c r="HJN1" s="841"/>
      <c r="HJO1" s="841"/>
      <c r="HJP1" s="841"/>
      <c r="HJQ1" s="841"/>
      <c r="HJR1" s="841"/>
      <c r="HJS1" s="841"/>
      <c r="HJT1" s="841"/>
      <c r="HJU1" s="841"/>
      <c r="HJV1" s="841"/>
      <c r="HJW1" s="841"/>
      <c r="HJX1" s="841"/>
      <c r="HJY1" s="841"/>
      <c r="HJZ1" s="841"/>
      <c r="HKA1" s="841"/>
      <c r="HKB1" s="841"/>
      <c r="HKC1" s="841"/>
      <c r="HKD1" s="841"/>
      <c r="HKE1" s="841"/>
      <c r="HKF1" s="841"/>
      <c r="HKG1" s="841"/>
      <c r="HKH1" s="841"/>
      <c r="HKI1" s="841"/>
      <c r="HKJ1" s="841"/>
      <c r="HKK1" s="841"/>
      <c r="HKL1" s="841"/>
      <c r="HKM1" s="841"/>
      <c r="HKN1" s="841"/>
      <c r="HKO1" s="841"/>
      <c r="HKP1" s="841"/>
      <c r="HKQ1" s="841"/>
      <c r="HKR1" s="841"/>
      <c r="HKS1" s="841"/>
      <c r="HKT1" s="841"/>
      <c r="HKU1" s="841"/>
      <c r="HKV1" s="841"/>
      <c r="HKW1" s="841"/>
      <c r="HKX1" s="841"/>
      <c r="HKY1" s="841"/>
      <c r="HKZ1" s="841"/>
      <c r="HLA1" s="841"/>
      <c r="HLB1" s="841"/>
      <c r="HLC1" s="841"/>
      <c r="HLD1" s="841"/>
      <c r="HLE1" s="841"/>
      <c r="HLF1" s="841"/>
      <c r="HLG1" s="841"/>
      <c r="HLH1" s="841"/>
      <c r="HLI1" s="841"/>
      <c r="HLJ1" s="841"/>
      <c r="HLK1" s="841"/>
      <c r="HLL1" s="841"/>
      <c r="HLM1" s="841"/>
      <c r="HLN1" s="841"/>
      <c r="HLO1" s="841"/>
      <c r="HLP1" s="841"/>
      <c r="HLQ1" s="841"/>
      <c r="HLR1" s="841"/>
      <c r="HLS1" s="841"/>
      <c r="HLT1" s="841"/>
      <c r="HLU1" s="841"/>
      <c r="HLV1" s="841"/>
      <c r="HLW1" s="841"/>
      <c r="HLX1" s="841"/>
      <c r="HLY1" s="841"/>
      <c r="HLZ1" s="841"/>
      <c r="HMA1" s="841"/>
      <c r="HMB1" s="841"/>
      <c r="HMC1" s="841"/>
      <c r="HMD1" s="841"/>
      <c r="HME1" s="841"/>
      <c r="HMF1" s="841"/>
      <c r="HMG1" s="841"/>
      <c r="HMH1" s="841"/>
      <c r="HMI1" s="841"/>
      <c r="HMJ1" s="841"/>
      <c r="HMK1" s="841"/>
      <c r="HML1" s="841"/>
      <c r="HMM1" s="841"/>
      <c r="HMN1" s="841"/>
      <c r="HMO1" s="841"/>
      <c r="HMP1" s="841"/>
      <c r="HMQ1" s="841"/>
      <c r="HMR1" s="841"/>
      <c r="HMS1" s="841"/>
      <c r="HMT1" s="841"/>
      <c r="HMU1" s="841"/>
      <c r="HMV1" s="841"/>
      <c r="HMW1" s="841"/>
      <c r="HMX1" s="841"/>
      <c r="HMY1" s="841"/>
      <c r="HMZ1" s="841"/>
      <c r="HNA1" s="841"/>
      <c r="HNB1" s="841"/>
      <c r="HNC1" s="841"/>
      <c r="HND1" s="841"/>
      <c r="HNE1" s="841"/>
      <c r="HNF1" s="841"/>
      <c r="HNG1" s="841"/>
      <c r="HNH1" s="841"/>
      <c r="HNI1" s="841"/>
      <c r="HNJ1" s="841"/>
      <c r="HNK1" s="841"/>
      <c r="HNL1" s="841"/>
      <c r="HNM1" s="841"/>
      <c r="HNN1" s="841"/>
      <c r="HNO1" s="841"/>
      <c r="HNP1" s="841"/>
      <c r="HNQ1" s="841"/>
      <c r="HNR1" s="841"/>
      <c r="HNS1" s="841"/>
      <c r="HNT1" s="841"/>
      <c r="HNU1" s="841"/>
      <c r="HNV1" s="841"/>
      <c r="HNW1" s="841"/>
      <c r="HNX1" s="841"/>
      <c r="HNY1" s="841"/>
      <c r="HNZ1" s="841"/>
      <c r="HOA1" s="841"/>
      <c r="HOB1" s="841"/>
      <c r="HOC1" s="841"/>
      <c r="HOD1" s="841"/>
      <c r="HOE1" s="841"/>
      <c r="HOF1" s="841"/>
      <c r="HOG1" s="841"/>
      <c r="HOH1" s="841"/>
      <c r="HOI1" s="841"/>
      <c r="HOJ1" s="841"/>
      <c r="HOK1" s="841"/>
      <c r="HOL1" s="841"/>
      <c r="HOM1" s="841"/>
      <c r="HON1" s="841"/>
      <c r="HOO1" s="841"/>
      <c r="HOP1" s="841"/>
      <c r="HOQ1" s="841"/>
      <c r="HOR1" s="841"/>
      <c r="HOS1" s="841"/>
      <c r="HOT1" s="841"/>
      <c r="HOU1" s="841"/>
      <c r="HOV1" s="841"/>
      <c r="HOW1" s="841"/>
      <c r="HOX1" s="841"/>
      <c r="HOY1" s="841"/>
      <c r="HOZ1" s="841"/>
      <c r="HPA1" s="841"/>
      <c r="HPB1" s="841"/>
      <c r="HPC1" s="841"/>
      <c r="HPD1" s="841"/>
      <c r="HPE1" s="841"/>
      <c r="HPF1" s="841"/>
      <c r="HPG1" s="841"/>
      <c r="HPH1" s="841"/>
      <c r="HPI1" s="841"/>
      <c r="HPJ1" s="841"/>
      <c r="HPK1" s="841"/>
      <c r="HPL1" s="841"/>
      <c r="HPM1" s="841"/>
      <c r="HPN1" s="841"/>
      <c r="HPO1" s="841"/>
      <c r="HPP1" s="841"/>
      <c r="HPQ1" s="841"/>
      <c r="HPR1" s="841"/>
      <c r="HPS1" s="841"/>
      <c r="HPT1" s="841"/>
      <c r="HPU1" s="841"/>
      <c r="HPV1" s="841"/>
      <c r="HPW1" s="841"/>
      <c r="HPX1" s="841"/>
      <c r="HPY1" s="841"/>
      <c r="HPZ1" s="841"/>
      <c r="HQA1" s="841"/>
      <c r="HQB1" s="841"/>
      <c r="HQC1" s="841"/>
      <c r="HQD1" s="841"/>
      <c r="HQE1" s="841"/>
      <c r="HQF1" s="841"/>
      <c r="HQG1" s="841"/>
      <c r="HQH1" s="841"/>
      <c r="HQI1" s="841"/>
      <c r="HQJ1" s="841"/>
      <c r="HQK1" s="841"/>
      <c r="HQL1" s="841"/>
      <c r="HQM1" s="841"/>
      <c r="HQN1" s="841"/>
      <c r="HQO1" s="841"/>
      <c r="HQP1" s="841"/>
      <c r="HQQ1" s="841"/>
      <c r="HQR1" s="841"/>
      <c r="HQS1" s="841"/>
      <c r="HQT1" s="841"/>
      <c r="HQU1" s="841"/>
      <c r="HQV1" s="841"/>
      <c r="HQW1" s="841"/>
      <c r="HQX1" s="841"/>
      <c r="HQY1" s="841"/>
      <c r="HQZ1" s="841"/>
      <c r="HRA1" s="841"/>
      <c r="HRB1" s="841"/>
      <c r="HRC1" s="841"/>
      <c r="HRD1" s="841"/>
      <c r="HRE1" s="841"/>
      <c r="HRF1" s="841"/>
      <c r="HRG1" s="841"/>
      <c r="HRH1" s="841"/>
      <c r="HRI1" s="841"/>
      <c r="HRJ1" s="841"/>
      <c r="HRK1" s="841"/>
      <c r="HRL1" s="841"/>
      <c r="HRM1" s="841"/>
      <c r="HRN1" s="841"/>
      <c r="HRO1" s="841"/>
      <c r="HRP1" s="841"/>
      <c r="HRQ1" s="841"/>
      <c r="HRR1" s="841"/>
      <c r="HRS1" s="841"/>
      <c r="HRT1" s="841"/>
      <c r="HRU1" s="841"/>
      <c r="HRV1" s="841"/>
      <c r="HRW1" s="841"/>
      <c r="HRX1" s="841"/>
      <c r="HRY1" s="841"/>
      <c r="HRZ1" s="841"/>
      <c r="HSA1" s="841"/>
      <c r="HSB1" s="841"/>
      <c r="HSC1" s="841"/>
      <c r="HSD1" s="841"/>
      <c r="HSE1" s="841"/>
      <c r="HSF1" s="841"/>
      <c r="HSG1" s="841"/>
      <c r="HSH1" s="841"/>
      <c r="HSI1" s="841"/>
      <c r="HSJ1" s="841"/>
      <c r="HSK1" s="841"/>
      <c r="HSL1" s="841"/>
      <c r="HSM1" s="841"/>
      <c r="HSN1" s="841"/>
      <c r="HSO1" s="841"/>
      <c r="HSP1" s="841"/>
      <c r="HSQ1" s="841"/>
      <c r="HSR1" s="841"/>
      <c r="HSS1" s="841"/>
      <c r="HST1" s="841"/>
      <c r="HSU1" s="841"/>
      <c r="HSV1" s="841"/>
      <c r="HSW1" s="841"/>
      <c r="HSX1" s="841"/>
      <c r="HSY1" s="841"/>
      <c r="HSZ1" s="841"/>
      <c r="HTA1" s="841"/>
      <c r="HTB1" s="841"/>
      <c r="HTC1" s="841"/>
      <c r="HTD1" s="841"/>
      <c r="HTE1" s="841"/>
      <c r="HTF1" s="841"/>
      <c r="HTG1" s="841"/>
      <c r="HTH1" s="841"/>
      <c r="HTI1" s="841"/>
      <c r="HTJ1" s="841"/>
      <c r="HTK1" s="841"/>
      <c r="HTL1" s="841"/>
      <c r="HTM1" s="841"/>
      <c r="HTN1" s="841"/>
      <c r="HTO1" s="841"/>
      <c r="HTP1" s="841"/>
      <c r="HTQ1" s="841"/>
      <c r="HTR1" s="841"/>
      <c r="HTS1" s="841"/>
      <c r="HTT1" s="841"/>
      <c r="HTU1" s="841"/>
      <c r="HTV1" s="841"/>
      <c r="HTW1" s="841"/>
      <c r="HTX1" s="841"/>
      <c r="HTY1" s="841"/>
      <c r="HTZ1" s="841"/>
      <c r="HUA1" s="841"/>
      <c r="HUB1" s="841"/>
      <c r="HUC1" s="841"/>
      <c r="HUD1" s="841"/>
      <c r="HUE1" s="841"/>
      <c r="HUF1" s="841"/>
      <c r="HUG1" s="841"/>
      <c r="HUH1" s="841"/>
      <c r="HUI1" s="841"/>
      <c r="HUJ1" s="841"/>
      <c r="HUK1" s="841"/>
      <c r="HUL1" s="841"/>
      <c r="HUM1" s="841"/>
      <c r="HUN1" s="841"/>
      <c r="HUO1" s="841"/>
      <c r="HUP1" s="841"/>
      <c r="HUQ1" s="841"/>
      <c r="HUR1" s="841"/>
      <c r="HUS1" s="841"/>
      <c r="HUT1" s="841"/>
      <c r="HUU1" s="841"/>
      <c r="HUV1" s="841"/>
      <c r="HUW1" s="841"/>
      <c r="HUX1" s="841"/>
      <c r="HUY1" s="841"/>
      <c r="HUZ1" s="841"/>
      <c r="HVA1" s="841"/>
      <c r="HVB1" s="841"/>
      <c r="HVC1" s="841"/>
      <c r="HVD1" s="841"/>
      <c r="HVE1" s="841"/>
      <c r="HVF1" s="841"/>
      <c r="HVG1" s="841"/>
      <c r="HVH1" s="841"/>
      <c r="HVI1" s="841"/>
      <c r="HVJ1" s="841"/>
      <c r="HVK1" s="841"/>
      <c r="HVL1" s="841"/>
      <c r="HVM1" s="841"/>
      <c r="HVN1" s="841"/>
      <c r="HVO1" s="841"/>
      <c r="HVP1" s="841"/>
      <c r="HVQ1" s="841"/>
      <c r="HVR1" s="841"/>
      <c r="HVS1" s="841"/>
      <c r="HVT1" s="841"/>
      <c r="HVU1" s="841"/>
      <c r="HVV1" s="841"/>
      <c r="HVW1" s="841"/>
      <c r="HVX1" s="841"/>
      <c r="HVY1" s="841"/>
      <c r="HVZ1" s="841"/>
      <c r="HWA1" s="841"/>
      <c r="HWB1" s="841"/>
      <c r="HWC1" s="841"/>
      <c r="HWD1" s="841"/>
      <c r="HWE1" s="841"/>
      <c r="HWF1" s="841"/>
      <c r="HWG1" s="841"/>
      <c r="HWH1" s="841"/>
      <c r="HWI1" s="841"/>
      <c r="HWJ1" s="841"/>
      <c r="HWK1" s="841"/>
      <c r="HWL1" s="841"/>
      <c r="HWM1" s="841"/>
      <c r="HWN1" s="841"/>
      <c r="HWO1" s="841"/>
      <c r="HWP1" s="841"/>
      <c r="HWQ1" s="841"/>
      <c r="HWR1" s="841"/>
      <c r="HWS1" s="841"/>
      <c r="HWT1" s="841"/>
      <c r="HWU1" s="841"/>
      <c r="HWV1" s="841"/>
      <c r="HWW1" s="841"/>
      <c r="HWX1" s="841"/>
      <c r="HWY1" s="841"/>
      <c r="HWZ1" s="841"/>
      <c r="HXA1" s="841"/>
      <c r="HXB1" s="841"/>
      <c r="HXC1" s="841"/>
      <c r="HXD1" s="841"/>
      <c r="HXE1" s="841"/>
      <c r="HXF1" s="841"/>
      <c r="HXG1" s="841"/>
      <c r="HXH1" s="841"/>
      <c r="HXI1" s="841"/>
      <c r="HXJ1" s="841"/>
      <c r="HXK1" s="841"/>
      <c r="HXL1" s="841"/>
      <c r="HXM1" s="841"/>
      <c r="HXN1" s="841"/>
      <c r="HXO1" s="841"/>
      <c r="HXP1" s="841"/>
      <c r="HXQ1" s="841"/>
      <c r="HXR1" s="841"/>
      <c r="HXS1" s="841"/>
      <c r="HXT1" s="841"/>
      <c r="HXU1" s="841"/>
      <c r="HXV1" s="841"/>
      <c r="HXW1" s="841"/>
      <c r="HXX1" s="841"/>
      <c r="HXY1" s="841"/>
      <c r="HXZ1" s="841"/>
      <c r="HYA1" s="841"/>
      <c r="HYB1" s="841"/>
      <c r="HYC1" s="841"/>
      <c r="HYD1" s="841"/>
      <c r="HYE1" s="841"/>
      <c r="HYF1" s="841"/>
      <c r="HYG1" s="841"/>
      <c r="HYH1" s="841"/>
      <c r="HYI1" s="841"/>
      <c r="HYJ1" s="841"/>
      <c r="HYK1" s="841"/>
      <c r="HYL1" s="841"/>
      <c r="HYM1" s="841"/>
      <c r="HYN1" s="841"/>
      <c r="HYO1" s="841"/>
      <c r="HYP1" s="841"/>
      <c r="HYQ1" s="841"/>
      <c r="HYR1" s="841"/>
      <c r="HYS1" s="841"/>
      <c r="HYT1" s="841"/>
      <c r="HYU1" s="841"/>
      <c r="HYV1" s="841"/>
      <c r="HYW1" s="841"/>
      <c r="HYX1" s="841"/>
      <c r="HYY1" s="841"/>
      <c r="HYZ1" s="841"/>
      <c r="HZA1" s="841"/>
      <c r="HZB1" s="841"/>
      <c r="HZC1" s="841"/>
      <c r="HZD1" s="841"/>
      <c r="HZE1" s="841"/>
      <c r="HZF1" s="841"/>
      <c r="HZG1" s="841"/>
      <c r="HZH1" s="841"/>
      <c r="HZI1" s="841"/>
      <c r="HZJ1" s="841"/>
      <c r="HZK1" s="841"/>
      <c r="HZL1" s="841"/>
      <c r="HZM1" s="841"/>
      <c r="HZN1" s="841"/>
      <c r="HZO1" s="841"/>
      <c r="HZP1" s="841"/>
      <c r="HZQ1" s="841"/>
      <c r="HZR1" s="841"/>
      <c r="HZS1" s="841"/>
      <c r="HZT1" s="841"/>
      <c r="HZU1" s="841"/>
      <c r="HZV1" s="841"/>
      <c r="HZW1" s="841"/>
      <c r="HZX1" s="841"/>
      <c r="HZY1" s="841"/>
      <c r="HZZ1" s="841"/>
      <c r="IAA1" s="841"/>
      <c r="IAB1" s="841"/>
      <c r="IAC1" s="841"/>
      <c r="IAD1" s="841"/>
      <c r="IAE1" s="841"/>
      <c r="IAF1" s="841"/>
      <c r="IAG1" s="841"/>
      <c r="IAH1" s="841"/>
      <c r="IAI1" s="841"/>
      <c r="IAJ1" s="841"/>
      <c r="IAK1" s="841"/>
      <c r="IAL1" s="841"/>
      <c r="IAM1" s="841"/>
      <c r="IAN1" s="841"/>
      <c r="IAO1" s="841"/>
      <c r="IAP1" s="841"/>
      <c r="IAQ1" s="841"/>
      <c r="IAR1" s="841"/>
      <c r="IAS1" s="841"/>
      <c r="IAT1" s="841"/>
      <c r="IAU1" s="841"/>
      <c r="IAV1" s="841"/>
      <c r="IAW1" s="841"/>
      <c r="IAX1" s="841"/>
      <c r="IAY1" s="841"/>
      <c r="IAZ1" s="841"/>
      <c r="IBA1" s="841"/>
      <c r="IBB1" s="841"/>
      <c r="IBC1" s="841"/>
      <c r="IBD1" s="841"/>
      <c r="IBE1" s="841"/>
      <c r="IBF1" s="841"/>
      <c r="IBG1" s="841"/>
      <c r="IBH1" s="841"/>
      <c r="IBI1" s="841"/>
      <c r="IBJ1" s="841"/>
      <c r="IBK1" s="841"/>
      <c r="IBL1" s="841"/>
      <c r="IBM1" s="841"/>
      <c r="IBN1" s="841"/>
      <c r="IBO1" s="841"/>
      <c r="IBP1" s="841"/>
      <c r="IBQ1" s="841"/>
      <c r="IBR1" s="841"/>
      <c r="IBS1" s="841"/>
      <c r="IBT1" s="841"/>
      <c r="IBU1" s="841"/>
      <c r="IBV1" s="841"/>
      <c r="IBW1" s="841"/>
      <c r="IBX1" s="841"/>
      <c r="IBY1" s="841"/>
      <c r="IBZ1" s="841"/>
      <c r="ICA1" s="841"/>
      <c r="ICB1" s="841"/>
      <c r="ICC1" s="841"/>
      <c r="ICD1" s="841"/>
      <c r="ICE1" s="841"/>
      <c r="ICF1" s="841"/>
      <c r="ICG1" s="841"/>
      <c r="ICH1" s="841"/>
      <c r="ICI1" s="841"/>
      <c r="ICJ1" s="841"/>
      <c r="ICK1" s="841"/>
      <c r="ICL1" s="841"/>
      <c r="ICM1" s="841"/>
      <c r="ICN1" s="841"/>
      <c r="ICO1" s="841"/>
      <c r="ICP1" s="841"/>
      <c r="ICQ1" s="841"/>
      <c r="ICR1" s="841"/>
      <c r="ICS1" s="841"/>
      <c r="ICT1" s="841"/>
      <c r="ICU1" s="841"/>
      <c r="ICV1" s="841"/>
      <c r="ICW1" s="841"/>
      <c r="ICX1" s="841"/>
      <c r="ICY1" s="841"/>
      <c r="ICZ1" s="841"/>
      <c r="IDA1" s="841"/>
      <c r="IDB1" s="841"/>
      <c r="IDC1" s="841"/>
      <c r="IDD1" s="841"/>
      <c r="IDE1" s="841"/>
      <c r="IDF1" s="841"/>
      <c r="IDG1" s="841"/>
      <c r="IDH1" s="841"/>
      <c r="IDI1" s="841"/>
      <c r="IDJ1" s="841"/>
      <c r="IDK1" s="841"/>
      <c r="IDL1" s="841"/>
      <c r="IDM1" s="841"/>
      <c r="IDN1" s="841"/>
      <c r="IDO1" s="841"/>
      <c r="IDP1" s="841"/>
      <c r="IDQ1" s="841"/>
      <c r="IDR1" s="841"/>
      <c r="IDS1" s="841"/>
      <c r="IDT1" s="841"/>
      <c r="IDU1" s="841"/>
      <c r="IDV1" s="841"/>
      <c r="IDW1" s="841"/>
      <c r="IDX1" s="841"/>
      <c r="IDY1" s="841"/>
      <c r="IDZ1" s="841"/>
      <c r="IEA1" s="841"/>
      <c r="IEB1" s="841"/>
      <c r="IEC1" s="841"/>
      <c r="IED1" s="841"/>
      <c r="IEE1" s="841"/>
      <c r="IEF1" s="841"/>
      <c r="IEG1" s="841"/>
      <c r="IEH1" s="841"/>
      <c r="IEI1" s="841"/>
      <c r="IEJ1" s="841"/>
      <c r="IEK1" s="841"/>
      <c r="IEL1" s="841"/>
      <c r="IEM1" s="841"/>
      <c r="IEN1" s="841"/>
      <c r="IEO1" s="841"/>
      <c r="IEP1" s="841"/>
      <c r="IEQ1" s="841"/>
      <c r="IER1" s="841"/>
      <c r="IES1" s="841"/>
      <c r="IET1" s="841"/>
      <c r="IEU1" s="841"/>
      <c r="IEV1" s="841"/>
      <c r="IEW1" s="841"/>
      <c r="IEX1" s="841"/>
      <c r="IEY1" s="841"/>
      <c r="IEZ1" s="841"/>
      <c r="IFA1" s="841"/>
      <c r="IFB1" s="841"/>
      <c r="IFC1" s="841"/>
      <c r="IFD1" s="841"/>
      <c r="IFE1" s="841"/>
      <c r="IFF1" s="841"/>
      <c r="IFG1" s="841"/>
      <c r="IFH1" s="841"/>
      <c r="IFI1" s="841"/>
      <c r="IFJ1" s="841"/>
      <c r="IFK1" s="841"/>
      <c r="IFL1" s="841"/>
      <c r="IFM1" s="841"/>
      <c r="IFN1" s="841"/>
      <c r="IFO1" s="841"/>
      <c r="IFP1" s="841"/>
      <c r="IFQ1" s="841"/>
      <c r="IFR1" s="841"/>
      <c r="IFS1" s="841"/>
      <c r="IFT1" s="841"/>
      <c r="IFU1" s="841"/>
      <c r="IFV1" s="841"/>
      <c r="IFW1" s="841"/>
      <c r="IFX1" s="841"/>
      <c r="IFY1" s="841"/>
      <c r="IFZ1" s="841"/>
      <c r="IGA1" s="841"/>
      <c r="IGB1" s="841"/>
      <c r="IGC1" s="841"/>
      <c r="IGD1" s="841"/>
      <c r="IGE1" s="841"/>
      <c r="IGF1" s="841"/>
      <c r="IGG1" s="841"/>
      <c r="IGH1" s="841"/>
      <c r="IGI1" s="841"/>
      <c r="IGJ1" s="841"/>
      <c r="IGK1" s="841"/>
      <c r="IGL1" s="841"/>
      <c r="IGM1" s="841"/>
      <c r="IGN1" s="841"/>
      <c r="IGO1" s="841"/>
      <c r="IGP1" s="841"/>
      <c r="IGQ1" s="841"/>
      <c r="IGR1" s="841"/>
      <c r="IGS1" s="841"/>
      <c r="IGT1" s="841"/>
      <c r="IGU1" s="841"/>
      <c r="IGV1" s="841"/>
      <c r="IGW1" s="841"/>
      <c r="IGX1" s="841"/>
      <c r="IGY1" s="841"/>
      <c r="IGZ1" s="841"/>
      <c r="IHA1" s="841"/>
      <c r="IHB1" s="841"/>
      <c r="IHC1" s="841"/>
      <c r="IHD1" s="841"/>
      <c r="IHE1" s="841"/>
      <c r="IHF1" s="841"/>
      <c r="IHG1" s="841"/>
      <c r="IHH1" s="841"/>
      <c r="IHI1" s="841"/>
      <c r="IHJ1" s="841"/>
      <c r="IHK1" s="841"/>
      <c r="IHL1" s="841"/>
      <c r="IHM1" s="841"/>
      <c r="IHN1" s="841"/>
      <c r="IHO1" s="841"/>
      <c r="IHP1" s="841"/>
      <c r="IHQ1" s="841"/>
      <c r="IHR1" s="841"/>
      <c r="IHS1" s="841"/>
      <c r="IHT1" s="841"/>
      <c r="IHU1" s="841"/>
      <c r="IHV1" s="841"/>
      <c r="IHW1" s="841"/>
      <c r="IHX1" s="841"/>
      <c r="IHY1" s="841"/>
      <c r="IHZ1" s="841"/>
      <c r="IIA1" s="841"/>
      <c r="IIB1" s="841"/>
      <c r="IIC1" s="841"/>
      <c r="IID1" s="841"/>
      <c r="IIE1" s="841"/>
      <c r="IIF1" s="841"/>
      <c r="IIG1" s="841"/>
      <c r="IIH1" s="841"/>
      <c r="III1" s="841"/>
      <c r="IIJ1" s="841"/>
      <c r="IIK1" s="841"/>
      <c r="IIL1" s="841"/>
      <c r="IIM1" s="841"/>
      <c r="IIN1" s="841"/>
      <c r="IIO1" s="841"/>
      <c r="IIP1" s="841"/>
      <c r="IIQ1" s="841"/>
      <c r="IIR1" s="841"/>
      <c r="IIS1" s="841"/>
      <c r="IIT1" s="841"/>
      <c r="IIU1" s="841"/>
      <c r="IIV1" s="841"/>
      <c r="IIW1" s="841"/>
      <c r="IIX1" s="841"/>
      <c r="IIY1" s="841"/>
      <c r="IIZ1" s="841"/>
      <c r="IJA1" s="841"/>
      <c r="IJB1" s="841"/>
      <c r="IJC1" s="841"/>
      <c r="IJD1" s="841"/>
      <c r="IJE1" s="841"/>
      <c r="IJF1" s="841"/>
      <c r="IJG1" s="841"/>
      <c r="IJH1" s="841"/>
      <c r="IJI1" s="841"/>
      <c r="IJJ1" s="841"/>
      <c r="IJK1" s="841"/>
      <c r="IJL1" s="841"/>
      <c r="IJM1" s="841"/>
      <c r="IJN1" s="841"/>
      <c r="IJO1" s="841"/>
      <c r="IJP1" s="841"/>
      <c r="IJQ1" s="841"/>
      <c r="IJR1" s="841"/>
      <c r="IJS1" s="841"/>
      <c r="IJT1" s="841"/>
      <c r="IJU1" s="841"/>
      <c r="IJV1" s="841"/>
      <c r="IJW1" s="841"/>
      <c r="IJX1" s="841"/>
      <c r="IJY1" s="841"/>
      <c r="IJZ1" s="841"/>
      <c r="IKA1" s="841"/>
      <c r="IKB1" s="841"/>
      <c r="IKC1" s="841"/>
      <c r="IKD1" s="841"/>
      <c r="IKE1" s="841"/>
      <c r="IKF1" s="841"/>
      <c r="IKG1" s="841"/>
      <c r="IKH1" s="841"/>
      <c r="IKI1" s="841"/>
      <c r="IKJ1" s="841"/>
      <c r="IKK1" s="841"/>
      <c r="IKL1" s="841"/>
      <c r="IKM1" s="841"/>
      <c r="IKN1" s="841"/>
      <c r="IKO1" s="841"/>
      <c r="IKP1" s="841"/>
      <c r="IKQ1" s="841"/>
      <c r="IKR1" s="841"/>
      <c r="IKS1" s="841"/>
      <c r="IKT1" s="841"/>
      <c r="IKU1" s="841"/>
      <c r="IKV1" s="841"/>
      <c r="IKW1" s="841"/>
      <c r="IKX1" s="841"/>
      <c r="IKY1" s="841"/>
      <c r="IKZ1" s="841"/>
      <c r="ILA1" s="841"/>
      <c r="ILB1" s="841"/>
      <c r="ILC1" s="841"/>
      <c r="ILD1" s="841"/>
      <c r="ILE1" s="841"/>
      <c r="ILF1" s="841"/>
      <c r="ILG1" s="841"/>
      <c r="ILH1" s="841"/>
      <c r="ILI1" s="841"/>
      <c r="ILJ1" s="841"/>
      <c r="ILK1" s="841"/>
      <c r="ILL1" s="841"/>
      <c r="ILM1" s="841"/>
      <c r="ILN1" s="841"/>
      <c r="ILO1" s="841"/>
      <c r="ILP1" s="841"/>
      <c r="ILQ1" s="841"/>
      <c r="ILR1" s="841"/>
      <c r="ILS1" s="841"/>
      <c r="ILT1" s="841"/>
      <c r="ILU1" s="841"/>
      <c r="ILV1" s="841"/>
      <c r="ILW1" s="841"/>
      <c r="ILX1" s="841"/>
      <c r="ILY1" s="841"/>
      <c r="ILZ1" s="841"/>
      <c r="IMA1" s="841"/>
      <c r="IMB1" s="841"/>
      <c r="IMC1" s="841"/>
      <c r="IMD1" s="841"/>
      <c r="IME1" s="841"/>
      <c r="IMF1" s="841"/>
      <c r="IMG1" s="841"/>
      <c r="IMH1" s="841"/>
      <c r="IMI1" s="841"/>
      <c r="IMJ1" s="841"/>
      <c r="IMK1" s="841"/>
      <c r="IML1" s="841"/>
      <c r="IMM1" s="841"/>
      <c r="IMN1" s="841"/>
      <c r="IMO1" s="841"/>
      <c r="IMP1" s="841"/>
      <c r="IMQ1" s="841"/>
      <c r="IMR1" s="841"/>
      <c r="IMS1" s="841"/>
      <c r="IMT1" s="841"/>
      <c r="IMU1" s="841"/>
      <c r="IMV1" s="841"/>
      <c r="IMW1" s="841"/>
      <c r="IMX1" s="841"/>
      <c r="IMY1" s="841"/>
      <c r="IMZ1" s="841"/>
      <c r="INA1" s="841"/>
      <c r="INB1" s="841"/>
      <c r="INC1" s="841"/>
      <c r="IND1" s="841"/>
      <c r="INE1" s="841"/>
      <c r="INF1" s="841"/>
      <c r="ING1" s="841"/>
      <c r="INH1" s="841"/>
      <c r="INI1" s="841"/>
      <c r="INJ1" s="841"/>
      <c r="INK1" s="841"/>
      <c r="INL1" s="841"/>
      <c r="INM1" s="841"/>
      <c r="INN1" s="841"/>
      <c r="INO1" s="841"/>
      <c r="INP1" s="841"/>
      <c r="INQ1" s="841"/>
      <c r="INR1" s="841"/>
      <c r="INS1" s="841"/>
      <c r="INT1" s="841"/>
      <c r="INU1" s="841"/>
      <c r="INV1" s="841"/>
      <c r="INW1" s="841"/>
      <c r="INX1" s="841"/>
      <c r="INY1" s="841"/>
      <c r="INZ1" s="841"/>
      <c r="IOA1" s="841"/>
      <c r="IOB1" s="841"/>
      <c r="IOC1" s="841"/>
      <c r="IOD1" s="841"/>
      <c r="IOE1" s="841"/>
      <c r="IOF1" s="841"/>
      <c r="IOG1" s="841"/>
      <c r="IOH1" s="841"/>
      <c r="IOI1" s="841"/>
      <c r="IOJ1" s="841"/>
      <c r="IOK1" s="841"/>
      <c r="IOL1" s="841"/>
      <c r="IOM1" s="841"/>
      <c r="ION1" s="841"/>
      <c r="IOO1" s="841"/>
      <c r="IOP1" s="841"/>
      <c r="IOQ1" s="841"/>
      <c r="IOR1" s="841"/>
      <c r="IOS1" s="841"/>
      <c r="IOT1" s="841"/>
      <c r="IOU1" s="841"/>
      <c r="IOV1" s="841"/>
      <c r="IOW1" s="841"/>
      <c r="IOX1" s="841"/>
      <c r="IOY1" s="841"/>
      <c r="IOZ1" s="841"/>
      <c r="IPA1" s="841"/>
      <c r="IPB1" s="841"/>
      <c r="IPC1" s="841"/>
      <c r="IPD1" s="841"/>
      <c r="IPE1" s="841"/>
      <c r="IPF1" s="841"/>
      <c r="IPG1" s="841"/>
      <c r="IPH1" s="841"/>
      <c r="IPI1" s="841"/>
      <c r="IPJ1" s="841"/>
      <c r="IPK1" s="841"/>
      <c r="IPL1" s="841"/>
      <c r="IPM1" s="841"/>
      <c r="IPN1" s="841"/>
      <c r="IPO1" s="841"/>
      <c r="IPP1" s="841"/>
      <c r="IPQ1" s="841"/>
      <c r="IPR1" s="841"/>
      <c r="IPS1" s="841"/>
      <c r="IPT1" s="841"/>
      <c r="IPU1" s="841"/>
      <c r="IPV1" s="841"/>
      <c r="IPW1" s="841"/>
      <c r="IPX1" s="841"/>
      <c r="IPY1" s="841"/>
      <c r="IPZ1" s="841"/>
      <c r="IQA1" s="841"/>
      <c r="IQB1" s="841"/>
      <c r="IQC1" s="841"/>
      <c r="IQD1" s="841"/>
      <c r="IQE1" s="841"/>
      <c r="IQF1" s="841"/>
      <c r="IQG1" s="841"/>
      <c r="IQH1" s="841"/>
      <c r="IQI1" s="841"/>
      <c r="IQJ1" s="841"/>
      <c r="IQK1" s="841"/>
      <c r="IQL1" s="841"/>
      <c r="IQM1" s="841"/>
      <c r="IQN1" s="841"/>
      <c r="IQO1" s="841"/>
      <c r="IQP1" s="841"/>
      <c r="IQQ1" s="841"/>
      <c r="IQR1" s="841"/>
      <c r="IQS1" s="841"/>
      <c r="IQT1" s="841"/>
      <c r="IQU1" s="841"/>
      <c r="IQV1" s="841"/>
      <c r="IQW1" s="841"/>
      <c r="IQX1" s="841"/>
      <c r="IQY1" s="841"/>
      <c r="IQZ1" s="841"/>
      <c r="IRA1" s="841"/>
      <c r="IRB1" s="841"/>
      <c r="IRC1" s="841"/>
      <c r="IRD1" s="841"/>
      <c r="IRE1" s="841"/>
      <c r="IRF1" s="841"/>
      <c r="IRG1" s="841"/>
      <c r="IRH1" s="841"/>
      <c r="IRI1" s="841"/>
      <c r="IRJ1" s="841"/>
      <c r="IRK1" s="841"/>
      <c r="IRL1" s="841"/>
      <c r="IRM1" s="841"/>
      <c r="IRN1" s="841"/>
      <c r="IRO1" s="841"/>
      <c r="IRP1" s="841"/>
      <c r="IRQ1" s="841"/>
      <c r="IRR1" s="841"/>
      <c r="IRS1" s="841"/>
      <c r="IRT1" s="841"/>
      <c r="IRU1" s="841"/>
      <c r="IRV1" s="841"/>
      <c r="IRW1" s="841"/>
      <c r="IRX1" s="841"/>
      <c r="IRY1" s="841"/>
      <c r="IRZ1" s="841"/>
      <c r="ISA1" s="841"/>
      <c r="ISB1" s="841"/>
      <c r="ISC1" s="841"/>
      <c r="ISD1" s="841"/>
      <c r="ISE1" s="841"/>
      <c r="ISF1" s="841"/>
      <c r="ISG1" s="841"/>
      <c r="ISH1" s="841"/>
      <c r="ISI1" s="841"/>
      <c r="ISJ1" s="841"/>
      <c r="ISK1" s="841"/>
      <c r="ISL1" s="841"/>
      <c r="ISM1" s="841"/>
      <c r="ISN1" s="841"/>
      <c r="ISO1" s="841"/>
      <c r="ISP1" s="841"/>
      <c r="ISQ1" s="841"/>
      <c r="ISR1" s="841"/>
      <c r="ISS1" s="841"/>
      <c r="IST1" s="841"/>
      <c r="ISU1" s="841"/>
      <c r="ISV1" s="841"/>
      <c r="ISW1" s="841"/>
      <c r="ISX1" s="841"/>
      <c r="ISY1" s="841"/>
      <c r="ISZ1" s="841"/>
      <c r="ITA1" s="841"/>
      <c r="ITB1" s="841"/>
      <c r="ITC1" s="841"/>
      <c r="ITD1" s="841"/>
      <c r="ITE1" s="841"/>
      <c r="ITF1" s="841"/>
      <c r="ITG1" s="841"/>
      <c r="ITH1" s="841"/>
      <c r="ITI1" s="841"/>
      <c r="ITJ1" s="841"/>
      <c r="ITK1" s="841"/>
      <c r="ITL1" s="841"/>
      <c r="ITM1" s="841"/>
      <c r="ITN1" s="841"/>
      <c r="ITO1" s="841"/>
      <c r="ITP1" s="841"/>
      <c r="ITQ1" s="841"/>
      <c r="ITR1" s="841"/>
      <c r="ITS1" s="841"/>
      <c r="ITT1" s="841"/>
      <c r="ITU1" s="841"/>
      <c r="ITV1" s="841"/>
      <c r="ITW1" s="841"/>
      <c r="ITX1" s="841"/>
      <c r="ITY1" s="841"/>
      <c r="ITZ1" s="841"/>
      <c r="IUA1" s="841"/>
      <c r="IUB1" s="841"/>
      <c r="IUC1" s="841"/>
      <c r="IUD1" s="841"/>
      <c r="IUE1" s="841"/>
      <c r="IUF1" s="841"/>
      <c r="IUG1" s="841"/>
      <c r="IUH1" s="841"/>
      <c r="IUI1" s="841"/>
      <c r="IUJ1" s="841"/>
      <c r="IUK1" s="841"/>
      <c r="IUL1" s="841"/>
      <c r="IUM1" s="841"/>
      <c r="IUN1" s="841"/>
      <c r="IUO1" s="841"/>
      <c r="IUP1" s="841"/>
      <c r="IUQ1" s="841"/>
      <c r="IUR1" s="841"/>
      <c r="IUS1" s="841"/>
      <c r="IUT1" s="841"/>
      <c r="IUU1" s="841"/>
      <c r="IUV1" s="841"/>
      <c r="IUW1" s="841"/>
      <c r="IUX1" s="841"/>
      <c r="IUY1" s="841"/>
      <c r="IUZ1" s="841"/>
      <c r="IVA1" s="841"/>
      <c r="IVB1" s="841"/>
      <c r="IVC1" s="841"/>
      <c r="IVD1" s="841"/>
      <c r="IVE1" s="841"/>
      <c r="IVF1" s="841"/>
      <c r="IVG1" s="841"/>
      <c r="IVH1" s="841"/>
      <c r="IVI1" s="841"/>
      <c r="IVJ1" s="841"/>
      <c r="IVK1" s="841"/>
      <c r="IVL1" s="841"/>
      <c r="IVM1" s="841"/>
      <c r="IVN1" s="841"/>
      <c r="IVO1" s="841"/>
      <c r="IVP1" s="841"/>
      <c r="IVQ1" s="841"/>
      <c r="IVR1" s="841"/>
      <c r="IVS1" s="841"/>
      <c r="IVT1" s="841"/>
      <c r="IVU1" s="841"/>
      <c r="IVV1" s="841"/>
      <c r="IVW1" s="841"/>
      <c r="IVX1" s="841"/>
      <c r="IVY1" s="841"/>
      <c r="IVZ1" s="841"/>
      <c r="IWA1" s="841"/>
      <c r="IWB1" s="841"/>
      <c r="IWC1" s="841"/>
      <c r="IWD1" s="841"/>
      <c r="IWE1" s="841"/>
      <c r="IWF1" s="841"/>
      <c r="IWG1" s="841"/>
      <c r="IWH1" s="841"/>
      <c r="IWI1" s="841"/>
      <c r="IWJ1" s="841"/>
      <c r="IWK1" s="841"/>
      <c r="IWL1" s="841"/>
      <c r="IWM1" s="841"/>
      <c r="IWN1" s="841"/>
      <c r="IWO1" s="841"/>
      <c r="IWP1" s="841"/>
      <c r="IWQ1" s="841"/>
      <c r="IWR1" s="841"/>
      <c r="IWS1" s="841"/>
      <c r="IWT1" s="841"/>
      <c r="IWU1" s="841"/>
      <c r="IWV1" s="841"/>
      <c r="IWW1" s="841"/>
      <c r="IWX1" s="841"/>
      <c r="IWY1" s="841"/>
      <c r="IWZ1" s="841"/>
      <c r="IXA1" s="841"/>
      <c r="IXB1" s="841"/>
      <c r="IXC1" s="841"/>
      <c r="IXD1" s="841"/>
      <c r="IXE1" s="841"/>
      <c r="IXF1" s="841"/>
      <c r="IXG1" s="841"/>
      <c r="IXH1" s="841"/>
      <c r="IXI1" s="841"/>
      <c r="IXJ1" s="841"/>
      <c r="IXK1" s="841"/>
      <c r="IXL1" s="841"/>
      <c r="IXM1" s="841"/>
      <c r="IXN1" s="841"/>
      <c r="IXO1" s="841"/>
      <c r="IXP1" s="841"/>
      <c r="IXQ1" s="841"/>
      <c r="IXR1" s="841"/>
      <c r="IXS1" s="841"/>
      <c r="IXT1" s="841"/>
      <c r="IXU1" s="841"/>
      <c r="IXV1" s="841"/>
      <c r="IXW1" s="841"/>
      <c r="IXX1" s="841"/>
      <c r="IXY1" s="841"/>
      <c r="IXZ1" s="841"/>
      <c r="IYA1" s="841"/>
      <c r="IYB1" s="841"/>
      <c r="IYC1" s="841"/>
      <c r="IYD1" s="841"/>
      <c r="IYE1" s="841"/>
      <c r="IYF1" s="841"/>
      <c r="IYG1" s="841"/>
      <c r="IYH1" s="841"/>
      <c r="IYI1" s="841"/>
      <c r="IYJ1" s="841"/>
      <c r="IYK1" s="841"/>
      <c r="IYL1" s="841"/>
      <c r="IYM1" s="841"/>
      <c r="IYN1" s="841"/>
      <c r="IYO1" s="841"/>
      <c r="IYP1" s="841"/>
      <c r="IYQ1" s="841"/>
      <c r="IYR1" s="841"/>
      <c r="IYS1" s="841"/>
      <c r="IYT1" s="841"/>
      <c r="IYU1" s="841"/>
      <c r="IYV1" s="841"/>
      <c r="IYW1" s="841"/>
      <c r="IYX1" s="841"/>
      <c r="IYY1" s="841"/>
      <c r="IYZ1" s="841"/>
      <c r="IZA1" s="841"/>
      <c r="IZB1" s="841"/>
      <c r="IZC1" s="841"/>
      <c r="IZD1" s="841"/>
      <c r="IZE1" s="841"/>
      <c r="IZF1" s="841"/>
      <c r="IZG1" s="841"/>
      <c r="IZH1" s="841"/>
      <c r="IZI1" s="841"/>
      <c r="IZJ1" s="841"/>
      <c r="IZK1" s="841"/>
      <c r="IZL1" s="841"/>
      <c r="IZM1" s="841"/>
      <c r="IZN1" s="841"/>
      <c r="IZO1" s="841"/>
      <c r="IZP1" s="841"/>
      <c r="IZQ1" s="841"/>
      <c r="IZR1" s="841"/>
      <c r="IZS1" s="841"/>
      <c r="IZT1" s="841"/>
      <c r="IZU1" s="841"/>
      <c r="IZV1" s="841"/>
      <c r="IZW1" s="841"/>
      <c r="IZX1" s="841"/>
      <c r="IZY1" s="841"/>
      <c r="IZZ1" s="841"/>
      <c r="JAA1" s="841"/>
      <c r="JAB1" s="841"/>
      <c r="JAC1" s="841"/>
      <c r="JAD1" s="841"/>
      <c r="JAE1" s="841"/>
      <c r="JAF1" s="841"/>
      <c r="JAG1" s="841"/>
      <c r="JAH1" s="841"/>
      <c r="JAI1" s="841"/>
      <c r="JAJ1" s="841"/>
      <c r="JAK1" s="841"/>
      <c r="JAL1" s="841"/>
      <c r="JAM1" s="841"/>
      <c r="JAN1" s="841"/>
      <c r="JAO1" s="841"/>
      <c r="JAP1" s="841"/>
      <c r="JAQ1" s="841"/>
      <c r="JAR1" s="841"/>
      <c r="JAS1" s="841"/>
      <c r="JAT1" s="841"/>
      <c r="JAU1" s="841"/>
      <c r="JAV1" s="841"/>
      <c r="JAW1" s="841"/>
      <c r="JAX1" s="841"/>
      <c r="JAY1" s="841"/>
      <c r="JAZ1" s="841"/>
      <c r="JBA1" s="841"/>
      <c r="JBB1" s="841"/>
      <c r="JBC1" s="841"/>
      <c r="JBD1" s="841"/>
      <c r="JBE1" s="841"/>
      <c r="JBF1" s="841"/>
      <c r="JBG1" s="841"/>
      <c r="JBH1" s="841"/>
      <c r="JBI1" s="841"/>
      <c r="JBJ1" s="841"/>
      <c r="JBK1" s="841"/>
      <c r="JBL1" s="841"/>
      <c r="JBM1" s="841"/>
      <c r="JBN1" s="841"/>
      <c r="JBO1" s="841"/>
      <c r="JBP1" s="841"/>
      <c r="JBQ1" s="841"/>
      <c r="JBR1" s="841"/>
      <c r="JBS1" s="841"/>
      <c r="JBT1" s="841"/>
      <c r="JBU1" s="841"/>
      <c r="JBV1" s="841"/>
      <c r="JBW1" s="841"/>
      <c r="JBX1" s="841"/>
      <c r="JBY1" s="841"/>
      <c r="JBZ1" s="841"/>
      <c r="JCA1" s="841"/>
      <c r="JCB1" s="841"/>
      <c r="JCC1" s="841"/>
      <c r="JCD1" s="841"/>
      <c r="JCE1" s="841"/>
      <c r="JCF1" s="841"/>
      <c r="JCG1" s="841"/>
      <c r="JCH1" s="841"/>
      <c r="JCI1" s="841"/>
      <c r="JCJ1" s="841"/>
      <c r="JCK1" s="841"/>
      <c r="JCL1" s="841"/>
      <c r="JCM1" s="841"/>
      <c r="JCN1" s="841"/>
      <c r="JCO1" s="841"/>
      <c r="JCP1" s="841"/>
      <c r="JCQ1" s="841"/>
      <c r="JCR1" s="841"/>
      <c r="JCS1" s="841"/>
      <c r="JCT1" s="841"/>
      <c r="JCU1" s="841"/>
      <c r="JCV1" s="841"/>
      <c r="JCW1" s="841"/>
      <c r="JCX1" s="841"/>
      <c r="JCY1" s="841"/>
      <c r="JCZ1" s="841"/>
      <c r="JDA1" s="841"/>
      <c r="JDB1" s="841"/>
      <c r="JDC1" s="841"/>
      <c r="JDD1" s="841"/>
      <c r="JDE1" s="841"/>
      <c r="JDF1" s="841"/>
      <c r="JDG1" s="841"/>
      <c r="JDH1" s="841"/>
      <c r="JDI1" s="841"/>
      <c r="JDJ1" s="841"/>
      <c r="JDK1" s="841"/>
      <c r="JDL1" s="841"/>
      <c r="JDM1" s="841"/>
      <c r="JDN1" s="841"/>
      <c r="JDO1" s="841"/>
      <c r="JDP1" s="841"/>
      <c r="JDQ1" s="841"/>
      <c r="JDR1" s="841"/>
      <c r="JDS1" s="841"/>
      <c r="JDT1" s="841"/>
      <c r="JDU1" s="841"/>
      <c r="JDV1" s="841"/>
      <c r="JDW1" s="841"/>
      <c r="JDX1" s="841"/>
      <c r="JDY1" s="841"/>
      <c r="JDZ1" s="841"/>
      <c r="JEA1" s="841"/>
      <c r="JEB1" s="841"/>
      <c r="JEC1" s="841"/>
      <c r="JED1" s="841"/>
      <c r="JEE1" s="841"/>
      <c r="JEF1" s="841"/>
      <c r="JEG1" s="841"/>
      <c r="JEH1" s="841"/>
      <c r="JEI1" s="841"/>
      <c r="JEJ1" s="841"/>
      <c r="JEK1" s="841"/>
      <c r="JEL1" s="841"/>
      <c r="JEM1" s="841"/>
      <c r="JEN1" s="841"/>
      <c r="JEO1" s="841"/>
      <c r="JEP1" s="841"/>
      <c r="JEQ1" s="841"/>
      <c r="JER1" s="841"/>
      <c r="JES1" s="841"/>
      <c r="JET1" s="841"/>
      <c r="JEU1" s="841"/>
      <c r="JEV1" s="841"/>
      <c r="JEW1" s="841"/>
      <c r="JEX1" s="841"/>
      <c r="JEY1" s="841"/>
      <c r="JEZ1" s="841"/>
      <c r="JFA1" s="841"/>
      <c r="JFB1" s="841"/>
      <c r="JFC1" s="841"/>
      <c r="JFD1" s="841"/>
      <c r="JFE1" s="841"/>
      <c r="JFF1" s="841"/>
      <c r="JFG1" s="841"/>
      <c r="JFH1" s="841"/>
      <c r="JFI1" s="841"/>
      <c r="JFJ1" s="841"/>
      <c r="JFK1" s="841"/>
      <c r="JFL1" s="841"/>
      <c r="JFM1" s="841"/>
      <c r="JFN1" s="841"/>
      <c r="JFO1" s="841"/>
      <c r="JFP1" s="841"/>
      <c r="JFQ1" s="841"/>
      <c r="JFR1" s="841"/>
      <c r="JFS1" s="841"/>
      <c r="JFT1" s="841"/>
      <c r="JFU1" s="841"/>
      <c r="JFV1" s="841"/>
      <c r="JFW1" s="841"/>
      <c r="JFX1" s="841"/>
      <c r="JFY1" s="841"/>
      <c r="JFZ1" s="841"/>
      <c r="JGA1" s="841"/>
      <c r="JGB1" s="841"/>
      <c r="JGC1" s="841"/>
      <c r="JGD1" s="841"/>
      <c r="JGE1" s="841"/>
      <c r="JGF1" s="841"/>
      <c r="JGG1" s="841"/>
      <c r="JGH1" s="841"/>
      <c r="JGI1" s="841"/>
      <c r="JGJ1" s="841"/>
      <c r="JGK1" s="841"/>
      <c r="JGL1" s="841"/>
      <c r="JGM1" s="841"/>
      <c r="JGN1" s="841"/>
      <c r="JGO1" s="841"/>
      <c r="JGP1" s="841"/>
      <c r="JGQ1" s="841"/>
      <c r="JGR1" s="841"/>
      <c r="JGS1" s="841"/>
      <c r="JGT1" s="841"/>
      <c r="JGU1" s="841"/>
      <c r="JGV1" s="841"/>
      <c r="JGW1" s="841"/>
      <c r="JGX1" s="841"/>
      <c r="JGY1" s="841"/>
      <c r="JGZ1" s="841"/>
      <c r="JHA1" s="841"/>
      <c r="JHB1" s="841"/>
      <c r="JHC1" s="841"/>
      <c r="JHD1" s="841"/>
      <c r="JHE1" s="841"/>
      <c r="JHF1" s="841"/>
      <c r="JHG1" s="841"/>
      <c r="JHH1" s="841"/>
      <c r="JHI1" s="841"/>
      <c r="JHJ1" s="841"/>
      <c r="JHK1" s="841"/>
      <c r="JHL1" s="841"/>
      <c r="JHM1" s="841"/>
      <c r="JHN1" s="841"/>
      <c r="JHO1" s="841"/>
      <c r="JHP1" s="841"/>
      <c r="JHQ1" s="841"/>
      <c r="JHR1" s="841"/>
      <c r="JHS1" s="841"/>
      <c r="JHT1" s="841"/>
      <c r="JHU1" s="841"/>
      <c r="JHV1" s="841"/>
      <c r="JHW1" s="841"/>
      <c r="JHX1" s="841"/>
      <c r="JHY1" s="841"/>
      <c r="JHZ1" s="841"/>
      <c r="JIA1" s="841"/>
      <c r="JIB1" s="841"/>
      <c r="JIC1" s="841"/>
      <c r="JID1" s="841"/>
      <c r="JIE1" s="841"/>
      <c r="JIF1" s="841"/>
      <c r="JIG1" s="841"/>
      <c r="JIH1" s="841"/>
      <c r="JII1" s="841"/>
      <c r="JIJ1" s="841"/>
      <c r="JIK1" s="841"/>
      <c r="JIL1" s="841"/>
      <c r="JIM1" s="841"/>
      <c r="JIN1" s="841"/>
      <c r="JIO1" s="841"/>
      <c r="JIP1" s="841"/>
      <c r="JIQ1" s="841"/>
      <c r="JIR1" s="841"/>
      <c r="JIS1" s="841"/>
      <c r="JIT1" s="841"/>
      <c r="JIU1" s="841"/>
      <c r="JIV1" s="841"/>
      <c r="JIW1" s="841"/>
      <c r="JIX1" s="841"/>
      <c r="JIY1" s="841"/>
      <c r="JIZ1" s="841"/>
      <c r="JJA1" s="841"/>
      <c r="JJB1" s="841"/>
      <c r="JJC1" s="841"/>
      <c r="JJD1" s="841"/>
      <c r="JJE1" s="841"/>
      <c r="JJF1" s="841"/>
      <c r="JJG1" s="841"/>
      <c r="JJH1" s="841"/>
      <c r="JJI1" s="841"/>
      <c r="JJJ1" s="841"/>
      <c r="JJK1" s="841"/>
      <c r="JJL1" s="841"/>
      <c r="JJM1" s="841"/>
      <c r="JJN1" s="841"/>
      <c r="JJO1" s="841"/>
      <c r="JJP1" s="841"/>
      <c r="JJQ1" s="841"/>
      <c r="JJR1" s="841"/>
      <c r="JJS1" s="841"/>
      <c r="JJT1" s="841"/>
      <c r="JJU1" s="841"/>
      <c r="JJV1" s="841"/>
      <c r="JJW1" s="841"/>
      <c r="JJX1" s="841"/>
      <c r="JJY1" s="841"/>
      <c r="JJZ1" s="841"/>
      <c r="JKA1" s="841"/>
      <c r="JKB1" s="841"/>
      <c r="JKC1" s="841"/>
      <c r="JKD1" s="841"/>
      <c r="JKE1" s="841"/>
      <c r="JKF1" s="841"/>
      <c r="JKG1" s="841"/>
      <c r="JKH1" s="841"/>
      <c r="JKI1" s="841"/>
      <c r="JKJ1" s="841"/>
      <c r="JKK1" s="841"/>
      <c r="JKL1" s="841"/>
      <c r="JKM1" s="841"/>
      <c r="JKN1" s="841"/>
      <c r="JKO1" s="841"/>
      <c r="JKP1" s="841"/>
      <c r="JKQ1" s="841"/>
      <c r="JKR1" s="841"/>
      <c r="JKS1" s="841"/>
      <c r="JKT1" s="841"/>
      <c r="JKU1" s="841"/>
      <c r="JKV1" s="841"/>
      <c r="JKW1" s="841"/>
      <c r="JKX1" s="841"/>
      <c r="JKY1" s="841"/>
      <c r="JKZ1" s="841"/>
      <c r="JLA1" s="841"/>
      <c r="JLB1" s="841"/>
      <c r="JLC1" s="841"/>
      <c r="JLD1" s="841"/>
      <c r="JLE1" s="841"/>
      <c r="JLF1" s="841"/>
      <c r="JLG1" s="841"/>
      <c r="JLH1" s="841"/>
      <c r="JLI1" s="841"/>
      <c r="JLJ1" s="841"/>
      <c r="JLK1" s="841"/>
      <c r="JLL1" s="841"/>
      <c r="JLM1" s="841"/>
      <c r="JLN1" s="841"/>
      <c r="JLO1" s="841"/>
      <c r="JLP1" s="841"/>
      <c r="JLQ1" s="841"/>
      <c r="JLR1" s="841"/>
      <c r="JLS1" s="841"/>
      <c r="JLT1" s="841"/>
      <c r="JLU1" s="841"/>
      <c r="JLV1" s="841"/>
      <c r="JLW1" s="841"/>
      <c r="JLX1" s="841"/>
      <c r="JLY1" s="841"/>
      <c r="JLZ1" s="841"/>
      <c r="JMA1" s="841"/>
      <c r="JMB1" s="841"/>
      <c r="JMC1" s="841"/>
      <c r="JMD1" s="841"/>
      <c r="JME1" s="841"/>
      <c r="JMF1" s="841"/>
      <c r="JMG1" s="841"/>
      <c r="JMH1" s="841"/>
      <c r="JMI1" s="841"/>
      <c r="JMJ1" s="841"/>
      <c r="JMK1" s="841"/>
      <c r="JML1" s="841"/>
      <c r="JMM1" s="841"/>
      <c r="JMN1" s="841"/>
      <c r="JMO1" s="841"/>
      <c r="JMP1" s="841"/>
      <c r="JMQ1" s="841"/>
      <c r="JMR1" s="841"/>
      <c r="JMS1" s="841"/>
      <c r="JMT1" s="841"/>
      <c r="JMU1" s="841"/>
      <c r="JMV1" s="841"/>
      <c r="JMW1" s="841"/>
      <c r="JMX1" s="841"/>
      <c r="JMY1" s="841"/>
      <c r="JMZ1" s="841"/>
      <c r="JNA1" s="841"/>
      <c r="JNB1" s="841"/>
      <c r="JNC1" s="841"/>
      <c r="JND1" s="841"/>
      <c r="JNE1" s="841"/>
      <c r="JNF1" s="841"/>
      <c r="JNG1" s="841"/>
      <c r="JNH1" s="841"/>
      <c r="JNI1" s="841"/>
      <c r="JNJ1" s="841"/>
      <c r="JNK1" s="841"/>
      <c r="JNL1" s="841"/>
      <c r="JNM1" s="841"/>
      <c r="JNN1" s="841"/>
      <c r="JNO1" s="841"/>
      <c r="JNP1" s="841"/>
      <c r="JNQ1" s="841"/>
      <c r="JNR1" s="841"/>
      <c r="JNS1" s="841"/>
      <c r="JNT1" s="841"/>
      <c r="JNU1" s="841"/>
      <c r="JNV1" s="841"/>
      <c r="JNW1" s="841"/>
      <c r="JNX1" s="841"/>
      <c r="JNY1" s="841"/>
      <c r="JNZ1" s="841"/>
      <c r="JOA1" s="841"/>
      <c r="JOB1" s="841"/>
      <c r="JOC1" s="841"/>
      <c r="JOD1" s="841"/>
      <c r="JOE1" s="841"/>
      <c r="JOF1" s="841"/>
      <c r="JOG1" s="841"/>
      <c r="JOH1" s="841"/>
      <c r="JOI1" s="841"/>
      <c r="JOJ1" s="841"/>
      <c r="JOK1" s="841"/>
      <c r="JOL1" s="841"/>
      <c r="JOM1" s="841"/>
      <c r="JON1" s="841"/>
      <c r="JOO1" s="841"/>
      <c r="JOP1" s="841"/>
      <c r="JOQ1" s="841"/>
      <c r="JOR1" s="841"/>
      <c r="JOS1" s="841"/>
      <c r="JOT1" s="841"/>
      <c r="JOU1" s="841"/>
      <c r="JOV1" s="841"/>
      <c r="JOW1" s="841"/>
      <c r="JOX1" s="841"/>
      <c r="JOY1" s="841"/>
      <c r="JOZ1" s="841"/>
      <c r="JPA1" s="841"/>
      <c r="JPB1" s="841"/>
      <c r="JPC1" s="841"/>
      <c r="JPD1" s="841"/>
      <c r="JPE1" s="841"/>
      <c r="JPF1" s="841"/>
      <c r="JPG1" s="841"/>
      <c r="JPH1" s="841"/>
      <c r="JPI1" s="841"/>
      <c r="JPJ1" s="841"/>
      <c r="JPK1" s="841"/>
      <c r="JPL1" s="841"/>
      <c r="JPM1" s="841"/>
      <c r="JPN1" s="841"/>
      <c r="JPO1" s="841"/>
      <c r="JPP1" s="841"/>
      <c r="JPQ1" s="841"/>
      <c r="JPR1" s="841"/>
      <c r="JPS1" s="841"/>
      <c r="JPT1" s="841"/>
      <c r="JPU1" s="841"/>
      <c r="JPV1" s="841"/>
      <c r="JPW1" s="841"/>
      <c r="JPX1" s="841"/>
      <c r="JPY1" s="841"/>
      <c r="JPZ1" s="841"/>
      <c r="JQA1" s="841"/>
      <c r="JQB1" s="841"/>
      <c r="JQC1" s="841"/>
      <c r="JQD1" s="841"/>
      <c r="JQE1" s="841"/>
      <c r="JQF1" s="841"/>
      <c r="JQG1" s="841"/>
      <c r="JQH1" s="841"/>
      <c r="JQI1" s="841"/>
      <c r="JQJ1" s="841"/>
      <c r="JQK1" s="841"/>
      <c r="JQL1" s="841"/>
      <c r="JQM1" s="841"/>
      <c r="JQN1" s="841"/>
      <c r="JQO1" s="841"/>
      <c r="JQP1" s="841"/>
      <c r="JQQ1" s="841"/>
      <c r="JQR1" s="841"/>
      <c r="JQS1" s="841"/>
      <c r="JQT1" s="841"/>
      <c r="JQU1" s="841"/>
      <c r="JQV1" s="841"/>
      <c r="JQW1" s="841"/>
      <c r="JQX1" s="841"/>
      <c r="JQY1" s="841"/>
      <c r="JQZ1" s="841"/>
      <c r="JRA1" s="841"/>
      <c r="JRB1" s="841"/>
      <c r="JRC1" s="841"/>
      <c r="JRD1" s="841"/>
      <c r="JRE1" s="841"/>
      <c r="JRF1" s="841"/>
      <c r="JRG1" s="841"/>
      <c r="JRH1" s="841"/>
      <c r="JRI1" s="841"/>
      <c r="JRJ1" s="841"/>
      <c r="JRK1" s="841"/>
      <c r="JRL1" s="841"/>
      <c r="JRM1" s="841"/>
      <c r="JRN1" s="841"/>
      <c r="JRO1" s="841"/>
      <c r="JRP1" s="841"/>
      <c r="JRQ1" s="841"/>
      <c r="JRR1" s="841"/>
      <c r="JRS1" s="841"/>
      <c r="JRT1" s="841"/>
      <c r="JRU1" s="841"/>
      <c r="JRV1" s="841"/>
      <c r="JRW1" s="841"/>
      <c r="JRX1" s="841"/>
      <c r="JRY1" s="841"/>
      <c r="JRZ1" s="841"/>
      <c r="JSA1" s="841"/>
      <c r="JSB1" s="841"/>
      <c r="JSC1" s="841"/>
      <c r="JSD1" s="841"/>
      <c r="JSE1" s="841"/>
      <c r="JSF1" s="841"/>
      <c r="JSG1" s="841"/>
      <c r="JSH1" s="841"/>
      <c r="JSI1" s="841"/>
      <c r="JSJ1" s="841"/>
      <c r="JSK1" s="841"/>
      <c r="JSL1" s="841"/>
      <c r="JSM1" s="841"/>
      <c r="JSN1" s="841"/>
      <c r="JSO1" s="841"/>
      <c r="JSP1" s="841"/>
      <c r="JSQ1" s="841"/>
      <c r="JSR1" s="841"/>
      <c r="JSS1" s="841"/>
      <c r="JST1" s="841"/>
      <c r="JSU1" s="841"/>
      <c r="JSV1" s="841"/>
      <c r="JSW1" s="841"/>
      <c r="JSX1" s="841"/>
      <c r="JSY1" s="841"/>
      <c r="JSZ1" s="841"/>
      <c r="JTA1" s="841"/>
      <c r="JTB1" s="841"/>
      <c r="JTC1" s="841"/>
      <c r="JTD1" s="841"/>
      <c r="JTE1" s="841"/>
      <c r="JTF1" s="841"/>
      <c r="JTG1" s="841"/>
      <c r="JTH1" s="841"/>
      <c r="JTI1" s="841"/>
      <c r="JTJ1" s="841"/>
      <c r="JTK1" s="841"/>
      <c r="JTL1" s="841"/>
      <c r="JTM1" s="841"/>
      <c r="JTN1" s="841"/>
      <c r="JTO1" s="841"/>
      <c r="JTP1" s="841"/>
      <c r="JTQ1" s="841"/>
      <c r="JTR1" s="841"/>
      <c r="JTS1" s="841"/>
      <c r="JTT1" s="841"/>
      <c r="JTU1" s="841"/>
      <c r="JTV1" s="841"/>
      <c r="JTW1" s="841"/>
      <c r="JTX1" s="841"/>
      <c r="JTY1" s="841"/>
      <c r="JTZ1" s="841"/>
      <c r="JUA1" s="841"/>
      <c r="JUB1" s="841"/>
      <c r="JUC1" s="841"/>
      <c r="JUD1" s="841"/>
      <c r="JUE1" s="841"/>
      <c r="JUF1" s="841"/>
      <c r="JUG1" s="841"/>
      <c r="JUH1" s="841"/>
      <c r="JUI1" s="841"/>
      <c r="JUJ1" s="841"/>
      <c r="JUK1" s="841"/>
      <c r="JUL1" s="841"/>
      <c r="JUM1" s="841"/>
      <c r="JUN1" s="841"/>
      <c r="JUO1" s="841"/>
      <c r="JUP1" s="841"/>
      <c r="JUQ1" s="841"/>
      <c r="JUR1" s="841"/>
      <c r="JUS1" s="841"/>
      <c r="JUT1" s="841"/>
      <c r="JUU1" s="841"/>
      <c r="JUV1" s="841"/>
      <c r="JUW1" s="841"/>
      <c r="JUX1" s="841"/>
      <c r="JUY1" s="841"/>
      <c r="JUZ1" s="841"/>
      <c r="JVA1" s="841"/>
      <c r="JVB1" s="841"/>
      <c r="JVC1" s="841"/>
      <c r="JVD1" s="841"/>
      <c r="JVE1" s="841"/>
      <c r="JVF1" s="841"/>
      <c r="JVG1" s="841"/>
      <c r="JVH1" s="841"/>
      <c r="JVI1" s="841"/>
      <c r="JVJ1" s="841"/>
      <c r="JVK1" s="841"/>
      <c r="JVL1" s="841"/>
      <c r="JVM1" s="841"/>
      <c r="JVN1" s="841"/>
      <c r="JVO1" s="841"/>
      <c r="JVP1" s="841"/>
      <c r="JVQ1" s="841"/>
      <c r="JVR1" s="841"/>
      <c r="JVS1" s="841"/>
      <c r="JVT1" s="841"/>
      <c r="JVU1" s="841"/>
      <c r="JVV1" s="841"/>
      <c r="JVW1" s="841"/>
      <c r="JVX1" s="841"/>
      <c r="JVY1" s="841"/>
      <c r="JVZ1" s="841"/>
      <c r="JWA1" s="841"/>
      <c r="JWB1" s="841"/>
      <c r="JWC1" s="841"/>
      <c r="JWD1" s="841"/>
      <c r="JWE1" s="841"/>
      <c r="JWF1" s="841"/>
      <c r="JWG1" s="841"/>
      <c r="JWH1" s="841"/>
      <c r="JWI1" s="841"/>
      <c r="JWJ1" s="841"/>
      <c r="JWK1" s="841"/>
      <c r="JWL1" s="841"/>
      <c r="JWM1" s="841"/>
      <c r="JWN1" s="841"/>
      <c r="JWO1" s="841"/>
      <c r="JWP1" s="841"/>
      <c r="JWQ1" s="841"/>
      <c r="JWR1" s="841"/>
      <c r="JWS1" s="841"/>
      <c r="JWT1" s="841"/>
      <c r="JWU1" s="841"/>
      <c r="JWV1" s="841"/>
      <c r="JWW1" s="841"/>
      <c r="JWX1" s="841"/>
      <c r="JWY1" s="841"/>
      <c r="JWZ1" s="841"/>
      <c r="JXA1" s="841"/>
      <c r="JXB1" s="841"/>
      <c r="JXC1" s="841"/>
      <c r="JXD1" s="841"/>
      <c r="JXE1" s="841"/>
      <c r="JXF1" s="841"/>
      <c r="JXG1" s="841"/>
      <c r="JXH1" s="841"/>
      <c r="JXI1" s="841"/>
      <c r="JXJ1" s="841"/>
      <c r="JXK1" s="841"/>
      <c r="JXL1" s="841"/>
      <c r="JXM1" s="841"/>
      <c r="JXN1" s="841"/>
      <c r="JXO1" s="841"/>
      <c r="JXP1" s="841"/>
      <c r="JXQ1" s="841"/>
      <c r="JXR1" s="841"/>
      <c r="JXS1" s="841"/>
      <c r="JXT1" s="841"/>
      <c r="JXU1" s="841"/>
      <c r="JXV1" s="841"/>
      <c r="JXW1" s="841"/>
      <c r="JXX1" s="841"/>
      <c r="JXY1" s="841"/>
      <c r="JXZ1" s="841"/>
      <c r="JYA1" s="841"/>
      <c r="JYB1" s="841"/>
      <c r="JYC1" s="841"/>
      <c r="JYD1" s="841"/>
      <c r="JYE1" s="841"/>
      <c r="JYF1" s="841"/>
      <c r="JYG1" s="841"/>
      <c r="JYH1" s="841"/>
      <c r="JYI1" s="841"/>
      <c r="JYJ1" s="841"/>
      <c r="JYK1" s="841"/>
      <c r="JYL1" s="841"/>
      <c r="JYM1" s="841"/>
      <c r="JYN1" s="841"/>
      <c r="JYO1" s="841"/>
      <c r="JYP1" s="841"/>
      <c r="JYQ1" s="841"/>
      <c r="JYR1" s="841"/>
      <c r="JYS1" s="841"/>
      <c r="JYT1" s="841"/>
      <c r="JYU1" s="841"/>
      <c r="JYV1" s="841"/>
      <c r="JYW1" s="841"/>
      <c r="JYX1" s="841"/>
      <c r="JYY1" s="841"/>
      <c r="JYZ1" s="841"/>
      <c r="JZA1" s="841"/>
      <c r="JZB1" s="841"/>
      <c r="JZC1" s="841"/>
      <c r="JZD1" s="841"/>
      <c r="JZE1" s="841"/>
      <c r="JZF1" s="841"/>
      <c r="JZG1" s="841"/>
      <c r="JZH1" s="841"/>
      <c r="JZI1" s="841"/>
      <c r="JZJ1" s="841"/>
      <c r="JZK1" s="841"/>
      <c r="JZL1" s="841"/>
      <c r="JZM1" s="841"/>
      <c r="JZN1" s="841"/>
      <c r="JZO1" s="841"/>
      <c r="JZP1" s="841"/>
      <c r="JZQ1" s="841"/>
      <c r="JZR1" s="841"/>
      <c r="JZS1" s="841"/>
      <c r="JZT1" s="841"/>
      <c r="JZU1" s="841"/>
      <c r="JZV1" s="841"/>
      <c r="JZW1" s="841"/>
      <c r="JZX1" s="841"/>
      <c r="JZY1" s="841"/>
      <c r="JZZ1" s="841"/>
      <c r="KAA1" s="841"/>
      <c r="KAB1" s="841"/>
      <c r="KAC1" s="841"/>
      <c r="KAD1" s="841"/>
      <c r="KAE1" s="841"/>
      <c r="KAF1" s="841"/>
      <c r="KAG1" s="841"/>
      <c r="KAH1" s="841"/>
      <c r="KAI1" s="841"/>
      <c r="KAJ1" s="841"/>
      <c r="KAK1" s="841"/>
      <c r="KAL1" s="841"/>
      <c r="KAM1" s="841"/>
      <c r="KAN1" s="841"/>
      <c r="KAO1" s="841"/>
      <c r="KAP1" s="841"/>
      <c r="KAQ1" s="841"/>
      <c r="KAR1" s="841"/>
      <c r="KAS1" s="841"/>
      <c r="KAT1" s="841"/>
      <c r="KAU1" s="841"/>
      <c r="KAV1" s="841"/>
      <c r="KAW1" s="841"/>
      <c r="KAX1" s="841"/>
      <c r="KAY1" s="841"/>
      <c r="KAZ1" s="841"/>
      <c r="KBA1" s="841"/>
      <c r="KBB1" s="841"/>
      <c r="KBC1" s="841"/>
      <c r="KBD1" s="841"/>
      <c r="KBE1" s="841"/>
      <c r="KBF1" s="841"/>
      <c r="KBG1" s="841"/>
      <c r="KBH1" s="841"/>
      <c r="KBI1" s="841"/>
      <c r="KBJ1" s="841"/>
      <c r="KBK1" s="841"/>
      <c r="KBL1" s="841"/>
      <c r="KBM1" s="841"/>
      <c r="KBN1" s="841"/>
      <c r="KBO1" s="841"/>
      <c r="KBP1" s="841"/>
      <c r="KBQ1" s="841"/>
      <c r="KBR1" s="841"/>
      <c r="KBS1" s="841"/>
      <c r="KBT1" s="841"/>
      <c r="KBU1" s="841"/>
      <c r="KBV1" s="841"/>
      <c r="KBW1" s="841"/>
      <c r="KBX1" s="841"/>
      <c r="KBY1" s="841"/>
      <c r="KBZ1" s="841"/>
      <c r="KCA1" s="841"/>
      <c r="KCB1" s="841"/>
      <c r="KCC1" s="841"/>
      <c r="KCD1" s="841"/>
      <c r="KCE1" s="841"/>
      <c r="KCF1" s="841"/>
      <c r="KCG1" s="841"/>
      <c r="KCH1" s="841"/>
      <c r="KCI1" s="841"/>
      <c r="KCJ1" s="841"/>
      <c r="KCK1" s="841"/>
      <c r="KCL1" s="841"/>
      <c r="KCM1" s="841"/>
      <c r="KCN1" s="841"/>
      <c r="KCO1" s="841"/>
      <c r="KCP1" s="841"/>
      <c r="KCQ1" s="841"/>
      <c r="KCR1" s="841"/>
      <c r="KCS1" s="841"/>
      <c r="KCT1" s="841"/>
      <c r="KCU1" s="841"/>
      <c r="KCV1" s="841"/>
      <c r="KCW1" s="841"/>
      <c r="KCX1" s="841"/>
      <c r="KCY1" s="841"/>
      <c r="KCZ1" s="841"/>
      <c r="KDA1" s="841"/>
      <c r="KDB1" s="841"/>
      <c r="KDC1" s="841"/>
      <c r="KDD1" s="841"/>
      <c r="KDE1" s="841"/>
      <c r="KDF1" s="841"/>
      <c r="KDG1" s="841"/>
      <c r="KDH1" s="841"/>
      <c r="KDI1" s="841"/>
      <c r="KDJ1" s="841"/>
      <c r="KDK1" s="841"/>
      <c r="KDL1" s="841"/>
      <c r="KDM1" s="841"/>
      <c r="KDN1" s="841"/>
      <c r="KDO1" s="841"/>
      <c r="KDP1" s="841"/>
      <c r="KDQ1" s="841"/>
      <c r="KDR1" s="841"/>
      <c r="KDS1" s="841"/>
      <c r="KDT1" s="841"/>
      <c r="KDU1" s="841"/>
      <c r="KDV1" s="841"/>
      <c r="KDW1" s="841"/>
      <c r="KDX1" s="841"/>
      <c r="KDY1" s="841"/>
      <c r="KDZ1" s="841"/>
      <c r="KEA1" s="841"/>
      <c r="KEB1" s="841"/>
      <c r="KEC1" s="841"/>
      <c r="KED1" s="841"/>
      <c r="KEE1" s="841"/>
      <c r="KEF1" s="841"/>
      <c r="KEG1" s="841"/>
      <c r="KEH1" s="841"/>
      <c r="KEI1" s="841"/>
      <c r="KEJ1" s="841"/>
      <c r="KEK1" s="841"/>
      <c r="KEL1" s="841"/>
      <c r="KEM1" s="841"/>
      <c r="KEN1" s="841"/>
      <c r="KEO1" s="841"/>
      <c r="KEP1" s="841"/>
      <c r="KEQ1" s="841"/>
      <c r="KER1" s="841"/>
      <c r="KES1" s="841"/>
      <c r="KET1" s="841"/>
      <c r="KEU1" s="841"/>
      <c r="KEV1" s="841"/>
      <c r="KEW1" s="841"/>
      <c r="KEX1" s="841"/>
      <c r="KEY1" s="841"/>
      <c r="KEZ1" s="841"/>
      <c r="KFA1" s="841"/>
      <c r="KFB1" s="841"/>
      <c r="KFC1" s="841"/>
      <c r="KFD1" s="841"/>
      <c r="KFE1" s="841"/>
      <c r="KFF1" s="841"/>
      <c r="KFG1" s="841"/>
      <c r="KFH1" s="841"/>
      <c r="KFI1" s="841"/>
      <c r="KFJ1" s="841"/>
      <c r="KFK1" s="841"/>
      <c r="KFL1" s="841"/>
      <c r="KFM1" s="841"/>
      <c r="KFN1" s="841"/>
      <c r="KFO1" s="841"/>
      <c r="KFP1" s="841"/>
      <c r="KFQ1" s="841"/>
      <c r="KFR1" s="841"/>
      <c r="KFS1" s="841"/>
      <c r="KFT1" s="841"/>
      <c r="KFU1" s="841"/>
      <c r="KFV1" s="841"/>
      <c r="KFW1" s="841"/>
      <c r="KFX1" s="841"/>
      <c r="KFY1" s="841"/>
      <c r="KFZ1" s="841"/>
      <c r="KGA1" s="841"/>
      <c r="KGB1" s="841"/>
      <c r="KGC1" s="841"/>
      <c r="KGD1" s="841"/>
      <c r="KGE1" s="841"/>
      <c r="KGF1" s="841"/>
      <c r="KGG1" s="841"/>
      <c r="KGH1" s="841"/>
      <c r="KGI1" s="841"/>
      <c r="KGJ1" s="841"/>
      <c r="KGK1" s="841"/>
      <c r="KGL1" s="841"/>
      <c r="KGM1" s="841"/>
      <c r="KGN1" s="841"/>
      <c r="KGO1" s="841"/>
      <c r="KGP1" s="841"/>
      <c r="KGQ1" s="841"/>
      <c r="KGR1" s="841"/>
      <c r="KGS1" s="841"/>
      <c r="KGT1" s="841"/>
      <c r="KGU1" s="841"/>
      <c r="KGV1" s="841"/>
      <c r="KGW1" s="841"/>
      <c r="KGX1" s="841"/>
      <c r="KGY1" s="841"/>
      <c r="KGZ1" s="841"/>
      <c r="KHA1" s="841"/>
      <c r="KHB1" s="841"/>
      <c r="KHC1" s="841"/>
      <c r="KHD1" s="841"/>
      <c r="KHE1" s="841"/>
      <c r="KHF1" s="841"/>
      <c r="KHG1" s="841"/>
      <c r="KHH1" s="841"/>
      <c r="KHI1" s="841"/>
      <c r="KHJ1" s="841"/>
      <c r="KHK1" s="841"/>
      <c r="KHL1" s="841"/>
      <c r="KHM1" s="841"/>
      <c r="KHN1" s="841"/>
      <c r="KHO1" s="841"/>
      <c r="KHP1" s="841"/>
      <c r="KHQ1" s="841"/>
      <c r="KHR1" s="841"/>
      <c r="KHS1" s="841"/>
      <c r="KHT1" s="841"/>
      <c r="KHU1" s="841"/>
      <c r="KHV1" s="841"/>
      <c r="KHW1" s="841"/>
      <c r="KHX1" s="841"/>
      <c r="KHY1" s="841"/>
      <c r="KHZ1" s="841"/>
      <c r="KIA1" s="841"/>
      <c r="KIB1" s="841"/>
      <c r="KIC1" s="841"/>
      <c r="KID1" s="841"/>
      <c r="KIE1" s="841"/>
      <c r="KIF1" s="841"/>
      <c r="KIG1" s="841"/>
      <c r="KIH1" s="841"/>
      <c r="KII1" s="841"/>
      <c r="KIJ1" s="841"/>
      <c r="KIK1" s="841"/>
      <c r="KIL1" s="841"/>
      <c r="KIM1" s="841"/>
      <c r="KIN1" s="841"/>
      <c r="KIO1" s="841"/>
      <c r="KIP1" s="841"/>
      <c r="KIQ1" s="841"/>
      <c r="KIR1" s="841"/>
      <c r="KIS1" s="841"/>
      <c r="KIT1" s="841"/>
      <c r="KIU1" s="841"/>
      <c r="KIV1" s="841"/>
      <c r="KIW1" s="841"/>
      <c r="KIX1" s="841"/>
      <c r="KIY1" s="841"/>
      <c r="KIZ1" s="841"/>
      <c r="KJA1" s="841"/>
      <c r="KJB1" s="841"/>
      <c r="KJC1" s="841"/>
      <c r="KJD1" s="841"/>
      <c r="KJE1" s="841"/>
      <c r="KJF1" s="841"/>
      <c r="KJG1" s="841"/>
      <c r="KJH1" s="841"/>
      <c r="KJI1" s="841"/>
      <c r="KJJ1" s="841"/>
      <c r="KJK1" s="841"/>
      <c r="KJL1" s="841"/>
      <c r="KJM1" s="841"/>
      <c r="KJN1" s="841"/>
      <c r="KJO1" s="841"/>
      <c r="KJP1" s="841"/>
      <c r="KJQ1" s="841"/>
      <c r="KJR1" s="841"/>
      <c r="KJS1" s="841"/>
      <c r="KJT1" s="841"/>
      <c r="KJU1" s="841"/>
      <c r="KJV1" s="841"/>
      <c r="KJW1" s="841"/>
      <c r="KJX1" s="841"/>
      <c r="KJY1" s="841"/>
      <c r="KJZ1" s="841"/>
      <c r="KKA1" s="841"/>
      <c r="KKB1" s="841"/>
      <c r="KKC1" s="841"/>
      <c r="KKD1" s="841"/>
      <c r="KKE1" s="841"/>
      <c r="KKF1" s="841"/>
      <c r="KKG1" s="841"/>
      <c r="KKH1" s="841"/>
      <c r="KKI1" s="841"/>
      <c r="KKJ1" s="841"/>
      <c r="KKK1" s="841"/>
      <c r="KKL1" s="841"/>
      <c r="KKM1" s="841"/>
      <c r="KKN1" s="841"/>
      <c r="KKO1" s="841"/>
      <c r="KKP1" s="841"/>
      <c r="KKQ1" s="841"/>
      <c r="KKR1" s="841"/>
      <c r="KKS1" s="841"/>
      <c r="KKT1" s="841"/>
      <c r="KKU1" s="841"/>
      <c r="KKV1" s="841"/>
      <c r="KKW1" s="841"/>
      <c r="KKX1" s="841"/>
      <c r="KKY1" s="841"/>
      <c r="KKZ1" s="841"/>
      <c r="KLA1" s="841"/>
      <c r="KLB1" s="841"/>
      <c r="KLC1" s="841"/>
      <c r="KLD1" s="841"/>
      <c r="KLE1" s="841"/>
      <c r="KLF1" s="841"/>
      <c r="KLG1" s="841"/>
      <c r="KLH1" s="841"/>
      <c r="KLI1" s="841"/>
      <c r="KLJ1" s="841"/>
      <c r="KLK1" s="841"/>
      <c r="KLL1" s="841"/>
      <c r="KLM1" s="841"/>
      <c r="KLN1" s="841"/>
      <c r="KLO1" s="841"/>
      <c r="KLP1" s="841"/>
      <c r="KLQ1" s="841"/>
      <c r="KLR1" s="841"/>
      <c r="KLS1" s="841"/>
      <c r="KLT1" s="841"/>
      <c r="KLU1" s="841"/>
      <c r="KLV1" s="841"/>
      <c r="KLW1" s="841"/>
      <c r="KLX1" s="841"/>
      <c r="KLY1" s="841"/>
      <c r="KLZ1" s="841"/>
      <c r="KMA1" s="841"/>
      <c r="KMB1" s="841"/>
      <c r="KMC1" s="841"/>
      <c r="KMD1" s="841"/>
      <c r="KME1" s="841"/>
      <c r="KMF1" s="841"/>
      <c r="KMG1" s="841"/>
      <c r="KMH1" s="841"/>
      <c r="KMI1" s="841"/>
      <c r="KMJ1" s="841"/>
      <c r="KMK1" s="841"/>
      <c r="KML1" s="841"/>
      <c r="KMM1" s="841"/>
      <c r="KMN1" s="841"/>
      <c r="KMO1" s="841"/>
      <c r="KMP1" s="841"/>
      <c r="KMQ1" s="841"/>
      <c r="KMR1" s="841"/>
      <c r="KMS1" s="841"/>
      <c r="KMT1" s="841"/>
      <c r="KMU1" s="841"/>
      <c r="KMV1" s="841"/>
      <c r="KMW1" s="841"/>
      <c r="KMX1" s="841"/>
      <c r="KMY1" s="841"/>
      <c r="KMZ1" s="841"/>
      <c r="KNA1" s="841"/>
      <c r="KNB1" s="841"/>
      <c r="KNC1" s="841"/>
      <c r="KND1" s="841"/>
      <c r="KNE1" s="841"/>
      <c r="KNF1" s="841"/>
      <c r="KNG1" s="841"/>
      <c r="KNH1" s="841"/>
      <c r="KNI1" s="841"/>
      <c r="KNJ1" s="841"/>
      <c r="KNK1" s="841"/>
      <c r="KNL1" s="841"/>
      <c r="KNM1" s="841"/>
      <c r="KNN1" s="841"/>
      <c r="KNO1" s="841"/>
      <c r="KNP1" s="841"/>
      <c r="KNQ1" s="841"/>
      <c r="KNR1" s="841"/>
      <c r="KNS1" s="841"/>
      <c r="KNT1" s="841"/>
      <c r="KNU1" s="841"/>
      <c r="KNV1" s="841"/>
      <c r="KNW1" s="841"/>
      <c r="KNX1" s="841"/>
      <c r="KNY1" s="841"/>
      <c r="KNZ1" s="841"/>
      <c r="KOA1" s="841"/>
      <c r="KOB1" s="841"/>
      <c r="KOC1" s="841"/>
      <c r="KOD1" s="841"/>
      <c r="KOE1" s="841"/>
      <c r="KOF1" s="841"/>
      <c r="KOG1" s="841"/>
      <c r="KOH1" s="841"/>
      <c r="KOI1" s="841"/>
      <c r="KOJ1" s="841"/>
      <c r="KOK1" s="841"/>
      <c r="KOL1" s="841"/>
      <c r="KOM1" s="841"/>
      <c r="KON1" s="841"/>
      <c r="KOO1" s="841"/>
      <c r="KOP1" s="841"/>
      <c r="KOQ1" s="841"/>
      <c r="KOR1" s="841"/>
      <c r="KOS1" s="841"/>
      <c r="KOT1" s="841"/>
      <c r="KOU1" s="841"/>
      <c r="KOV1" s="841"/>
      <c r="KOW1" s="841"/>
      <c r="KOX1" s="841"/>
      <c r="KOY1" s="841"/>
      <c r="KOZ1" s="841"/>
      <c r="KPA1" s="841"/>
      <c r="KPB1" s="841"/>
      <c r="KPC1" s="841"/>
      <c r="KPD1" s="841"/>
      <c r="KPE1" s="841"/>
      <c r="KPF1" s="841"/>
      <c r="KPG1" s="841"/>
      <c r="KPH1" s="841"/>
      <c r="KPI1" s="841"/>
      <c r="KPJ1" s="841"/>
      <c r="KPK1" s="841"/>
      <c r="KPL1" s="841"/>
      <c r="KPM1" s="841"/>
      <c r="KPN1" s="841"/>
      <c r="KPO1" s="841"/>
      <c r="KPP1" s="841"/>
      <c r="KPQ1" s="841"/>
      <c r="KPR1" s="841"/>
      <c r="KPS1" s="841"/>
      <c r="KPT1" s="841"/>
      <c r="KPU1" s="841"/>
      <c r="KPV1" s="841"/>
      <c r="KPW1" s="841"/>
      <c r="KPX1" s="841"/>
      <c r="KPY1" s="841"/>
      <c r="KPZ1" s="841"/>
      <c r="KQA1" s="841"/>
      <c r="KQB1" s="841"/>
      <c r="KQC1" s="841"/>
      <c r="KQD1" s="841"/>
      <c r="KQE1" s="841"/>
      <c r="KQF1" s="841"/>
      <c r="KQG1" s="841"/>
      <c r="KQH1" s="841"/>
      <c r="KQI1" s="841"/>
      <c r="KQJ1" s="841"/>
      <c r="KQK1" s="841"/>
      <c r="KQL1" s="841"/>
      <c r="KQM1" s="841"/>
      <c r="KQN1" s="841"/>
      <c r="KQO1" s="841"/>
      <c r="KQP1" s="841"/>
      <c r="KQQ1" s="841"/>
      <c r="KQR1" s="841"/>
      <c r="KQS1" s="841"/>
      <c r="KQT1" s="841"/>
      <c r="KQU1" s="841"/>
      <c r="KQV1" s="841"/>
      <c r="KQW1" s="841"/>
      <c r="KQX1" s="841"/>
      <c r="KQY1" s="841"/>
      <c r="KQZ1" s="841"/>
      <c r="KRA1" s="841"/>
      <c r="KRB1" s="841"/>
      <c r="KRC1" s="841"/>
      <c r="KRD1" s="841"/>
      <c r="KRE1" s="841"/>
      <c r="KRF1" s="841"/>
      <c r="KRG1" s="841"/>
      <c r="KRH1" s="841"/>
      <c r="KRI1" s="841"/>
      <c r="KRJ1" s="841"/>
      <c r="KRK1" s="841"/>
      <c r="KRL1" s="841"/>
      <c r="KRM1" s="841"/>
      <c r="KRN1" s="841"/>
      <c r="KRO1" s="841"/>
      <c r="KRP1" s="841"/>
      <c r="KRQ1" s="841"/>
      <c r="KRR1" s="841"/>
      <c r="KRS1" s="841"/>
      <c r="KRT1" s="841"/>
      <c r="KRU1" s="841"/>
      <c r="KRV1" s="841"/>
      <c r="KRW1" s="841"/>
      <c r="KRX1" s="841"/>
      <c r="KRY1" s="841"/>
      <c r="KRZ1" s="841"/>
      <c r="KSA1" s="841"/>
      <c r="KSB1" s="841"/>
      <c r="KSC1" s="841"/>
      <c r="KSD1" s="841"/>
      <c r="KSE1" s="841"/>
      <c r="KSF1" s="841"/>
      <c r="KSG1" s="841"/>
      <c r="KSH1" s="841"/>
      <c r="KSI1" s="841"/>
      <c r="KSJ1" s="841"/>
      <c r="KSK1" s="841"/>
      <c r="KSL1" s="841"/>
      <c r="KSM1" s="841"/>
      <c r="KSN1" s="841"/>
      <c r="KSO1" s="841"/>
      <c r="KSP1" s="841"/>
      <c r="KSQ1" s="841"/>
      <c r="KSR1" s="841"/>
      <c r="KSS1" s="841"/>
      <c r="KST1" s="841"/>
      <c r="KSU1" s="841"/>
      <c r="KSV1" s="841"/>
      <c r="KSW1" s="841"/>
      <c r="KSX1" s="841"/>
      <c r="KSY1" s="841"/>
      <c r="KSZ1" s="841"/>
      <c r="KTA1" s="841"/>
      <c r="KTB1" s="841"/>
      <c r="KTC1" s="841"/>
      <c r="KTD1" s="841"/>
      <c r="KTE1" s="841"/>
      <c r="KTF1" s="841"/>
      <c r="KTG1" s="841"/>
      <c r="KTH1" s="841"/>
      <c r="KTI1" s="841"/>
      <c r="KTJ1" s="841"/>
      <c r="KTK1" s="841"/>
      <c r="KTL1" s="841"/>
      <c r="KTM1" s="841"/>
      <c r="KTN1" s="841"/>
      <c r="KTO1" s="841"/>
      <c r="KTP1" s="841"/>
      <c r="KTQ1" s="841"/>
      <c r="KTR1" s="841"/>
      <c r="KTS1" s="841"/>
      <c r="KTT1" s="841"/>
      <c r="KTU1" s="841"/>
      <c r="KTV1" s="841"/>
      <c r="KTW1" s="841"/>
      <c r="KTX1" s="841"/>
      <c r="KTY1" s="841"/>
      <c r="KTZ1" s="841"/>
      <c r="KUA1" s="841"/>
      <c r="KUB1" s="841"/>
      <c r="KUC1" s="841"/>
      <c r="KUD1" s="841"/>
      <c r="KUE1" s="841"/>
      <c r="KUF1" s="841"/>
      <c r="KUG1" s="841"/>
      <c r="KUH1" s="841"/>
      <c r="KUI1" s="841"/>
      <c r="KUJ1" s="841"/>
      <c r="KUK1" s="841"/>
      <c r="KUL1" s="841"/>
      <c r="KUM1" s="841"/>
      <c r="KUN1" s="841"/>
      <c r="KUO1" s="841"/>
      <c r="KUP1" s="841"/>
      <c r="KUQ1" s="841"/>
      <c r="KUR1" s="841"/>
      <c r="KUS1" s="841"/>
      <c r="KUT1" s="841"/>
      <c r="KUU1" s="841"/>
      <c r="KUV1" s="841"/>
      <c r="KUW1" s="841"/>
      <c r="KUX1" s="841"/>
      <c r="KUY1" s="841"/>
      <c r="KUZ1" s="841"/>
      <c r="KVA1" s="841"/>
      <c r="KVB1" s="841"/>
      <c r="KVC1" s="841"/>
      <c r="KVD1" s="841"/>
      <c r="KVE1" s="841"/>
      <c r="KVF1" s="841"/>
      <c r="KVG1" s="841"/>
      <c r="KVH1" s="841"/>
      <c r="KVI1" s="841"/>
      <c r="KVJ1" s="841"/>
      <c r="KVK1" s="841"/>
      <c r="KVL1" s="841"/>
      <c r="KVM1" s="841"/>
      <c r="KVN1" s="841"/>
      <c r="KVO1" s="841"/>
      <c r="KVP1" s="841"/>
      <c r="KVQ1" s="841"/>
      <c r="KVR1" s="841"/>
      <c r="KVS1" s="841"/>
      <c r="KVT1" s="841"/>
      <c r="KVU1" s="841"/>
      <c r="KVV1" s="841"/>
      <c r="KVW1" s="841"/>
      <c r="KVX1" s="841"/>
      <c r="KVY1" s="841"/>
      <c r="KVZ1" s="841"/>
      <c r="KWA1" s="841"/>
      <c r="KWB1" s="841"/>
      <c r="KWC1" s="841"/>
      <c r="KWD1" s="841"/>
      <c r="KWE1" s="841"/>
      <c r="KWF1" s="841"/>
      <c r="KWG1" s="841"/>
      <c r="KWH1" s="841"/>
      <c r="KWI1" s="841"/>
      <c r="KWJ1" s="841"/>
      <c r="KWK1" s="841"/>
      <c r="KWL1" s="841"/>
      <c r="KWM1" s="841"/>
      <c r="KWN1" s="841"/>
      <c r="KWO1" s="841"/>
      <c r="KWP1" s="841"/>
      <c r="KWQ1" s="841"/>
      <c r="KWR1" s="841"/>
      <c r="KWS1" s="841"/>
      <c r="KWT1" s="841"/>
      <c r="KWU1" s="841"/>
      <c r="KWV1" s="841"/>
      <c r="KWW1" s="841"/>
      <c r="KWX1" s="841"/>
      <c r="KWY1" s="841"/>
      <c r="KWZ1" s="841"/>
      <c r="KXA1" s="841"/>
      <c r="KXB1" s="841"/>
      <c r="KXC1" s="841"/>
      <c r="KXD1" s="841"/>
      <c r="KXE1" s="841"/>
      <c r="KXF1" s="841"/>
      <c r="KXG1" s="841"/>
      <c r="KXH1" s="841"/>
      <c r="KXI1" s="841"/>
      <c r="KXJ1" s="841"/>
      <c r="KXK1" s="841"/>
      <c r="KXL1" s="841"/>
      <c r="KXM1" s="841"/>
      <c r="KXN1" s="841"/>
      <c r="KXO1" s="841"/>
      <c r="KXP1" s="841"/>
      <c r="KXQ1" s="841"/>
      <c r="KXR1" s="841"/>
      <c r="KXS1" s="841"/>
      <c r="KXT1" s="841"/>
      <c r="KXU1" s="841"/>
      <c r="KXV1" s="841"/>
      <c r="KXW1" s="841"/>
      <c r="KXX1" s="841"/>
      <c r="KXY1" s="841"/>
      <c r="KXZ1" s="841"/>
      <c r="KYA1" s="841"/>
      <c r="KYB1" s="841"/>
      <c r="KYC1" s="841"/>
      <c r="KYD1" s="841"/>
      <c r="KYE1" s="841"/>
      <c r="KYF1" s="841"/>
      <c r="KYG1" s="841"/>
      <c r="KYH1" s="841"/>
      <c r="KYI1" s="841"/>
      <c r="KYJ1" s="841"/>
      <c r="KYK1" s="841"/>
      <c r="KYL1" s="841"/>
      <c r="KYM1" s="841"/>
      <c r="KYN1" s="841"/>
      <c r="KYO1" s="841"/>
      <c r="KYP1" s="841"/>
      <c r="KYQ1" s="841"/>
      <c r="KYR1" s="841"/>
      <c r="KYS1" s="841"/>
      <c r="KYT1" s="841"/>
      <c r="KYU1" s="841"/>
      <c r="KYV1" s="841"/>
      <c r="KYW1" s="841"/>
      <c r="KYX1" s="841"/>
      <c r="KYY1" s="841"/>
      <c r="KYZ1" s="841"/>
      <c r="KZA1" s="841"/>
      <c r="KZB1" s="841"/>
      <c r="KZC1" s="841"/>
      <c r="KZD1" s="841"/>
      <c r="KZE1" s="841"/>
      <c r="KZF1" s="841"/>
      <c r="KZG1" s="841"/>
      <c r="KZH1" s="841"/>
      <c r="KZI1" s="841"/>
      <c r="KZJ1" s="841"/>
      <c r="KZK1" s="841"/>
      <c r="KZL1" s="841"/>
      <c r="KZM1" s="841"/>
      <c r="KZN1" s="841"/>
      <c r="KZO1" s="841"/>
      <c r="KZP1" s="841"/>
      <c r="KZQ1" s="841"/>
      <c r="KZR1" s="841"/>
      <c r="KZS1" s="841"/>
      <c r="KZT1" s="841"/>
      <c r="KZU1" s="841"/>
      <c r="KZV1" s="841"/>
      <c r="KZW1" s="841"/>
      <c r="KZX1" s="841"/>
      <c r="KZY1" s="841"/>
      <c r="KZZ1" s="841"/>
      <c r="LAA1" s="841"/>
      <c r="LAB1" s="841"/>
      <c r="LAC1" s="841"/>
      <c r="LAD1" s="841"/>
      <c r="LAE1" s="841"/>
      <c r="LAF1" s="841"/>
      <c r="LAG1" s="841"/>
      <c r="LAH1" s="841"/>
      <c r="LAI1" s="841"/>
      <c r="LAJ1" s="841"/>
      <c r="LAK1" s="841"/>
      <c r="LAL1" s="841"/>
      <c r="LAM1" s="841"/>
      <c r="LAN1" s="841"/>
      <c r="LAO1" s="841"/>
      <c r="LAP1" s="841"/>
      <c r="LAQ1" s="841"/>
      <c r="LAR1" s="841"/>
      <c r="LAS1" s="841"/>
      <c r="LAT1" s="841"/>
      <c r="LAU1" s="841"/>
      <c r="LAV1" s="841"/>
      <c r="LAW1" s="841"/>
      <c r="LAX1" s="841"/>
      <c r="LAY1" s="841"/>
      <c r="LAZ1" s="841"/>
      <c r="LBA1" s="841"/>
      <c r="LBB1" s="841"/>
      <c r="LBC1" s="841"/>
      <c r="LBD1" s="841"/>
      <c r="LBE1" s="841"/>
      <c r="LBF1" s="841"/>
      <c r="LBG1" s="841"/>
      <c r="LBH1" s="841"/>
      <c r="LBI1" s="841"/>
      <c r="LBJ1" s="841"/>
      <c r="LBK1" s="841"/>
      <c r="LBL1" s="841"/>
      <c r="LBM1" s="841"/>
      <c r="LBN1" s="841"/>
      <c r="LBO1" s="841"/>
      <c r="LBP1" s="841"/>
      <c r="LBQ1" s="841"/>
      <c r="LBR1" s="841"/>
      <c r="LBS1" s="841"/>
      <c r="LBT1" s="841"/>
      <c r="LBU1" s="841"/>
      <c r="LBV1" s="841"/>
      <c r="LBW1" s="841"/>
      <c r="LBX1" s="841"/>
      <c r="LBY1" s="841"/>
      <c r="LBZ1" s="841"/>
      <c r="LCA1" s="841"/>
      <c r="LCB1" s="841"/>
      <c r="LCC1" s="841"/>
      <c r="LCD1" s="841"/>
      <c r="LCE1" s="841"/>
      <c r="LCF1" s="841"/>
      <c r="LCG1" s="841"/>
      <c r="LCH1" s="841"/>
      <c r="LCI1" s="841"/>
      <c r="LCJ1" s="841"/>
      <c r="LCK1" s="841"/>
      <c r="LCL1" s="841"/>
      <c r="LCM1" s="841"/>
      <c r="LCN1" s="841"/>
      <c r="LCO1" s="841"/>
      <c r="LCP1" s="841"/>
      <c r="LCQ1" s="841"/>
      <c r="LCR1" s="841"/>
      <c r="LCS1" s="841"/>
      <c r="LCT1" s="841"/>
      <c r="LCU1" s="841"/>
      <c r="LCV1" s="841"/>
      <c r="LCW1" s="841"/>
      <c r="LCX1" s="841"/>
      <c r="LCY1" s="841"/>
      <c r="LCZ1" s="841"/>
      <c r="LDA1" s="841"/>
      <c r="LDB1" s="841"/>
      <c r="LDC1" s="841"/>
      <c r="LDD1" s="841"/>
      <c r="LDE1" s="841"/>
      <c r="LDF1" s="841"/>
      <c r="LDG1" s="841"/>
      <c r="LDH1" s="841"/>
      <c r="LDI1" s="841"/>
      <c r="LDJ1" s="841"/>
      <c r="LDK1" s="841"/>
      <c r="LDL1" s="841"/>
      <c r="LDM1" s="841"/>
      <c r="LDN1" s="841"/>
      <c r="LDO1" s="841"/>
      <c r="LDP1" s="841"/>
      <c r="LDQ1" s="841"/>
      <c r="LDR1" s="841"/>
      <c r="LDS1" s="841"/>
      <c r="LDT1" s="841"/>
      <c r="LDU1" s="841"/>
      <c r="LDV1" s="841"/>
      <c r="LDW1" s="841"/>
      <c r="LDX1" s="841"/>
      <c r="LDY1" s="841"/>
      <c r="LDZ1" s="841"/>
      <c r="LEA1" s="841"/>
      <c r="LEB1" s="841"/>
      <c r="LEC1" s="841"/>
      <c r="LED1" s="841"/>
      <c r="LEE1" s="841"/>
      <c r="LEF1" s="841"/>
      <c r="LEG1" s="841"/>
      <c r="LEH1" s="841"/>
      <c r="LEI1" s="841"/>
      <c r="LEJ1" s="841"/>
      <c r="LEK1" s="841"/>
      <c r="LEL1" s="841"/>
      <c r="LEM1" s="841"/>
      <c r="LEN1" s="841"/>
      <c r="LEO1" s="841"/>
      <c r="LEP1" s="841"/>
      <c r="LEQ1" s="841"/>
      <c r="LER1" s="841"/>
      <c r="LES1" s="841"/>
      <c r="LET1" s="841"/>
      <c r="LEU1" s="841"/>
      <c r="LEV1" s="841"/>
      <c r="LEW1" s="841"/>
      <c r="LEX1" s="841"/>
      <c r="LEY1" s="841"/>
      <c r="LEZ1" s="841"/>
      <c r="LFA1" s="841"/>
      <c r="LFB1" s="841"/>
      <c r="LFC1" s="841"/>
      <c r="LFD1" s="841"/>
      <c r="LFE1" s="841"/>
      <c r="LFF1" s="841"/>
      <c r="LFG1" s="841"/>
      <c r="LFH1" s="841"/>
      <c r="LFI1" s="841"/>
      <c r="LFJ1" s="841"/>
      <c r="LFK1" s="841"/>
      <c r="LFL1" s="841"/>
      <c r="LFM1" s="841"/>
      <c r="LFN1" s="841"/>
      <c r="LFO1" s="841"/>
      <c r="LFP1" s="841"/>
      <c r="LFQ1" s="841"/>
      <c r="LFR1" s="841"/>
      <c r="LFS1" s="841"/>
      <c r="LFT1" s="841"/>
      <c r="LFU1" s="841"/>
      <c r="LFV1" s="841"/>
      <c r="LFW1" s="841"/>
      <c r="LFX1" s="841"/>
      <c r="LFY1" s="841"/>
      <c r="LFZ1" s="841"/>
      <c r="LGA1" s="841"/>
      <c r="LGB1" s="841"/>
      <c r="LGC1" s="841"/>
      <c r="LGD1" s="841"/>
      <c r="LGE1" s="841"/>
      <c r="LGF1" s="841"/>
      <c r="LGG1" s="841"/>
      <c r="LGH1" s="841"/>
      <c r="LGI1" s="841"/>
      <c r="LGJ1" s="841"/>
      <c r="LGK1" s="841"/>
      <c r="LGL1" s="841"/>
      <c r="LGM1" s="841"/>
      <c r="LGN1" s="841"/>
      <c r="LGO1" s="841"/>
      <c r="LGP1" s="841"/>
      <c r="LGQ1" s="841"/>
      <c r="LGR1" s="841"/>
      <c r="LGS1" s="841"/>
      <c r="LGT1" s="841"/>
      <c r="LGU1" s="841"/>
      <c r="LGV1" s="841"/>
      <c r="LGW1" s="841"/>
      <c r="LGX1" s="841"/>
      <c r="LGY1" s="841"/>
      <c r="LGZ1" s="841"/>
      <c r="LHA1" s="841"/>
      <c r="LHB1" s="841"/>
      <c r="LHC1" s="841"/>
      <c r="LHD1" s="841"/>
      <c r="LHE1" s="841"/>
      <c r="LHF1" s="841"/>
      <c r="LHG1" s="841"/>
      <c r="LHH1" s="841"/>
      <c r="LHI1" s="841"/>
      <c r="LHJ1" s="841"/>
      <c r="LHK1" s="841"/>
      <c r="LHL1" s="841"/>
      <c r="LHM1" s="841"/>
      <c r="LHN1" s="841"/>
      <c r="LHO1" s="841"/>
      <c r="LHP1" s="841"/>
      <c r="LHQ1" s="841"/>
      <c r="LHR1" s="841"/>
      <c r="LHS1" s="841"/>
      <c r="LHT1" s="841"/>
      <c r="LHU1" s="841"/>
      <c r="LHV1" s="841"/>
      <c r="LHW1" s="841"/>
      <c r="LHX1" s="841"/>
      <c r="LHY1" s="841"/>
      <c r="LHZ1" s="841"/>
      <c r="LIA1" s="841"/>
      <c r="LIB1" s="841"/>
      <c r="LIC1" s="841"/>
      <c r="LID1" s="841"/>
      <c r="LIE1" s="841"/>
      <c r="LIF1" s="841"/>
      <c r="LIG1" s="841"/>
      <c r="LIH1" s="841"/>
      <c r="LII1" s="841"/>
      <c r="LIJ1" s="841"/>
      <c r="LIK1" s="841"/>
      <c r="LIL1" s="841"/>
      <c r="LIM1" s="841"/>
      <c r="LIN1" s="841"/>
      <c r="LIO1" s="841"/>
      <c r="LIP1" s="841"/>
      <c r="LIQ1" s="841"/>
      <c r="LIR1" s="841"/>
      <c r="LIS1" s="841"/>
      <c r="LIT1" s="841"/>
      <c r="LIU1" s="841"/>
      <c r="LIV1" s="841"/>
      <c r="LIW1" s="841"/>
      <c r="LIX1" s="841"/>
      <c r="LIY1" s="841"/>
      <c r="LIZ1" s="841"/>
      <c r="LJA1" s="841"/>
      <c r="LJB1" s="841"/>
      <c r="LJC1" s="841"/>
      <c r="LJD1" s="841"/>
      <c r="LJE1" s="841"/>
      <c r="LJF1" s="841"/>
      <c r="LJG1" s="841"/>
      <c r="LJH1" s="841"/>
      <c r="LJI1" s="841"/>
      <c r="LJJ1" s="841"/>
      <c r="LJK1" s="841"/>
      <c r="LJL1" s="841"/>
      <c r="LJM1" s="841"/>
      <c r="LJN1" s="841"/>
      <c r="LJO1" s="841"/>
      <c r="LJP1" s="841"/>
      <c r="LJQ1" s="841"/>
      <c r="LJR1" s="841"/>
      <c r="LJS1" s="841"/>
      <c r="LJT1" s="841"/>
      <c r="LJU1" s="841"/>
      <c r="LJV1" s="841"/>
      <c r="LJW1" s="841"/>
      <c r="LJX1" s="841"/>
      <c r="LJY1" s="841"/>
      <c r="LJZ1" s="841"/>
      <c r="LKA1" s="841"/>
      <c r="LKB1" s="841"/>
      <c r="LKC1" s="841"/>
      <c r="LKD1" s="841"/>
      <c r="LKE1" s="841"/>
      <c r="LKF1" s="841"/>
      <c r="LKG1" s="841"/>
      <c r="LKH1" s="841"/>
      <c r="LKI1" s="841"/>
      <c r="LKJ1" s="841"/>
      <c r="LKK1" s="841"/>
      <c r="LKL1" s="841"/>
      <c r="LKM1" s="841"/>
      <c r="LKN1" s="841"/>
      <c r="LKO1" s="841"/>
      <c r="LKP1" s="841"/>
      <c r="LKQ1" s="841"/>
      <c r="LKR1" s="841"/>
      <c r="LKS1" s="841"/>
      <c r="LKT1" s="841"/>
      <c r="LKU1" s="841"/>
      <c r="LKV1" s="841"/>
      <c r="LKW1" s="841"/>
      <c r="LKX1" s="841"/>
      <c r="LKY1" s="841"/>
      <c r="LKZ1" s="841"/>
      <c r="LLA1" s="841"/>
      <c r="LLB1" s="841"/>
      <c r="LLC1" s="841"/>
      <c r="LLD1" s="841"/>
      <c r="LLE1" s="841"/>
      <c r="LLF1" s="841"/>
      <c r="LLG1" s="841"/>
      <c r="LLH1" s="841"/>
      <c r="LLI1" s="841"/>
      <c r="LLJ1" s="841"/>
      <c r="LLK1" s="841"/>
      <c r="LLL1" s="841"/>
      <c r="LLM1" s="841"/>
      <c r="LLN1" s="841"/>
      <c r="LLO1" s="841"/>
      <c r="LLP1" s="841"/>
      <c r="LLQ1" s="841"/>
      <c r="LLR1" s="841"/>
      <c r="LLS1" s="841"/>
      <c r="LLT1" s="841"/>
      <c r="LLU1" s="841"/>
      <c r="LLV1" s="841"/>
      <c r="LLW1" s="841"/>
      <c r="LLX1" s="841"/>
      <c r="LLY1" s="841"/>
      <c r="LLZ1" s="841"/>
      <c r="LMA1" s="841"/>
      <c r="LMB1" s="841"/>
      <c r="LMC1" s="841"/>
      <c r="LMD1" s="841"/>
      <c r="LME1" s="841"/>
      <c r="LMF1" s="841"/>
      <c r="LMG1" s="841"/>
      <c r="LMH1" s="841"/>
      <c r="LMI1" s="841"/>
      <c r="LMJ1" s="841"/>
      <c r="LMK1" s="841"/>
      <c r="LML1" s="841"/>
      <c r="LMM1" s="841"/>
      <c r="LMN1" s="841"/>
      <c r="LMO1" s="841"/>
      <c r="LMP1" s="841"/>
      <c r="LMQ1" s="841"/>
      <c r="LMR1" s="841"/>
      <c r="LMS1" s="841"/>
      <c r="LMT1" s="841"/>
      <c r="LMU1" s="841"/>
      <c r="LMV1" s="841"/>
      <c r="LMW1" s="841"/>
      <c r="LMX1" s="841"/>
      <c r="LMY1" s="841"/>
      <c r="LMZ1" s="841"/>
      <c r="LNA1" s="841"/>
      <c r="LNB1" s="841"/>
      <c r="LNC1" s="841"/>
      <c r="LND1" s="841"/>
      <c r="LNE1" s="841"/>
      <c r="LNF1" s="841"/>
      <c r="LNG1" s="841"/>
      <c r="LNH1" s="841"/>
      <c r="LNI1" s="841"/>
      <c r="LNJ1" s="841"/>
      <c r="LNK1" s="841"/>
      <c r="LNL1" s="841"/>
      <c r="LNM1" s="841"/>
      <c r="LNN1" s="841"/>
      <c r="LNO1" s="841"/>
      <c r="LNP1" s="841"/>
      <c r="LNQ1" s="841"/>
      <c r="LNR1" s="841"/>
      <c r="LNS1" s="841"/>
      <c r="LNT1" s="841"/>
      <c r="LNU1" s="841"/>
      <c r="LNV1" s="841"/>
      <c r="LNW1" s="841"/>
      <c r="LNX1" s="841"/>
      <c r="LNY1" s="841"/>
      <c r="LNZ1" s="841"/>
      <c r="LOA1" s="841"/>
      <c r="LOB1" s="841"/>
      <c r="LOC1" s="841"/>
      <c r="LOD1" s="841"/>
      <c r="LOE1" s="841"/>
      <c r="LOF1" s="841"/>
      <c r="LOG1" s="841"/>
      <c r="LOH1" s="841"/>
      <c r="LOI1" s="841"/>
      <c r="LOJ1" s="841"/>
      <c r="LOK1" s="841"/>
      <c r="LOL1" s="841"/>
      <c r="LOM1" s="841"/>
      <c r="LON1" s="841"/>
      <c r="LOO1" s="841"/>
      <c r="LOP1" s="841"/>
      <c r="LOQ1" s="841"/>
      <c r="LOR1" s="841"/>
      <c r="LOS1" s="841"/>
      <c r="LOT1" s="841"/>
      <c r="LOU1" s="841"/>
      <c r="LOV1" s="841"/>
      <c r="LOW1" s="841"/>
      <c r="LOX1" s="841"/>
      <c r="LOY1" s="841"/>
      <c r="LOZ1" s="841"/>
      <c r="LPA1" s="841"/>
      <c r="LPB1" s="841"/>
      <c r="LPC1" s="841"/>
      <c r="LPD1" s="841"/>
      <c r="LPE1" s="841"/>
      <c r="LPF1" s="841"/>
      <c r="LPG1" s="841"/>
      <c r="LPH1" s="841"/>
      <c r="LPI1" s="841"/>
      <c r="LPJ1" s="841"/>
      <c r="LPK1" s="841"/>
      <c r="LPL1" s="841"/>
      <c r="LPM1" s="841"/>
      <c r="LPN1" s="841"/>
      <c r="LPO1" s="841"/>
      <c r="LPP1" s="841"/>
      <c r="LPQ1" s="841"/>
      <c r="LPR1" s="841"/>
      <c r="LPS1" s="841"/>
      <c r="LPT1" s="841"/>
      <c r="LPU1" s="841"/>
      <c r="LPV1" s="841"/>
      <c r="LPW1" s="841"/>
      <c r="LPX1" s="841"/>
      <c r="LPY1" s="841"/>
      <c r="LPZ1" s="841"/>
      <c r="LQA1" s="841"/>
      <c r="LQB1" s="841"/>
      <c r="LQC1" s="841"/>
      <c r="LQD1" s="841"/>
      <c r="LQE1" s="841"/>
      <c r="LQF1" s="841"/>
      <c r="LQG1" s="841"/>
      <c r="LQH1" s="841"/>
      <c r="LQI1" s="841"/>
      <c r="LQJ1" s="841"/>
      <c r="LQK1" s="841"/>
      <c r="LQL1" s="841"/>
      <c r="LQM1" s="841"/>
      <c r="LQN1" s="841"/>
      <c r="LQO1" s="841"/>
      <c r="LQP1" s="841"/>
      <c r="LQQ1" s="841"/>
      <c r="LQR1" s="841"/>
      <c r="LQS1" s="841"/>
      <c r="LQT1" s="841"/>
      <c r="LQU1" s="841"/>
      <c r="LQV1" s="841"/>
      <c r="LQW1" s="841"/>
      <c r="LQX1" s="841"/>
      <c r="LQY1" s="841"/>
      <c r="LQZ1" s="841"/>
      <c r="LRA1" s="841"/>
      <c r="LRB1" s="841"/>
      <c r="LRC1" s="841"/>
      <c r="LRD1" s="841"/>
      <c r="LRE1" s="841"/>
      <c r="LRF1" s="841"/>
      <c r="LRG1" s="841"/>
      <c r="LRH1" s="841"/>
      <c r="LRI1" s="841"/>
      <c r="LRJ1" s="841"/>
      <c r="LRK1" s="841"/>
      <c r="LRL1" s="841"/>
      <c r="LRM1" s="841"/>
      <c r="LRN1" s="841"/>
      <c r="LRO1" s="841"/>
      <c r="LRP1" s="841"/>
      <c r="LRQ1" s="841"/>
      <c r="LRR1" s="841"/>
      <c r="LRS1" s="841"/>
      <c r="LRT1" s="841"/>
      <c r="LRU1" s="841"/>
      <c r="LRV1" s="841"/>
      <c r="LRW1" s="841"/>
      <c r="LRX1" s="841"/>
      <c r="LRY1" s="841"/>
      <c r="LRZ1" s="841"/>
      <c r="LSA1" s="841"/>
      <c r="LSB1" s="841"/>
      <c r="LSC1" s="841"/>
      <c r="LSD1" s="841"/>
      <c r="LSE1" s="841"/>
      <c r="LSF1" s="841"/>
      <c r="LSG1" s="841"/>
      <c r="LSH1" s="841"/>
      <c r="LSI1" s="841"/>
      <c r="LSJ1" s="841"/>
      <c r="LSK1" s="841"/>
      <c r="LSL1" s="841"/>
      <c r="LSM1" s="841"/>
      <c r="LSN1" s="841"/>
      <c r="LSO1" s="841"/>
      <c r="LSP1" s="841"/>
      <c r="LSQ1" s="841"/>
      <c r="LSR1" s="841"/>
      <c r="LSS1" s="841"/>
      <c r="LST1" s="841"/>
      <c r="LSU1" s="841"/>
      <c r="LSV1" s="841"/>
      <c r="LSW1" s="841"/>
      <c r="LSX1" s="841"/>
      <c r="LSY1" s="841"/>
      <c r="LSZ1" s="841"/>
      <c r="LTA1" s="841"/>
      <c r="LTB1" s="841"/>
      <c r="LTC1" s="841"/>
      <c r="LTD1" s="841"/>
      <c r="LTE1" s="841"/>
      <c r="LTF1" s="841"/>
      <c r="LTG1" s="841"/>
      <c r="LTH1" s="841"/>
      <c r="LTI1" s="841"/>
      <c r="LTJ1" s="841"/>
      <c r="LTK1" s="841"/>
      <c r="LTL1" s="841"/>
      <c r="LTM1" s="841"/>
      <c r="LTN1" s="841"/>
      <c r="LTO1" s="841"/>
      <c r="LTP1" s="841"/>
      <c r="LTQ1" s="841"/>
      <c r="LTR1" s="841"/>
      <c r="LTS1" s="841"/>
      <c r="LTT1" s="841"/>
      <c r="LTU1" s="841"/>
      <c r="LTV1" s="841"/>
      <c r="LTW1" s="841"/>
      <c r="LTX1" s="841"/>
      <c r="LTY1" s="841"/>
      <c r="LTZ1" s="841"/>
      <c r="LUA1" s="841"/>
      <c r="LUB1" s="841"/>
      <c r="LUC1" s="841"/>
      <c r="LUD1" s="841"/>
      <c r="LUE1" s="841"/>
      <c r="LUF1" s="841"/>
      <c r="LUG1" s="841"/>
      <c r="LUH1" s="841"/>
      <c r="LUI1" s="841"/>
      <c r="LUJ1" s="841"/>
      <c r="LUK1" s="841"/>
      <c r="LUL1" s="841"/>
      <c r="LUM1" s="841"/>
      <c r="LUN1" s="841"/>
      <c r="LUO1" s="841"/>
      <c r="LUP1" s="841"/>
      <c r="LUQ1" s="841"/>
      <c r="LUR1" s="841"/>
      <c r="LUS1" s="841"/>
      <c r="LUT1" s="841"/>
      <c r="LUU1" s="841"/>
      <c r="LUV1" s="841"/>
      <c r="LUW1" s="841"/>
      <c r="LUX1" s="841"/>
      <c r="LUY1" s="841"/>
      <c r="LUZ1" s="841"/>
      <c r="LVA1" s="841"/>
      <c r="LVB1" s="841"/>
      <c r="LVC1" s="841"/>
      <c r="LVD1" s="841"/>
      <c r="LVE1" s="841"/>
      <c r="LVF1" s="841"/>
      <c r="LVG1" s="841"/>
      <c r="LVH1" s="841"/>
      <c r="LVI1" s="841"/>
      <c r="LVJ1" s="841"/>
      <c r="LVK1" s="841"/>
      <c r="LVL1" s="841"/>
      <c r="LVM1" s="841"/>
      <c r="LVN1" s="841"/>
      <c r="LVO1" s="841"/>
      <c r="LVP1" s="841"/>
      <c r="LVQ1" s="841"/>
      <c r="LVR1" s="841"/>
      <c r="LVS1" s="841"/>
      <c r="LVT1" s="841"/>
      <c r="LVU1" s="841"/>
      <c r="LVV1" s="841"/>
      <c r="LVW1" s="841"/>
      <c r="LVX1" s="841"/>
      <c r="LVY1" s="841"/>
      <c r="LVZ1" s="841"/>
      <c r="LWA1" s="841"/>
      <c r="LWB1" s="841"/>
      <c r="LWC1" s="841"/>
      <c r="LWD1" s="841"/>
      <c r="LWE1" s="841"/>
      <c r="LWF1" s="841"/>
      <c r="LWG1" s="841"/>
      <c r="LWH1" s="841"/>
      <c r="LWI1" s="841"/>
      <c r="LWJ1" s="841"/>
      <c r="LWK1" s="841"/>
      <c r="LWL1" s="841"/>
      <c r="LWM1" s="841"/>
      <c r="LWN1" s="841"/>
      <c r="LWO1" s="841"/>
      <c r="LWP1" s="841"/>
      <c r="LWQ1" s="841"/>
      <c r="LWR1" s="841"/>
      <c r="LWS1" s="841"/>
      <c r="LWT1" s="841"/>
      <c r="LWU1" s="841"/>
      <c r="LWV1" s="841"/>
      <c r="LWW1" s="841"/>
      <c r="LWX1" s="841"/>
      <c r="LWY1" s="841"/>
      <c r="LWZ1" s="841"/>
      <c r="LXA1" s="841"/>
      <c r="LXB1" s="841"/>
      <c r="LXC1" s="841"/>
      <c r="LXD1" s="841"/>
      <c r="LXE1" s="841"/>
      <c r="LXF1" s="841"/>
      <c r="LXG1" s="841"/>
      <c r="LXH1" s="841"/>
      <c r="LXI1" s="841"/>
      <c r="LXJ1" s="841"/>
      <c r="LXK1" s="841"/>
      <c r="LXL1" s="841"/>
      <c r="LXM1" s="841"/>
      <c r="LXN1" s="841"/>
      <c r="LXO1" s="841"/>
      <c r="LXP1" s="841"/>
      <c r="LXQ1" s="841"/>
      <c r="LXR1" s="841"/>
      <c r="LXS1" s="841"/>
      <c r="LXT1" s="841"/>
      <c r="LXU1" s="841"/>
      <c r="LXV1" s="841"/>
      <c r="LXW1" s="841"/>
      <c r="LXX1" s="841"/>
      <c r="LXY1" s="841"/>
      <c r="LXZ1" s="841"/>
      <c r="LYA1" s="841"/>
      <c r="LYB1" s="841"/>
      <c r="LYC1" s="841"/>
      <c r="LYD1" s="841"/>
      <c r="LYE1" s="841"/>
      <c r="LYF1" s="841"/>
      <c r="LYG1" s="841"/>
      <c r="LYH1" s="841"/>
      <c r="LYI1" s="841"/>
      <c r="LYJ1" s="841"/>
      <c r="LYK1" s="841"/>
      <c r="LYL1" s="841"/>
      <c r="LYM1" s="841"/>
      <c r="LYN1" s="841"/>
      <c r="LYO1" s="841"/>
      <c r="LYP1" s="841"/>
      <c r="LYQ1" s="841"/>
      <c r="LYR1" s="841"/>
      <c r="LYS1" s="841"/>
      <c r="LYT1" s="841"/>
      <c r="LYU1" s="841"/>
      <c r="LYV1" s="841"/>
      <c r="LYW1" s="841"/>
      <c r="LYX1" s="841"/>
      <c r="LYY1" s="841"/>
      <c r="LYZ1" s="841"/>
      <c r="LZA1" s="841"/>
      <c r="LZB1" s="841"/>
      <c r="LZC1" s="841"/>
      <c r="LZD1" s="841"/>
      <c r="LZE1" s="841"/>
      <c r="LZF1" s="841"/>
      <c r="LZG1" s="841"/>
      <c r="LZH1" s="841"/>
      <c r="LZI1" s="841"/>
      <c r="LZJ1" s="841"/>
      <c r="LZK1" s="841"/>
      <c r="LZL1" s="841"/>
      <c r="LZM1" s="841"/>
      <c r="LZN1" s="841"/>
      <c r="LZO1" s="841"/>
      <c r="LZP1" s="841"/>
      <c r="LZQ1" s="841"/>
      <c r="LZR1" s="841"/>
      <c r="LZS1" s="841"/>
      <c r="LZT1" s="841"/>
      <c r="LZU1" s="841"/>
      <c r="LZV1" s="841"/>
      <c r="LZW1" s="841"/>
      <c r="LZX1" s="841"/>
      <c r="LZY1" s="841"/>
      <c r="LZZ1" s="841"/>
      <c r="MAA1" s="841"/>
      <c r="MAB1" s="841"/>
      <c r="MAC1" s="841"/>
      <c r="MAD1" s="841"/>
      <c r="MAE1" s="841"/>
      <c r="MAF1" s="841"/>
      <c r="MAG1" s="841"/>
      <c r="MAH1" s="841"/>
      <c r="MAI1" s="841"/>
      <c r="MAJ1" s="841"/>
      <c r="MAK1" s="841"/>
      <c r="MAL1" s="841"/>
      <c r="MAM1" s="841"/>
      <c r="MAN1" s="841"/>
      <c r="MAO1" s="841"/>
      <c r="MAP1" s="841"/>
      <c r="MAQ1" s="841"/>
      <c r="MAR1" s="841"/>
      <c r="MAS1" s="841"/>
      <c r="MAT1" s="841"/>
      <c r="MAU1" s="841"/>
      <c r="MAV1" s="841"/>
      <c r="MAW1" s="841"/>
      <c r="MAX1" s="841"/>
      <c r="MAY1" s="841"/>
      <c r="MAZ1" s="841"/>
      <c r="MBA1" s="841"/>
      <c r="MBB1" s="841"/>
      <c r="MBC1" s="841"/>
      <c r="MBD1" s="841"/>
      <c r="MBE1" s="841"/>
      <c r="MBF1" s="841"/>
      <c r="MBG1" s="841"/>
      <c r="MBH1" s="841"/>
      <c r="MBI1" s="841"/>
      <c r="MBJ1" s="841"/>
      <c r="MBK1" s="841"/>
      <c r="MBL1" s="841"/>
      <c r="MBM1" s="841"/>
      <c r="MBN1" s="841"/>
      <c r="MBO1" s="841"/>
      <c r="MBP1" s="841"/>
      <c r="MBQ1" s="841"/>
      <c r="MBR1" s="841"/>
      <c r="MBS1" s="841"/>
      <c r="MBT1" s="841"/>
      <c r="MBU1" s="841"/>
      <c r="MBV1" s="841"/>
      <c r="MBW1" s="841"/>
      <c r="MBX1" s="841"/>
      <c r="MBY1" s="841"/>
      <c r="MBZ1" s="841"/>
      <c r="MCA1" s="841"/>
      <c r="MCB1" s="841"/>
      <c r="MCC1" s="841"/>
      <c r="MCD1" s="841"/>
      <c r="MCE1" s="841"/>
      <c r="MCF1" s="841"/>
      <c r="MCG1" s="841"/>
      <c r="MCH1" s="841"/>
      <c r="MCI1" s="841"/>
      <c r="MCJ1" s="841"/>
      <c r="MCK1" s="841"/>
      <c r="MCL1" s="841"/>
      <c r="MCM1" s="841"/>
      <c r="MCN1" s="841"/>
      <c r="MCO1" s="841"/>
      <c r="MCP1" s="841"/>
      <c r="MCQ1" s="841"/>
      <c r="MCR1" s="841"/>
      <c r="MCS1" s="841"/>
      <c r="MCT1" s="841"/>
      <c r="MCU1" s="841"/>
      <c r="MCV1" s="841"/>
      <c r="MCW1" s="841"/>
      <c r="MCX1" s="841"/>
      <c r="MCY1" s="841"/>
      <c r="MCZ1" s="841"/>
      <c r="MDA1" s="841"/>
      <c r="MDB1" s="841"/>
      <c r="MDC1" s="841"/>
      <c r="MDD1" s="841"/>
      <c r="MDE1" s="841"/>
      <c r="MDF1" s="841"/>
      <c r="MDG1" s="841"/>
      <c r="MDH1" s="841"/>
      <c r="MDI1" s="841"/>
      <c r="MDJ1" s="841"/>
      <c r="MDK1" s="841"/>
      <c r="MDL1" s="841"/>
      <c r="MDM1" s="841"/>
      <c r="MDN1" s="841"/>
      <c r="MDO1" s="841"/>
      <c r="MDP1" s="841"/>
      <c r="MDQ1" s="841"/>
      <c r="MDR1" s="841"/>
      <c r="MDS1" s="841"/>
      <c r="MDT1" s="841"/>
      <c r="MDU1" s="841"/>
      <c r="MDV1" s="841"/>
      <c r="MDW1" s="841"/>
      <c r="MDX1" s="841"/>
      <c r="MDY1" s="841"/>
      <c r="MDZ1" s="841"/>
      <c r="MEA1" s="841"/>
      <c r="MEB1" s="841"/>
      <c r="MEC1" s="841"/>
      <c r="MED1" s="841"/>
      <c r="MEE1" s="841"/>
      <c r="MEF1" s="841"/>
      <c r="MEG1" s="841"/>
      <c r="MEH1" s="841"/>
      <c r="MEI1" s="841"/>
      <c r="MEJ1" s="841"/>
      <c r="MEK1" s="841"/>
      <c r="MEL1" s="841"/>
      <c r="MEM1" s="841"/>
      <c r="MEN1" s="841"/>
      <c r="MEO1" s="841"/>
      <c r="MEP1" s="841"/>
      <c r="MEQ1" s="841"/>
      <c r="MER1" s="841"/>
      <c r="MES1" s="841"/>
      <c r="MET1" s="841"/>
      <c r="MEU1" s="841"/>
      <c r="MEV1" s="841"/>
      <c r="MEW1" s="841"/>
      <c r="MEX1" s="841"/>
      <c r="MEY1" s="841"/>
      <c r="MEZ1" s="841"/>
      <c r="MFA1" s="841"/>
      <c r="MFB1" s="841"/>
      <c r="MFC1" s="841"/>
      <c r="MFD1" s="841"/>
      <c r="MFE1" s="841"/>
      <c r="MFF1" s="841"/>
      <c r="MFG1" s="841"/>
      <c r="MFH1" s="841"/>
      <c r="MFI1" s="841"/>
      <c r="MFJ1" s="841"/>
      <c r="MFK1" s="841"/>
      <c r="MFL1" s="841"/>
      <c r="MFM1" s="841"/>
      <c r="MFN1" s="841"/>
      <c r="MFO1" s="841"/>
      <c r="MFP1" s="841"/>
      <c r="MFQ1" s="841"/>
      <c r="MFR1" s="841"/>
      <c r="MFS1" s="841"/>
      <c r="MFT1" s="841"/>
      <c r="MFU1" s="841"/>
      <c r="MFV1" s="841"/>
      <c r="MFW1" s="841"/>
      <c r="MFX1" s="841"/>
      <c r="MFY1" s="841"/>
      <c r="MFZ1" s="841"/>
      <c r="MGA1" s="841"/>
      <c r="MGB1" s="841"/>
      <c r="MGC1" s="841"/>
      <c r="MGD1" s="841"/>
      <c r="MGE1" s="841"/>
      <c r="MGF1" s="841"/>
      <c r="MGG1" s="841"/>
      <c r="MGH1" s="841"/>
      <c r="MGI1" s="841"/>
      <c r="MGJ1" s="841"/>
      <c r="MGK1" s="841"/>
      <c r="MGL1" s="841"/>
      <c r="MGM1" s="841"/>
      <c r="MGN1" s="841"/>
      <c r="MGO1" s="841"/>
      <c r="MGP1" s="841"/>
      <c r="MGQ1" s="841"/>
      <c r="MGR1" s="841"/>
      <c r="MGS1" s="841"/>
      <c r="MGT1" s="841"/>
      <c r="MGU1" s="841"/>
      <c r="MGV1" s="841"/>
      <c r="MGW1" s="841"/>
      <c r="MGX1" s="841"/>
      <c r="MGY1" s="841"/>
      <c r="MGZ1" s="841"/>
      <c r="MHA1" s="841"/>
      <c r="MHB1" s="841"/>
      <c r="MHC1" s="841"/>
      <c r="MHD1" s="841"/>
      <c r="MHE1" s="841"/>
      <c r="MHF1" s="841"/>
      <c r="MHG1" s="841"/>
      <c r="MHH1" s="841"/>
      <c r="MHI1" s="841"/>
      <c r="MHJ1" s="841"/>
      <c r="MHK1" s="841"/>
      <c r="MHL1" s="841"/>
      <c r="MHM1" s="841"/>
      <c r="MHN1" s="841"/>
      <c r="MHO1" s="841"/>
      <c r="MHP1" s="841"/>
      <c r="MHQ1" s="841"/>
      <c r="MHR1" s="841"/>
      <c r="MHS1" s="841"/>
      <c r="MHT1" s="841"/>
      <c r="MHU1" s="841"/>
      <c r="MHV1" s="841"/>
      <c r="MHW1" s="841"/>
      <c r="MHX1" s="841"/>
      <c r="MHY1" s="841"/>
      <c r="MHZ1" s="841"/>
      <c r="MIA1" s="841"/>
      <c r="MIB1" s="841"/>
      <c r="MIC1" s="841"/>
      <c r="MID1" s="841"/>
      <c r="MIE1" s="841"/>
      <c r="MIF1" s="841"/>
      <c r="MIG1" s="841"/>
      <c r="MIH1" s="841"/>
      <c r="MII1" s="841"/>
      <c r="MIJ1" s="841"/>
      <c r="MIK1" s="841"/>
      <c r="MIL1" s="841"/>
      <c r="MIM1" s="841"/>
      <c r="MIN1" s="841"/>
      <c r="MIO1" s="841"/>
      <c r="MIP1" s="841"/>
      <c r="MIQ1" s="841"/>
      <c r="MIR1" s="841"/>
      <c r="MIS1" s="841"/>
      <c r="MIT1" s="841"/>
      <c r="MIU1" s="841"/>
      <c r="MIV1" s="841"/>
      <c r="MIW1" s="841"/>
      <c r="MIX1" s="841"/>
      <c r="MIY1" s="841"/>
      <c r="MIZ1" s="841"/>
      <c r="MJA1" s="841"/>
      <c r="MJB1" s="841"/>
      <c r="MJC1" s="841"/>
      <c r="MJD1" s="841"/>
      <c r="MJE1" s="841"/>
      <c r="MJF1" s="841"/>
      <c r="MJG1" s="841"/>
      <c r="MJH1" s="841"/>
      <c r="MJI1" s="841"/>
      <c r="MJJ1" s="841"/>
      <c r="MJK1" s="841"/>
      <c r="MJL1" s="841"/>
      <c r="MJM1" s="841"/>
      <c r="MJN1" s="841"/>
      <c r="MJO1" s="841"/>
      <c r="MJP1" s="841"/>
      <c r="MJQ1" s="841"/>
      <c r="MJR1" s="841"/>
      <c r="MJS1" s="841"/>
      <c r="MJT1" s="841"/>
      <c r="MJU1" s="841"/>
      <c r="MJV1" s="841"/>
      <c r="MJW1" s="841"/>
      <c r="MJX1" s="841"/>
      <c r="MJY1" s="841"/>
      <c r="MJZ1" s="841"/>
      <c r="MKA1" s="841"/>
      <c r="MKB1" s="841"/>
      <c r="MKC1" s="841"/>
      <c r="MKD1" s="841"/>
      <c r="MKE1" s="841"/>
      <c r="MKF1" s="841"/>
      <c r="MKG1" s="841"/>
      <c r="MKH1" s="841"/>
      <c r="MKI1" s="841"/>
      <c r="MKJ1" s="841"/>
      <c r="MKK1" s="841"/>
      <c r="MKL1" s="841"/>
      <c r="MKM1" s="841"/>
      <c r="MKN1" s="841"/>
      <c r="MKO1" s="841"/>
      <c r="MKP1" s="841"/>
      <c r="MKQ1" s="841"/>
      <c r="MKR1" s="841"/>
      <c r="MKS1" s="841"/>
      <c r="MKT1" s="841"/>
      <c r="MKU1" s="841"/>
      <c r="MKV1" s="841"/>
      <c r="MKW1" s="841"/>
      <c r="MKX1" s="841"/>
      <c r="MKY1" s="841"/>
      <c r="MKZ1" s="841"/>
      <c r="MLA1" s="841"/>
      <c r="MLB1" s="841"/>
      <c r="MLC1" s="841"/>
      <c r="MLD1" s="841"/>
      <c r="MLE1" s="841"/>
      <c r="MLF1" s="841"/>
      <c r="MLG1" s="841"/>
      <c r="MLH1" s="841"/>
      <c r="MLI1" s="841"/>
      <c r="MLJ1" s="841"/>
      <c r="MLK1" s="841"/>
      <c r="MLL1" s="841"/>
      <c r="MLM1" s="841"/>
      <c r="MLN1" s="841"/>
      <c r="MLO1" s="841"/>
      <c r="MLP1" s="841"/>
      <c r="MLQ1" s="841"/>
      <c r="MLR1" s="841"/>
      <c r="MLS1" s="841"/>
      <c r="MLT1" s="841"/>
      <c r="MLU1" s="841"/>
      <c r="MLV1" s="841"/>
      <c r="MLW1" s="841"/>
      <c r="MLX1" s="841"/>
      <c r="MLY1" s="841"/>
      <c r="MLZ1" s="841"/>
      <c r="MMA1" s="841"/>
      <c r="MMB1" s="841"/>
      <c r="MMC1" s="841"/>
      <c r="MMD1" s="841"/>
      <c r="MME1" s="841"/>
      <c r="MMF1" s="841"/>
      <c r="MMG1" s="841"/>
      <c r="MMH1" s="841"/>
      <c r="MMI1" s="841"/>
      <c r="MMJ1" s="841"/>
      <c r="MMK1" s="841"/>
      <c r="MML1" s="841"/>
      <c r="MMM1" s="841"/>
      <c r="MMN1" s="841"/>
      <c r="MMO1" s="841"/>
      <c r="MMP1" s="841"/>
      <c r="MMQ1" s="841"/>
      <c r="MMR1" s="841"/>
      <c r="MMS1" s="841"/>
      <c r="MMT1" s="841"/>
      <c r="MMU1" s="841"/>
      <c r="MMV1" s="841"/>
      <c r="MMW1" s="841"/>
      <c r="MMX1" s="841"/>
      <c r="MMY1" s="841"/>
      <c r="MMZ1" s="841"/>
      <c r="MNA1" s="841"/>
      <c r="MNB1" s="841"/>
      <c r="MNC1" s="841"/>
      <c r="MND1" s="841"/>
      <c r="MNE1" s="841"/>
      <c r="MNF1" s="841"/>
      <c r="MNG1" s="841"/>
      <c r="MNH1" s="841"/>
      <c r="MNI1" s="841"/>
      <c r="MNJ1" s="841"/>
      <c r="MNK1" s="841"/>
      <c r="MNL1" s="841"/>
      <c r="MNM1" s="841"/>
      <c r="MNN1" s="841"/>
      <c r="MNO1" s="841"/>
      <c r="MNP1" s="841"/>
      <c r="MNQ1" s="841"/>
      <c r="MNR1" s="841"/>
      <c r="MNS1" s="841"/>
      <c r="MNT1" s="841"/>
      <c r="MNU1" s="841"/>
      <c r="MNV1" s="841"/>
      <c r="MNW1" s="841"/>
      <c r="MNX1" s="841"/>
      <c r="MNY1" s="841"/>
      <c r="MNZ1" s="841"/>
      <c r="MOA1" s="841"/>
      <c r="MOB1" s="841"/>
      <c r="MOC1" s="841"/>
      <c r="MOD1" s="841"/>
      <c r="MOE1" s="841"/>
      <c r="MOF1" s="841"/>
      <c r="MOG1" s="841"/>
      <c r="MOH1" s="841"/>
      <c r="MOI1" s="841"/>
      <c r="MOJ1" s="841"/>
      <c r="MOK1" s="841"/>
      <c r="MOL1" s="841"/>
      <c r="MOM1" s="841"/>
      <c r="MON1" s="841"/>
      <c r="MOO1" s="841"/>
      <c r="MOP1" s="841"/>
      <c r="MOQ1" s="841"/>
      <c r="MOR1" s="841"/>
      <c r="MOS1" s="841"/>
      <c r="MOT1" s="841"/>
      <c r="MOU1" s="841"/>
      <c r="MOV1" s="841"/>
      <c r="MOW1" s="841"/>
      <c r="MOX1" s="841"/>
      <c r="MOY1" s="841"/>
      <c r="MOZ1" s="841"/>
      <c r="MPA1" s="841"/>
      <c r="MPB1" s="841"/>
      <c r="MPC1" s="841"/>
      <c r="MPD1" s="841"/>
      <c r="MPE1" s="841"/>
      <c r="MPF1" s="841"/>
      <c r="MPG1" s="841"/>
      <c r="MPH1" s="841"/>
      <c r="MPI1" s="841"/>
      <c r="MPJ1" s="841"/>
      <c r="MPK1" s="841"/>
      <c r="MPL1" s="841"/>
      <c r="MPM1" s="841"/>
      <c r="MPN1" s="841"/>
      <c r="MPO1" s="841"/>
      <c r="MPP1" s="841"/>
      <c r="MPQ1" s="841"/>
      <c r="MPR1" s="841"/>
      <c r="MPS1" s="841"/>
      <c r="MPT1" s="841"/>
      <c r="MPU1" s="841"/>
      <c r="MPV1" s="841"/>
      <c r="MPW1" s="841"/>
      <c r="MPX1" s="841"/>
      <c r="MPY1" s="841"/>
      <c r="MPZ1" s="841"/>
      <c r="MQA1" s="841"/>
      <c r="MQB1" s="841"/>
      <c r="MQC1" s="841"/>
      <c r="MQD1" s="841"/>
      <c r="MQE1" s="841"/>
      <c r="MQF1" s="841"/>
      <c r="MQG1" s="841"/>
      <c r="MQH1" s="841"/>
      <c r="MQI1" s="841"/>
      <c r="MQJ1" s="841"/>
      <c r="MQK1" s="841"/>
      <c r="MQL1" s="841"/>
      <c r="MQM1" s="841"/>
      <c r="MQN1" s="841"/>
      <c r="MQO1" s="841"/>
      <c r="MQP1" s="841"/>
      <c r="MQQ1" s="841"/>
      <c r="MQR1" s="841"/>
      <c r="MQS1" s="841"/>
      <c r="MQT1" s="841"/>
      <c r="MQU1" s="841"/>
      <c r="MQV1" s="841"/>
      <c r="MQW1" s="841"/>
      <c r="MQX1" s="841"/>
      <c r="MQY1" s="841"/>
      <c r="MQZ1" s="841"/>
      <c r="MRA1" s="841"/>
      <c r="MRB1" s="841"/>
      <c r="MRC1" s="841"/>
      <c r="MRD1" s="841"/>
      <c r="MRE1" s="841"/>
      <c r="MRF1" s="841"/>
      <c r="MRG1" s="841"/>
      <c r="MRH1" s="841"/>
      <c r="MRI1" s="841"/>
      <c r="MRJ1" s="841"/>
      <c r="MRK1" s="841"/>
      <c r="MRL1" s="841"/>
      <c r="MRM1" s="841"/>
      <c r="MRN1" s="841"/>
      <c r="MRO1" s="841"/>
      <c r="MRP1" s="841"/>
      <c r="MRQ1" s="841"/>
      <c r="MRR1" s="841"/>
      <c r="MRS1" s="841"/>
      <c r="MRT1" s="841"/>
      <c r="MRU1" s="841"/>
      <c r="MRV1" s="841"/>
      <c r="MRW1" s="841"/>
      <c r="MRX1" s="841"/>
      <c r="MRY1" s="841"/>
      <c r="MRZ1" s="841"/>
      <c r="MSA1" s="841"/>
      <c r="MSB1" s="841"/>
      <c r="MSC1" s="841"/>
      <c r="MSD1" s="841"/>
      <c r="MSE1" s="841"/>
      <c r="MSF1" s="841"/>
      <c r="MSG1" s="841"/>
      <c r="MSH1" s="841"/>
      <c r="MSI1" s="841"/>
      <c r="MSJ1" s="841"/>
      <c r="MSK1" s="841"/>
      <c r="MSL1" s="841"/>
      <c r="MSM1" s="841"/>
      <c r="MSN1" s="841"/>
      <c r="MSO1" s="841"/>
      <c r="MSP1" s="841"/>
      <c r="MSQ1" s="841"/>
      <c r="MSR1" s="841"/>
      <c r="MSS1" s="841"/>
      <c r="MST1" s="841"/>
      <c r="MSU1" s="841"/>
      <c r="MSV1" s="841"/>
      <c r="MSW1" s="841"/>
      <c r="MSX1" s="841"/>
      <c r="MSY1" s="841"/>
      <c r="MSZ1" s="841"/>
      <c r="MTA1" s="841"/>
      <c r="MTB1" s="841"/>
      <c r="MTC1" s="841"/>
      <c r="MTD1" s="841"/>
      <c r="MTE1" s="841"/>
      <c r="MTF1" s="841"/>
      <c r="MTG1" s="841"/>
      <c r="MTH1" s="841"/>
      <c r="MTI1" s="841"/>
      <c r="MTJ1" s="841"/>
      <c r="MTK1" s="841"/>
      <c r="MTL1" s="841"/>
      <c r="MTM1" s="841"/>
      <c r="MTN1" s="841"/>
      <c r="MTO1" s="841"/>
      <c r="MTP1" s="841"/>
      <c r="MTQ1" s="841"/>
      <c r="MTR1" s="841"/>
      <c r="MTS1" s="841"/>
      <c r="MTT1" s="841"/>
      <c r="MTU1" s="841"/>
      <c r="MTV1" s="841"/>
      <c r="MTW1" s="841"/>
      <c r="MTX1" s="841"/>
      <c r="MTY1" s="841"/>
      <c r="MTZ1" s="841"/>
      <c r="MUA1" s="841"/>
      <c r="MUB1" s="841"/>
      <c r="MUC1" s="841"/>
      <c r="MUD1" s="841"/>
      <c r="MUE1" s="841"/>
      <c r="MUF1" s="841"/>
      <c r="MUG1" s="841"/>
      <c r="MUH1" s="841"/>
      <c r="MUI1" s="841"/>
      <c r="MUJ1" s="841"/>
      <c r="MUK1" s="841"/>
      <c r="MUL1" s="841"/>
      <c r="MUM1" s="841"/>
      <c r="MUN1" s="841"/>
      <c r="MUO1" s="841"/>
      <c r="MUP1" s="841"/>
      <c r="MUQ1" s="841"/>
      <c r="MUR1" s="841"/>
      <c r="MUS1" s="841"/>
      <c r="MUT1" s="841"/>
      <c r="MUU1" s="841"/>
      <c r="MUV1" s="841"/>
      <c r="MUW1" s="841"/>
      <c r="MUX1" s="841"/>
      <c r="MUY1" s="841"/>
      <c r="MUZ1" s="841"/>
      <c r="MVA1" s="841"/>
      <c r="MVB1" s="841"/>
      <c r="MVC1" s="841"/>
      <c r="MVD1" s="841"/>
      <c r="MVE1" s="841"/>
      <c r="MVF1" s="841"/>
      <c r="MVG1" s="841"/>
      <c r="MVH1" s="841"/>
      <c r="MVI1" s="841"/>
      <c r="MVJ1" s="841"/>
      <c r="MVK1" s="841"/>
      <c r="MVL1" s="841"/>
      <c r="MVM1" s="841"/>
      <c r="MVN1" s="841"/>
      <c r="MVO1" s="841"/>
      <c r="MVP1" s="841"/>
      <c r="MVQ1" s="841"/>
      <c r="MVR1" s="841"/>
      <c r="MVS1" s="841"/>
      <c r="MVT1" s="841"/>
      <c r="MVU1" s="841"/>
      <c r="MVV1" s="841"/>
      <c r="MVW1" s="841"/>
      <c r="MVX1" s="841"/>
      <c r="MVY1" s="841"/>
      <c r="MVZ1" s="841"/>
      <c r="MWA1" s="841"/>
      <c r="MWB1" s="841"/>
      <c r="MWC1" s="841"/>
      <c r="MWD1" s="841"/>
      <c r="MWE1" s="841"/>
      <c r="MWF1" s="841"/>
      <c r="MWG1" s="841"/>
      <c r="MWH1" s="841"/>
      <c r="MWI1" s="841"/>
      <c r="MWJ1" s="841"/>
      <c r="MWK1" s="841"/>
      <c r="MWL1" s="841"/>
      <c r="MWM1" s="841"/>
      <c r="MWN1" s="841"/>
      <c r="MWO1" s="841"/>
      <c r="MWP1" s="841"/>
      <c r="MWQ1" s="841"/>
      <c r="MWR1" s="841"/>
      <c r="MWS1" s="841"/>
      <c r="MWT1" s="841"/>
      <c r="MWU1" s="841"/>
      <c r="MWV1" s="841"/>
      <c r="MWW1" s="841"/>
      <c r="MWX1" s="841"/>
      <c r="MWY1" s="841"/>
      <c r="MWZ1" s="841"/>
      <c r="MXA1" s="841"/>
      <c r="MXB1" s="841"/>
      <c r="MXC1" s="841"/>
      <c r="MXD1" s="841"/>
      <c r="MXE1" s="841"/>
      <c r="MXF1" s="841"/>
      <c r="MXG1" s="841"/>
      <c r="MXH1" s="841"/>
      <c r="MXI1" s="841"/>
      <c r="MXJ1" s="841"/>
      <c r="MXK1" s="841"/>
      <c r="MXL1" s="841"/>
      <c r="MXM1" s="841"/>
      <c r="MXN1" s="841"/>
      <c r="MXO1" s="841"/>
      <c r="MXP1" s="841"/>
      <c r="MXQ1" s="841"/>
      <c r="MXR1" s="841"/>
      <c r="MXS1" s="841"/>
      <c r="MXT1" s="841"/>
      <c r="MXU1" s="841"/>
      <c r="MXV1" s="841"/>
      <c r="MXW1" s="841"/>
      <c r="MXX1" s="841"/>
      <c r="MXY1" s="841"/>
      <c r="MXZ1" s="841"/>
      <c r="MYA1" s="841"/>
      <c r="MYB1" s="841"/>
      <c r="MYC1" s="841"/>
      <c r="MYD1" s="841"/>
      <c r="MYE1" s="841"/>
      <c r="MYF1" s="841"/>
      <c r="MYG1" s="841"/>
      <c r="MYH1" s="841"/>
      <c r="MYI1" s="841"/>
      <c r="MYJ1" s="841"/>
      <c r="MYK1" s="841"/>
      <c r="MYL1" s="841"/>
      <c r="MYM1" s="841"/>
      <c r="MYN1" s="841"/>
      <c r="MYO1" s="841"/>
      <c r="MYP1" s="841"/>
      <c r="MYQ1" s="841"/>
      <c r="MYR1" s="841"/>
      <c r="MYS1" s="841"/>
      <c r="MYT1" s="841"/>
      <c r="MYU1" s="841"/>
      <c r="MYV1" s="841"/>
      <c r="MYW1" s="841"/>
      <c r="MYX1" s="841"/>
      <c r="MYY1" s="841"/>
      <c r="MYZ1" s="841"/>
      <c r="MZA1" s="841"/>
      <c r="MZB1" s="841"/>
      <c r="MZC1" s="841"/>
      <c r="MZD1" s="841"/>
      <c r="MZE1" s="841"/>
      <c r="MZF1" s="841"/>
      <c r="MZG1" s="841"/>
      <c r="MZH1" s="841"/>
      <c r="MZI1" s="841"/>
      <c r="MZJ1" s="841"/>
      <c r="MZK1" s="841"/>
      <c r="MZL1" s="841"/>
      <c r="MZM1" s="841"/>
      <c r="MZN1" s="841"/>
      <c r="MZO1" s="841"/>
      <c r="MZP1" s="841"/>
      <c r="MZQ1" s="841"/>
      <c r="MZR1" s="841"/>
      <c r="MZS1" s="841"/>
      <c r="MZT1" s="841"/>
      <c r="MZU1" s="841"/>
      <c r="MZV1" s="841"/>
      <c r="MZW1" s="841"/>
      <c r="MZX1" s="841"/>
      <c r="MZY1" s="841"/>
      <c r="MZZ1" s="841"/>
      <c r="NAA1" s="841"/>
      <c r="NAB1" s="841"/>
      <c r="NAC1" s="841"/>
      <c r="NAD1" s="841"/>
      <c r="NAE1" s="841"/>
      <c r="NAF1" s="841"/>
      <c r="NAG1" s="841"/>
      <c r="NAH1" s="841"/>
      <c r="NAI1" s="841"/>
      <c r="NAJ1" s="841"/>
      <c r="NAK1" s="841"/>
      <c r="NAL1" s="841"/>
      <c r="NAM1" s="841"/>
      <c r="NAN1" s="841"/>
      <c r="NAO1" s="841"/>
      <c r="NAP1" s="841"/>
      <c r="NAQ1" s="841"/>
      <c r="NAR1" s="841"/>
      <c r="NAS1" s="841"/>
      <c r="NAT1" s="841"/>
      <c r="NAU1" s="841"/>
      <c r="NAV1" s="841"/>
      <c r="NAW1" s="841"/>
      <c r="NAX1" s="841"/>
      <c r="NAY1" s="841"/>
      <c r="NAZ1" s="841"/>
      <c r="NBA1" s="841"/>
      <c r="NBB1" s="841"/>
      <c r="NBC1" s="841"/>
      <c r="NBD1" s="841"/>
      <c r="NBE1" s="841"/>
      <c r="NBF1" s="841"/>
      <c r="NBG1" s="841"/>
      <c r="NBH1" s="841"/>
      <c r="NBI1" s="841"/>
      <c r="NBJ1" s="841"/>
      <c r="NBK1" s="841"/>
      <c r="NBL1" s="841"/>
      <c r="NBM1" s="841"/>
      <c r="NBN1" s="841"/>
      <c r="NBO1" s="841"/>
      <c r="NBP1" s="841"/>
      <c r="NBQ1" s="841"/>
      <c r="NBR1" s="841"/>
      <c r="NBS1" s="841"/>
      <c r="NBT1" s="841"/>
      <c r="NBU1" s="841"/>
      <c r="NBV1" s="841"/>
      <c r="NBW1" s="841"/>
      <c r="NBX1" s="841"/>
      <c r="NBY1" s="841"/>
      <c r="NBZ1" s="841"/>
      <c r="NCA1" s="841"/>
      <c r="NCB1" s="841"/>
      <c r="NCC1" s="841"/>
      <c r="NCD1" s="841"/>
      <c r="NCE1" s="841"/>
      <c r="NCF1" s="841"/>
      <c r="NCG1" s="841"/>
      <c r="NCH1" s="841"/>
      <c r="NCI1" s="841"/>
      <c r="NCJ1" s="841"/>
      <c r="NCK1" s="841"/>
      <c r="NCL1" s="841"/>
      <c r="NCM1" s="841"/>
      <c r="NCN1" s="841"/>
      <c r="NCO1" s="841"/>
      <c r="NCP1" s="841"/>
      <c r="NCQ1" s="841"/>
      <c r="NCR1" s="841"/>
      <c r="NCS1" s="841"/>
      <c r="NCT1" s="841"/>
      <c r="NCU1" s="841"/>
      <c r="NCV1" s="841"/>
      <c r="NCW1" s="841"/>
      <c r="NCX1" s="841"/>
      <c r="NCY1" s="841"/>
      <c r="NCZ1" s="841"/>
      <c r="NDA1" s="841"/>
      <c r="NDB1" s="841"/>
      <c r="NDC1" s="841"/>
      <c r="NDD1" s="841"/>
      <c r="NDE1" s="841"/>
      <c r="NDF1" s="841"/>
      <c r="NDG1" s="841"/>
      <c r="NDH1" s="841"/>
      <c r="NDI1" s="841"/>
      <c r="NDJ1" s="841"/>
      <c r="NDK1" s="841"/>
      <c r="NDL1" s="841"/>
      <c r="NDM1" s="841"/>
      <c r="NDN1" s="841"/>
      <c r="NDO1" s="841"/>
      <c r="NDP1" s="841"/>
      <c r="NDQ1" s="841"/>
      <c r="NDR1" s="841"/>
      <c r="NDS1" s="841"/>
      <c r="NDT1" s="841"/>
      <c r="NDU1" s="841"/>
      <c r="NDV1" s="841"/>
      <c r="NDW1" s="841"/>
      <c r="NDX1" s="841"/>
      <c r="NDY1" s="841"/>
      <c r="NDZ1" s="841"/>
      <c r="NEA1" s="841"/>
      <c r="NEB1" s="841"/>
      <c r="NEC1" s="841"/>
      <c r="NED1" s="841"/>
      <c r="NEE1" s="841"/>
      <c r="NEF1" s="841"/>
      <c r="NEG1" s="841"/>
      <c r="NEH1" s="841"/>
      <c r="NEI1" s="841"/>
      <c r="NEJ1" s="841"/>
      <c r="NEK1" s="841"/>
      <c r="NEL1" s="841"/>
      <c r="NEM1" s="841"/>
      <c r="NEN1" s="841"/>
      <c r="NEO1" s="841"/>
      <c r="NEP1" s="841"/>
      <c r="NEQ1" s="841"/>
      <c r="NER1" s="841"/>
      <c r="NES1" s="841"/>
      <c r="NET1" s="841"/>
      <c r="NEU1" s="841"/>
      <c r="NEV1" s="841"/>
      <c r="NEW1" s="841"/>
      <c r="NEX1" s="841"/>
      <c r="NEY1" s="841"/>
      <c r="NEZ1" s="841"/>
      <c r="NFA1" s="841"/>
      <c r="NFB1" s="841"/>
      <c r="NFC1" s="841"/>
      <c r="NFD1" s="841"/>
      <c r="NFE1" s="841"/>
      <c r="NFF1" s="841"/>
      <c r="NFG1" s="841"/>
      <c r="NFH1" s="841"/>
      <c r="NFI1" s="841"/>
      <c r="NFJ1" s="841"/>
      <c r="NFK1" s="841"/>
      <c r="NFL1" s="841"/>
      <c r="NFM1" s="841"/>
      <c r="NFN1" s="841"/>
      <c r="NFO1" s="841"/>
      <c r="NFP1" s="841"/>
      <c r="NFQ1" s="841"/>
      <c r="NFR1" s="841"/>
      <c r="NFS1" s="841"/>
      <c r="NFT1" s="841"/>
      <c r="NFU1" s="841"/>
      <c r="NFV1" s="841"/>
      <c r="NFW1" s="841"/>
      <c r="NFX1" s="841"/>
      <c r="NFY1" s="841"/>
      <c r="NFZ1" s="841"/>
      <c r="NGA1" s="841"/>
      <c r="NGB1" s="841"/>
      <c r="NGC1" s="841"/>
      <c r="NGD1" s="841"/>
      <c r="NGE1" s="841"/>
      <c r="NGF1" s="841"/>
      <c r="NGG1" s="841"/>
      <c r="NGH1" s="841"/>
      <c r="NGI1" s="841"/>
      <c r="NGJ1" s="841"/>
      <c r="NGK1" s="841"/>
      <c r="NGL1" s="841"/>
      <c r="NGM1" s="841"/>
      <c r="NGN1" s="841"/>
      <c r="NGO1" s="841"/>
      <c r="NGP1" s="841"/>
      <c r="NGQ1" s="841"/>
      <c r="NGR1" s="841"/>
      <c r="NGS1" s="841"/>
      <c r="NGT1" s="841"/>
      <c r="NGU1" s="841"/>
      <c r="NGV1" s="841"/>
      <c r="NGW1" s="841"/>
      <c r="NGX1" s="841"/>
      <c r="NGY1" s="841"/>
      <c r="NGZ1" s="841"/>
      <c r="NHA1" s="841"/>
      <c r="NHB1" s="841"/>
      <c r="NHC1" s="841"/>
      <c r="NHD1" s="841"/>
      <c r="NHE1" s="841"/>
      <c r="NHF1" s="841"/>
      <c r="NHG1" s="841"/>
      <c r="NHH1" s="841"/>
      <c r="NHI1" s="841"/>
      <c r="NHJ1" s="841"/>
      <c r="NHK1" s="841"/>
      <c r="NHL1" s="841"/>
      <c r="NHM1" s="841"/>
      <c r="NHN1" s="841"/>
      <c r="NHO1" s="841"/>
      <c r="NHP1" s="841"/>
      <c r="NHQ1" s="841"/>
      <c r="NHR1" s="841"/>
      <c r="NHS1" s="841"/>
      <c r="NHT1" s="841"/>
      <c r="NHU1" s="841"/>
      <c r="NHV1" s="841"/>
      <c r="NHW1" s="841"/>
      <c r="NHX1" s="841"/>
      <c r="NHY1" s="841"/>
      <c r="NHZ1" s="841"/>
      <c r="NIA1" s="841"/>
      <c r="NIB1" s="841"/>
      <c r="NIC1" s="841"/>
      <c r="NID1" s="841"/>
      <c r="NIE1" s="841"/>
      <c r="NIF1" s="841"/>
      <c r="NIG1" s="841"/>
      <c r="NIH1" s="841"/>
      <c r="NII1" s="841"/>
      <c r="NIJ1" s="841"/>
      <c r="NIK1" s="841"/>
      <c r="NIL1" s="841"/>
      <c r="NIM1" s="841"/>
      <c r="NIN1" s="841"/>
      <c r="NIO1" s="841"/>
      <c r="NIP1" s="841"/>
      <c r="NIQ1" s="841"/>
      <c r="NIR1" s="841"/>
      <c r="NIS1" s="841"/>
      <c r="NIT1" s="841"/>
      <c r="NIU1" s="841"/>
      <c r="NIV1" s="841"/>
      <c r="NIW1" s="841"/>
      <c r="NIX1" s="841"/>
      <c r="NIY1" s="841"/>
      <c r="NIZ1" s="841"/>
      <c r="NJA1" s="841"/>
      <c r="NJB1" s="841"/>
      <c r="NJC1" s="841"/>
      <c r="NJD1" s="841"/>
      <c r="NJE1" s="841"/>
      <c r="NJF1" s="841"/>
      <c r="NJG1" s="841"/>
      <c r="NJH1" s="841"/>
      <c r="NJI1" s="841"/>
      <c r="NJJ1" s="841"/>
      <c r="NJK1" s="841"/>
      <c r="NJL1" s="841"/>
      <c r="NJM1" s="841"/>
      <c r="NJN1" s="841"/>
      <c r="NJO1" s="841"/>
      <c r="NJP1" s="841"/>
      <c r="NJQ1" s="841"/>
      <c r="NJR1" s="841"/>
      <c r="NJS1" s="841"/>
      <c r="NJT1" s="841"/>
      <c r="NJU1" s="841"/>
      <c r="NJV1" s="841"/>
      <c r="NJW1" s="841"/>
      <c r="NJX1" s="841"/>
      <c r="NJY1" s="841"/>
      <c r="NJZ1" s="841"/>
      <c r="NKA1" s="841"/>
      <c r="NKB1" s="841"/>
      <c r="NKC1" s="841"/>
      <c r="NKD1" s="841"/>
      <c r="NKE1" s="841"/>
      <c r="NKF1" s="841"/>
      <c r="NKG1" s="841"/>
      <c r="NKH1" s="841"/>
      <c r="NKI1" s="841"/>
      <c r="NKJ1" s="841"/>
      <c r="NKK1" s="841"/>
      <c r="NKL1" s="841"/>
      <c r="NKM1" s="841"/>
      <c r="NKN1" s="841"/>
      <c r="NKO1" s="841"/>
      <c r="NKP1" s="841"/>
      <c r="NKQ1" s="841"/>
      <c r="NKR1" s="841"/>
      <c r="NKS1" s="841"/>
      <c r="NKT1" s="841"/>
      <c r="NKU1" s="841"/>
      <c r="NKV1" s="841"/>
      <c r="NKW1" s="841"/>
      <c r="NKX1" s="841"/>
      <c r="NKY1" s="841"/>
      <c r="NKZ1" s="841"/>
      <c r="NLA1" s="841"/>
      <c r="NLB1" s="841"/>
      <c r="NLC1" s="841"/>
      <c r="NLD1" s="841"/>
      <c r="NLE1" s="841"/>
      <c r="NLF1" s="841"/>
      <c r="NLG1" s="841"/>
      <c r="NLH1" s="841"/>
      <c r="NLI1" s="841"/>
      <c r="NLJ1" s="841"/>
      <c r="NLK1" s="841"/>
      <c r="NLL1" s="841"/>
      <c r="NLM1" s="841"/>
      <c r="NLN1" s="841"/>
      <c r="NLO1" s="841"/>
      <c r="NLP1" s="841"/>
      <c r="NLQ1" s="841"/>
      <c r="NLR1" s="841"/>
      <c r="NLS1" s="841"/>
      <c r="NLT1" s="841"/>
      <c r="NLU1" s="841"/>
      <c r="NLV1" s="841"/>
      <c r="NLW1" s="841"/>
      <c r="NLX1" s="841"/>
      <c r="NLY1" s="841"/>
      <c r="NLZ1" s="841"/>
      <c r="NMA1" s="841"/>
      <c r="NMB1" s="841"/>
      <c r="NMC1" s="841"/>
      <c r="NMD1" s="841"/>
      <c r="NME1" s="841"/>
      <c r="NMF1" s="841"/>
      <c r="NMG1" s="841"/>
      <c r="NMH1" s="841"/>
      <c r="NMI1" s="841"/>
      <c r="NMJ1" s="841"/>
      <c r="NMK1" s="841"/>
      <c r="NML1" s="841"/>
      <c r="NMM1" s="841"/>
      <c r="NMN1" s="841"/>
      <c r="NMO1" s="841"/>
      <c r="NMP1" s="841"/>
      <c r="NMQ1" s="841"/>
      <c r="NMR1" s="841"/>
      <c r="NMS1" s="841"/>
      <c r="NMT1" s="841"/>
      <c r="NMU1" s="841"/>
      <c r="NMV1" s="841"/>
      <c r="NMW1" s="841"/>
      <c r="NMX1" s="841"/>
      <c r="NMY1" s="841"/>
      <c r="NMZ1" s="841"/>
      <c r="NNA1" s="841"/>
      <c r="NNB1" s="841"/>
      <c r="NNC1" s="841"/>
      <c r="NND1" s="841"/>
      <c r="NNE1" s="841"/>
      <c r="NNF1" s="841"/>
      <c r="NNG1" s="841"/>
      <c r="NNH1" s="841"/>
      <c r="NNI1" s="841"/>
      <c r="NNJ1" s="841"/>
      <c r="NNK1" s="841"/>
      <c r="NNL1" s="841"/>
      <c r="NNM1" s="841"/>
      <c r="NNN1" s="841"/>
      <c r="NNO1" s="841"/>
      <c r="NNP1" s="841"/>
      <c r="NNQ1" s="841"/>
      <c r="NNR1" s="841"/>
      <c r="NNS1" s="841"/>
      <c r="NNT1" s="841"/>
      <c r="NNU1" s="841"/>
      <c r="NNV1" s="841"/>
      <c r="NNW1" s="841"/>
      <c r="NNX1" s="841"/>
      <c r="NNY1" s="841"/>
      <c r="NNZ1" s="841"/>
      <c r="NOA1" s="841"/>
      <c r="NOB1" s="841"/>
      <c r="NOC1" s="841"/>
      <c r="NOD1" s="841"/>
      <c r="NOE1" s="841"/>
      <c r="NOF1" s="841"/>
      <c r="NOG1" s="841"/>
      <c r="NOH1" s="841"/>
      <c r="NOI1" s="841"/>
      <c r="NOJ1" s="841"/>
      <c r="NOK1" s="841"/>
      <c r="NOL1" s="841"/>
      <c r="NOM1" s="841"/>
      <c r="NON1" s="841"/>
      <c r="NOO1" s="841"/>
      <c r="NOP1" s="841"/>
      <c r="NOQ1" s="841"/>
      <c r="NOR1" s="841"/>
      <c r="NOS1" s="841"/>
      <c r="NOT1" s="841"/>
      <c r="NOU1" s="841"/>
      <c r="NOV1" s="841"/>
      <c r="NOW1" s="841"/>
      <c r="NOX1" s="841"/>
      <c r="NOY1" s="841"/>
      <c r="NOZ1" s="841"/>
      <c r="NPA1" s="841"/>
      <c r="NPB1" s="841"/>
      <c r="NPC1" s="841"/>
      <c r="NPD1" s="841"/>
      <c r="NPE1" s="841"/>
      <c r="NPF1" s="841"/>
      <c r="NPG1" s="841"/>
      <c r="NPH1" s="841"/>
      <c r="NPI1" s="841"/>
      <c r="NPJ1" s="841"/>
      <c r="NPK1" s="841"/>
      <c r="NPL1" s="841"/>
      <c r="NPM1" s="841"/>
      <c r="NPN1" s="841"/>
      <c r="NPO1" s="841"/>
      <c r="NPP1" s="841"/>
      <c r="NPQ1" s="841"/>
      <c r="NPR1" s="841"/>
      <c r="NPS1" s="841"/>
      <c r="NPT1" s="841"/>
      <c r="NPU1" s="841"/>
      <c r="NPV1" s="841"/>
      <c r="NPW1" s="841"/>
      <c r="NPX1" s="841"/>
      <c r="NPY1" s="841"/>
      <c r="NPZ1" s="841"/>
      <c r="NQA1" s="841"/>
      <c r="NQB1" s="841"/>
      <c r="NQC1" s="841"/>
      <c r="NQD1" s="841"/>
      <c r="NQE1" s="841"/>
      <c r="NQF1" s="841"/>
      <c r="NQG1" s="841"/>
      <c r="NQH1" s="841"/>
      <c r="NQI1" s="841"/>
      <c r="NQJ1" s="841"/>
      <c r="NQK1" s="841"/>
      <c r="NQL1" s="841"/>
      <c r="NQM1" s="841"/>
      <c r="NQN1" s="841"/>
      <c r="NQO1" s="841"/>
      <c r="NQP1" s="841"/>
      <c r="NQQ1" s="841"/>
      <c r="NQR1" s="841"/>
      <c r="NQS1" s="841"/>
      <c r="NQT1" s="841"/>
      <c r="NQU1" s="841"/>
      <c r="NQV1" s="841"/>
      <c r="NQW1" s="841"/>
      <c r="NQX1" s="841"/>
      <c r="NQY1" s="841"/>
      <c r="NQZ1" s="841"/>
      <c r="NRA1" s="841"/>
      <c r="NRB1" s="841"/>
      <c r="NRC1" s="841"/>
      <c r="NRD1" s="841"/>
      <c r="NRE1" s="841"/>
      <c r="NRF1" s="841"/>
      <c r="NRG1" s="841"/>
      <c r="NRH1" s="841"/>
      <c r="NRI1" s="841"/>
      <c r="NRJ1" s="841"/>
      <c r="NRK1" s="841"/>
      <c r="NRL1" s="841"/>
      <c r="NRM1" s="841"/>
      <c r="NRN1" s="841"/>
      <c r="NRO1" s="841"/>
      <c r="NRP1" s="841"/>
      <c r="NRQ1" s="841"/>
      <c r="NRR1" s="841"/>
      <c r="NRS1" s="841"/>
      <c r="NRT1" s="841"/>
      <c r="NRU1" s="841"/>
      <c r="NRV1" s="841"/>
      <c r="NRW1" s="841"/>
      <c r="NRX1" s="841"/>
      <c r="NRY1" s="841"/>
      <c r="NRZ1" s="841"/>
      <c r="NSA1" s="841"/>
      <c r="NSB1" s="841"/>
      <c r="NSC1" s="841"/>
      <c r="NSD1" s="841"/>
      <c r="NSE1" s="841"/>
      <c r="NSF1" s="841"/>
      <c r="NSG1" s="841"/>
      <c r="NSH1" s="841"/>
      <c r="NSI1" s="841"/>
      <c r="NSJ1" s="841"/>
      <c r="NSK1" s="841"/>
      <c r="NSL1" s="841"/>
      <c r="NSM1" s="841"/>
      <c r="NSN1" s="841"/>
      <c r="NSO1" s="841"/>
      <c r="NSP1" s="841"/>
      <c r="NSQ1" s="841"/>
      <c r="NSR1" s="841"/>
      <c r="NSS1" s="841"/>
      <c r="NST1" s="841"/>
      <c r="NSU1" s="841"/>
      <c r="NSV1" s="841"/>
      <c r="NSW1" s="841"/>
      <c r="NSX1" s="841"/>
      <c r="NSY1" s="841"/>
      <c r="NSZ1" s="841"/>
      <c r="NTA1" s="841"/>
      <c r="NTB1" s="841"/>
      <c r="NTC1" s="841"/>
      <c r="NTD1" s="841"/>
      <c r="NTE1" s="841"/>
      <c r="NTF1" s="841"/>
      <c r="NTG1" s="841"/>
      <c r="NTH1" s="841"/>
      <c r="NTI1" s="841"/>
      <c r="NTJ1" s="841"/>
      <c r="NTK1" s="841"/>
      <c r="NTL1" s="841"/>
      <c r="NTM1" s="841"/>
      <c r="NTN1" s="841"/>
      <c r="NTO1" s="841"/>
      <c r="NTP1" s="841"/>
      <c r="NTQ1" s="841"/>
      <c r="NTR1" s="841"/>
      <c r="NTS1" s="841"/>
      <c r="NTT1" s="841"/>
      <c r="NTU1" s="841"/>
      <c r="NTV1" s="841"/>
      <c r="NTW1" s="841"/>
      <c r="NTX1" s="841"/>
      <c r="NTY1" s="841"/>
      <c r="NTZ1" s="841"/>
      <c r="NUA1" s="841"/>
      <c r="NUB1" s="841"/>
      <c r="NUC1" s="841"/>
      <c r="NUD1" s="841"/>
      <c r="NUE1" s="841"/>
      <c r="NUF1" s="841"/>
      <c r="NUG1" s="841"/>
      <c r="NUH1" s="841"/>
      <c r="NUI1" s="841"/>
      <c r="NUJ1" s="841"/>
      <c r="NUK1" s="841"/>
      <c r="NUL1" s="841"/>
      <c r="NUM1" s="841"/>
      <c r="NUN1" s="841"/>
      <c r="NUO1" s="841"/>
      <c r="NUP1" s="841"/>
      <c r="NUQ1" s="841"/>
      <c r="NUR1" s="841"/>
      <c r="NUS1" s="841"/>
      <c r="NUT1" s="841"/>
      <c r="NUU1" s="841"/>
      <c r="NUV1" s="841"/>
      <c r="NUW1" s="841"/>
      <c r="NUX1" s="841"/>
      <c r="NUY1" s="841"/>
      <c r="NUZ1" s="841"/>
      <c r="NVA1" s="841"/>
      <c r="NVB1" s="841"/>
      <c r="NVC1" s="841"/>
      <c r="NVD1" s="841"/>
      <c r="NVE1" s="841"/>
      <c r="NVF1" s="841"/>
      <c r="NVG1" s="841"/>
      <c r="NVH1" s="841"/>
      <c r="NVI1" s="841"/>
      <c r="NVJ1" s="841"/>
      <c r="NVK1" s="841"/>
      <c r="NVL1" s="841"/>
      <c r="NVM1" s="841"/>
      <c r="NVN1" s="841"/>
      <c r="NVO1" s="841"/>
      <c r="NVP1" s="841"/>
      <c r="NVQ1" s="841"/>
      <c r="NVR1" s="841"/>
      <c r="NVS1" s="841"/>
      <c r="NVT1" s="841"/>
      <c r="NVU1" s="841"/>
      <c r="NVV1" s="841"/>
      <c r="NVW1" s="841"/>
      <c r="NVX1" s="841"/>
      <c r="NVY1" s="841"/>
      <c r="NVZ1" s="841"/>
      <c r="NWA1" s="841"/>
      <c r="NWB1" s="841"/>
      <c r="NWC1" s="841"/>
      <c r="NWD1" s="841"/>
      <c r="NWE1" s="841"/>
      <c r="NWF1" s="841"/>
      <c r="NWG1" s="841"/>
      <c r="NWH1" s="841"/>
      <c r="NWI1" s="841"/>
      <c r="NWJ1" s="841"/>
      <c r="NWK1" s="841"/>
      <c r="NWL1" s="841"/>
      <c r="NWM1" s="841"/>
      <c r="NWN1" s="841"/>
      <c r="NWO1" s="841"/>
      <c r="NWP1" s="841"/>
      <c r="NWQ1" s="841"/>
      <c r="NWR1" s="841"/>
      <c r="NWS1" s="841"/>
      <c r="NWT1" s="841"/>
      <c r="NWU1" s="841"/>
      <c r="NWV1" s="841"/>
      <c r="NWW1" s="841"/>
      <c r="NWX1" s="841"/>
      <c r="NWY1" s="841"/>
      <c r="NWZ1" s="841"/>
      <c r="NXA1" s="841"/>
      <c r="NXB1" s="841"/>
      <c r="NXC1" s="841"/>
      <c r="NXD1" s="841"/>
      <c r="NXE1" s="841"/>
      <c r="NXF1" s="841"/>
      <c r="NXG1" s="841"/>
      <c r="NXH1" s="841"/>
      <c r="NXI1" s="841"/>
      <c r="NXJ1" s="841"/>
      <c r="NXK1" s="841"/>
      <c r="NXL1" s="841"/>
      <c r="NXM1" s="841"/>
      <c r="NXN1" s="841"/>
      <c r="NXO1" s="841"/>
      <c r="NXP1" s="841"/>
      <c r="NXQ1" s="841"/>
      <c r="NXR1" s="841"/>
      <c r="NXS1" s="841"/>
      <c r="NXT1" s="841"/>
      <c r="NXU1" s="841"/>
      <c r="NXV1" s="841"/>
      <c r="NXW1" s="841"/>
      <c r="NXX1" s="841"/>
      <c r="NXY1" s="841"/>
      <c r="NXZ1" s="841"/>
      <c r="NYA1" s="841"/>
      <c r="NYB1" s="841"/>
      <c r="NYC1" s="841"/>
      <c r="NYD1" s="841"/>
      <c r="NYE1" s="841"/>
      <c r="NYF1" s="841"/>
      <c r="NYG1" s="841"/>
      <c r="NYH1" s="841"/>
      <c r="NYI1" s="841"/>
      <c r="NYJ1" s="841"/>
      <c r="NYK1" s="841"/>
      <c r="NYL1" s="841"/>
      <c r="NYM1" s="841"/>
      <c r="NYN1" s="841"/>
      <c r="NYO1" s="841"/>
      <c r="NYP1" s="841"/>
      <c r="NYQ1" s="841"/>
      <c r="NYR1" s="841"/>
      <c r="NYS1" s="841"/>
      <c r="NYT1" s="841"/>
      <c r="NYU1" s="841"/>
      <c r="NYV1" s="841"/>
      <c r="NYW1" s="841"/>
      <c r="NYX1" s="841"/>
      <c r="NYY1" s="841"/>
      <c r="NYZ1" s="841"/>
      <c r="NZA1" s="841"/>
      <c r="NZB1" s="841"/>
      <c r="NZC1" s="841"/>
      <c r="NZD1" s="841"/>
      <c r="NZE1" s="841"/>
      <c r="NZF1" s="841"/>
      <c r="NZG1" s="841"/>
      <c r="NZH1" s="841"/>
      <c r="NZI1" s="841"/>
      <c r="NZJ1" s="841"/>
      <c r="NZK1" s="841"/>
      <c r="NZL1" s="841"/>
      <c r="NZM1" s="841"/>
      <c r="NZN1" s="841"/>
      <c r="NZO1" s="841"/>
      <c r="NZP1" s="841"/>
      <c r="NZQ1" s="841"/>
      <c r="NZR1" s="841"/>
      <c r="NZS1" s="841"/>
      <c r="NZT1" s="841"/>
      <c r="NZU1" s="841"/>
      <c r="NZV1" s="841"/>
      <c r="NZW1" s="841"/>
      <c r="NZX1" s="841"/>
      <c r="NZY1" s="841"/>
      <c r="NZZ1" s="841"/>
      <c r="OAA1" s="841"/>
      <c r="OAB1" s="841"/>
      <c r="OAC1" s="841"/>
      <c r="OAD1" s="841"/>
      <c r="OAE1" s="841"/>
      <c r="OAF1" s="841"/>
      <c r="OAG1" s="841"/>
      <c r="OAH1" s="841"/>
      <c r="OAI1" s="841"/>
      <c r="OAJ1" s="841"/>
      <c r="OAK1" s="841"/>
      <c r="OAL1" s="841"/>
      <c r="OAM1" s="841"/>
      <c r="OAN1" s="841"/>
      <c r="OAO1" s="841"/>
      <c r="OAP1" s="841"/>
      <c r="OAQ1" s="841"/>
      <c r="OAR1" s="841"/>
      <c r="OAS1" s="841"/>
      <c r="OAT1" s="841"/>
      <c r="OAU1" s="841"/>
      <c r="OAV1" s="841"/>
      <c r="OAW1" s="841"/>
      <c r="OAX1" s="841"/>
      <c r="OAY1" s="841"/>
      <c r="OAZ1" s="841"/>
      <c r="OBA1" s="841"/>
      <c r="OBB1" s="841"/>
      <c r="OBC1" s="841"/>
      <c r="OBD1" s="841"/>
      <c r="OBE1" s="841"/>
      <c r="OBF1" s="841"/>
      <c r="OBG1" s="841"/>
      <c r="OBH1" s="841"/>
      <c r="OBI1" s="841"/>
      <c r="OBJ1" s="841"/>
      <c r="OBK1" s="841"/>
      <c r="OBL1" s="841"/>
      <c r="OBM1" s="841"/>
      <c r="OBN1" s="841"/>
      <c r="OBO1" s="841"/>
      <c r="OBP1" s="841"/>
      <c r="OBQ1" s="841"/>
      <c r="OBR1" s="841"/>
      <c r="OBS1" s="841"/>
      <c r="OBT1" s="841"/>
      <c r="OBU1" s="841"/>
      <c r="OBV1" s="841"/>
      <c r="OBW1" s="841"/>
      <c r="OBX1" s="841"/>
      <c r="OBY1" s="841"/>
      <c r="OBZ1" s="841"/>
      <c r="OCA1" s="841"/>
      <c r="OCB1" s="841"/>
      <c r="OCC1" s="841"/>
      <c r="OCD1" s="841"/>
      <c r="OCE1" s="841"/>
      <c r="OCF1" s="841"/>
      <c r="OCG1" s="841"/>
      <c r="OCH1" s="841"/>
      <c r="OCI1" s="841"/>
      <c r="OCJ1" s="841"/>
      <c r="OCK1" s="841"/>
      <c r="OCL1" s="841"/>
      <c r="OCM1" s="841"/>
      <c r="OCN1" s="841"/>
      <c r="OCO1" s="841"/>
      <c r="OCP1" s="841"/>
      <c r="OCQ1" s="841"/>
      <c r="OCR1" s="841"/>
      <c r="OCS1" s="841"/>
      <c r="OCT1" s="841"/>
      <c r="OCU1" s="841"/>
      <c r="OCV1" s="841"/>
      <c r="OCW1" s="841"/>
      <c r="OCX1" s="841"/>
      <c r="OCY1" s="841"/>
      <c r="OCZ1" s="841"/>
      <c r="ODA1" s="841"/>
      <c r="ODB1" s="841"/>
      <c r="ODC1" s="841"/>
      <c r="ODD1" s="841"/>
      <c r="ODE1" s="841"/>
      <c r="ODF1" s="841"/>
      <c r="ODG1" s="841"/>
      <c r="ODH1" s="841"/>
      <c r="ODI1" s="841"/>
      <c r="ODJ1" s="841"/>
      <c r="ODK1" s="841"/>
      <c r="ODL1" s="841"/>
      <c r="ODM1" s="841"/>
      <c r="ODN1" s="841"/>
      <c r="ODO1" s="841"/>
      <c r="ODP1" s="841"/>
      <c r="ODQ1" s="841"/>
      <c r="ODR1" s="841"/>
      <c r="ODS1" s="841"/>
      <c r="ODT1" s="841"/>
      <c r="ODU1" s="841"/>
      <c r="ODV1" s="841"/>
      <c r="ODW1" s="841"/>
      <c r="ODX1" s="841"/>
      <c r="ODY1" s="841"/>
      <c r="ODZ1" s="841"/>
      <c r="OEA1" s="841"/>
      <c r="OEB1" s="841"/>
      <c r="OEC1" s="841"/>
      <c r="OED1" s="841"/>
      <c r="OEE1" s="841"/>
      <c r="OEF1" s="841"/>
      <c r="OEG1" s="841"/>
      <c r="OEH1" s="841"/>
      <c r="OEI1" s="841"/>
      <c r="OEJ1" s="841"/>
      <c r="OEK1" s="841"/>
      <c r="OEL1" s="841"/>
      <c r="OEM1" s="841"/>
      <c r="OEN1" s="841"/>
      <c r="OEO1" s="841"/>
      <c r="OEP1" s="841"/>
      <c r="OEQ1" s="841"/>
      <c r="OER1" s="841"/>
      <c r="OES1" s="841"/>
      <c r="OET1" s="841"/>
      <c r="OEU1" s="841"/>
      <c r="OEV1" s="841"/>
      <c r="OEW1" s="841"/>
      <c r="OEX1" s="841"/>
      <c r="OEY1" s="841"/>
      <c r="OEZ1" s="841"/>
      <c r="OFA1" s="841"/>
      <c r="OFB1" s="841"/>
      <c r="OFC1" s="841"/>
      <c r="OFD1" s="841"/>
      <c r="OFE1" s="841"/>
      <c r="OFF1" s="841"/>
      <c r="OFG1" s="841"/>
      <c r="OFH1" s="841"/>
      <c r="OFI1" s="841"/>
      <c r="OFJ1" s="841"/>
      <c r="OFK1" s="841"/>
      <c r="OFL1" s="841"/>
      <c r="OFM1" s="841"/>
      <c r="OFN1" s="841"/>
      <c r="OFO1" s="841"/>
      <c r="OFP1" s="841"/>
      <c r="OFQ1" s="841"/>
      <c r="OFR1" s="841"/>
      <c r="OFS1" s="841"/>
      <c r="OFT1" s="841"/>
      <c r="OFU1" s="841"/>
      <c r="OFV1" s="841"/>
      <c r="OFW1" s="841"/>
      <c r="OFX1" s="841"/>
      <c r="OFY1" s="841"/>
      <c r="OFZ1" s="841"/>
      <c r="OGA1" s="841"/>
      <c r="OGB1" s="841"/>
      <c r="OGC1" s="841"/>
      <c r="OGD1" s="841"/>
      <c r="OGE1" s="841"/>
      <c r="OGF1" s="841"/>
      <c r="OGG1" s="841"/>
      <c r="OGH1" s="841"/>
      <c r="OGI1" s="841"/>
      <c r="OGJ1" s="841"/>
      <c r="OGK1" s="841"/>
      <c r="OGL1" s="841"/>
      <c r="OGM1" s="841"/>
      <c r="OGN1" s="841"/>
      <c r="OGO1" s="841"/>
      <c r="OGP1" s="841"/>
      <c r="OGQ1" s="841"/>
      <c r="OGR1" s="841"/>
      <c r="OGS1" s="841"/>
      <c r="OGT1" s="841"/>
      <c r="OGU1" s="841"/>
      <c r="OGV1" s="841"/>
      <c r="OGW1" s="841"/>
      <c r="OGX1" s="841"/>
      <c r="OGY1" s="841"/>
      <c r="OGZ1" s="841"/>
      <c r="OHA1" s="841"/>
      <c r="OHB1" s="841"/>
      <c r="OHC1" s="841"/>
      <c r="OHD1" s="841"/>
      <c r="OHE1" s="841"/>
      <c r="OHF1" s="841"/>
      <c r="OHG1" s="841"/>
      <c r="OHH1" s="841"/>
      <c r="OHI1" s="841"/>
      <c r="OHJ1" s="841"/>
      <c r="OHK1" s="841"/>
      <c r="OHL1" s="841"/>
      <c r="OHM1" s="841"/>
      <c r="OHN1" s="841"/>
      <c r="OHO1" s="841"/>
      <c r="OHP1" s="841"/>
      <c r="OHQ1" s="841"/>
      <c r="OHR1" s="841"/>
      <c r="OHS1" s="841"/>
      <c r="OHT1" s="841"/>
      <c r="OHU1" s="841"/>
      <c r="OHV1" s="841"/>
      <c r="OHW1" s="841"/>
      <c r="OHX1" s="841"/>
      <c r="OHY1" s="841"/>
      <c r="OHZ1" s="841"/>
      <c r="OIA1" s="841"/>
      <c r="OIB1" s="841"/>
      <c r="OIC1" s="841"/>
      <c r="OID1" s="841"/>
      <c r="OIE1" s="841"/>
      <c r="OIF1" s="841"/>
      <c r="OIG1" s="841"/>
      <c r="OIH1" s="841"/>
      <c r="OII1" s="841"/>
      <c r="OIJ1" s="841"/>
      <c r="OIK1" s="841"/>
      <c r="OIL1" s="841"/>
      <c r="OIM1" s="841"/>
      <c r="OIN1" s="841"/>
      <c r="OIO1" s="841"/>
      <c r="OIP1" s="841"/>
      <c r="OIQ1" s="841"/>
      <c r="OIR1" s="841"/>
      <c r="OIS1" s="841"/>
      <c r="OIT1" s="841"/>
      <c r="OIU1" s="841"/>
      <c r="OIV1" s="841"/>
      <c r="OIW1" s="841"/>
      <c r="OIX1" s="841"/>
      <c r="OIY1" s="841"/>
      <c r="OIZ1" s="841"/>
      <c r="OJA1" s="841"/>
      <c r="OJB1" s="841"/>
      <c r="OJC1" s="841"/>
      <c r="OJD1" s="841"/>
      <c r="OJE1" s="841"/>
      <c r="OJF1" s="841"/>
      <c r="OJG1" s="841"/>
      <c r="OJH1" s="841"/>
      <c r="OJI1" s="841"/>
      <c r="OJJ1" s="841"/>
      <c r="OJK1" s="841"/>
      <c r="OJL1" s="841"/>
      <c r="OJM1" s="841"/>
      <c r="OJN1" s="841"/>
      <c r="OJO1" s="841"/>
      <c r="OJP1" s="841"/>
      <c r="OJQ1" s="841"/>
      <c r="OJR1" s="841"/>
      <c r="OJS1" s="841"/>
      <c r="OJT1" s="841"/>
      <c r="OJU1" s="841"/>
      <c r="OJV1" s="841"/>
      <c r="OJW1" s="841"/>
      <c r="OJX1" s="841"/>
      <c r="OJY1" s="841"/>
      <c r="OJZ1" s="841"/>
      <c r="OKA1" s="841"/>
      <c r="OKB1" s="841"/>
      <c r="OKC1" s="841"/>
      <c r="OKD1" s="841"/>
      <c r="OKE1" s="841"/>
      <c r="OKF1" s="841"/>
      <c r="OKG1" s="841"/>
      <c r="OKH1" s="841"/>
      <c r="OKI1" s="841"/>
      <c r="OKJ1" s="841"/>
      <c r="OKK1" s="841"/>
      <c r="OKL1" s="841"/>
      <c r="OKM1" s="841"/>
      <c r="OKN1" s="841"/>
      <c r="OKO1" s="841"/>
      <c r="OKP1" s="841"/>
      <c r="OKQ1" s="841"/>
      <c r="OKR1" s="841"/>
      <c r="OKS1" s="841"/>
      <c r="OKT1" s="841"/>
      <c r="OKU1" s="841"/>
      <c r="OKV1" s="841"/>
      <c r="OKW1" s="841"/>
      <c r="OKX1" s="841"/>
      <c r="OKY1" s="841"/>
      <c r="OKZ1" s="841"/>
      <c r="OLA1" s="841"/>
      <c r="OLB1" s="841"/>
      <c r="OLC1" s="841"/>
      <c r="OLD1" s="841"/>
      <c r="OLE1" s="841"/>
      <c r="OLF1" s="841"/>
      <c r="OLG1" s="841"/>
      <c r="OLH1" s="841"/>
      <c r="OLI1" s="841"/>
      <c r="OLJ1" s="841"/>
      <c r="OLK1" s="841"/>
      <c r="OLL1" s="841"/>
      <c r="OLM1" s="841"/>
      <c r="OLN1" s="841"/>
      <c r="OLO1" s="841"/>
      <c r="OLP1" s="841"/>
      <c r="OLQ1" s="841"/>
      <c r="OLR1" s="841"/>
      <c r="OLS1" s="841"/>
      <c r="OLT1" s="841"/>
      <c r="OLU1" s="841"/>
      <c r="OLV1" s="841"/>
      <c r="OLW1" s="841"/>
      <c r="OLX1" s="841"/>
      <c r="OLY1" s="841"/>
      <c r="OLZ1" s="841"/>
      <c r="OMA1" s="841"/>
      <c r="OMB1" s="841"/>
      <c r="OMC1" s="841"/>
      <c r="OMD1" s="841"/>
      <c r="OME1" s="841"/>
      <c r="OMF1" s="841"/>
      <c r="OMG1" s="841"/>
      <c r="OMH1" s="841"/>
      <c r="OMI1" s="841"/>
      <c r="OMJ1" s="841"/>
      <c r="OMK1" s="841"/>
      <c r="OML1" s="841"/>
      <c r="OMM1" s="841"/>
      <c r="OMN1" s="841"/>
      <c r="OMO1" s="841"/>
      <c r="OMP1" s="841"/>
      <c r="OMQ1" s="841"/>
      <c r="OMR1" s="841"/>
      <c r="OMS1" s="841"/>
      <c r="OMT1" s="841"/>
      <c r="OMU1" s="841"/>
      <c r="OMV1" s="841"/>
      <c r="OMW1" s="841"/>
      <c r="OMX1" s="841"/>
      <c r="OMY1" s="841"/>
      <c r="OMZ1" s="841"/>
      <c r="ONA1" s="841"/>
      <c r="ONB1" s="841"/>
      <c r="ONC1" s="841"/>
      <c r="OND1" s="841"/>
      <c r="ONE1" s="841"/>
      <c r="ONF1" s="841"/>
      <c r="ONG1" s="841"/>
      <c r="ONH1" s="841"/>
      <c r="ONI1" s="841"/>
      <c r="ONJ1" s="841"/>
      <c r="ONK1" s="841"/>
      <c r="ONL1" s="841"/>
      <c r="ONM1" s="841"/>
      <c r="ONN1" s="841"/>
      <c r="ONO1" s="841"/>
      <c r="ONP1" s="841"/>
      <c r="ONQ1" s="841"/>
      <c r="ONR1" s="841"/>
      <c r="ONS1" s="841"/>
      <c r="ONT1" s="841"/>
      <c r="ONU1" s="841"/>
      <c r="ONV1" s="841"/>
      <c r="ONW1" s="841"/>
      <c r="ONX1" s="841"/>
      <c r="ONY1" s="841"/>
      <c r="ONZ1" s="841"/>
      <c r="OOA1" s="841"/>
      <c r="OOB1" s="841"/>
      <c r="OOC1" s="841"/>
      <c r="OOD1" s="841"/>
      <c r="OOE1" s="841"/>
      <c r="OOF1" s="841"/>
      <c r="OOG1" s="841"/>
      <c r="OOH1" s="841"/>
      <c r="OOI1" s="841"/>
      <c r="OOJ1" s="841"/>
      <c r="OOK1" s="841"/>
      <c r="OOL1" s="841"/>
      <c r="OOM1" s="841"/>
      <c r="OON1" s="841"/>
      <c r="OOO1" s="841"/>
      <c r="OOP1" s="841"/>
      <c r="OOQ1" s="841"/>
      <c r="OOR1" s="841"/>
      <c r="OOS1" s="841"/>
      <c r="OOT1" s="841"/>
      <c r="OOU1" s="841"/>
      <c r="OOV1" s="841"/>
      <c r="OOW1" s="841"/>
      <c r="OOX1" s="841"/>
      <c r="OOY1" s="841"/>
      <c r="OOZ1" s="841"/>
      <c r="OPA1" s="841"/>
      <c r="OPB1" s="841"/>
      <c r="OPC1" s="841"/>
      <c r="OPD1" s="841"/>
      <c r="OPE1" s="841"/>
      <c r="OPF1" s="841"/>
      <c r="OPG1" s="841"/>
      <c r="OPH1" s="841"/>
      <c r="OPI1" s="841"/>
      <c r="OPJ1" s="841"/>
      <c r="OPK1" s="841"/>
      <c r="OPL1" s="841"/>
      <c r="OPM1" s="841"/>
      <c r="OPN1" s="841"/>
      <c r="OPO1" s="841"/>
      <c r="OPP1" s="841"/>
      <c r="OPQ1" s="841"/>
      <c r="OPR1" s="841"/>
      <c r="OPS1" s="841"/>
      <c r="OPT1" s="841"/>
      <c r="OPU1" s="841"/>
      <c r="OPV1" s="841"/>
      <c r="OPW1" s="841"/>
      <c r="OPX1" s="841"/>
      <c r="OPY1" s="841"/>
      <c r="OPZ1" s="841"/>
      <c r="OQA1" s="841"/>
      <c r="OQB1" s="841"/>
      <c r="OQC1" s="841"/>
      <c r="OQD1" s="841"/>
      <c r="OQE1" s="841"/>
      <c r="OQF1" s="841"/>
      <c r="OQG1" s="841"/>
      <c r="OQH1" s="841"/>
      <c r="OQI1" s="841"/>
      <c r="OQJ1" s="841"/>
      <c r="OQK1" s="841"/>
      <c r="OQL1" s="841"/>
      <c r="OQM1" s="841"/>
      <c r="OQN1" s="841"/>
      <c r="OQO1" s="841"/>
      <c r="OQP1" s="841"/>
      <c r="OQQ1" s="841"/>
      <c r="OQR1" s="841"/>
      <c r="OQS1" s="841"/>
      <c r="OQT1" s="841"/>
      <c r="OQU1" s="841"/>
      <c r="OQV1" s="841"/>
      <c r="OQW1" s="841"/>
      <c r="OQX1" s="841"/>
      <c r="OQY1" s="841"/>
      <c r="OQZ1" s="841"/>
      <c r="ORA1" s="841"/>
      <c r="ORB1" s="841"/>
      <c r="ORC1" s="841"/>
      <c r="ORD1" s="841"/>
      <c r="ORE1" s="841"/>
      <c r="ORF1" s="841"/>
      <c r="ORG1" s="841"/>
      <c r="ORH1" s="841"/>
      <c r="ORI1" s="841"/>
      <c r="ORJ1" s="841"/>
      <c r="ORK1" s="841"/>
      <c r="ORL1" s="841"/>
      <c r="ORM1" s="841"/>
      <c r="ORN1" s="841"/>
      <c r="ORO1" s="841"/>
      <c r="ORP1" s="841"/>
      <c r="ORQ1" s="841"/>
      <c r="ORR1" s="841"/>
      <c r="ORS1" s="841"/>
      <c r="ORT1" s="841"/>
      <c r="ORU1" s="841"/>
      <c r="ORV1" s="841"/>
      <c r="ORW1" s="841"/>
      <c r="ORX1" s="841"/>
      <c r="ORY1" s="841"/>
      <c r="ORZ1" s="841"/>
      <c r="OSA1" s="841"/>
      <c r="OSB1" s="841"/>
      <c r="OSC1" s="841"/>
      <c r="OSD1" s="841"/>
      <c r="OSE1" s="841"/>
      <c r="OSF1" s="841"/>
      <c r="OSG1" s="841"/>
      <c r="OSH1" s="841"/>
      <c r="OSI1" s="841"/>
      <c r="OSJ1" s="841"/>
      <c r="OSK1" s="841"/>
      <c r="OSL1" s="841"/>
      <c r="OSM1" s="841"/>
      <c r="OSN1" s="841"/>
      <c r="OSO1" s="841"/>
      <c r="OSP1" s="841"/>
      <c r="OSQ1" s="841"/>
      <c r="OSR1" s="841"/>
      <c r="OSS1" s="841"/>
      <c r="OST1" s="841"/>
      <c r="OSU1" s="841"/>
      <c r="OSV1" s="841"/>
      <c r="OSW1" s="841"/>
      <c r="OSX1" s="841"/>
      <c r="OSY1" s="841"/>
      <c r="OSZ1" s="841"/>
      <c r="OTA1" s="841"/>
      <c r="OTB1" s="841"/>
      <c r="OTC1" s="841"/>
      <c r="OTD1" s="841"/>
      <c r="OTE1" s="841"/>
      <c r="OTF1" s="841"/>
      <c r="OTG1" s="841"/>
      <c r="OTH1" s="841"/>
      <c r="OTI1" s="841"/>
      <c r="OTJ1" s="841"/>
      <c r="OTK1" s="841"/>
      <c r="OTL1" s="841"/>
      <c r="OTM1" s="841"/>
      <c r="OTN1" s="841"/>
      <c r="OTO1" s="841"/>
      <c r="OTP1" s="841"/>
      <c r="OTQ1" s="841"/>
      <c r="OTR1" s="841"/>
      <c r="OTS1" s="841"/>
      <c r="OTT1" s="841"/>
      <c r="OTU1" s="841"/>
      <c r="OTV1" s="841"/>
      <c r="OTW1" s="841"/>
      <c r="OTX1" s="841"/>
      <c r="OTY1" s="841"/>
      <c r="OTZ1" s="841"/>
      <c r="OUA1" s="841"/>
      <c r="OUB1" s="841"/>
      <c r="OUC1" s="841"/>
      <c r="OUD1" s="841"/>
      <c r="OUE1" s="841"/>
      <c r="OUF1" s="841"/>
      <c r="OUG1" s="841"/>
      <c r="OUH1" s="841"/>
      <c r="OUI1" s="841"/>
      <c r="OUJ1" s="841"/>
      <c r="OUK1" s="841"/>
      <c r="OUL1" s="841"/>
      <c r="OUM1" s="841"/>
      <c r="OUN1" s="841"/>
      <c r="OUO1" s="841"/>
      <c r="OUP1" s="841"/>
      <c r="OUQ1" s="841"/>
      <c r="OUR1" s="841"/>
      <c r="OUS1" s="841"/>
      <c r="OUT1" s="841"/>
      <c r="OUU1" s="841"/>
      <c r="OUV1" s="841"/>
      <c r="OUW1" s="841"/>
      <c r="OUX1" s="841"/>
      <c r="OUY1" s="841"/>
      <c r="OUZ1" s="841"/>
      <c r="OVA1" s="841"/>
      <c r="OVB1" s="841"/>
      <c r="OVC1" s="841"/>
      <c r="OVD1" s="841"/>
      <c r="OVE1" s="841"/>
      <c r="OVF1" s="841"/>
      <c r="OVG1" s="841"/>
      <c r="OVH1" s="841"/>
      <c r="OVI1" s="841"/>
      <c r="OVJ1" s="841"/>
      <c r="OVK1" s="841"/>
      <c r="OVL1" s="841"/>
      <c r="OVM1" s="841"/>
      <c r="OVN1" s="841"/>
      <c r="OVO1" s="841"/>
      <c r="OVP1" s="841"/>
      <c r="OVQ1" s="841"/>
      <c r="OVR1" s="841"/>
      <c r="OVS1" s="841"/>
      <c r="OVT1" s="841"/>
      <c r="OVU1" s="841"/>
      <c r="OVV1" s="841"/>
      <c r="OVW1" s="841"/>
      <c r="OVX1" s="841"/>
      <c r="OVY1" s="841"/>
      <c r="OVZ1" s="841"/>
      <c r="OWA1" s="841"/>
      <c r="OWB1" s="841"/>
      <c r="OWC1" s="841"/>
      <c r="OWD1" s="841"/>
      <c r="OWE1" s="841"/>
      <c r="OWF1" s="841"/>
      <c r="OWG1" s="841"/>
      <c r="OWH1" s="841"/>
      <c r="OWI1" s="841"/>
      <c r="OWJ1" s="841"/>
      <c r="OWK1" s="841"/>
      <c r="OWL1" s="841"/>
      <c r="OWM1" s="841"/>
      <c r="OWN1" s="841"/>
      <c r="OWO1" s="841"/>
      <c r="OWP1" s="841"/>
      <c r="OWQ1" s="841"/>
      <c r="OWR1" s="841"/>
      <c r="OWS1" s="841"/>
      <c r="OWT1" s="841"/>
      <c r="OWU1" s="841"/>
      <c r="OWV1" s="841"/>
      <c r="OWW1" s="841"/>
      <c r="OWX1" s="841"/>
      <c r="OWY1" s="841"/>
      <c r="OWZ1" s="841"/>
      <c r="OXA1" s="841"/>
      <c r="OXB1" s="841"/>
      <c r="OXC1" s="841"/>
      <c r="OXD1" s="841"/>
      <c r="OXE1" s="841"/>
      <c r="OXF1" s="841"/>
      <c r="OXG1" s="841"/>
      <c r="OXH1" s="841"/>
      <c r="OXI1" s="841"/>
      <c r="OXJ1" s="841"/>
      <c r="OXK1" s="841"/>
      <c r="OXL1" s="841"/>
      <c r="OXM1" s="841"/>
      <c r="OXN1" s="841"/>
      <c r="OXO1" s="841"/>
      <c r="OXP1" s="841"/>
      <c r="OXQ1" s="841"/>
      <c r="OXR1" s="841"/>
      <c r="OXS1" s="841"/>
      <c r="OXT1" s="841"/>
      <c r="OXU1" s="841"/>
      <c r="OXV1" s="841"/>
      <c r="OXW1" s="841"/>
      <c r="OXX1" s="841"/>
      <c r="OXY1" s="841"/>
      <c r="OXZ1" s="841"/>
      <c r="OYA1" s="841"/>
      <c r="OYB1" s="841"/>
      <c r="OYC1" s="841"/>
      <c r="OYD1" s="841"/>
      <c r="OYE1" s="841"/>
      <c r="OYF1" s="841"/>
      <c r="OYG1" s="841"/>
      <c r="OYH1" s="841"/>
      <c r="OYI1" s="841"/>
      <c r="OYJ1" s="841"/>
      <c r="OYK1" s="841"/>
      <c r="OYL1" s="841"/>
      <c r="OYM1" s="841"/>
      <c r="OYN1" s="841"/>
      <c r="OYO1" s="841"/>
      <c r="OYP1" s="841"/>
      <c r="OYQ1" s="841"/>
      <c r="OYR1" s="841"/>
      <c r="OYS1" s="841"/>
      <c r="OYT1" s="841"/>
      <c r="OYU1" s="841"/>
      <c r="OYV1" s="841"/>
      <c r="OYW1" s="841"/>
      <c r="OYX1" s="841"/>
      <c r="OYY1" s="841"/>
      <c r="OYZ1" s="841"/>
      <c r="OZA1" s="841"/>
      <c r="OZB1" s="841"/>
      <c r="OZC1" s="841"/>
      <c r="OZD1" s="841"/>
      <c r="OZE1" s="841"/>
      <c r="OZF1" s="841"/>
      <c r="OZG1" s="841"/>
      <c r="OZH1" s="841"/>
      <c r="OZI1" s="841"/>
      <c r="OZJ1" s="841"/>
      <c r="OZK1" s="841"/>
      <c r="OZL1" s="841"/>
      <c r="OZM1" s="841"/>
      <c r="OZN1" s="841"/>
      <c r="OZO1" s="841"/>
      <c r="OZP1" s="841"/>
      <c r="OZQ1" s="841"/>
      <c r="OZR1" s="841"/>
      <c r="OZS1" s="841"/>
      <c r="OZT1" s="841"/>
      <c r="OZU1" s="841"/>
      <c r="OZV1" s="841"/>
      <c r="OZW1" s="841"/>
      <c r="OZX1" s="841"/>
      <c r="OZY1" s="841"/>
      <c r="OZZ1" s="841"/>
      <c r="PAA1" s="841"/>
      <c r="PAB1" s="841"/>
      <c r="PAC1" s="841"/>
      <c r="PAD1" s="841"/>
      <c r="PAE1" s="841"/>
      <c r="PAF1" s="841"/>
      <c r="PAG1" s="841"/>
      <c r="PAH1" s="841"/>
      <c r="PAI1" s="841"/>
      <c r="PAJ1" s="841"/>
      <c r="PAK1" s="841"/>
      <c r="PAL1" s="841"/>
      <c r="PAM1" s="841"/>
      <c r="PAN1" s="841"/>
      <c r="PAO1" s="841"/>
      <c r="PAP1" s="841"/>
      <c r="PAQ1" s="841"/>
      <c r="PAR1" s="841"/>
      <c r="PAS1" s="841"/>
      <c r="PAT1" s="841"/>
      <c r="PAU1" s="841"/>
      <c r="PAV1" s="841"/>
      <c r="PAW1" s="841"/>
      <c r="PAX1" s="841"/>
      <c r="PAY1" s="841"/>
      <c r="PAZ1" s="841"/>
      <c r="PBA1" s="841"/>
      <c r="PBB1" s="841"/>
      <c r="PBC1" s="841"/>
      <c r="PBD1" s="841"/>
      <c r="PBE1" s="841"/>
      <c r="PBF1" s="841"/>
      <c r="PBG1" s="841"/>
      <c r="PBH1" s="841"/>
      <c r="PBI1" s="841"/>
      <c r="PBJ1" s="841"/>
      <c r="PBK1" s="841"/>
      <c r="PBL1" s="841"/>
      <c r="PBM1" s="841"/>
      <c r="PBN1" s="841"/>
      <c r="PBO1" s="841"/>
      <c r="PBP1" s="841"/>
      <c r="PBQ1" s="841"/>
      <c r="PBR1" s="841"/>
      <c r="PBS1" s="841"/>
      <c r="PBT1" s="841"/>
      <c r="PBU1" s="841"/>
      <c r="PBV1" s="841"/>
      <c r="PBW1" s="841"/>
      <c r="PBX1" s="841"/>
      <c r="PBY1" s="841"/>
      <c r="PBZ1" s="841"/>
      <c r="PCA1" s="841"/>
      <c r="PCB1" s="841"/>
      <c r="PCC1" s="841"/>
      <c r="PCD1" s="841"/>
      <c r="PCE1" s="841"/>
      <c r="PCF1" s="841"/>
      <c r="PCG1" s="841"/>
      <c r="PCH1" s="841"/>
      <c r="PCI1" s="841"/>
      <c r="PCJ1" s="841"/>
      <c r="PCK1" s="841"/>
      <c r="PCL1" s="841"/>
      <c r="PCM1" s="841"/>
      <c r="PCN1" s="841"/>
      <c r="PCO1" s="841"/>
      <c r="PCP1" s="841"/>
      <c r="PCQ1" s="841"/>
      <c r="PCR1" s="841"/>
      <c r="PCS1" s="841"/>
      <c r="PCT1" s="841"/>
      <c r="PCU1" s="841"/>
      <c r="PCV1" s="841"/>
      <c r="PCW1" s="841"/>
      <c r="PCX1" s="841"/>
      <c r="PCY1" s="841"/>
      <c r="PCZ1" s="841"/>
      <c r="PDA1" s="841"/>
      <c r="PDB1" s="841"/>
      <c r="PDC1" s="841"/>
      <c r="PDD1" s="841"/>
      <c r="PDE1" s="841"/>
      <c r="PDF1" s="841"/>
      <c r="PDG1" s="841"/>
      <c r="PDH1" s="841"/>
      <c r="PDI1" s="841"/>
      <c r="PDJ1" s="841"/>
      <c r="PDK1" s="841"/>
      <c r="PDL1" s="841"/>
      <c r="PDM1" s="841"/>
      <c r="PDN1" s="841"/>
      <c r="PDO1" s="841"/>
      <c r="PDP1" s="841"/>
      <c r="PDQ1" s="841"/>
      <c r="PDR1" s="841"/>
      <c r="PDS1" s="841"/>
      <c r="PDT1" s="841"/>
      <c r="PDU1" s="841"/>
      <c r="PDV1" s="841"/>
      <c r="PDW1" s="841"/>
      <c r="PDX1" s="841"/>
      <c r="PDY1" s="841"/>
      <c r="PDZ1" s="841"/>
      <c r="PEA1" s="841"/>
      <c r="PEB1" s="841"/>
      <c r="PEC1" s="841"/>
      <c r="PED1" s="841"/>
      <c r="PEE1" s="841"/>
      <c r="PEF1" s="841"/>
      <c r="PEG1" s="841"/>
      <c r="PEH1" s="841"/>
      <c r="PEI1" s="841"/>
      <c r="PEJ1" s="841"/>
      <c r="PEK1" s="841"/>
      <c r="PEL1" s="841"/>
      <c r="PEM1" s="841"/>
      <c r="PEN1" s="841"/>
      <c r="PEO1" s="841"/>
      <c r="PEP1" s="841"/>
      <c r="PEQ1" s="841"/>
      <c r="PER1" s="841"/>
      <c r="PES1" s="841"/>
      <c r="PET1" s="841"/>
      <c r="PEU1" s="841"/>
      <c r="PEV1" s="841"/>
      <c r="PEW1" s="841"/>
      <c r="PEX1" s="841"/>
      <c r="PEY1" s="841"/>
      <c r="PEZ1" s="841"/>
      <c r="PFA1" s="841"/>
      <c r="PFB1" s="841"/>
      <c r="PFC1" s="841"/>
      <c r="PFD1" s="841"/>
      <c r="PFE1" s="841"/>
      <c r="PFF1" s="841"/>
      <c r="PFG1" s="841"/>
      <c r="PFH1" s="841"/>
      <c r="PFI1" s="841"/>
      <c r="PFJ1" s="841"/>
      <c r="PFK1" s="841"/>
      <c r="PFL1" s="841"/>
      <c r="PFM1" s="841"/>
      <c r="PFN1" s="841"/>
      <c r="PFO1" s="841"/>
      <c r="PFP1" s="841"/>
      <c r="PFQ1" s="841"/>
      <c r="PFR1" s="841"/>
      <c r="PFS1" s="841"/>
      <c r="PFT1" s="841"/>
      <c r="PFU1" s="841"/>
      <c r="PFV1" s="841"/>
      <c r="PFW1" s="841"/>
      <c r="PFX1" s="841"/>
      <c r="PFY1" s="841"/>
      <c r="PFZ1" s="841"/>
      <c r="PGA1" s="841"/>
      <c r="PGB1" s="841"/>
      <c r="PGC1" s="841"/>
      <c r="PGD1" s="841"/>
      <c r="PGE1" s="841"/>
      <c r="PGF1" s="841"/>
      <c r="PGG1" s="841"/>
      <c r="PGH1" s="841"/>
      <c r="PGI1" s="841"/>
      <c r="PGJ1" s="841"/>
      <c r="PGK1" s="841"/>
      <c r="PGL1" s="841"/>
      <c r="PGM1" s="841"/>
      <c r="PGN1" s="841"/>
      <c r="PGO1" s="841"/>
      <c r="PGP1" s="841"/>
      <c r="PGQ1" s="841"/>
      <c r="PGR1" s="841"/>
      <c r="PGS1" s="841"/>
      <c r="PGT1" s="841"/>
      <c r="PGU1" s="841"/>
      <c r="PGV1" s="841"/>
      <c r="PGW1" s="841"/>
      <c r="PGX1" s="841"/>
      <c r="PGY1" s="841"/>
      <c r="PGZ1" s="841"/>
      <c r="PHA1" s="841"/>
      <c r="PHB1" s="841"/>
      <c r="PHC1" s="841"/>
      <c r="PHD1" s="841"/>
      <c r="PHE1" s="841"/>
      <c r="PHF1" s="841"/>
      <c r="PHG1" s="841"/>
      <c r="PHH1" s="841"/>
      <c r="PHI1" s="841"/>
      <c r="PHJ1" s="841"/>
      <c r="PHK1" s="841"/>
      <c r="PHL1" s="841"/>
      <c r="PHM1" s="841"/>
      <c r="PHN1" s="841"/>
      <c r="PHO1" s="841"/>
      <c r="PHP1" s="841"/>
      <c r="PHQ1" s="841"/>
      <c r="PHR1" s="841"/>
      <c r="PHS1" s="841"/>
      <c r="PHT1" s="841"/>
      <c r="PHU1" s="841"/>
      <c r="PHV1" s="841"/>
      <c r="PHW1" s="841"/>
      <c r="PHX1" s="841"/>
      <c r="PHY1" s="841"/>
      <c r="PHZ1" s="841"/>
      <c r="PIA1" s="841"/>
      <c r="PIB1" s="841"/>
      <c r="PIC1" s="841"/>
      <c r="PID1" s="841"/>
      <c r="PIE1" s="841"/>
      <c r="PIF1" s="841"/>
      <c r="PIG1" s="841"/>
      <c r="PIH1" s="841"/>
      <c r="PII1" s="841"/>
      <c r="PIJ1" s="841"/>
      <c r="PIK1" s="841"/>
      <c r="PIL1" s="841"/>
      <c r="PIM1" s="841"/>
      <c r="PIN1" s="841"/>
      <c r="PIO1" s="841"/>
      <c r="PIP1" s="841"/>
      <c r="PIQ1" s="841"/>
      <c r="PIR1" s="841"/>
      <c r="PIS1" s="841"/>
      <c r="PIT1" s="841"/>
      <c r="PIU1" s="841"/>
      <c r="PIV1" s="841"/>
      <c r="PIW1" s="841"/>
      <c r="PIX1" s="841"/>
      <c r="PIY1" s="841"/>
      <c r="PIZ1" s="841"/>
      <c r="PJA1" s="841"/>
      <c r="PJB1" s="841"/>
      <c r="PJC1" s="841"/>
      <c r="PJD1" s="841"/>
      <c r="PJE1" s="841"/>
      <c r="PJF1" s="841"/>
      <c r="PJG1" s="841"/>
      <c r="PJH1" s="841"/>
      <c r="PJI1" s="841"/>
      <c r="PJJ1" s="841"/>
      <c r="PJK1" s="841"/>
      <c r="PJL1" s="841"/>
      <c r="PJM1" s="841"/>
      <c r="PJN1" s="841"/>
      <c r="PJO1" s="841"/>
      <c r="PJP1" s="841"/>
      <c r="PJQ1" s="841"/>
      <c r="PJR1" s="841"/>
      <c r="PJS1" s="841"/>
      <c r="PJT1" s="841"/>
      <c r="PJU1" s="841"/>
      <c r="PJV1" s="841"/>
      <c r="PJW1" s="841"/>
      <c r="PJX1" s="841"/>
      <c r="PJY1" s="841"/>
      <c r="PJZ1" s="841"/>
      <c r="PKA1" s="841"/>
      <c r="PKB1" s="841"/>
      <c r="PKC1" s="841"/>
      <c r="PKD1" s="841"/>
      <c r="PKE1" s="841"/>
      <c r="PKF1" s="841"/>
      <c r="PKG1" s="841"/>
      <c r="PKH1" s="841"/>
      <c r="PKI1" s="841"/>
      <c r="PKJ1" s="841"/>
      <c r="PKK1" s="841"/>
      <c r="PKL1" s="841"/>
      <c r="PKM1" s="841"/>
      <c r="PKN1" s="841"/>
      <c r="PKO1" s="841"/>
      <c r="PKP1" s="841"/>
      <c r="PKQ1" s="841"/>
      <c r="PKR1" s="841"/>
      <c r="PKS1" s="841"/>
      <c r="PKT1" s="841"/>
      <c r="PKU1" s="841"/>
      <c r="PKV1" s="841"/>
      <c r="PKW1" s="841"/>
      <c r="PKX1" s="841"/>
      <c r="PKY1" s="841"/>
      <c r="PKZ1" s="841"/>
      <c r="PLA1" s="841"/>
      <c r="PLB1" s="841"/>
      <c r="PLC1" s="841"/>
      <c r="PLD1" s="841"/>
      <c r="PLE1" s="841"/>
      <c r="PLF1" s="841"/>
      <c r="PLG1" s="841"/>
      <c r="PLH1" s="841"/>
      <c r="PLI1" s="841"/>
      <c r="PLJ1" s="841"/>
      <c r="PLK1" s="841"/>
      <c r="PLL1" s="841"/>
      <c r="PLM1" s="841"/>
      <c r="PLN1" s="841"/>
      <c r="PLO1" s="841"/>
      <c r="PLP1" s="841"/>
      <c r="PLQ1" s="841"/>
      <c r="PLR1" s="841"/>
      <c r="PLS1" s="841"/>
      <c r="PLT1" s="841"/>
      <c r="PLU1" s="841"/>
      <c r="PLV1" s="841"/>
      <c r="PLW1" s="841"/>
      <c r="PLX1" s="841"/>
      <c r="PLY1" s="841"/>
      <c r="PLZ1" s="841"/>
      <c r="PMA1" s="841"/>
      <c r="PMB1" s="841"/>
      <c r="PMC1" s="841"/>
      <c r="PMD1" s="841"/>
      <c r="PME1" s="841"/>
      <c r="PMF1" s="841"/>
      <c r="PMG1" s="841"/>
      <c r="PMH1" s="841"/>
      <c r="PMI1" s="841"/>
      <c r="PMJ1" s="841"/>
      <c r="PMK1" s="841"/>
      <c r="PML1" s="841"/>
      <c r="PMM1" s="841"/>
      <c r="PMN1" s="841"/>
      <c r="PMO1" s="841"/>
      <c r="PMP1" s="841"/>
      <c r="PMQ1" s="841"/>
      <c r="PMR1" s="841"/>
      <c r="PMS1" s="841"/>
      <c r="PMT1" s="841"/>
      <c r="PMU1" s="841"/>
      <c r="PMV1" s="841"/>
      <c r="PMW1" s="841"/>
      <c r="PMX1" s="841"/>
      <c r="PMY1" s="841"/>
      <c r="PMZ1" s="841"/>
      <c r="PNA1" s="841"/>
      <c r="PNB1" s="841"/>
      <c r="PNC1" s="841"/>
      <c r="PND1" s="841"/>
      <c r="PNE1" s="841"/>
      <c r="PNF1" s="841"/>
      <c r="PNG1" s="841"/>
      <c r="PNH1" s="841"/>
      <c r="PNI1" s="841"/>
      <c r="PNJ1" s="841"/>
      <c r="PNK1" s="841"/>
      <c r="PNL1" s="841"/>
      <c r="PNM1" s="841"/>
      <c r="PNN1" s="841"/>
      <c r="PNO1" s="841"/>
      <c r="PNP1" s="841"/>
      <c r="PNQ1" s="841"/>
      <c r="PNR1" s="841"/>
      <c r="PNS1" s="841"/>
      <c r="PNT1" s="841"/>
      <c r="PNU1" s="841"/>
      <c r="PNV1" s="841"/>
      <c r="PNW1" s="841"/>
      <c r="PNX1" s="841"/>
      <c r="PNY1" s="841"/>
      <c r="PNZ1" s="841"/>
      <c r="POA1" s="841"/>
      <c r="POB1" s="841"/>
      <c r="POC1" s="841"/>
      <c r="POD1" s="841"/>
      <c r="POE1" s="841"/>
      <c r="POF1" s="841"/>
      <c r="POG1" s="841"/>
      <c r="POH1" s="841"/>
      <c r="POI1" s="841"/>
      <c r="POJ1" s="841"/>
      <c r="POK1" s="841"/>
      <c r="POL1" s="841"/>
      <c r="POM1" s="841"/>
      <c r="PON1" s="841"/>
      <c r="POO1" s="841"/>
      <c r="POP1" s="841"/>
      <c r="POQ1" s="841"/>
      <c r="POR1" s="841"/>
      <c r="POS1" s="841"/>
      <c r="POT1" s="841"/>
      <c r="POU1" s="841"/>
      <c r="POV1" s="841"/>
      <c r="POW1" s="841"/>
      <c r="POX1" s="841"/>
      <c r="POY1" s="841"/>
      <c r="POZ1" s="841"/>
      <c r="PPA1" s="841"/>
      <c r="PPB1" s="841"/>
      <c r="PPC1" s="841"/>
      <c r="PPD1" s="841"/>
      <c r="PPE1" s="841"/>
      <c r="PPF1" s="841"/>
      <c r="PPG1" s="841"/>
      <c r="PPH1" s="841"/>
      <c r="PPI1" s="841"/>
      <c r="PPJ1" s="841"/>
      <c r="PPK1" s="841"/>
      <c r="PPL1" s="841"/>
      <c r="PPM1" s="841"/>
      <c r="PPN1" s="841"/>
      <c r="PPO1" s="841"/>
      <c r="PPP1" s="841"/>
      <c r="PPQ1" s="841"/>
      <c r="PPR1" s="841"/>
      <c r="PPS1" s="841"/>
      <c r="PPT1" s="841"/>
      <c r="PPU1" s="841"/>
      <c r="PPV1" s="841"/>
      <c r="PPW1" s="841"/>
      <c r="PPX1" s="841"/>
      <c r="PPY1" s="841"/>
      <c r="PPZ1" s="841"/>
      <c r="PQA1" s="841"/>
      <c r="PQB1" s="841"/>
      <c r="PQC1" s="841"/>
      <c r="PQD1" s="841"/>
      <c r="PQE1" s="841"/>
      <c r="PQF1" s="841"/>
      <c r="PQG1" s="841"/>
      <c r="PQH1" s="841"/>
      <c r="PQI1" s="841"/>
      <c r="PQJ1" s="841"/>
      <c r="PQK1" s="841"/>
      <c r="PQL1" s="841"/>
      <c r="PQM1" s="841"/>
      <c r="PQN1" s="841"/>
      <c r="PQO1" s="841"/>
      <c r="PQP1" s="841"/>
      <c r="PQQ1" s="841"/>
      <c r="PQR1" s="841"/>
      <c r="PQS1" s="841"/>
      <c r="PQT1" s="841"/>
      <c r="PQU1" s="841"/>
      <c r="PQV1" s="841"/>
      <c r="PQW1" s="841"/>
      <c r="PQX1" s="841"/>
      <c r="PQY1" s="841"/>
      <c r="PQZ1" s="841"/>
      <c r="PRA1" s="841"/>
      <c r="PRB1" s="841"/>
      <c r="PRC1" s="841"/>
      <c r="PRD1" s="841"/>
      <c r="PRE1" s="841"/>
      <c r="PRF1" s="841"/>
      <c r="PRG1" s="841"/>
      <c r="PRH1" s="841"/>
      <c r="PRI1" s="841"/>
      <c r="PRJ1" s="841"/>
      <c r="PRK1" s="841"/>
      <c r="PRL1" s="841"/>
      <c r="PRM1" s="841"/>
      <c r="PRN1" s="841"/>
      <c r="PRO1" s="841"/>
      <c r="PRP1" s="841"/>
      <c r="PRQ1" s="841"/>
      <c r="PRR1" s="841"/>
      <c r="PRS1" s="841"/>
      <c r="PRT1" s="841"/>
      <c r="PRU1" s="841"/>
      <c r="PRV1" s="841"/>
      <c r="PRW1" s="841"/>
      <c r="PRX1" s="841"/>
      <c r="PRY1" s="841"/>
      <c r="PRZ1" s="841"/>
      <c r="PSA1" s="841"/>
      <c r="PSB1" s="841"/>
      <c r="PSC1" s="841"/>
      <c r="PSD1" s="841"/>
      <c r="PSE1" s="841"/>
      <c r="PSF1" s="841"/>
      <c r="PSG1" s="841"/>
      <c r="PSH1" s="841"/>
      <c r="PSI1" s="841"/>
      <c r="PSJ1" s="841"/>
      <c r="PSK1" s="841"/>
      <c r="PSL1" s="841"/>
      <c r="PSM1" s="841"/>
      <c r="PSN1" s="841"/>
      <c r="PSO1" s="841"/>
      <c r="PSP1" s="841"/>
      <c r="PSQ1" s="841"/>
      <c r="PSR1" s="841"/>
      <c r="PSS1" s="841"/>
      <c r="PST1" s="841"/>
      <c r="PSU1" s="841"/>
      <c r="PSV1" s="841"/>
      <c r="PSW1" s="841"/>
      <c r="PSX1" s="841"/>
      <c r="PSY1" s="841"/>
      <c r="PSZ1" s="841"/>
      <c r="PTA1" s="841"/>
      <c r="PTB1" s="841"/>
      <c r="PTC1" s="841"/>
      <c r="PTD1" s="841"/>
      <c r="PTE1" s="841"/>
      <c r="PTF1" s="841"/>
      <c r="PTG1" s="841"/>
      <c r="PTH1" s="841"/>
      <c r="PTI1" s="841"/>
      <c r="PTJ1" s="841"/>
      <c r="PTK1" s="841"/>
      <c r="PTL1" s="841"/>
      <c r="PTM1" s="841"/>
      <c r="PTN1" s="841"/>
      <c r="PTO1" s="841"/>
      <c r="PTP1" s="841"/>
      <c r="PTQ1" s="841"/>
      <c r="PTR1" s="841"/>
      <c r="PTS1" s="841"/>
      <c r="PTT1" s="841"/>
      <c r="PTU1" s="841"/>
      <c r="PTV1" s="841"/>
      <c r="PTW1" s="841"/>
      <c r="PTX1" s="841"/>
      <c r="PTY1" s="841"/>
      <c r="PTZ1" s="841"/>
      <c r="PUA1" s="841"/>
      <c r="PUB1" s="841"/>
      <c r="PUC1" s="841"/>
      <c r="PUD1" s="841"/>
      <c r="PUE1" s="841"/>
      <c r="PUF1" s="841"/>
      <c r="PUG1" s="841"/>
      <c r="PUH1" s="841"/>
      <c r="PUI1" s="841"/>
      <c r="PUJ1" s="841"/>
      <c r="PUK1" s="841"/>
      <c r="PUL1" s="841"/>
      <c r="PUM1" s="841"/>
      <c r="PUN1" s="841"/>
      <c r="PUO1" s="841"/>
      <c r="PUP1" s="841"/>
      <c r="PUQ1" s="841"/>
      <c r="PUR1" s="841"/>
      <c r="PUS1" s="841"/>
      <c r="PUT1" s="841"/>
      <c r="PUU1" s="841"/>
      <c r="PUV1" s="841"/>
      <c r="PUW1" s="841"/>
      <c r="PUX1" s="841"/>
      <c r="PUY1" s="841"/>
      <c r="PUZ1" s="841"/>
      <c r="PVA1" s="841"/>
      <c r="PVB1" s="841"/>
      <c r="PVC1" s="841"/>
      <c r="PVD1" s="841"/>
      <c r="PVE1" s="841"/>
      <c r="PVF1" s="841"/>
      <c r="PVG1" s="841"/>
      <c r="PVH1" s="841"/>
      <c r="PVI1" s="841"/>
      <c r="PVJ1" s="841"/>
      <c r="PVK1" s="841"/>
      <c r="PVL1" s="841"/>
      <c r="PVM1" s="841"/>
      <c r="PVN1" s="841"/>
      <c r="PVO1" s="841"/>
      <c r="PVP1" s="841"/>
      <c r="PVQ1" s="841"/>
      <c r="PVR1" s="841"/>
      <c r="PVS1" s="841"/>
      <c r="PVT1" s="841"/>
      <c r="PVU1" s="841"/>
      <c r="PVV1" s="841"/>
      <c r="PVW1" s="841"/>
      <c r="PVX1" s="841"/>
      <c r="PVY1" s="841"/>
      <c r="PVZ1" s="841"/>
      <c r="PWA1" s="841"/>
      <c r="PWB1" s="841"/>
      <c r="PWC1" s="841"/>
      <c r="PWD1" s="841"/>
      <c r="PWE1" s="841"/>
      <c r="PWF1" s="841"/>
      <c r="PWG1" s="841"/>
      <c r="PWH1" s="841"/>
      <c r="PWI1" s="841"/>
      <c r="PWJ1" s="841"/>
      <c r="PWK1" s="841"/>
      <c r="PWL1" s="841"/>
      <c r="PWM1" s="841"/>
      <c r="PWN1" s="841"/>
      <c r="PWO1" s="841"/>
      <c r="PWP1" s="841"/>
      <c r="PWQ1" s="841"/>
      <c r="PWR1" s="841"/>
      <c r="PWS1" s="841"/>
      <c r="PWT1" s="841"/>
      <c r="PWU1" s="841"/>
      <c r="PWV1" s="841"/>
      <c r="PWW1" s="841"/>
      <c r="PWX1" s="841"/>
      <c r="PWY1" s="841"/>
      <c r="PWZ1" s="841"/>
      <c r="PXA1" s="841"/>
      <c r="PXB1" s="841"/>
      <c r="PXC1" s="841"/>
      <c r="PXD1" s="841"/>
      <c r="PXE1" s="841"/>
      <c r="PXF1" s="841"/>
      <c r="PXG1" s="841"/>
      <c r="PXH1" s="841"/>
      <c r="PXI1" s="841"/>
      <c r="PXJ1" s="841"/>
      <c r="PXK1" s="841"/>
      <c r="PXL1" s="841"/>
      <c r="PXM1" s="841"/>
      <c r="PXN1" s="841"/>
      <c r="PXO1" s="841"/>
      <c r="PXP1" s="841"/>
      <c r="PXQ1" s="841"/>
      <c r="PXR1" s="841"/>
      <c r="PXS1" s="841"/>
      <c r="PXT1" s="841"/>
      <c r="PXU1" s="841"/>
      <c r="PXV1" s="841"/>
      <c r="PXW1" s="841"/>
      <c r="PXX1" s="841"/>
      <c r="PXY1" s="841"/>
      <c r="PXZ1" s="841"/>
      <c r="PYA1" s="841"/>
      <c r="PYB1" s="841"/>
      <c r="PYC1" s="841"/>
      <c r="PYD1" s="841"/>
      <c r="PYE1" s="841"/>
      <c r="PYF1" s="841"/>
      <c r="PYG1" s="841"/>
      <c r="PYH1" s="841"/>
      <c r="PYI1" s="841"/>
      <c r="PYJ1" s="841"/>
      <c r="PYK1" s="841"/>
      <c r="PYL1" s="841"/>
      <c r="PYM1" s="841"/>
      <c r="PYN1" s="841"/>
      <c r="PYO1" s="841"/>
      <c r="PYP1" s="841"/>
      <c r="PYQ1" s="841"/>
      <c r="PYR1" s="841"/>
      <c r="PYS1" s="841"/>
      <c r="PYT1" s="841"/>
      <c r="PYU1" s="841"/>
      <c r="PYV1" s="841"/>
      <c r="PYW1" s="841"/>
      <c r="PYX1" s="841"/>
      <c r="PYY1" s="841"/>
      <c r="PYZ1" s="841"/>
      <c r="PZA1" s="841"/>
      <c r="PZB1" s="841"/>
      <c r="PZC1" s="841"/>
      <c r="PZD1" s="841"/>
      <c r="PZE1" s="841"/>
      <c r="PZF1" s="841"/>
      <c r="PZG1" s="841"/>
      <c r="PZH1" s="841"/>
      <c r="PZI1" s="841"/>
      <c r="PZJ1" s="841"/>
      <c r="PZK1" s="841"/>
      <c r="PZL1" s="841"/>
      <c r="PZM1" s="841"/>
      <c r="PZN1" s="841"/>
      <c r="PZO1" s="841"/>
      <c r="PZP1" s="841"/>
      <c r="PZQ1" s="841"/>
      <c r="PZR1" s="841"/>
      <c r="PZS1" s="841"/>
      <c r="PZT1" s="841"/>
      <c r="PZU1" s="841"/>
      <c r="PZV1" s="841"/>
      <c r="PZW1" s="841"/>
      <c r="PZX1" s="841"/>
      <c r="PZY1" s="841"/>
      <c r="PZZ1" s="841"/>
      <c r="QAA1" s="841"/>
      <c r="QAB1" s="841"/>
      <c r="QAC1" s="841"/>
      <c r="QAD1" s="841"/>
      <c r="QAE1" s="841"/>
      <c r="QAF1" s="841"/>
      <c r="QAG1" s="841"/>
      <c r="QAH1" s="841"/>
      <c r="QAI1" s="841"/>
      <c r="QAJ1" s="841"/>
      <c r="QAK1" s="841"/>
      <c r="QAL1" s="841"/>
      <c r="QAM1" s="841"/>
      <c r="QAN1" s="841"/>
      <c r="QAO1" s="841"/>
      <c r="QAP1" s="841"/>
      <c r="QAQ1" s="841"/>
      <c r="QAR1" s="841"/>
      <c r="QAS1" s="841"/>
      <c r="QAT1" s="841"/>
      <c r="QAU1" s="841"/>
      <c r="QAV1" s="841"/>
      <c r="QAW1" s="841"/>
      <c r="QAX1" s="841"/>
      <c r="QAY1" s="841"/>
      <c r="QAZ1" s="841"/>
      <c r="QBA1" s="841"/>
      <c r="QBB1" s="841"/>
      <c r="QBC1" s="841"/>
      <c r="QBD1" s="841"/>
      <c r="QBE1" s="841"/>
      <c r="QBF1" s="841"/>
      <c r="QBG1" s="841"/>
      <c r="QBH1" s="841"/>
      <c r="QBI1" s="841"/>
      <c r="QBJ1" s="841"/>
      <c r="QBK1" s="841"/>
      <c r="QBL1" s="841"/>
      <c r="QBM1" s="841"/>
      <c r="QBN1" s="841"/>
      <c r="QBO1" s="841"/>
      <c r="QBP1" s="841"/>
      <c r="QBQ1" s="841"/>
      <c r="QBR1" s="841"/>
      <c r="QBS1" s="841"/>
      <c r="QBT1" s="841"/>
      <c r="QBU1" s="841"/>
      <c r="QBV1" s="841"/>
      <c r="QBW1" s="841"/>
      <c r="QBX1" s="841"/>
      <c r="QBY1" s="841"/>
      <c r="QBZ1" s="841"/>
      <c r="QCA1" s="841"/>
      <c r="QCB1" s="841"/>
      <c r="QCC1" s="841"/>
      <c r="QCD1" s="841"/>
      <c r="QCE1" s="841"/>
      <c r="QCF1" s="841"/>
      <c r="QCG1" s="841"/>
      <c r="QCH1" s="841"/>
      <c r="QCI1" s="841"/>
      <c r="QCJ1" s="841"/>
      <c r="QCK1" s="841"/>
      <c r="QCL1" s="841"/>
      <c r="QCM1" s="841"/>
      <c r="QCN1" s="841"/>
      <c r="QCO1" s="841"/>
      <c r="QCP1" s="841"/>
      <c r="QCQ1" s="841"/>
      <c r="QCR1" s="841"/>
      <c r="QCS1" s="841"/>
      <c r="QCT1" s="841"/>
      <c r="QCU1" s="841"/>
      <c r="QCV1" s="841"/>
      <c r="QCW1" s="841"/>
      <c r="QCX1" s="841"/>
      <c r="QCY1" s="841"/>
      <c r="QCZ1" s="841"/>
      <c r="QDA1" s="841"/>
      <c r="QDB1" s="841"/>
      <c r="QDC1" s="841"/>
      <c r="QDD1" s="841"/>
      <c r="QDE1" s="841"/>
      <c r="QDF1" s="841"/>
      <c r="QDG1" s="841"/>
      <c r="QDH1" s="841"/>
      <c r="QDI1" s="841"/>
      <c r="QDJ1" s="841"/>
      <c r="QDK1" s="841"/>
      <c r="QDL1" s="841"/>
      <c r="QDM1" s="841"/>
      <c r="QDN1" s="841"/>
      <c r="QDO1" s="841"/>
      <c r="QDP1" s="841"/>
      <c r="QDQ1" s="841"/>
      <c r="QDR1" s="841"/>
      <c r="QDS1" s="841"/>
      <c r="QDT1" s="841"/>
      <c r="QDU1" s="841"/>
      <c r="QDV1" s="841"/>
      <c r="QDW1" s="841"/>
      <c r="QDX1" s="841"/>
      <c r="QDY1" s="841"/>
      <c r="QDZ1" s="841"/>
      <c r="QEA1" s="841"/>
      <c r="QEB1" s="841"/>
      <c r="QEC1" s="841"/>
      <c r="QED1" s="841"/>
      <c r="QEE1" s="841"/>
      <c r="QEF1" s="841"/>
      <c r="QEG1" s="841"/>
      <c r="QEH1" s="841"/>
      <c r="QEI1" s="841"/>
      <c r="QEJ1" s="841"/>
      <c r="QEK1" s="841"/>
      <c r="QEL1" s="841"/>
      <c r="QEM1" s="841"/>
      <c r="QEN1" s="841"/>
      <c r="QEO1" s="841"/>
      <c r="QEP1" s="841"/>
      <c r="QEQ1" s="841"/>
      <c r="QER1" s="841"/>
      <c r="QES1" s="841"/>
      <c r="QET1" s="841"/>
      <c r="QEU1" s="841"/>
      <c r="QEV1" s="841"/>
      <c r="QEW1" s="841"/>
      <c r="QEX1" s="841"/>
      <c r="QEY1" s="841"/>
      <c r="QEZ1" s="841"/>
      <c r="QFA1" s="841"/>
      <c r="QFB1" s="841"/>
      <c r="QFC1" s="841"/>
      <c r="QFD1" s="841"/>
      <c r="QFE1" s="841"/>
      <c r="QFF1" s="841"/>
      <c r="QFG1" s="841"/>
      <c r="QFH1" s="841"/>
      <c r="QFI1" s="841"/>
      <c r="QFJ1" s="841"/>
      <c r="QFK1" s="841"/>
      <c r="QFL1" s="841"/>
      <c r="QFM1" s="841"/>
      <c r="QFN1" s="841"/>
      <c r="QFO1" s="841"/>
      <c r="QFP1" s="841"/>
      <c r="QFQ1" s="841"/>
      <c r="QFR1" s="841"/>
      <c r="QFS1" s="841"/>
      <c r="QFT1" s="841"/>
      <c r="QFU1" s="841"/>
      <c r="QFV1" s="841"/>
      <c r="QFW1" s="841"/>
      <c r="QFX1" s="841"/>
      <c r="QFY1" s="841"/>
      <c r="QFZ1" s="841"/>
      <c r="QGA1" s="841"/>
      <c r="QGB1" s="841"/>
      <c r="QGC1" s="841"/>
      <c r="QGD1" s="841"/>
      <c r="QGE1" s="841"/>
      <c r="QGF1" s="841"/>
      <c r="QGG1" s="841"/>
      <c r="QGH1" s="841"/>
      <c r="QGI1" s="841"/>
      <c r="QGJ1" s="841"/>
      <c r="QGK1" s="841"/>
      <c r="QGL1" s="841"/>
      <c r="QGM1" s="841"/>
      <c r="QGN1" s="841"/>
      <c r="QGO1" s="841"/>
      <c r="QGP1" s="841"/>
      <c r="QGQ1" s="841"/>
      <c r="QGR1" s="841"/>
      <c r="QGS1" s="841"/>
      <c r="QGT1" s="841"/>
      <c r="QGU1" s="841"/>
      <c r="QGV1" s="841"/>
      <c r="QGW1" s="841"/>
      <c r="QGX1" s="841"/>
      <c r="QGY1" s="841"/>
      <c r="QGZ1" s="841"/>
      <c r="QHA1" s="841"/>
      <c r="QHB1" s="841"/>
      <c r="QHC1" s="841"/>
      <c r="QHD1" s="841"/>
      <c r="QHE1" s="841"/>
      <c r="QHF1" s="841"/>
      <c r="QHG1" s="841"/>
      <c r="QHH1" s="841"/>
      <c r="QHI1" s="841"/>
      <c r="QHJ1" s="841"/>
      <c r="QHK1" s="841"/>
      <c r="QHL1" s="841"/>
      <c r="QHM1" s="841"/>
      <c r="QHN1" s="841"/>
      <c r="QHO1" s="841"/>
      <c r="QHP1" s="841"/>
      <c r="QHQ1" s="841"/>
      <c r="QHR1" s="841"/>
      <c r="QHS1" s="841"/>
      <c r="QHT1" s="841"/>
      <c r="QHU1" s="841"/>
      <c r="QHV1" s="841"/>
      <c r="QHW1" s="841"/>
      <c r="QHX1" s="841"/>
      <c r="QHY1" s="841"/>
      <c r="QHZ1" s="841"/>
      <c r="QIA1" s="841"/>
      <c r="QIB1" s="841"/>
      <c r="QIC1" s="841"/>
      <c r="QID1" s="841"/>
      <c r="QIE1" s="841"/>
      <c r="QIF1" s="841"/>
      <c r="QIG1" s="841"/>
      <c r="QIH1" s="841"/>
      <c r="QII1" s="841"/>
      <c r="QIJ1" s="841"/>
      <c r="QIK1" s="841"/>
      <c r="QIL1" s="841"/>
      <c r="QIM1" s="841"/>
      <c r="QIN1" s="841"/>
      <c r="QIO1" s="841"/>
      <c r="QIP1" s="841"/>
      <c r="QIQ1" s="841"/>
      <c r="QIR1" s="841"/>
      <c r="QIS1" s="841"/>
      <c r="QIT1" s="841"/>
      <c r="QIU1" s="841"/>
      <c r="QIV1" s="841"/>
      <c r="QIW1" s="841"/>
      <c r="QIX1" s="841"/>
      <c r="QIY1" s="841"/>
      <c r="QIZ1" s="841"/>
      <c r="QJA1" s="841"/>
      <c r="QJB1" s="841"/>
      <c r="QJC1" s="841"/>
      <c r="QJD1" s="841"/>
      <c r="QJE1" s="841"/>
      <c r="QJF1" s="841"/>
      <c r="QJG1" s="841"/>
      <c r="QJH1" s="841"/>
      <c r="QJI1" s="841"/>
      <c r="QJJ1" s="841"/>
      <c r="QJK1" s="841"/>
      <c r="QJL1" s="841"/>
      <c r="QJM1" s="841"/>
      <c r="QJN1" s="841"/>
      <c r="QJO1" s="841"/>
      <c r="QJP1" s="841"/>
      <c r="QJQ1" s="841"/>
      <c r="QJR1" s="841"/>
      <c r="QJS1" s="841"/>
      <c r="QJT1" s="841"/>
      <c r="QJU1" s="841"/>
      <c r="QJV1" s="841"/>
      <c r="QJW1" s="841"/>
      <c r="QJX1" s="841"/>
      <c r="QJY1" s="841"/>
      <c r="QJZ1" s="841"/>
      <c r="QKA1" s="841"/>
      <c r="QKB1" s="841"/>
      <c r="QKC1" s="841"/>
      <c r="QKD1" s="841"/>
      <c r="QKE1" s="841"/>
      <c r="QKF1" s="841"/>
      <c r="QKG1" s="841"/>
      <c r="QKH1" s="841"/>
      <c r="QKI1" s="841"/>
      <c r="QKJ1" s="841"/>
      <c r="QKK1" s="841"/>
      <c r="QKL1" s="841"/>
      <c r="QKM1" s="841"/>
      <c r="QKN1" s="841"/>
      <c r="QKO1" s="841"/>
      <c r="QKP1" s="841"/>
      <c r="QKQ1" s="841"/>
      <c r="QKR1" s="841"/>
      <c r="QKS1" s="841"/>
      <c r="QKT1" s="841"/>
      <c r="QKU1" s="841"/>
      <c r="QKV1" s="841"/>
      <c r="QKW1" s="841"/>
      <c r="QKX1" s="841"/>
      <c r="QKY1" s="841"/>
      <c r="QKZ1" s="841"/>
      <c r="QLA1" s="841"/>
      <c r="QLB1" s="841"/>
      <c r="QLC1" s="841"/>
      <c r="QLD1" s="841"/>
      <c r="QLE1" s="841"/>
      <c r="QLF1" s="841"/>
      <c r="QLG1" s="841"/>
      <c r="QLH1" s="841"/>
      <c r="QLI1" s="841"/>
      <c r="QLJ1" s="841"/>
      <c r="QLK1" s="841"/>
      <c r="QLL1" s="841"/>
      <c r="QLM1" s="841"/>
      <c r="QLN1" s="841"/>
      <c r="QLO1" s="841"/>
      <c r="QLP1" s="841"/>
      <c r="QLQ1" s="841"/>
      <c r="QLR1" s="841"/>
      <c r="QLS1" s="841"/>
      <c r="QLT1" s="841"/>
      <c r="QLU1" s="841"/>
      <c r="QLV1" s="841"/>
      <c r="QLW1" s="841"/>
      <c r="QLX1" s="841"/>
      <c r="QLY1" s="841"/>
      <c r="QLZ1" s="841"/>
      <c r="QMA1" s="841"/>
      <c r="QMB1" s="841"/>
      <c r="QMC1" s="841"/>
      <c r="QMD1" s="841"/>
      <c r="QME1" s="841"/>
      <c r="QMF1" s="841"/>
      <c r="QMG1" s="841"/>
      <c r="QMH1" s="841"/>
      <c r="QMI1" s="841"/>
      <c r="QMJ1" s="841"/>
      <c r="QMK1" s="841"/>
      <c r="QML1" s="841"/>
      <c r="QMM1" s="841"/>
      <c r="QMN1" s="841"/>
      <c r="QMO1" s="841"/>
      <c r="QMP1" s="841"/>
      <c r="QMQ1" s="841"/>
      <c r="QMR1" s="841"/>
      <c r="QMS1" s="841"/>
      <c r="QMT1" s="841"/>
      <c r="QMU1" s="841"/>
      <c r="QMV1" s="841"/>
      <c r="QMW1" s="841"/>
      <c r="QMX1" s="841"/>
      <c r="QMY1" s="841"/>
      <c r="QMZ1" s="841"/>
      <c r="QNA1" s="841"/>
      <c r="QNB1" s="841"/>
      <c r="QNC1" s="841"/>
      <c r="QND1" s="841"/>
      <c r="QNE1" s="841"/>
      <c r="QNF1" s="841"/>
      <c r="QNG1" s="841"/>
      <c r="QNH1" s="841"/>
      <c r="QNI1" s="841"/>
      <c r="QNJ1" s="841"/>
      <c r="QNK1" s="841"/>
      <c r="QNL1" s="841"/>
      <c r="QNM1" s="841"/>
      <c r="QNN1" s="841"/>
      <c r="QNO1" s="841"/>
      <c r="QNP1" s="841"/>
      <c r="QNQ1" s="841"/>
      <c r="QNR1" s="841"/>
      <c r="QNS1" s="841"/>
      <c r="QNT1" s="841"/>
      <c r="QNU1" s="841"/>
      <c r="QNV1" s="841"/>
      <c r="QNW1" s="841"/>
      <c r="QNX1" s="841"/>
      <c r="QNY1" s="841"/>
      <c r="QNZ1" s="841"/>
      <c r="QOA1" s="841"/>
      <c r="QOB1" s="841"/>
      <c r="QOC1" s="841"/>
      <c r="QOD1" s="841"/>
      <c r="QOE1" s="841"/>
      <c r="QOF1" s="841"/>
      <c r="QOG1" s="841"/>
      <c r="QOH1" s="841"/>
      <c r="QOI1" s="841"/>
      <c r="QOJ1" s="841"/>
      <c r="QOK1" s="841"/>
      <c r="QOL1" s="841"/>
      <c r="QOM1" s="841"/>
      <c r="QON1" s="841"/>
      <c r="QOO1" s="841"/>
      <c r="QOP1" s="841"/>
      <c r="QOQ1" s="841"/>
      <c r="QOR1" s="841"/>
      <c r="QOS1" s="841"/>
      <c r="QOT1" s="841"/>
      <c r="QOU1" s="841"/>
      <c r="QOV1" s="841"/>
      <c r="QOW1" s="841"/>
      <c r="QOX1" s="841"/>
      <c r="QOY1" s="841"/>
      <c r="QOZ1" s="841"/>
      <c r="QPA1" s="841"/>
      <c r="QPB1" s="841"/>
      <c r="QPC1" s="841"/>
      <c r="QPD1" s="841"/>
      <c r="QPE1" s="841"/>
      <c r="QPF1" s="841"/>
      <c r="QPG1" s="841"/>
      <c r="QPH1" s="841"/>
      <c r="QPI1" s="841"/>
      <c r="QPJ1" s="841"/>
      <c r="QPK1" s="841"/>
      <c r="QPL1" s="841"/>
      <c r="QPM1" s="841"/>
      <c r="QPN1" s="841"/>
      <c r="QPO1" s="841"/>
      <c r="QPP1" s="841"/>
      <c r="QPQ1" s="841"/>
      <c r="QPR1" s="841"/>
      <c r="QPS1" s="841"/>
      <c r="QPT1" s="841"/>
      <c r="QPU1" s="841"/>
      <c r="QPV1" s="841"/>
      <c r="QPW1" s="841"/>
      <c r="QPX1" s="841"/>
      <c r="QPY1" s="841"/>
      <c r="QPZ1" s="841"/>
      <c r="QQA1" s="841"/>
      <c r="QQB1" s="841"/>
      <c r="QQC1" s="841"/>
      <c r="QQD1" s="841"/>
      <c r="QQE1" s="841"/>
      <c r="QQF1" s="841"/>
      <c r="QQG1" s="841"/>
      <c r="QQH1" s="841"/>
      <c r="QQI1" s="841"/>
      <c r="QQJ1" s="841"/>
      <c r="QQK1" s="841"/>
      <c r="QQL1" s="841"/>
      <c r="QQM1" s="841"/>
      <c r="QQN1" s="841"/>
      <c r="QQO1" s="841"/>
      <c r="QQP1" s="841"/>
      <c r="QQQ1" s="841"/>
      <c r="QQR1" s="841"/>
      <c r="QQS1" s="841"/>
      <c r="QQT1" s="841"/>
      <c r="QQU1" s="841"/>
      <c r="QQV1" s="841"/>
      <c r="QQW1" s="841"/>
      <c r="QQX1" s="841"/>
      <c r="QQY1" s="841"/>
      <c r="QQZ1" s="841"/>
      <c r="QRA1" s="841"/>
      <c r="QRB1" s="841"/>
      <c r="QRC1" s="841"/>
      <c r="QRD1" s="841"/>
      <c r="QRE1" s="841"/>
      <c r="QRF1" s="841"/>
      <c r="QRG1" s="841"/>
      <c r="QRH1" s="841"/>
      <c r="QRI1" s="841"/>
      <c r="QRJ1" s="841"/>
      <c r="QRK1" s="841"/>
      <c r="QRL1" s="841"/>
      <c r="QRM1" s="841"/>
      <c r="QRN1" s="841"/>
      <c r="QRO1" s="841"/>
      <c r="QRP1" s="841"/>
      <c r="QRQ1" s="841"/>
      <c r="QRR1" s="841"/>
      <c r="QRS1" s="841"/>
      <c r="QRT1" s="841"/>
      <c r="QRU1" s="841"/>
      <c r="QRV1" s="841"/>
      <c r="QRW1" s="841"/>
      <c r="QRX1" s="841"/>
      <c r="QRY1" s="841"/>
      <c r="QRZ1" s="841"/>
      <c r="QSA1" s="841"/>
      <c r="QSB1" s="841"/>
      <c r="QSC1" s="841"/>
      <c r="QSD1" s="841"/>
      <c r="QSE1" s="841"/>
      <c r="QSF1" s="841"/>
      <c r="QSG1" s="841"/>
      <c r="QSH1" s="841"/>
      <c r="QSI1" s="841"/>
      <c r="QSJ1" s="841"/>
      <c r="QSK1" s="841"/>
      <c r="QSL1" s="841"/>
      <c r="QSM1" s="841"/>
      <c r="QSN1" s="841"/>
      <c r="QSO1" s="841"/>
      <c r="QSP1" s="841"/>
      <c r="QSQ1" s="841"/>
      <c r="QSR1" s="841"/>
      <c r="QSS1" s="841"/>
      <c r="QST1" s="841"/>
      <c r="QSU1" s="841"/>
      <c r="QSV1" s="841"/>
      <c r="QSW1" s="841"/>
      <c r="QSX1" s="841"/>
      <c r="QSY1" s="841"/>
      <c r="QSZ1" s="841"/>
      <c r="QTA1" s="841"/>
      <c r="QTB1" s="841"/>
      <c r="QTC1" s="841"/>
      <c r="QTD1" s="841"/>
      <c r="QTE1" s="841"/>
      <c r="QTF1" s="841"/>
      <c r="QTG1" s="841"/>
      <c r="QTH1" s="841"/>
      <c r="QTI1" s="841"/>
      <c r="QTJ1" s="841"/>
      <c r="QTK1" s="841"/>
      <c r="QTL1" s="841"/>
      <c r="QTM1" s="841"/>
      <c r="QTN1" s="841"/>
      <c r="QTO1" s="841"/>
      <c r="QTP1" s="841"/>
      <c r="QTQ1" s="841"/>
      <c r="QTR1" s="841"/>
      <c r="QTS1" s="841"/>
      <c r="QTT1" s="841"/>
      <c r="QTU1" s="841"/>
      <c r="QTV1" s="841"/>
      <c r="QTW1" s="841"/>
      <c r="QTX1" s="841"/>
      <c r="QTY1" s="841"/>
      <c r="QTZ1" s="841"/>
      <c r="QUA1" s="841"/>
      <c r="QUB1" s="841"/>
      <c r="QUC1" s="841"/>
      <c r="QUD1" s="841"/>
      <c r="QUE1" s="841"/>
      <c r="QUF1" s="841"/>
      <c r="QUG1" s="841"/>
      <c r="QUH1" s="841"/>
      <c r="QUI1" s="841"/>
      <c r="QUJ1" s="841"/>
      <c r="QUK1" s="841"/>
      <c r="QUL1" s="841"/>
      <c r="QUM1" s="841"/>
      <c r="QUN1" s="841"/>
      <c r="QUO1" s="841"/>
      <c r="QUP1" s="841"/>
      <c r="QUQ1" s="841"/>
      <c r="QUR1" s="841"/>
      <c r="QUS1" s="841"/>
      <c r="QUT1" s="841"/>
      <c r="QUU1" s="841"/>
      <c r="QUV1" s="841"/>
      <c r="QUW1" s="841"/>
      <c r="QUX1" s="841"/>
      <c r="QUY1" s="841"/>
      <c r="QUZ1" s="841"/>
      <c r="QVA1" s="841"/>
      <c r="QVB1" s="841"/>
      <c r="QVC1" s="841"/>
      <c r="QVD1" s="841"/>
      <c r="QVE1" s="841"/>
      <c r="QVF1" s="841"/>
      <c r="QVG1" s="841"/>
      <c r="QVH1" s="841"/>
      <c r="QVI1" s="841"/>
      <c r="QVJ1" s="841"/>
      <c r="QVK1" s="841"/>
      <c r="QVL1" s="841"/>
      <c r="QVM1" s="841"/>
      <c r="QVN1" s="841"/>
      <c r="QVO1" s="841"/>
      <c r="QVP1" s="841"/>
      <c r="QVQ1" s="841"/>
      <c r="QVR1" s="841"/>
      <c r="QVS1" s="841"/>
      <c r="QVT1" s="841"/>
      <c r="QVU1" s="841"/>
      <c r="QVV1" s="841"/>
      <c r="QVW1" s="841"/>
      <c r="QVX1" s="841"/>
      <c r="QVY1" s="841"/>
      <c r="QVZ1" s="841"/>
      <c r="QWA1" s="841"/>
      <c r="QWB1" s="841"/>
      <c r="QWC1" s="841"/>
      <c r="QWD1" s="841"/>
      <c r="QWE1" s="841"/>
      <c r="QWF1" s="841"/>
      <c r="QWG1" s="841"/>
      <c r="QWH1" s="841"/>
      <c r="QWI1" s="841"/>
      <c r="QWJ1" s="841"/>
      <c r="QWK1" s="841"/>
      <c r="QWL1" s="841"/>
      <c r="QWM1" s="841"/>
      <c r="QWN1" s="841"/>
      <c r="QWO1" s="841"/>
      <c r="QWP1" s="841"/>
      <c r="QWQ1" s="841"/>
      <c r="QWR1" s="841"/>
      <c r="QWS1" s="841"/>
      <c r="QWT1" s="841"/>
      <c r="QWU1" s="841"/>
      <c r="QWV1" s="841"/>
      <c r="QWW1" s="841"/>
      <c r="QWX1" s="841"/>
      <c r="QWY1" s="841"/>
      <c r="QWZ1" s="841"/>
      <c r="QXA1" s="841"/>
      <c r="QXB1" s="841"/>
      <c r="QXC1" s="841"/>
      <c r="QXD1" s="841"/>
      <c r="QXE1" s="841"/>
      <c r="QXF1" s="841"/>
      <c r="QXG1" s="841"/>
      <c r="QXH1" s="841"/>
      <c r="QXI1" s="841"/>
      <c r="QXJ1" s="841"/>
      <c r="QXK1" s="841"/>
      <c r="QXL1" s="841"/>
      <c r="QXM1" s="841"/>
      <c r="QXN1" s="841"/>
      <c r="QXO1" s="841"/>
      <c r="QXP1" s="841"/>
      <c r="QXQ1" s="841"/>
      <c r="QXR1" s="841"/>
      <c r="QXS1" s="841"/>
      <c r="QXT1" s="841"/>
      <c r="QXU1" s="841"/>
      <c r="QXV1" s="841"/>
      <c r="QXW1" s="841"/>
      <c r="QXX1" s="841"/>
      <c r="QXY1" s="841"/>
      <c r="QXZ1" s="841"/>
      <c r="QYA1" s="841"/>
      <c r="QYB1" s="841"/>
      <c r="QYC1" s="841"/>
      <c r="QYD1" s="841"/>
      <c r="QYE1" s="841"/>
      <c r="QYF1" s="841"/>
      <c r="QYG1" s="841"/>
      <c r="QYH1" s="841"/>
      <c r="QYI1" s="841"/>
      <c r="QYJ1" s="841"/>
      <c r="QYK1" s="841"/>
      <c r="QYL1" s="841"/>
      <c r="QYM1" s="841"/>
      <c r="QYN1" s="841"/>
      <c r="QYO1" s="841"/>
      <c r="QYP1" s="841"/>
      <c r="QYQ1" s="841"/>
      <c r="QYR1" s="841"/>
      <c r="QYS1" s="841"/>
      <c r="QYT1" s="841"/>
      <c r="QYU1" s="841"/>
      <c r="QYV1" s="841"/>
      <c r="QYW1" s="841"/>
      <c r="QYX1" s="841"/>
      <c r="QYY1" s="841"/>
      <c r="QYZ1" s="841"/>
      <c r="QZA1" s="841"/>
      <c r="QZB1" s="841"/>
      <c r="QZC1" s="841"/>
      <c r="QZD1" s="841"/>
      <c r="QZE1" s="841"/>
      <c r="QZF1" s="841"/>
      <c r="QZG1" s="841"/>
      <c r="QZH1" s="841"/>
      <c r="QZI1" s="841"/>
      <c r="QZJ1" s="841"/>
      <c r="QZK1" s="841"/>
      <c r="QZL1" s="841"/>
      <c r="QZM1" s="841"/>
      <c r="QZN1" s="841"/>
      <c r="QZO1" s="841"/>
      <c r="QZP1" s="841"/>
      <c r="QZQ1" s="841"/>
      <c r="QZR1" s="841"/>
      <c r="QZS1" s="841"/>
      <c r="QZT1" s="841"/>
      <c r="QZU1" s="841"/>
      <c r="QZV1" s="841"/>
      <c r="QZW1" s="841"/>
      <c r="QZX1" s="841"/>
      <c r="QZY1" s="841"/>
      <c r="QZZ1" s="841"/>
      <c r="RAA1" s="841"/>
      <c r="RAB1" s="841"/>
      <c r="RAC1" s="841"/>
      <c r="RAD1" s="841"/>
      <c r="RAE1" s="841"/>
      <c r="RAF1" s="841"/>
      <c r="RAG1" s="841"/>
      <c r="RAH1" s="841"/>
      <c r="RAI1" s="841"/>
      <c r="RAJ1" s="841"/>
      <c r="RAK1" s="841"/>
      <c r="RAL1" s="841"/>
      <c r="RAM1" s="841"/>
      <c r="RAN1" s="841"/>
      <c r="RAO1" s="841"/>
      <c r="RAP1" s="841"/>
      <c r="RAQ1" s="841"/>
      <c r="RAR1" s="841"/>
      <c r="RAS1" s="841"/>
      <c r="RAT1" s="841"/>
      <c r="RAU1" s="841"/>
      <c r="RAV1" s="841"/>
      <c r="RAW1" s="841"/>
      <c r="RAX1" s="841"/>
      <c r="RAY1" s="841"/>
      <c r="RAZ1" s="841"/>
      <c r="RBA1" s="841"/>
      <c r="RBB1" s="841"/>
      <c r="RBC1" s="841"/>
      <c r="RBD1" s="841"/>
      <c r="RBE1" s="841"/>
      <c r="RBF1" s="841"/>
      <c r="RBG1" s="841"/>
      <c r="RBH1" s="841"/>
      <c r="RBI1" s="841"/>
      <c r="RBJ1" s="841"/>
      <c r="RBK1" s="841"/>
      <c r="RBL1" s="841"/>
      <c r="RBM1" s="841"/>
      <c r="RBN1" s="841"/>
      <c r="RBO1" s="841"/>
      <c r="RBP1" s="841"/>
      <c r="RBQ1" s="841"/>
      <c r="RBR1" s="841"/>
      <c r="RBS1" s="841"/>
      <c r="RBT1" s="841"/>
      <c r="RBU1" s="841"/>
      <c r="RBV1" s="841"/>
      <c r="RBW1" s="841"/>
      <c r="RBX1" s="841"/>
      <c r="RBY1" s="841"/>
      <c r="RBZ1" s="841"/>
      <c r="RCA1" s="841"/>
      <c r="RCB1" s="841"/>
      <c r="RCC1" s="841"/>
      <c r="RCD1" s="841"/>
      <c r="RCE1" s="841"/>
      <c r="RCF1" s="841"/>
      <c r="RCG1" s="841"/>
      <c r="RCH1" s="841"/>
      <c r="RCI1" s="841"/>
      <c r="RCJ1" s="841"/>
      <c r="RCK1" s="841"/>
      <c r="RCL1" s="841"/>
      <c r="RCM1" s="841"/>
      <c r="RCN1" s="841"/>
      <c r="RCO1" s="841"/>
      <c r="RCP1" s="841"/>
      <c r="RCQ1" s="841"/>
      <c r="RCR1" s="841"/>
      <c r="RCS1" s="841"/>
      <c r="RCT1" s="841"/>
      <c r="RCU1" s="841"/>
      <c r="RCV1" s="841"/>
      <c r="RCW1" s="841"/>
      <c r="RCX1" s="841"/>
      <c r="RCY1" s="841"/>
      <c r="RCZ1" s="841"/>
      <c r="RDA1" s="841"/>
      <c r="RDB1" s="841"/>
      <c r="RDC1" s="841"/>
      <c r="RDD1" s="841"/>
      <c r="RDE1" s="841"/>
      <c r="RDF1" s="841"/>
      <c r="RDG1" s="841"/>
      <c r="RDH1" s="841"/>
      <c r="RDI1" s="841"/>
      <c r="RDJ1" s="841"/>
      <c r="RDK1" s="841"/>
      <c r="RDL1" s="841"/>
      <c r="RDM1" s="841"/>
      <c r="RDN1" s="841"/>
      <c r="RDO1" s="841"/>
      <c r="RDP1" s="841"/>
      <c r="RDQ1" s="841"/>
      <c r="RDR1" s="841"/>
      <c r="RDS1" s="841"/>
      <c r="RDT1" s="841"/>
      <c r="RDU1" s="841"/>
      <c r="RDV1" s="841"/>
      <c r="RDW1" s="841"/>
      <c r="RDX1" s="841"/>
      <c r="RDY1" s="841"/>
      <c r="RDZ1" s="841"/>
      <c r="REA1" s="841"/>
      <c r="REB1" s="841"/>
      <c r="REC1" s="841"/>
      <c r="RED1" s="841"/>
      <c r="REE1" s="841"/>
      <c r="REF1" s="841"/>
      <c r="REG1" s="841"/>
      <c r="REH1" s="841"/>
      <c r="REI1" s="841"/>
      <c r="REJ1" s="841"/>
      <c r="REK1" s="841"/>
      <c r="REL1" s="841"/>
      <c r="REM1" s="841"/>
      <c r="REN1" s="841"/>
      <c r="REO1" s="841"/>
      <c r="REP1" s="841"/>
      <c r="REQ1" s="841"/>
      <c r="RER1" s="841"/>
      <c r="RES1" s="841"/>
      <c r="RET1" s="841"/>
      <c r="REU1" s="841"/>
      <c r="REV1" s="841"/>
      <c r="REW1" s="841"/>
      <c r="REX1" s="841"/>
      <c r="REY1" s="841"/>
      <c r="REZ1" s="841"/>
      <c r="RFA1" s="841"/>
      <c r="RFB1" s="841"/>
      <c r="RFC1" s="841"/>
      <c r="RFD1" s="841"/>
      <c r="RFE1" s="841"/>
      <c r="RFF1" s="841"/>
      <c r="RFG1" s="841"/>
      <c r="RFH1" s="841"/>
      <c r="RFI1" s="841"/>
      <c r="RFJ1" s="841"/>
      <c r="RFK1" s="841"/>
      <c r="RFL1" s="841"/>
      <c r="RFM1" s="841"/>
      <c r="RFN1" s="841"/>
      <c r="RFO1" s="841"/>
      <c r="RFP1" s="841"/>
      <c r="RFQ1" s="841"/>
      <c r="RFR1" s="841"/>
      <c r="RFS1" s="841"/>
      <c r="RFT1" s="841"/>
      <c r="RFU1" s="841"/>
      <c r="RFV1" s="841"/>
      <c r="RFW1" s="841"/>
      <c r="RFX1" s="841"/>
      <c r="RFY1" s="841"/>
      <c r="RFZ1" s="841"/>
      <c r="RGA1" s="841"/>
      <c r="RGB1" s="841"/>
      <c r="RGC1" s="841"/>
      <c r="RGD1" s="841"/>
      <c r="RGE1" s="841"/>
      <c r="RGF1" s="841"/>
      <c r="RGG1" s="841"/>
      <c r="RGH1" s="841"/>
      <c r="RGI1" s="841"/>
      <c r="RGJ1" s="841"/>
      <c r="RGK1" s="841"/>
      <c r="RGL1" s="841"/>
      <c r="RGM1" s="841"/>
      <c r="RGN1" s="841"/>
      <c r="RGO1" s="841"/>
      <c r="RGP1" s="841"/>
      <c r="RGQ1" s="841"/>
      <c r="RGR1" s="841"/>
      <c r="RGS1" s="841"/>
      <c r="RGT1" s="841"/>
      <c r="RGU1" s="841"/>
      <c r="RGV1" s="841"/>
      <c r="RGW1" s="841"/>
      <c r="RGX1" s="841"/>
      <c r="RGY1" s="841"/>
      <c r="RGZ1" s="841"/>
      <c r="RHA1" s="841"/>
      <c r="RHB1" s="841"/>
      <c r="RHC1" s="841"/>
      <c r="RHD1" s="841"/>
      <c r="RHE1" s="841"/>
      <c r="RHF1" s="841"/>
      <c r="RHG1" s="841"/>
      <c r="RHH1" s="841"/>
      <c r="RHI1" s="841"/>
      <c r="RHJ1" s="841"/>
      <c r="RHK1" s="841"/>
      <c r="RHL1" s="841"/>
      <c r="RHM1" s="841"/>
      <c r="RHN1" s="841"/>
      <c r="RHO1" s="841"/>
      <c r="RHP1" s="841"/>
      <c r="RHQ1" s="841"/>
      <c r="RHR1" s="841"/>
      <c r="RHS1" s="841"/>
      <c r="RHT1" s="841"/>
      <c r="RHU1" s="841"/>
      <c r="RHV1" s="841"/>
      <c r="RHW1" s="841"/>
      <c r="RHX1" s="841"/>
      <c r="RHY1" s="841"/>
      <c r="RHZ1" s="841"/>
      <c r="RIA1" s="841"/>
      <c r="RIB1" s="841"/>
      <c r="RIC1" s="841"/>
      <c r="RID1" s="841"/>
      <c r="RIE1" s="841"/>
      <c r="RIF1" s="841"/>
      <c r="RIG1" s="841"/>
      <c r="RIH1" s="841"/>
      <c r="RII1" s="841"/>
      <c r="RIJ1" s="841"/>
      <c r="RIK1" s="841"/>
      <c r="RIL1" s="841"/>
      <c r="RIM1" s="841"/>
      <c r="RIN1" s="841"/>
      <c r="RIO1" s="841"/>
      <c r="RIP1" s="841"/>
      <c r="RIQ1" s="841"/>
      <c r="RIR1" s="841"/>
      <c r="RIS1" s="841"/>
      <c r="RIT1" s="841"/>
      <c r="RIU1" s="841"/>
      <c r="RIV1" s="841"/>
      <c r="RIW1" s="841"/>
      <c r="RIX1" s="841"/>
      <c r="RIY1" s="841"/>
      <c r="RIZ1" s="841"/>
      <c r="RJA1" s="841"/>
      <c r="RJB1" s="841"/>
      <c r="RJC1" s="841"/>
      <c r="RJD1" s="841"/>
      <c r="RJE1" s="841"/>
      <c r="RJF1" s="841"/>
      <c r="RJG1" s="841"/>
      <c r="RJH1" s="841"/>
      <c r="RJI1" s="841"/>
      <c r="RJJ1" s="841"/>
      <c r="RJK1" s="841"/>
      <c r="RJL1" s="841"/>
      <c r="RJM1" s="841"/>
      <c r="RJN1" s="841"/>
      <c r="RJO1" s="841"/>
      <c r="RJP1" s="841"/>
      <c r="RJQ1" s="841"/>
      <c r="RJR1" s="841"/>
      <c r="RJS1" s="841"/>
      <c r="RJT1" s="841"/>
      <c r="RJU1" s="841"/>
      <c r="RJV1" s="841"/>
      <c r="RJW1" s="841"/>
      <c r="RJX1" s="841"/>
      <c r="RJY1" s="841"/>
      <c r="RJZ1" s="841"/>
      <c r="RKA1" s="841"/>
      <c r="RKB1" s="841"/>
      <c r="RKC1" s="841"/>
      <c r="RKD1" s="841"/>
      <c r="RKE1" s="841"/>
      <c r="RKF1" s="841"/>
      <c r="RKG1" s="841"/>
      <c r="RKH1" s="841"/>
      <c r="RKI1" s="841"/>
      <c r="RKJ1" s="841"/>
      <c r="RKK1" s="841"/>
      <c r="RKL1" s="841"/>
      <c r="RKM1" s="841"/>
      <c r="RKN1" s="841"/>
      <c r="RKO1" s="841"/>
      <c r="RKP1" s="841"/>
      <c r="RKQ1" s="841"/>
      <c r="RKR1" s="841"/>
      <c r="RKS1" s="841"/>
      <c r="RKT1" s="841"/>
      <c r="RKU1" s="841"/>
      <c r="RKV1" s="841"/>
      <c r="RKW1" s="841"/>
      <c r="RKX1" s="841"/>
      <c r="RKY1" s="841"/>
      <c r="RKZ1" s="841"/>
      <c r="RLA1" s="841"/>
      <c r="RLB1" s="841"/>
      <c r="RLC1" s="841"/>
      <c r="RLD1" s="841"/>
      <c r="RLE1" s="841"/>
      <c r="RLF1" s="841"/>
      <c r="RLG1" s="841"/>
      <c r="RLH1" s="841"/>
      <c r="RLI1" s="841"/>
      <c r="RLJ1" s="841"/>
      <c r="RLK1" s="841"/>
      <c r="RLL1" s="841"/>
      <c r="RLM1" s="841"/>
      <c r="RLN1" s="841"/>
      <c r="RLO1" s="841"/>
      <c r="RLP1" s="841"/>
      <c r="RLQ1" s="841"/>
      <c r="RLR1" s="841"/>
      <c r="RLS1" s="841"/>
      <c r="RLT1" s="841"/>
      <c r="RLU1" s="841"/>
      <c r="RLV1" s="841"/>
      <c r="RLW1" s="841"/>
      <c r="RLX1" s="841"/>
      <c r="RLY1" s="841"/>
      <c r="RLZ1" s="841"/>
      <c r="RMA1" s="841"/>
      <c r="RMB1" s="841"/>
      <c r="RMC1" s="841"/>
      <c r="RMD1" s="841"/>
      <c r="RME1" s="841"/>
      <c r="RMF1" s="841"/>
      <c r="RMG1" s="841"/>
      <c r="RMH1" s="841"/>
      <c r="RMI1" s="841"/>
      <c r="RMJ1" s="841"/>
      <c r="RMK1" s="841"/>
      <c r="RML1" s="841"/>
      <c r="RMM1" s="841"/>
      <c r="RMN1" s="841"/>
      <c r="RMO1" s="841"/>
      <c r="RMP1" s="841"/>
      <c r="RMQ1" s="841"/>
      <c r="RMR1" s="841"/>
      <c r="RMS1" s="841"/>
      <c r="RMT1" s="841"/>
      <c r="RMU1" s="841"/>
      <c r="RMV1" s="841"/>
      <c r="RMW1" s="841"/>
      <c r="RMX1" s="841"/>
      <c r="RMY1" s="841"/>
      <c r="RMZ1" s="841"/>
      <c r="RNA1" s="841"/>
      <c r="RNB1" s="841"/>
      <c r="RNC1" s="841"/>
      <c r="RND1" s="841"/>
      <c r="RNE1" s="841"/>
      <c r="RNF1" s="841"/>
      <c r="RNG1" s="841"/>
      <c r="RNH1" s="841"/>
      <c r="RNI1" s="841"/>
      <c r="RNJ1" s="841"/>
      <c r="RNK1" s="841"/>
      <c r="RNL1" s="841"/>
      <c r="RNM1" s="841"/>
      <c r="RNN1" s="841"/>
      <c r="RNO1" s="841"/>
      <c r="RNP1" s="841"/>
      <c r="RNQ1" s="841"/>
      <c r="RNR1" s="841"/>
      <c r="RNS1" s="841"/>
      <c r="RNT1" s="841"/>
      <c r="RNU1" s="841"/>
      <c r="RNV1" s="841"/>
      <c r="RNW1" s="841"/>
      <c r="RNX1" s="841"/>
      <c r="RNY1" s="841"/>
      <c r="RNZ1" s="841"/>
      <c r="ROA1" s="841"/>
      <c r="ROB1" s="841"/>
      <c r="ROC1" s="841"/>
      <c r="ROD1" s="841"/>
      <c r="ROE1" s="841"/>
      <c r="ROF1" s="841"/>
      <c r="ROG1" s="841"/>
      <c r="ROH1" s="841"/>
      <c r="ROI1" s="841"/>
      <c r="ROJ1" s="841"/>
      <c r="ROK1" s="841"/>
      <c r="ROL1" s="841"/>
      <c r="ROM1" s="841"/>
      <c r="RON1" s="841"/>
      <c r="ROO1" s="841"/>
      <c r="ROP1" s="841"/>
      <c r="ROQ1" s="841"/>
      <c r="ROR1" s="841"/>
      <c r="ROS1" s="841"/>
      <c r="ROT1" s="841"/>
      <c r="ROU1" s="841"/>
      <c r="ROV1" s="841"/>
      <c r="ROW1" s="841"/>
      <c r="ROX1" s="841"/>
      <c r="ROY1" s="841"/>
      <c r="ROZ1" s="841"/>
      <c r="RPA1" s="841"/>
      <c r="RPB1" s="841"/>
      <c r="RPC1" s="841"/>
      <c r="RPD1" s="841"/>
      <c r="RPE1" s="841"/>
      <c r="RPF1" s="841"/>
      <c r="RPG1" s="841"/>
      <c r="RPH1" s="841"/>
      <c r="RPI1" s="841"/>
      <c r="RPJ1" s="841"/>
      <c r="RPK1" s="841"/>
      <c r="RPL1" s="841"/>
      <c r="RPM1" s="841"/>
      <c r="RPN1" s="841"/>
      <c r="RPO1" s="841"/>
      <c r="RPP1" s="841"/>
      <c r="RPQ1" s="841"/>
      <c r="RPR1" s="841"/>
      <c r="RPS1" s="841"/>
      <c r="RPT1" s="841"/>
      <c r="RPU1" s="841"/>
      <c r="RPV1" s="841"/>
      <c r="RPW1" s="841"/>
      <c r="RPX1" s="841"/>
      <c r="RPY1" s="841"/>
      <c r="RPZ1" s="841"/>
      <c r="RQA1" s="841"/>
      <c r="RQB1" s="841"/>
      <c r="RQC1" s="841"/>
      <c r="RQD1" s="841"/>
      <c r="RQE1" s="841"/>
      <c r="RQF1" s="841"/>
      <c r="RQG1" s="841"/>
      <c r="RQH1" s="841"/>
      <c r="RQI1" s="841"/>
      <c r="RQJ1" s="841"/>
      <c r="RQK1" s="841"/>
      <c r="RQL1" s="841"/>
      <c r="RQM1" s="841"/>
      <c r="RQN1" s="841"/>
      <c r="RQO1" s="841"/>
      <c r="RQP1" s="841"/>
      <c r="RQQ1" s="841"/>
      <c r="RQR1" s="841"/>
      <c r="RQS1" s="841"/>
      <c r="RQT1" s="841"/>
      <c r="RQU1" s="841"/>
      <c r="RQV1" s="841"/>
      <c r="RQW1" s="841"/>
      <c r="RQX1" s="841"/>
      <c r="RQY1" s="841"/>
      <c r="RQZ1" s="841"/>
      <c r="RRA1" s="841"/>
      <c r="RRB1" s="841"/>
      <c r="RRC1" s="841"/>
      <c r="RRD1" s="841"/>
      <c r="RRE1" s="841"/>
      <c r="RRF1" s="841"/>
      <c r="RRG1" s="841"/>
      <c r="RRH1" s="841"/>
      <c r="RRI1" s="841"/>
      <c r="RRJ1" s="841"/>
      <c r="RRK1" s="841"/>
      <c r="RRL1" s="841"/>
      <c r="RRM1" s="841"/>
      <c r="RRN1" s="841"/>
      <c r="RRO1" s="841"/>
      <c r="RRP1" s="841"/>
      <c r="RRQ1" s="841"/>
      <c r="RRR1" s="841"/>
      <c r="RRS1" s="841"/>
      <c r="RRT1" s="841"/>
      <c r="RRU1" s="841"/>
      <c r="RRV1" s="841"/>
      <c r="RRW1" s="841"/>
      <c r="RRX1" s="841"/>
      <c r="RRY1" s="841"/>
      <c r="RRZ1" s="841"/>
      <c r="RSA1" s="841"/>
      <c r="RSB1" s="841"/>
      <c r="RSC1" s="841"/>
      <c r="RSD1" s="841"/>
      <c r="RSE1" s="841"/>
      <c r="RSF1" s="841"/>
      <c r="RSG1" s="841"/>
      <c r="RSH1" s="841"/>
      <c r="RSI1" s="841"/>
      <c r="RSJ1" s="841"/>
      <c r="RSK1" s="841"/>
      <c r="RSL1" s="841"/>
      <c r="RSM1" s="841"/>
      <c r="RSN1" s="841"/>
      <c r="RSO1" s="841"/>
      <c r="RSP1" s="841"/>
      <c r="RSQ1" s="841"/>
      <c r="RSR1" s="841"/>
      <c r="RSS1" s="841"/>
      <c r="RST1" s="841"/>
      <c r="RSU1" s="841"/>
      <c r="RSV1" s="841"/>
      <c r="RSW1" s="841"/>
      <c r="RSX1" s="841"/>
      <c r="RSY1" s="841"/>
      <c r="RSZ1" s="841"/>
      <c r="RTA1" s="841"/>
      <c r="RTB1" s="841"/>
      <c r="RTC1" s="841"/>
      <c r="RTD1" s="841"/>
      <c r="RTE1" s="841"/>
      <c r="RTF1" s="841"/>
      <c r="RTG1" s="841"/>
      <c r="RTH1" s="841"/>
      <c r="RTI1" s="841"/>
      <c r="RTJ1" s="841"/>
      <c r="RTK1" s="841"/>
      <c r="RTL1" s="841"/>
      <c r="RTM1" s="841"/>
      <c r="RTN1" s="841"/>
      <c r="RTO1" s="841"/>
      <c r="RTP1" s="841"/>
      <c r="RTQ1" s="841"/>
      <c r="RTR1" s="841"/>
      <c r="RTS1" s="841"/>
      <c r="RTT1" s="841"/>
      <c r="RTU1" s="841"/>
      <c r="RTV1" s="841"/>
      <c r="RTW1" s="841"/>
      <c r="RTX1" s="841"/>
      <c r="RTY1" s="841"/>
      <c r="RTZ1" s="841"/>
      <c r="RUA1" s="841"/>
      <c r="RUB1" s="841"/>
      <c r="RUC1" s="841"/>
      <c r="RUD1" s="841"/>
      <c r="RUE1" s="841"/>
      <c r="RUF1" s="841"/>
      <c r="RUG1" s="841"/>
      <c r="RUH1" s="841"/>
      <c r="RUI1" s="841"/>
      <c r="RUJ1" s="841"/>
      <c r="RUK1" s="841"/>
      <c r="RUL1" s="841"/>
      <c r="RUM1" s="841"/>
      <c r="RUN1" s="841"/>
      <c r="RUO1" s="841"/>
      <c r="RUP1" s="841"/>
      <c r="RUQ1" s="841"/>
      <c r="RUR1" s="841"/>
      <c r="RUS1" s="841"/>
      <c r="RUT1" s="841"/>
      <c r="RUU1" s="841"/>
      <c r="RUV1" s="841"/>
      <c r="RUW1" s="841"/>
      <c r="RUX1" s="841"/>
      <c r="RUY1" s="841"/>
      <c r="RUZ1" s="841"/>
      <c r="RVA1" s="841"/>
      <c r="RVB1" s="841"/>
      <c r="RVC1" s="841"/>
      <c r="RVD1" s="841"/>
      <c r="RVE1" s="841"/>
      <c r="RVF1" s="841"/>
      <c r="RVG1" s="841"/>
      <c r="RVH1" s="841"/>
      <c r="RVI1" s="841"/>
      <c r="RVJ1" s="841"/>
      <c r="RVK1" s="841"/>
      <c r="RVL1" s="841"/>
      <c r="RVM1" s="841"/>
      <c r="RVN1" s="841"/>
      <c r="RVO1" s="841"/>
      <c r="RVP1" s="841"/>
      <c r="RVQ1" s="841"/>
      <c r="RVR1" s="841"/>
      <c r="RVS1" s="841"/>
      <c r="RVT1" s="841"/>
      <c r="RVU1" s="841"/>
      <c r="RVV1" s="841"/>
      <c r="RVW1" s="841"/>
      <c r="RVX1" s="841"/>
      <c r="RVY1" s="841"/>
      <c r="RVZ1" s="841"/>
      <c r="RWA1" s="841"/>
      <c r="RWB1" s="841"/>
      <c r="RWC1" s="841"/>
      <c r="RWD1" s="841"/>
      <c r="RWE1" s="841"/>
      <c r="RWF1" s="841"/>
      <c r="RWG1" s="841"/>
      <c r="RWH1" s="841"/>
      <c r="RWI1" s="841"/>
      <c r="RWJ1" s="841"/>
      <c r="RWK1" s="841"/>
      <c r="RWL1" s="841"/>
      <c r="RWM1" s="841"/>
      <c r="RWN1" s="841"/>
      <c r="RWO1" s="841"/>
      <c r="RWP1" s="841"/>
      <c r="RWQ1" s="841"/>
      <c r="RWR1" s="841"/>
      <c r="RWS1" s="841"/>
      <c r="RWT1" s="841"/>
      <c r="RWU1" s="841"/>
      <c r="RWV1" s="841"/>
      <c r="RWW1" s="841"/>
      <c r="RWX1" s="841"/>
      <c r="RWY1" s="841"/>
      <c r="RWZ1" s="841"/>
      <c r="RXA1" s="841"/>
      <c r="RXB1" s="841"/>
      <c r="RXC1" s="841"/>
      <c r="RXD1" s="841"/>
      <c r="RXE1" s="841"/>
      <c r="RXF1" s="841"/>
      <c r="RXG1" s="841"/>
      <c r="RXH1" s="841"/>
      <c r="RXI1" s="841"/>
      <c r="RXJ1" s="841"/>
      <c r="RXK1" s="841"/>
      <c r="RXL1" s="841"/>
      <c r="RXM1" s="841"/>
      <c r="RXN1" s="841"/>
      <c r="RXO1" s="841"/>
      <c r="RXP1" s="841"/>
      <c r="RXQ1" s="841"/>
      <c r="RXR1" s="841"/>
      <c r="RXS1" s="841"/>
      <c r="RXT1" s="841"/>
      <c r="RXU1" s="841"/>
      <c r="RXV1" s="841"/>
      <c r="RXW1" s="841"/>
      <c r="RXX1" s="841"/>
      <c r="RXY1" s="841"/>
      <c r="RXZ1" s="841"/>
      <c r="RYA1" s="841"/>
      <c r="RYB1" s="841"/>
      <c r="RYC1" s="841"/>
      <c r="RYD1" s="841"/>
      <c r="RYE1" s="841"/>
      <c r="RYF1" s="841"/>
      <c r="RYG1" s="841"/>
      <c r="RYH1" s="841"/>
      <c r="RYI1" s="841"/>
      <c r="RYJ1" s="841"/>
      <c r="RYK1" s="841"/>
      <c r="RYL1" s="841"/>
      <c r="RYM1" s="841"/>
      <c r="RYN1" s="841"/>
      <c r="RYO1" s="841"/>
      <c r="RYP1" s="841"/>
      <c r="RYQ1" s="841"/>
      <c r="RYR1" s="841"/>
      <c r="RYS1" s="841"/>
      <c r="RYT1" s="841"/>
      <c r="RYU1" s="841"/>
      <c r="RYV1" s="841"/>
      <c r="RYW1" s="841"/>
      <c r="RYX1" s="841"/>
      <c r="RYY1" s="841"/>
      <c r="RYZ1" s="841"/>
      <c r="RZA1" s="841"/>
      <c r="RZB1" s="841"/>
      <c r="RZC1" s="841"/>
      <c r="RZD1" s="841"/>
      <c r="RZE1" s="841"/>
      <c r="RZF1" s="841"/>
      <c r="RZG1" s="841"/>
      <c r="RZH1" s="841"/>
      <c r="RZI1" s="841"/>
      <c r="RZJ1" s="841"/>
      <c r="RZK1" s="841"/>
      <c r="RZL1" s="841"/>
      <c r="RZM1" s="841"/>
      <c r="RZN1" s="841"/>
      <c r="RZO1" s="841"/>
      <c r="RZP1" s="841"/>
      <c r="RZQ1" s="841"/>
      <c r="RZR1" s="841"/>
      <c r="RZS1" s="841"/>
      <c r="RZT1" s="841"/>
      <c r="RZU1" s="841"/>
      <c r="RZV1" s="841"/>
      <c r="RZW1" s="841"/>
      <c r="RZX1" s="841"/>
      <c r="RZY1" s="841"/>
      <c r="RZZ1" s="841"/>
      <c r="SAA1" s="841"/>
      <c r="SAB1" s="841"/>
      <c r="SAC1" s="841"/>
      <c r="SAD1" s="841"/>
      <c r="SAE1" s="841"/>
      <c r="SAF1" s="841"/>
      <c r="SAG1" s="841"/>
      <c r="SAH1" s="841"/>
      <c r="SAI1" s="841"/>
      <c r="SAJ1" s="841"/>
      <c r="SAK1" s="841"/>
      <c r="SAL1" s="841"/>
      <c r="SAM1" s="841"/>
      <c r="SAN1" s="841"/>
      <c r="SAO1" s="841"/>
      <c r="SAP1" s="841"/>
      <c r="SAQ1" s="841"/>
      <c r="SAR1" s="841"/>
      <c r="SAS1" s="841"/>
      <c r="SAT1" s="841"/>
      <c r="SAU1" s="841"/>
      <c r="SAV1" s="841"/>
      <c r="SAW1" s="841"/>
      <c r="SAX1" s="841"/>
      <c r="SAY1" s="841"/>
      <c r="SAZ1" s="841"/>
      <c r="SBA1" s="841"/>
      <c r="SBB1" s="841"/>
      <c r="SBC1" s="841"/>
      <c r="SBD1" s="841"/>
      <c r="SBE1" s="841"/>
      <c r="SBF1" s="841"/>
      <c r="SBG1" s="841"/>
      <c r="SBH1" s="841"/>
      <c r="SBI1" s="841"/>
      <c r="SBJ1" s="841"/>
      <c r="SBK1" s="841"/>
      <c r="SBL1" s="841"/>
      <c r="SBM1" s="841"/>
      <c r="SBN1" s="841"/>
      <c r="SBO1" s="841"/>
      <c r="SBP1" s="841"/>
      <c r="SBQ1" s="841"/>
      <c r="SBR1" s="841"/>
      <c r="SBS1" s="841"/>
      <c r="SBT1" s="841"/>
      <c r="SBU1" s="841"/>
      <c r="SBV1" s="841"/>
      <c r="SBW1" s="841"/>
      <c r="SBX1" s="841"/>
      <c r="SBY1" s="841"/>
      <c r="SBZ1" s="841"/>
      <c r="SCA1" s="841"/>
      <c r="SCB1" s="841"/>
      <c r="SCC1" s="841"/>
      <c r="SCD1" s="841"/>
      <c r="SCE1" s="841"/>
      <c r="SCF1" s="841"/>
      <c r="SCG1" s="841"/>
      <c r="SCH1" s="841"/>
      <c r="SCI1" s="841"/>
      <c r="SCJ1" s="841"/>
      <c r="SCK1" s="841"/>
      <c r="SCL1" s="841"/>
      <c r="SCM1" s="841"/>
      <c r="SCN1" s="841"/>
      <c r="SCO1" s="841"/>
      <c r="SCP1" s="841"/>
      <c r="SCQ1" s="841"/>
      <c r="SCR1" s="841"/>
      <c r="SCS1" s="841"/>
      <c r="SCT1" s="841"/>
      <c r="SCU1" s="841"/>
      <c r="SCV1" s="841"/>
      <c r="SCW1" s="841"/>
      <c r="SCX1" s="841"/>
      <c r="SCY1" s="841"/>
      <c r="SCZ1" s="841"/>
      <c r="SDA1" s="841"/>
      <c r="SDB1" s="841"/>
      <c r="SDC1" s="841"/>
      <c r="SDD1" s="841"/>
      <c r="SDE1" s="841"/>
      <c r="SDF1" s="841"/>
      <c r="SDG1" s="841"/>
      <c r="SDH1" s="841"/>
      <c r="SDI1" s="841"/>
      <c r="SDJ1" s="841"/>
      <c r="SDK1" s="841"/>
      <c r="SDL1" s="841"/>
      <c r="SDM1" s="841"/>
      <c r="SDN1" s="841"/>
      <c r="SDO1" s="841"/>
      <c r="SDP1" s="841"/>
      <c r="SDQ1" s="841"/>
      <c r="SDR1" s="841"/>
      <c r="SDS1" s="841"/>
      <c r="SDT1" s="841"/>
      <c r="SDU1" s="841"/>
      <c r="SDV1" s="841"/>
      <c r="SDW1" s="841"/>
      <c r="SDX1" s="841"/>
      <c r="SDY1" s="841"/>
      <c r="SDZ1" s="841"/>
      <c r="SEA1" s="841"/>
      <c r="SEB1" s="841"/>
      <c r="SEC1" s="841"/>
      <c r="SED1" s="841"/>
      <c r="SEE1" s="841"/>
      <c r="SEF1" s="841"/>
      <c r="SEG1" s="841"/>
      <c r="SEH1" s="841"/>
      <c r="SEI1" s="841"/>
      <c r="SEJ1" s="841"/>
      <c r="SEK1" s="841"/>
      <c r="SEL1" s="841"/>
      <c r="SEM1" s="841"/>
      <c r="SEN1" s="841"/>
      <c r="SEO1" s="841"/>
      <c r="SEP1" s="841"/>
      <c r="SEQ1" s="841"/>
      <c r="SER1" s="841"/>
      <c r="SES1" s="841"/>
      <c r="SET1" s="841"/>
      <c r="SEU1" s="841"/>
      <c r="SEV1" s="841"/>
      <c r="SEW1" s="841"/>
      <c r="SEX1" s="841"/>
      <c r="SEY1" s="841"/>
      <c r="SEZ1" s="841"/>
      <c r="SFA1" s="841"/>
      <c r="SFB1" s="841"/>
      <c r="SFC1" s="841"/>
      <c r="SFD1" s="841"/>
      <c r="SFE1" s="841"/>
      <c r="SFF1" s="841"/>
      <c r="SFG1" s="841"/>
      <c r="SFH1" s="841"/>
      <c r="SFI1" s="841"/>
      <c r="SFJ1" s="841"/>
      <c r="SFK1" s="841"/>
      <c r="SFL1" s="841"/>
      <c r="SFM1" s="841"/>
      <c r="SFN1" s="841"/>
      <c r="SFO1" s="841"/>
      <c r="SFP1" s="841"/>
      <c r="SFQ1" s="841"/>
      <c r="SFR1" s="841"/>
      <c r="SFS1" s="841"/>
      <c r="SFT1" s="841"/>
      <c r="SFU1" s="841"/>
      <c r="SFV1" s="841"/>
      <c r="SFW1" s="841"/>
      <c r="SFX1" s="841"/>
      <c r="SFY1" s="841"/>
      <c r="SFZ1" s="841"/>
      <c r="SGA1" s="841"/>
      <c r="SGB1" s="841"/>
      <c r="SGC1" s="841"/>
      <c r="SGD1" s="841"/>
      <c r="SGE1" s="841"/>
      <c r="SGF1" s="841"/>
      <c r="SGG1" s="841"/>
      <c r="SGH1" s="841"/>
      <c r="SGI1" s="841"/>
      <c r="SGJ1" s="841"/>
      <c r="SGK1" s="841"/>
      <c r="SGL1" s="841"/>
      <c r="SGM1" s="841"/>
      <c r="SGN1" s="841"/>
      <c r="SGO1" s="841"/>
      <c r="SGP1" s="841"/>
      <c r="SGQ1" s="841"/>
      <c r="SGR1" s="841"/>
      <c r="SGS1" s="841"/>
      <c r="SGT1" s="841"/>
      <c r="SGU1" s="841"/>
      <c r="SGV1" s="841"/>
      <c r="SGW1" s="841"/>
      <c r="SGX1" s="841"/>
      <c r="SGY1" s="841"/>
      <c r="SGZ1" s="841"/>
      <c r="SHA1" s="841"/>
      <c r="SHB1" s="841"/>
      <c r="SHC1" s="841"/>
      <c r="SHD1" s="841"/>
      <c r="SHE1" s="841"/>
      <c r="SHF1" s="841"/>
      <c r="SHG1" s="841"/>
      <c r="SHH1" s="841"/>
      <c r="SHI1" s="841"/>
      <c r="SHJ1" s="841"/>
      <c r="SHK1" s="841"/>
      <c r="SHL1" s="841"/>
      <c r="SHM1" s="841"/>
      <c r="SHN1" s="841"/>
      <c r="SHO1" s="841"/>
      <c r="SHP1" s="841"/>
      <c r="SHQ1" s="841"/>
      <c r="SHR1" s="841"/>
      <c r="SHS1" s="841"/>
      <c r="SHT1" s="841"/>
      <c r="SHU1" s="841"/>
      <c r="SHV1" s="841"/>
      <c r="SHW1" s="841"/>
      <c r="SHX1" s="841"/>
      <c r="SHY1" s="841"/>
      <c r="SHZ1" s="841"/>
      <c r="SIA1" s="841"/>
      <c r="SIB1" s="841"/>
      <c r="SIC1" s="841"/>
      <c r="SID1" s="841"/>
      <c r="SIE1" s="841"/>
      <c r="SIF1" s="841"/>
      <c r="SIG1" s="841"/>
      <c r="SIH1" s="841"/>
      <c r="SII1" s="841"/>
      <c r="SIJ1" s="841"/>
      <c r="SIK1" s="841"/>
      <c r="SIL1" s="841"/>
      <c r="SIM1" s="841"/>
      <c r="SIN1" s="841"/>
      <c r="SIO1" s="841"/>
      <c r="SIP1" s="841"/>
      <c r="SIQ1" s="841"/>
      <c r="SIR1" s="841"/>
      <c r="SIS1" s="841"/>
      <c r="SIT1" s="841"/>
      <c r="SIU1" s="841"/>
      <c r="SIV1" s="841"/>
      <c r="SIW1" s="841"/>
      <c r="SIX1" s="841"/>
      <c r="SIY1" s="841"/>
      <c r="SIZ1" s="841"/>
      <c r="SJA1" s="841"/>
      <c r="SJB1" s="841"/>
      <c r="SJC1" s="841"/>
      <c r="SJD1" s="841"/>
      <c r="SJE1" s="841"/>
      <c r="SJF1" s="841"/>
      <c r="SJG1" s="841"/>
      <c r="SJH1" s="841"/>
      <c r="SJI1" s="841"/>
      <c r="SJJ1" s="841"/>
      <c r="SJK1" s="841"/>
      <c r="SJL1" s="841"/>
      <c r="SJM1" s="841"/>
      <c r="SJN1" s="841"/>
      <c r="SJO1" s="841"/>
      <c r="SJP1" s="841"/>
      <c r="SJQ1" s="841"/>
      <c r="SJR1" s="841"/>
      <c r="SJS1" s="841"/>
      <c r="SJT1" s="841"/>
      <c r="SJU1" s="841"/>
      <c r="SJV1" s="841"/>
      <c r="SJW1" s="841"/>
      <c r="SJX1" s="841"/>
      <c r="SJY1" s="841"/>
      <c r="SJZ1" s="841"/>
      <c r="SKA1" s="841"/>
      <c r="SKB1" s="841"/>
      <c r="SKC1" s="841"/>
      <c r="SKD1" s="841"/>
      <c r="SKE1" s="841"/>
      <c r="SKF1" s="841"/>
      <c r="SKG1" s="841"/>
      <c r="SKH1" s="841"/>
      <c r="SKI1" s="841"/>
      <c r="SKJ1" s="841"/>
      <c r="SKK1" s="841"/>
      <c r="SKL1" s="841"/>
      <c r="SKM1" s="841"/>
      <c r="SKN1" s="841"/>
      <c r="SKO1" s="841"/>
      <c r="SKP1" s="841"/>
      <c r="SKQ1" s="841"/>
      <c r="SKR1" s="841"/>
      <c r="SKS1" s="841"/>
      <c r="SKT1" s="841"/>
      <c r="SKU1" s="841"/>
      <c r="SKV1" s="841"/>
      <c r="SKW1" s="841"/>
      <c r="SKX1" s="841"/>
      <c r="SKY1" s="841"/>
      <c r="SKZ1" s="841"/>
      <c r="SLA1" s="841"/>
      <c r="SLB1" s="841"/>
      <c r="SLC1" s="841"/>
      <c r="SLD1" s="841"/>
      <c r="SLE1" s="841"/>
      <c r="SLF1" s="841"/>
      <c r="SLG1" s="841"/>
      <c r="SLH1" s="841"/>
      <c r="SLI1" s="841"/>
      <c r="SLJ1" s="841"/>
      <c r="SLK1" s="841"/>
      <c r="SLL1" s="841"/>
      <c r="SLM1" s="841"/>
      <c r="SLN1" s="841"/>
      <c r="SLO1" s="841"/>
      <c r="SLP1" s="841"/>
      <c r="SLQ1" s="841"/>
      <c r="SLR1" s="841"/>
      <c r="SLS1" s="841"/>
      <c r="SLT1" s="841"/>
      <c r="SLU1" s="841"/>
      <c r="SLV1" s="841"/>
      <c r="SLW1" s="841"/>
      <c r="SLX1" s="841"/>
      <c r="SLY1" s="841"/>
      <c r="SLZ1" s="841"/>
      <c r="SMA1" s="841"/>
      <c r="SMB1" s="841"/>
      <c r="SMC1" s="841"/>
      <c r="SMD1" s="841"/>
      <c r="SME1" s="841"/>
      <c r="SMF1" s="841"/>
      <c r="SMG1" s="841"/>
      <c r="SMH1" s="841"/>
      <c r="SMI1" s="841"/>
      <c r="SMJ1" s="841"/>
      <c r="SMK1" s="841"/>
      <c r="SML1" s="841"/>
      <c r="SMM1" s="841"/>
      <c r="SMN1" s="841"/>
      <c r="SMO1" s="841"/>
      <c r="SMP1" s="841"/>
      <c r="SMQ1" s="841"/>
      <c r="SMR1" s="841"/>
      <c r="SMS1" s="841"/>
      <c r="SMT1" s="841"/>
      <c r="SMU1" s="841"/>
      <c r="SMV1" s="841"/>
      <c r="SMW1" s="841"/>
      <c r="SMX1" s="841"/>
      <c r="SMY1" s="841"/>
      <c r="SMZ1" s="841"/>
      <c r="SNA1" s="841"/>
      <c r="SNB1" s="841"/>
      <c r="SNC1" s="841"/>
      <c r="SND1" s="841"/>
      <c r="SNE1" s="841"/>
      <c r="SNF1" s="841"/>
      <c r="SNG1" s="841"/>
      <c r="SNH1" s="841"/>
      <c r="SNI1" s="841"/>
      <c r="SNJ1" s="841"/>
      <c r="SNK1" s="841"/>
      <c r="SNL1" s="841"/>
      <c r="SNM1" s="841"/>
      <c r="SNN1" s="841"/>
      <c r="SNO1" s="841"/>
      <c r="SNP1" s="841"/>
      <c r="SNQ1" s="841"/>
      <c r="SNR1" s="841"/>
      <c r="SNS1" s="841"/>
      <c r="SNT1" s="841"/>
      <c r="SNU1" s="841"/>
      <c r="SNV1" s="841"/>
      <c r="SNW1" s="841"/>
      <c r="SNX1" s="841"/>
      <c r="SNY1" s="841"/>
      <c r="SNZ1" s="841"/>
      <c r="SOA1" s="841"/>
      <c r="SOB1" s="841"/>
      <c r="SOC1" s="841"/>
      <c r="SOD1" s="841"/>
      <c r="SOE1" s="841"/>
      <c r="SOF1" s="841"/>
      <c r="SOG1" s="841"/>
      <c r="SOH1" s="841"/>
      <c r="SOI1" s="841"/>
      <c r="SOJ1" s="841"/>
      <c r="SOK1" s="841"/>
      <c r="SOL1" s="841"/>
      <c r="SOM1" s="841"/>
      <c r="SON1" s="841"/>
      <c r="SOO1" s="841"/>
      <c r="SOP1" s="841"/>
      <c r="SOQ1" s="841"/>
      <c r="SOR1" s="841"/>
      <c r="SOS1" s="841"/>
      <c r="SOT1" s="841"/>
      <c r="SOU1" s="841"/>
      <c r="SOV1" s="841"/>
      <c r="SOW1" s="841"/>
      <c r="SOX1" s="841"/>
      <c r="SOY1" s="841"/>
      <c r="SOZ1" s="841"/>
      <c r="SPA1" s="841"/>
      <c r="SPB1" s="841"/>
      <c r="SPC1" s="841"/>
      <c r="SPD1" s="841"/>
      <c r="SPE1" s="841"/>
      <c r="SPF1" s="841"/>
      <c r="SPG1" s="841"/>
      <c r="SPH1" s="841"/>
      <c r="SPI1" s="841"/>
      <c r="SPJ1" s="841"/>
      <c r="SPK1" s="841"/>
      <c r="SPL1" s="841"/>
      <c r="SPM1" s="841"/>
      <c r="SPN1" s="841"/>
      <c r="SPO1" s="841"/>
      <c r="SPP1" s="841"/>
      <c r="SPQ1" s="841"/>
      <c r="SPR1" s="841"/>
      <c r="SPS1" s="841"/>
      <c r="SPT1" s="841"/>
      <c r="SPU1" s="841"/>
      <c r="SPV1" s="841"/>
      <c r="SPW1" s="841"/>
      <c r="SPX1" s="841"/>
      <c r="SPY1" s="841"/>
      <c r="SPZ1" s="841"/>
      <c r="SQA1" s="841"/>
      <c r="SQB1" s="841"/>
      <c r="SQC1" s="841"/>
      <c r="SQD1" s="841"/>
      <c r="SQE1" s="841"/>
      <c r="SQF1" s="841"/>
      <c r="SQG1" s="841"/>
      <c r="SQH1" s="841"/>
      <c r="SQI1" s="841"/>
      <c r="SQJ1" s="841"/>
      <c r="SQK1" s="841"/>
      <c r="SQL1" s="841"/>
      <c r="SQM1" s="841"/>
      <c r="SQN1" s="841"/>
      <c r="SQO1" s="841"/>
      <c r="SQP1" s="841"/>
      <c r="SQQ1" s="841"/>
      <c r="SQR1" s="841"/>
      <c r="SQS1" s="841"/>
      <c r="SQT1" s="841"/>
      <c r="SQU1" s="841"/>
      <c r="SQV1" s="841"/>
      <c r="SQW1" s="841"/>
      <c r="SQX1" s="841"/>
      <c r="SQY1" s="841"/>
      <c r="SQZ1" s="841"/>
      <c r="SRA1" s="841"/>
      <c r="SRB1" s="841"/>
      <c r="SRC1" s="841"/>
      <c r="SRD1" s="841"/>
      <c r="SRE1" s="841"/>
      <c r="SRF1" s="841"/>
      <c r="SRG1" s="841"/>
      <c r="SRH1" s="841"/>
      <c r="SRI1" s="841"/>
      <c r="SRJ1" s="841"/>
      <c r="SRK1" s="841"/>
      <c r="SRL1" s="841"/>
      <c r="SRM1" s="841"/>
      <c r="SRN1" s="841"/>
      <c r="SRO1" s="841"/>
      <c r="SRP1" s="841"/>
      <c r="SRQ1" s="841"/>
      <c r="SRR1" s="841"/>
      <c r="SRS1" s="841"/>
      <c r="SRT1" s="841"/>
      <c r="SRU1" s="841"/>
      <c r="SRV1" s="841"/>
      <c r="SRW1" s="841"/>
      <c r="SRX1" s="841"/>
      <c r="SRY1" s="841"/>
      <c r="SRZ1" s="841"/>
      <c r="SSA1" s="841"/>
      <c r="SSB1" s="841"/>
      <c r="SSC1" s="841"/>
      <c r="SSD1" s="841"/>
      <c r="SSE1" s="841"/>
      <c r="SSF1" s="841"/>
      <c r="SSG1" s="841"/>
      <c r="SSH1" s="841"/>
      <c r="SSI1" s="841"/>
      <c r="SSJ1" s="841"/>
      <c r="SSK1" s="841"/>
      <c r="SSL1" s="841"/>
      <c r="SSM1" s="841"/>
      <c r="SSN1" s="841"/>
      <c r="SSO1" s="841"/>
      <c r="SSP1" s="841"/>
      <c r="SSQ1" s="841"/>
      <c r="SSR1" s="841"/>
      <c r="SSS1" s="841"/>
      <c r="SST1" s="841"/>
      <c r="SSU1" s="841"/>
      <c r="SSV1" s="841"/>
      <c r="SSW1" s="841"/>
      <c r="SSX1" s="841"/>
      <c r="SSY1" s="841"/>
      <c r="SSZ1" s="841"/>
      <c r="STA1" s="841"/>
      <c r="STB1" s="841"/>
      <c r="STC1" s="841"/>
      <c r="STD1" s="841"/>
      <c r="STE1" s="841"/>
      <c r="STF1" s="841"/>
      <c r="STG1" s="841"/>
      <c r="STH1" s="841"/>
      <c r="STI1" s="841"/>
      <c r="STJ1" s="841"/>
      <c r="STK1" s="841"/>
      <c r="STL1" s="841"/>
      <c r="STM1" s="841"/>
      <c r="STN1" s="841"/>
      <c r="STO1" s="841"/>
      <c r="STP1" s="841"/>
      <c r="STQ1" s="841"/>
      <c r="STR1" s="841"/>
      <c r="STS1" s="841"/>
      <c r="STT1" s="841"/>
      <c r="STU1" s="841"/>
      <c r="STV1" s="841"/>
      <c r="STW1" s="841"/>
      <c r="STX1" s="841"/>
      <c r="STY1" s="841"/>
      <c r="STZ1" s="841"/>
      <c r="SUA1" s="841"/>
      <c r="SUB1" s="841"/>
      <c r="SUC1" s="841"/>
      <c r="SUD1" s="841"/>
      <c r="SUE1" s="841"/>
      <c r="SUF1" s="841"/>
      <c r="SUG1" s="841"/>
      <c r="SUH1" s="841"/>
      <c r="SUI1" s="841"/>
      <c r="SUJ1" s="841"/>
      <c r="SUK1" s="841"/>
      <c r="SUL1" s="841"/>
      <c r="SUM1" s="841"/>
      <c r="SUN1" s="841"/>
      <c r="SUO1" s="841"/>
      <c r="SUP1" s="841"/>
      <c r="SUQ1" s="841"/>
      <c r="SUR1" s="841"/>
      <c r="SUS1" s="841"/>
      <c r="SUT1" s="841"/>
      <c r="SUU1" s="841"/>
      <c r="SUV1" s="841"/>
      <c r="SUW1" s="841"/>
      <c r="SUX1" s="841"/>
      <c r="SUY1" s="841"/>
      <c r="SUZ1" s="841"/>
      <c r="SVA1" s="841"/>
      <c r="SVB1" s="841"/>
      <c r="SVC1" s="841"/>
      <c r="SVD1" s="841"/>
      <c r="SVE1" s="841"/>
      <c r="SVF1" s="841"/>
      <c r="SVG1" s="841"/>
      <c r="SVH1" s="841"/>
      <c r="SVI1" s="841"/>
      <c r="SVJ1" s="841"/>
      <c r="SVK1" s="841"/>
      <c r="SVL1" s="841"/>
      <c r="SVM1" s="841"/>
      <c r="SVN1" s="841"/>
      <c r="SVO1" s="841"/>
      <c r="SVP1" s="841"/>
      <c r="SVQ1" s="841"/>
      <c r="SVR1" s="841"/>
      <c r="SVS1" s="841"/>
      <c r="SVT1" s="841"/>
      <c r="SVU1" s="841"/>
      <c r="SVV1" s="841"/>
      <c r="SVW1" s="841"/>
      <c r="SVX1" s="841"/>
      <c r="SVY1" s="841"/>
      <c r="SVZ1" s="841"/>
      <c r="SWA1" s="841"/>
      <c r="SWB1" s="841"/>
      <c r="SWC1" s="841"/>
      <c r="SWD1" s="841"/>
      <c r="SWE1" s="841"/>
      <c r="SWF1" s="841"/>
      <c r="SWG1" s="841"/>
      <c r="SWH1" s="841"/>
      <c r="SWI1" s="841"/>
      <c r="SWJ1" s="841"/>
      <c r="SWK1" s="841"/>
      <c r="SWL1" s="841"/>
      <c r="SWM1" s="841"/>
      <c r="SWN1" s="841"/>
      <c r="SWO1" s="841"/>
      <c r="SWP1" s="841"/>
      <c r="SWQ1" s="841"/>
      <c r="SWR1" s="841"/>
      <c r="SWS1" s="841"/>
      <c r="SWT1" s="841"/>
      <c r="SWU1" s="841"/>
      <c r="SWV1" s="841"/>
      <c r="SWW1" s="841"/>
      <c r="SWX1" s="841"/>
      <c r="SWY1" s="841"/>
      <c r="SWZ1" s="841"/>
      <c r="SXA1" s="841"/>
      <c r="SXB1" s="841"/>
      <c r="SXC1" s="841"/>
      <c r="SXD1" s="841"/>
      <c r="SXE1" s="841"/>
      <c r="SXF1" s="841"/>
      <c r="SXG1" s="841"/>
      <c r="SXH1" s="841"/>
      <c r="SXI1" s="841"/>
      <c r="SXJ1" s="841"/>
      <c r="SXK1" s="841"/>
      <c r="SXL1" s="841"/>
      <c r="SXM1" s="841"/>
      <c r="SXN1" s="841"/>
      <c r="SXO1" s="841"/>
      <c r="SXP1" s="841"/>
      <c r="SXQ1" s="841"/>
      <c r="SXR1" s="841"/>
      <c r="SXS1" s="841"/>
      <c r="SXT1" s="841"/>
      <c r="SXU1" s="841"/>
      <c r="SXV1" s="841"/>
      <c r="SXW1" s="841"/>
      <c r="SXX1" s="841"/>
      <c r="SXY1" s="841"/>
      <c r="SXZ1" s="841"/>
      <c r="SYA1" s="841"/>
      <c r="SYB1" s="841"/>
      <c r="SYC1" s="841"/>
      <c r="SYD1" s="841"/>
      <c r="SYE1" s="841"/>
      <c r="SYF1" s="841"/>
      <c r="SYG1" s="841"/>
      <c r="SYH1" s="841"/>
      <c r="SYI1" s="841"/>
      <c r="SYJ1" s="841"/>
      <c r="SYK1" s="841"/>
      <c r="SYL1" s="841"/>
      <c r="SYM1" s="841"/>
      <c r="SYN1" s="841"/>
      <c r="SYO1" s="841"/>
      <c r="SYP1" s="841"/>
      <c r="SYQ1" s="841"/>
      <c r="SYR1" s="841"/>
      <c r="SYS1" s="841"/>
      <c r="SYT1" s="841"/>
      <c r="SYU1" s="841"/>
      <c r="SYV1" s="841"/>
      <c r="SYW1" s="841"/>
      <c r="SYX1" s="841"/>
      <c r="SYY1" s="841"/>
      <c r="SYZ1" s="841"/>
      <c r="SZA1" s="841"/>
      <c r="SZB1" s="841"/>
      <c r="SZC1" s="841"/>
      <c r="SZD1" s="841"/>
      <c r="SZE1" s="841"/>
      <c r="SZF1" s="841"/>
      <c r="SZG1" s="841"/>
      <c r="SZH1" s="841"/>
      <c r="SZI1" s="841"/>
      <c r="SZJ1" s="841"/>
      <c r="SZK1" s="841"/>
      <c r="SZL1" s="841"/>
      <c r="SZM1" s="841"/>
      <c r="SZN1" s="841"/>
      <c r="SZO1" s="841"/>
      <c r="SZP1" s="841"/>
      <c r="SZQ1" s="841"/>
      <c r="SZR1" s="841"/>
      <c r="SZS1" s="841"/>
      <c r="SZT1" s="841"/>
      <c r="SZU1" s="841"/>
      <c r="SZV1" s="841"/>
      <c r="SZW1" s="841"/>
      <c r="SZX1" s="841"/>
      <c r="SZY1" s="841"/>
      <c r="SZZ1" s="841"/>
      <c r="TAA1" s="841"/>
      <c r="TAB1" s="841"/>
      <c r="TAC1" s="841"/>
      <c r="TAD1" s="841"/>
      <c r="TAE1" s="841"/>
      <c r="TAF1" s="841"/>
      <c r="TAG1" s="841"/>
      <c r="TAH1" s="841"/>
      <c r="TAI1" s="841"/>
      <c r="TAJ1" s="841"/>
      <c r="TAK1" s="841"/>
      <c r="TAL1" s="841"/>
      <c r="TAM1" s="841"/>
      <c r="TAN1" s="841"/>
      <c r="TAO1" s="841"/>
      <c r="TAP1" s="841"/>
      <c r="TAQ1" s="841"/>
      <c r="TAR1" s="841"/>
      <c r="TAS1" s="841"/>
      <c r="TAT1" s="841"/>
      <c r="TAU1" s="841"/>
      <c r="TAV1" s="841"/>
      <c r="TAW1" s="841"/>
      <c r="TAX1" s="841"/>
      <c r="TAY1" s="841"/>
      <c r="TAZ1" s="841"/>
      <c r="TBA1" s="841"/>
      <c r="TBB1" s="841"/>
      <c r="TBC1" s="841"/>
      <c r="TBD1" s="841"/>
      <c r="TBE1" s="841"/>
      <c r="TBF1" s="841"/>
      <c r="TBG1" s="841"/>
      <c r="TBH1" s="841"/>
      <c r="TBI1" s="841"/>
      <c r="TBJ1" s="841"/>
      <c r="TBK1" s="841"/>
      <c r="TBL1" s="841"/>
      <c r="TBM1" s="841"/>
      <c r="TBN1" s="841"/>
      <c r="TBO1" s="841"/>
      <c r="TBP1" s="841"/>
      <c r="TBQ1" s="841"/>
      <c r="TBR1" s="841"/>
      <c r="TBS1" s="841"/>
      <c r="TBT1" s="841"/>
      <c r="TBU1" s="841"/>
      <c r="TBV1" s="841"/>
      <c r="TBW1" s="841"/>
      <c r="TBX1" s="841"/>
      <c r="TBY1" s="841"/>
      <c r="TBZ1" s="841"/>
      <c r="TCA1" s="841"/>
      <c r="TCB1" s="841"/>
      <c r="TCC1" s="841"/>
      <c r="TCD1" s="841"/>
      <c r="TCE1" s="841"/>
      <c r="TCF1" s="841"/>
      <c r="TCG1" s="841"/>
      <c r="TCH1" s="841"/>
      <c r="TCI1" s="841"/>
      <c r="TCJ1" s="841"/>
      <c r="TCK1" s="841"/>
      <c r="TCL1" s="841"/>
      <c r="TCM1" s="841"/>
      <c r="TCN1" s="841"/>
      <c r="TCO1" s="841"/>
      <c r="TCP1" s="841"/>
      <c r="TCQ1" s="841"/>
      <c r="TCR1" s="841"/>
      <c r="TCS1" s="841"/>
      <c r="TCT1" s="841"/>
      <c r="TCU1" s="841"/>
      <c r="TCV1" s="841"/>
      <c r="TCW1" s="841"/>
      <c r="TCX1" s="841"/>
      <c r="TCY1" s="841"/>
      <c r="TCZ1" s="841"/>
      <c r="TDA1" s="841"/>
      <c r="TDB1" s="841"/>
      <c r="TDC1" s="841"/>
      <c r="TDD1" s="841"/>
      <c r="TDE1" s="841"/>
      <c r="TDF1" s="841"/>
      <c r="TDG1" s="841"/>
      <c r="TDH1" s="841"/>
      <c r="TDI1" s="841"/>
      <c r="TDJ1" s="841"/>
      <c r="TDK1" s="841"/>
      <c r="TDL1" s="841"/>
      <c r="TDM1" s="841"/>
      <c r="TDN1" s="841"/>
      <c r="TDO1" s="841"/>
      <c r="TDP1" s="841"/>
      <c r="TDQ1" s="841"/>
      <c r="TDR1" s="841"/>
      <c r="TDS1" s="841"/>
      <c r="TDT1" s="841"/>
      <c r="TDU1" s="841"/>
      <c r="TDV1" s="841"/>
      <c r="TDW1" s="841"/>
      <c r="TDX1" s="841"/>
      <c r="TDY1" s="841"/>
      <c r="TDZ1" s="841"/>
      <c r="TEA1" s="841"/>
      <c r="TEB1" s="841"/>
      <c r="TEC1" s="841"/>
      <c r="TED1" s="841"/>
      <c r="TEE1" s="841"/>
      <c r="TEF1" s="841"/>
      <c r="TEG1" s="841"/>
      <c r="TEH1" s="841"/>
      <c r="TEI1" s="841"/>
      <c r="TEJ1" s="841"/>
      <c r="TEK1" s="841"/>
      <c r="TEL1" s="841"/>
      <c r="TEM1" s="841"/>
      <c r="TEN1" s="841"/>
      <c r="TEO1" s="841"/>
      <c r="TEP1" s="841"/>
      <c r="TEQ1" s="841"/>
      <c r="TER1" s="841"/>
      <c r="TES1" s="841"/>
      <c r="TET1" s="841"/>
      <c r="TEU1" s="841"/>
      <c r="TEV1" s="841"/>
      <c r="TEW1" s="841"/>
      <c r="TEX1" s="841"/>
      <c r="TEY1" s="841"/>
      <c r="TEZ1" s="841"/>
      <c r="TFA1" s="841"/>
      <c r="TFB1" s="841"/>
      <c r="TFC1" s="841"/>
      <c r="TFD1" s="841"/>
      <c r="TFE1" s="841"/>
      <c r="TFF1" s="841"/>
      <c r="TFG1" s="841"/>
      <c r="TFH1" s="841"/>
      <c r="TFI1" s="841"/>
      <c r="TFJ1" s="841"/>
      <c r="TFK1" s="841"/>
      <c r="TFL1" s="841"/>
      <c r="TFM1" s="841"/>
      <c r="TFN1" s="841"/>
      <c r="TFO1" s="841"/>
      <c r="TFP1" s="841"/>
      <c r="TFQ1" s="841"/>
      <c r="TFR1" s="841"/>
      <c r="TFS1" s="841"/>
      <c r="TFT1" s="841"/>
      <c r="TFU1" s="841"/>
      <c r="TFV1" s="841"/>
      <c r="TFW1" s="841"/>
      <c r="TFX1" s="841"/>
      <c r="TFY1" s="841"/>
      <c r="TFZ1" s="841"/>
      <c r="TGA1" s="841"/>
      <c r="TGB1" s="841"/>
      <c r="TGC1" s="841"/>
      <c r="TGD1" s="841"/>
      <c r="TGE1" s="841"/>
      <c r="TGF1" s="841"/>
      <c r="TGG1" s="841"/>
      <c r="TGH1" s="841"/>
      <c r="TGI1" s="841"/>
      <c r="TGJ1" s="841"/>
      <c r="TGK1" s="841"/>
      <c r="TGL1" s="841"/>
      <c r="TGM1" s="841"/>
      <c r="TGN1" s="841"/>
      <c r="TGO1" s="841"/>
      <c r="TGP1" s="841"/>
      <c r="TGQ1" s="841"/>
      <c r="TGR1" s="841"/>
      <c r="TGS1" s="841"/>
      <c r="TGT1" s="841"/>
      <c r="TGU1" s="841"/>
      <c r="TGV1" s="841"/>
      <c r="TGW1" s="841"/>
      <c r="TGX1" s="841"/>
      <c r="TGY1" s="841"/>
      <c r="TGZ1" s="841"/>
      <c r="THA1" s="841"/>
      <c r="THB1" s="841"/>
      <c r="THC1" s="841"/>
      <c r="THD1" s="841"/>
      <c r="THE1" s="841"/>
      <c r="THF1" s="841"/>
      <c r="THG1" s="841"/>
      <c r="THH1" s="841"/>
      <c r="THI1" s="841"/>
      <c r="THJ1" s="841"/>
      <c r="THK1" s="841"/>
      <c r="THL1" s="841"/>
      <c r="THM1" s="841"/>
      <c r="THN1" s="841"/>
      <c r="THO1" s="841"/>
      <c r="THP1" s="841"/>
      <c r="THQ1" s="841"/>
      <c r="THR1" s="841"/>
      <c r="THS1" s="841"/>
      <c r="THT1" s="841"/>
      <c r="THU1" s="841"/>
      <c r="THV1" s="841"/>
      <c r="THW1" s="841"/>
      <c r="THX1" s="841"/>
      <c r="THY1" s="841"/>
      <c r="THZ1" s="841"/>
      <c r="TIA1" s="841"/>
      <c r="TIB1" s="841"/>
      <c r="TIC1" s="841"/>
      <c r="TID1" s="841"/>
      <c r="TIE1" s="841"/>
      <c r="TIF1" s="841"/>
      <c r="TIG1" s="841"/>
      <c r="TIH1" s="841"/>
      <c r="TII1" s="841"/>
      <c r="TIJ1" s="841"/>
      <c r="TIK1" s="841"/>
      <c r="TIL1" s="841"/>
      <c r="TIM1" s="841"/>
      <c r="TIN1" s="841"/>
      <c r="TIO1" s="841"/>
      <c r="TIP1" s="841"/>
      <c r="TIQ1" s="841"/>
      <c r="TIR1" s="841"/>
      <c r="TIS1" s="841"/>
      <c r="TIT1" s="841"/>
      <c r="TIU1" s="841"/>
      <c r="TIV1" s="841"/>
      <c r="TIW1" s="841"/>
      <c r="TIX1" s="841"/>
      <c r="TIY1" s="841"/>
      <c r="TIZ1" s="841"/>
      <c r="TJA1" s="841"/>
      <c r="TJB1" s="841"/>
      <c r="TJC1" s="841"/>
      <c r="TJD1" s="841"/>
      <c r="TJE1" s="841"/>
      <c r="TJF1" s="841"/>
      <c r="TJG1" s="841"/>
      <c r="TJH1" s="841"/>
      <c r="TJI1" s="841"/>
      <c r="TJJ1" s="841"/>
      <c r="TJK1" s="841"/>
      <c r="TJL1" s="841"/>
      <c r="TJM1" s="841"/>
      <c r="TJN1" s="841"/>
      <c r="TJO1" s="841"/>
      <c r="TJP1" s="841"/>
      <c r="TJQ1" s="841"/>
      <c r="TJR1" s="841"/>
      <c r="TJS1" s="841"/>
      <c r="TJT1" s="841"/>
      <c r="TJU1" s="841"/>
      <c r="TJV1" s="841"/>
      <c r="TJW1" s="841"/>
      <c r="TJX1" s="841"/>
      <c r="TJY1" s="841"/>
      <c r="TJZ1" s="841"/>
      <c r="TKA1" s="841"/>
      <c r="TKB1" s="841"/>
      <c r="TKC1" s="841"/>
      <c r="TKD1" s="841"/>
      <c r="TKE1" s="841"/>
      <c r="TKF1" s="841"/>
      <c r="TKG1" s="841"/>
      <c r="TKH1" s="841"/>
      <c r="TKI1" s="841"/>
      <c r="TKJ1" s="841"/>
      <c r="TKK1" s="841"/>
      <c r="TKL1" s="841"/>
      <c r="TKM1" s="841"/>
      <c r="TKN1" s="841"/>
      <c r="TKO1" s="841"/>
      <c r="TKP1" s="841"/>
      <c r="TKQ1" s="841"/>
      <c r="TKR1" s="841"/>
      <c r="TKS1" s="841"/>
      <c r="TKT1" s="841"/>
      <c r="TKU1" s="841"/>
      <c r="TKV1" s="841"/>
      <c r="TKW1" s="841"/>
      <c r="TKX1" s="841"/>
      <c r="TKY1" s="841"/>
      <c r="TKZ1" s="841"/>
      <c r="TLA1" s="841"/>
      <c r="TLB1" s="841"/>
      <c r="TLC1" s="841"/>
      <c r="TLD1" s="841"/>
      <c r="TLE1" s="841"/>
      <c r="TLF1" s="841"/>
      <c r="TLG1" s="841"/>
      <c r="TLH1" s="841"/>
      <c r="TLI1" s="841"/>
      <c r="TLJ1" s="841"/>
      <c r="TLK1" s="841"/>
      <c r="TLL1" s="841"/>
      <c r="TLM1" s="841"/>
      <c r="TLN1" s="841"/>
      <c r="TLO1" s="841"/>
      <c r="TLP1" s="841"/>
      <c r="TLQ1" s="841"/>
      <c r="TLR1" s="841"/>
      <c r="TLS1" s="841"/>
      <c r="TLT1" s="841"/>
      <c r="TLU1" s="841"/>
      <c r="TLV1" s="841"/>
      <c r="TLW1" s="841"/>
      <c r="TLX1" s="841"/>
      <c r="TLY1" s="841"/>
      <c r="TLZ1" s="841"/>
      <c r="TMA1" s="841"/>
      <c r="TMB1" s="841"/>
      <c r="TMC1" s="841"/>
      <c r="TMD1" s="841"/>
      <c r="TME1" s="841"/>
      <c r="TMF1" s="841"/>
      <c r="TMG1" s="841"/>
      <c r="TMH1" s="841"/>
      <c r="TMI1" s="841"/>
      <c r="TMJ1" s="841"/>
      <c r="TMK1" s="841"/>
      <c r="TML1" s="841"/>
      <c r="TMM1" s="841"/>
      <c r="TMN1" s="841"/>
      <c r="TMO1" s="841"/>
      <c r="TMP1" s="841"/>
      <c r="TMQ1" s="841"/>
      <c r="TMR1" s="841"/>
      <c r="TMS1" s="841"/>
      <c r="TMT1" s="841"/>
      <c r="TMU1" s="841"/>
      <c r="TMV1" s="841"/>
      <c r="TMW1" s="841"/>
      <c r="TMX1" s="841"/>
      <c r="TMY1" s="841"/>
      <c r="TMZ1" s="841"/>
      <c r="TNA1" s="841"/>
      <c r="TNB1" s="841"/>
      <c r="TNC1" s="841"/>
      <c r="TND1" s="841"/>
      <c r="TNE1" s="841"/>
      <c r="TNF1" s="841"/>
      <c r="TNG1" s="841"/>
      <c r="TNH1" s="841"/>
      <c r="TNI1" s="841"/>
      <c r="TNJ1" s="841"/>
      <c r="TNK1" s="841"/>
      <c r="TNL1" s="841"/>
      <c r="TNM1" s="841"/>
      <c r="TNN1" s="841"/>
      <c r="TNO1" s="841"/>
      <c r="TNP1" s="841"/>
      <c r="TNQ1" s="841"/>
      <c r="TNR1" s="841"/>
      <c r="TNS1" s="841"/>
      <c r="TNT1" s="841"/>
      <c r="TNU1" s="841"/>
      <c r="TNV1" s="841"/>
      <c r="TNW1" s="841"/>
      <c r="TNX1" s="841"/>
      <c r="TNY1" s="841"/>
      <c r="TNZ1" s="841"/>
      <c r="TOA1" s="841"/>
      <c r="TOB1" s="841"/>
      <c r="TOC1" s="841"/>
      <c r="TOD1" s="841"/>
      <c r="TOE1" s="841"/>
      <c r="TOF1" s="841"/>
      <c r="TOG1" s="841"/>
      <c r="TOH1" s="841"/>
      <c r="TOI1" s="841"/>
      <c r="TOJ1" s="841"/>
      <c r="TOK1" s="841"/>
      <c r="TOL1" s="841"/>
      <c r="TOM1" s="841"/>
      <c r="TON1" s="841"/>
      <c r="TOO1" s="841"/>
      <c r="TOP1" s="841"/>
      <c r="TOQ1" s="841"/>
      <c r="TOR1" s="841"/>
      <c r="TOS1" s="841"/>
      <c r="TOT1" s="841"/>
      <c r="TOU1" s="841"/>
      <c r="TOV1" s="841"/>
      <c r="TOW1" s="841"/>
      <c r="TOX1" s="841"/>
      <c r="TOY1" s="841"/>
      <c r="TOZ1" s="841"/>
      <c r="TPA1" s="841"/>
      <c r="TPB1" s="841"/>
      <c r="TPC1" s="841"/>
      <c r="TPD1" s="841"/>
      <c r="TPE1" s="841"/>
      <c r="TPF1" s="841"/>
      <c r="TPG1" s="841"/>
      <c r="TPH1" s="841"/>
      <c r="TPI1" s="841"/>
      <c r="TPJ1" s="841"/>
      <c r="TPK1" s="841"/>
      <c r="TPL1" s="841"/>
      <c r="TPM1" s="841"/>
      <c r="TPN1" s="841"/>
      <c r="TPO1" s="841"/>
      <c r="TPP1" s="841"/>
      <c r="TPQ1" s="841"/>
      <c r="TPR1" s="841"/>
      <c r="TPS1" s="841"/>
      <c r="TPT1" s="841"/>
      <c r="TPU1" s="841"/>
      <c r="TPV1" s="841"/>
      <c r="TPW1" s="841"/>
      <c r="TPX1" s="841"/>
      <c r="TPY1" s="841"/>
      <c r="TPZ1" s="841"/>
      <c r="TQA1" s="841"/>
      <c r="TQB1" s="841"/>
      <c r="TQC1" s="841"/>
      <c r="TQD1" s="841"/>
      <c r="TQE1" s="841"/>
      <c r="TQF1" s="841"/>
      <c r="TQG1" s="841"/>
      <c r="TQH1" s="841"/>
      <c r="TQI1" s="841"/>
      <c r="TQJ1" s="841"/>
      <c r="TQK1" s="841"/>
      <c r="TQL1" s="841"/>
      <c r="TQM1" s="841"/>
      <c r="TQN1" s="841"/>
      <c r="TQO1" s="841"/>
      <c r="TQP1" s="841"/>
      <c r="TQQ1" s="841"/>
      <c r="TQR1" s="841"/>
      <c r="TQS1" s="841"/>
      <c r="TQT1" s="841"/>
      <c r="TQU1" s="841"/>
      <c r="TQV1" s="841"/>
      <c r="TQW1" s="841"/>
      <c r="TQX1" s="841"/>
      <c r="TQY1" s="841"/>
      <c r="TQZ1" s="841"/>
      <c r="TRA1" s="841"/>
      <c r="TRB1" s="841"/>
      <c r="TRC1" s="841"/>
      <c r="TRD1" s="841"/>
      <c r="TRE1" s="841"/>
      <c r="TRF1" s="841"/>
      <c r="TRG1" s="841"/>
      <c r="TRH1" s="841"/>
      <c r="TRI1" s="841"/>
      <c r="TRJ1" s="841"/>
      <c r="TRK1" s="841"/>
      <c r="TRL1" s="841"/>
      <c r="TRM1" s="841"/>
      <c r="TRN1" s="841"/>
      <c r="TRO1" s="841"/>
      <c r="TRP1" s="841"/>
      <c r="TRQ1" s="841"/>
      <c r="TRR1" s="841"/>
      <c r="TRS1" s="841"/>
      <c r="TRT1" s="841"/>
      <c r="TRU1" s="841"/>
      <c r="TRV1" s="841"/>
      <c r="TRW1" s="841"/>
      <c r="TRX1" s="841"/>
      <c r="TRY1" s="841"/>
      <c r="TRZ1" s="841"/>
      <c r="TSA1" s="841"/>
      <c r="TSB1" s="841"/>
      <c r="TSC1" s="841"/>
      <c r="TSD1" s="841"/>
      <c r="TSE1" s="841"/>
      <c r="TSF1" s="841"/>
      <c r="TSG1" s="841"/>
      <c r="TSH1" s="841"/>
      <c r="TSI1" s="841"/>
      <c r="TSJ1" s="841"/>
      <c r="TSK1" s="841"/>
      <c r="TSL1" s="841"/>
      <c r="TSM1" s="841"/>
      <c r="TSN1" s="841"/>
      <c r="TSO1" s="841"/>
      <c r="TSP1" s="841"/>
      <c r="TSQ1" s="841"/>
      <c r="TSR1" s="841"/>
      <c r="TSS1" s="841"/>
      <c r="TST1" s="841"/>
      <c r="TSU1" s="841"/>
      <c r="TSV1" s="841"/>
      <c r="TSW1" s="841"/>
      <c r="TSX1" s="841"/>
      <c r="TSY1" s="841"/>
      <c r="TSZ1" s="841"/>
      <c r="TTA1" s="841"/>
      <c r="TTB1" s="841"/>
      <c r="TTC1" s="841"/>
      <c r="TTD1" s="841"/>
      <c r="TTE1" s="841"/>
      <c r="TTF1" s="841"/>
      <c r="TTG1" s="841"/>
      <c r="TTH1" s="841"/>
      <c r="TTI1" s="841"/>
      <c r="TTJ1" s="841"/>
      <c r="TTK1" s="841"/>
      <c r="TTL1" s="841"/>
      <c r="TTM1" s="841"/>
      <c r="TTN1" s="841"/>
      <c r="TTO1" s="841"/>
      <c r="TTP1" s="841"/>
      <c r="TTQ1" s="841"/>
      <c r="TTR1" s="841"/>
      <c r="TTS1" s="841"/>
      <c r="TTT1" s="841"/>
      <c r="TTU1" s="841"/>
      <c r="TTV1" s="841"/>
      <c r="TTW1" s="841"/>
      <c r="TTX1" s="841"/>
      <c r="TTY1" s="841"/>
      <c r="TTZ1" s="841"/>
      <c r="TUA1" s="841"/>
      <c r="TUB1" s="841"/>
      <c r="TUC1" s="841"/>
      <c r="TUD1" s="841"/>
      <c r="TUE1" s="841"/>
      <c r="TUF1" s="841"/>
      <c r="TUG1" s="841"/>
      <c r="TUH1" s="841"/>
      <c r="TUI1" s="841"/>
      <c r="TUJ1" s="841"/>
      <c r="TUK1" s="841"/>
      <c r="TUL1" s="841"/>
      <c r="TUM1" s="841"/>
      <c r="TUN1" s="841"/>
      <c r="TUO1" s="841"/>
      <c r="TUP1" s="841"/>
      <c r="TUQ1" s="841"/>
      <c r="TUR1" s="841"/>
      <c r="TUS1" s="841"/>
      <c r="TUT1" s="841"/>
      <c r="TUU1" s="841"/>
      <c r="TUV1" s="841"/>
      <c r="TUW1" s="841"/>
      <c r="TUX1" s="841"/>
      <c r="TUY1" s="841"/>
      <c r="TUZ1" s="841"/>
      <c r="TVA1" s="841"/>
      <c r="TVB1" s="841"/>
      <c r="TVC1" s="841"/>
      <c r="TVD1" s="841"/>
      <c r="TVE1" s="841"/>
      <c r="TVF1" s="841"/>
      <c r="TVG1" s="841"/>
      <c r="TVH1" s="841"/>
      <c r="TVI1" s="841"/>
      <c r="TVJ1" s="841"/>
      <c r="TVK1" s="841"/>
      <c r="TVL1" s="841"/>
      <c r="TVM1" s="841"/>
      <c r="TVN1" s="841"/>
      <c r="TVO1" s="841"/>
      <c r="TVP1" s="841"/>
      <c r="TVQ1" s="841"/>
      <c r="TVR1" s="841"/>
      <c r="TVS1" s="841"/>
      <c r="TVT1" s="841"/>
      <c r="TVU1" s="841"/>
      <c r="TVV1" s="841"/>
      <c r="TVW1" s="841"/>
      <c r="TVX1" s="841"/>
      <c r="TVY1" s="841"/>
      <c r="TVZ1" s="841"/>
      <c r="TWA1" s="841"/>
      <c r="TWB1" s="841"/>
      <c r="TWC1" s="841"/>
      <c r="TWD1" s="841"/>
      <c r="TWE1" s="841"/>
      <c r="TWF1" s="841"/>
      <c r="TWG1" s="841"/>
      <c r="TWH1" s="841"/>
      <c r="TWI1" s="841"/>
      <c r="TWJ1" s="841"/>
      <c r="TWK1" s="841"/>
      <c r="TWL1" s="841"/>
      <c r="TWM1" s="841"/>
      <c r="TWN1" s="841"/>
      <c r="TWO1" s="841"/>
      <c r="TWP1" s="841"/>
      <c r="TWQ1" s="841"/>
      <c r="TWR1" s="841"/>
      <c r="TWS1" s="841"/>
      <c r="TWT1" s="841"/>
      <c r="TWU1" s="841"/>
      <c r="TWV1" s="841"/>
      <c r="TWW1" s="841"/>
      <c r="TWX1" s="841"/>
      <c r="TWY1" s="841"/>
      <c r="TWZ1" s="841"/>
      <c r="TXA1" s="841"/>
      <c r="TXB1" s="841"/>
      <c r="TXC1" s="841"/>
      <c r="TXD1" s="841"/>
      <c r="TXE1" s="841"/>
      <c r="TXF1" s="841"/>
      <c r="TXG1" s="841"/>
      <c r="TXH1" s="841"/>
      <c r="TXI1" s="841"/>
      <c r="TXJ1" s="841"/>
      <c r="TXK1" s="841"/>
      <c r="TXL1" s="841"/>
      <c r="TXM1" s="841"/>
      <c r="TXN1" s="841"/>
      <c r="TXO1" s="841"/>
      <c r="TXP1" s="841"/>
      <c r="TXQ1" s="841"/>
      <c r="TXR1" s="841"/>
      <c r="TXS1" s="841"/>
      <c r="TXT1" s="841"/>
      <c r="TXU1" s="841"/>
      <c r="TXV1" s="841"/>
      <c r="TXW1" s="841"/>
      <c r="TXX1" s="841"/>
      <c r="TXY1" s="841"/>
      <c r="TXZ1" s="841"/>
      <c r="TYA1" s="841"/>
      <c r="TYB1" s="841"/>
      <c r="TYC1" s="841"/>
      <c r="TYD1" s="841"/>
      <c r="TYE1" s="841"/>
      <c r="TYF1" s="841"/>
      <c r="TYG1" s="841"/>
      <c r="TYH1" s="841"/>
      <c r="TYI1" s="841"/>
      <c r="TYJ1" s="841"/>
      <c r="TYK1" s="841"/>
      <c r="TYL1" s="841"/>
      <c r="TYM1" s="841"/>
      <c r="TYN1" s="841"/>
      <c r="TYO1" s="841"/>
      <c r="TYP1" s="841"/>
      <c r="TYQ1" s="841"/>
      <c r="TYR1" s="841"/>
      <c r="TYS1" s="841"/>
      <c r="TYT1" s="841"/>
      <c r="TYU1" s="841"/>
      <c r="TYV1" s="841"/>
      <c r="TYW1" s="841"/>
      <c r="TYX1" s="841"/>
      <c r="TYY1" s="841"/>
      <c r="TYZ1" s="841"/>
      <c r="TZA1" s="841"/>
      <c r="TZB1" s="841"/>
      <c r="TZC1" s="841"/>
      <c r="TZD1" s="841"/>
      <c r="TZE1" s="841"/>
      <c r="TZF1" s="841"/>
      <c r="TZG1" s="841"/>
      <c r="TZH1" s="841"/>
      <c r="TZI1" s="841"/>
      <c r="TZJ1" s="841"/>
      <c r="TZK1" s="841"/>
      <c r="TZL1" s="841"/>
      <c r="TZM1" s="841"/>
      <c r="TZN1" s="841"/>
      <c r="TZO1" s="841"/>
      <c r="TZP1" s="841"/>
      <c r="TZQ1" s="841"/>
      <c r="TZR1" s="841"/>
      <c r="TZS1" s="841"/>
      <c r="TZT1" s="841"/>
      <c r="TZU1" s="841"/>
      <c r="TZV1" s="841"/>
      <c r="TZW1" s="841"/>
      <c r="TZX1" s="841"/>
      <c r="TZY1" s="841"/>
      <c r="TZZ1" s="841"/>
      <c r="UAA1" s="841"/>
      <c r="UAB1" s="841"/>
      <c r="UAC1" s="841"/>
      <c r="UAD1" s="841"/>
      <c r="UAE1" s="841"/>
      <c r="UAF1" s="841"/>
      <c r="UAG1" s="841"/>
      <c r="UAH1" s="841"/>
      <c r="UAI1" s="841"/>
      <c r="UAJ1" s="841"/>
      <c r="UAK1" s="841"/>
      <c r="UAL1" s="841"/>
      <c r="UAM1" s="841"/>
      <c r="UAN1" s="841"/>
      <c r="UAO1" s="841"/>
      <c r="UAP1" s="841"/>
      <c r="UAQ1" s="841"/>
      <c r="UAR1" s="841"/>
      <c r="UAS1" s="841"/>
      <c r="UAT1" s="841"/>
      <c r="UAU1" s="841"/>
      <c r="UAV1" s="841"/>
      <c r="UAW1" s="841"/>
      <c r="UAX1" s="841"/>
      <c r="UAY1" s="841"/>
      <c r="UAZ1" s="841"/>
      <c r="UBA1" s="841"/>
      <c r="UBB1" s="841"/>
      <c r="UBC1" s="841"/>
      <c r="UBD1" s="841"/>
      <c r="UBE1" s="841"/>
      <c r="UBF1" s="841"/>
      <c r="UBG1" s="841"/>
      <c r="UBH1" s="841"/>
      <c r="UBI1" s="841"/>
      <c r="UBJ1" s="841"/>
      <c r="UBK1" s="841"/>
      <c r="UBL1" s="841"/>
      <c r="UBM1" s="841"/>
      <c r="UBN1" s="841"/>
      <c r="UBO1" s="841"/>
      <c r="UBP1" s="841"/>
      <c r="UBQ1" s="841"/>
      <c r="UBR1" s="841"/>
      <c r="UBS1" s="841"/>
      <c r="UBT1" s="841"/>
      <c r="UBU1" s="841"/>
      <c r="UBV1" s="841"/>
      <c r="UBW1" s="841"/>
      <c r="UBX1" s="841"/>
      <c r="UBY1" s="841"/>
      <c r="UBZ1" s="841"/>
      <c r="UCA1" s="841"/>
      <c r="UCB1" s="841"/>
      <c r="UCC1" s="841"/>
      <c r="UCD1" s="841"/>
      <c r="UCE1" s="841"/>
      <c r="UCF1" s="841"/>
      <c r="UCG1" s="841"/>
      <c r="UCH1" s="841"/>
      <c r="UCI1" s="841"/>
      <c r="UCJ1" s="841"/>
      <c r="UCK1" s="841"/>
      <c r="UCL1" s="841"/>
      <c r="UCM1" s="841"/>
      <c r="UCN1" s="841"/>
      <c r="UCO1" s="841"/>
      <c r="UCP1" s="841"/>
      <c r="UCQ1" s="841"/>
      <c r="UCR1" s="841"/>
      <c r="UCS1" s="841"/>
      <c r="UCT1" s="841"/>
      <c r="UCU1" s="841"/>
      <c r="UCV1" s="841"/>
      <c r="UCW1" s="841"/>
      <c r="UCX1" s="841"/>
      <c r="UCY1" s="841"/>
      <c r="UCZ1" s="841"/>
      <c r="UDA1" s="841"/>
      <c r="UDB1" s="841"/>
      <c r="UDC1" s="841"/>
      <c r="UDD1" s="841"/>
      <c r="UDE1" s="841"/>
      <c r="UDF1" s="841"/>
      <c r="UDG1" s="841"/>
      <c r="UDH1" s="841"/>
      <c r="UDI1" s="841"/>
      <c r="UDJ1" s="841"/>
      <c r="UDK1" s="841"/>
      <c r="UDL1" s="841"/>
      <c r="UDM1" s="841"/>
      <c r="UDN1" s="841"/>
      <c r="UDO1" s="841"/>
      <c r="UDP1" s="841"/>
      <c r="UDQ1" s="841"/>
      <c r="UDR1" s="841"/>
      <c r="UDS1" s="841"/>
      <c r="UDT1" s="841"/>
      <c r="UDU1" s="841"/>
      <c r="UDV1" s="841"/>
      <c r="UDW1" s="841"/>
      <c r="UDX1" s="841"/>
      <c r="UDY1" s="841"/>
      <c r="UDZ1" s="841"/>
      <c r="UEA1" s="841"/>
      <c r="UEB1" s="841"/>
      <c r="UEC1" s="841"/>
      <c r="UED1" s="841"/>
      <c r="UEE1" s="841"/>
      <c r="UEF1" s="841"/>
      <c r="UEG1" s="841"/>
      <c r="UEH1" s="841"/>
      <c r="UEI1" s="841"/>
      <c r="UEJ1" s="841"/>
      <c r="UEK1" s="841"/>
      <c r="UEL1" s="841"/>
      <c r="UEM1" s="841"/>
      <c r="UEN1" s="841"/>
      <c r="UEO1" s="841"/>
      <c r="UEP1" s="841"/>
      <c r="UEQ1" s="841"/>
      <c r="UER1" s="841"/>
      <c r="UES1" s="841"/>
      <c r="UET1" s="841"/>
      <c r="UEU1" s="841"/>
      <c r="UEV1" s="841"/>
      <c r="UEW1" s="841"/>
      <c r="UEX1" s="841"/>
      <c r="UEY1" s="841"/>
      <c r="UEZ1" s="841"/>
      <c r="UFA1" s="841"/>
      <c r="UFB1" s="841"/>
      <c r="UFC1" s="841"/>
      <c r="UFD1" s="841"/>
      <c r="UFE1" s="841"/>
      <c r="UFF1" s="841"/>
      <c r="UFG1" s="841"/>
      <c r="UFH1" s="841"/>
      <c r="UFI1" s="841"/>
      <c r="UFJ1" s="841"/>
      <c r="UFK1" s="841"/>
      <c r="UFL1" s="841"/>
      <c r="UFM1" s="841"/>
      <c r="UFN1" s="841"/>
      <c r="UFO1" s="841"/>
      <c r="UFP1" s="841"/>
      <c r="UFQ1" s="841"/>
      <c r="UFR1" s="841"/>
      <c r="UFS1" s="841"/>
      <c r="UFT1" s="841"/>
      <c r="UFU1" s="841"/>
      <c r="UFV1" s="841"/>
      <c r="UFW1" s="841"/>
      <c r="UFX1" s="841"/>
      <c r="UFY1" s="841"/>
      <c r="UFZ1" s="841"/>
      <c r="UGA1" s="841"/>
      <c r="UGB1" s="841"/>
      <c r="UGC1" s="841"/>
      <c r="UGD1" s="841"/>
      <c r="UGE1" s="841"/>
      <c r="UGF1" s="841"/>
      <c r="UGG1" s="841"/>
      <c r="UGH1" s="841"/>
      <c r="UGI1" s="841"/>
      <c r="UGJ1" s="841"/>
      <c r="UGK1" s="841"/>
      <c r="UGL1" s="841"/>
      <c r="UGM1" s="841"/>
      <c r="UGN1" s="841"/>
      <c r="UGO1" s="841"/>
      <c r="UGP1" s="841"/>
      <c r="UGQ1" s="841"/>
      <c r="UGR1" s="841"/>
      <c r="UGS1" s="841"/>
      <c r="UGT1" s="841"/>
      <c r="UGU1" s="841"/>
      <c r="UGV1" s="841"/>
      <c r="UGW1" s="841"/>
      <c r="UGX1" s="841"/>
      <c r="UGY1" s="841"/>
      <c r="UGZ1" s="841"/>
      <c r="UHA1" s="841"/>
      <c r="UHB1" s="841"/>
      <c r="UHC1" s="841"/>
      <c r="UHD1" s="841"/>
      <c r="UHE1" s="841"/>
      <c r="UHF1" s="841"/>
      <c r="UHG1" s="841"/>
      <c r="UHH1" s="841"/>
      <c r="UHI1" s="841"/>
      <c r="UHJ1" s="841"/>
      <c r="UHK1" s="841"/>
      <c r="UHL1" s="841"/>
      <c r="UHM1" s="841"/>
      <c r="UHN1" s="841"/>
      <c r="UHO1" s="841"/>
      <c r="UHP1" s="841"/>
      <c r="UHQ1" s="841"/>
      <c r="UHR1" s="841"/>
      <c r="UHS1" s="841"/>
      <c r="UHT1" s="841"/>
      <c r="UHU1" s="841"/>
      <c r="UHV1" s="841"/>
      <c r="UHW1" s="841"/>
      <c r="UHX1" s="841"/>
      <c r="UHY1" s="841"/>
      <c r="UHZ1" s="841"/>
      <c r="UIA1" s="841"/>
      <c r="UIB1" s="841"/>
      <c r="UIC1" s="841"/>
      <c r="UID1" s="841"/>
      <c r="UIE1" s="841"/>
      <c r="UIF1" s="841"/>
      <c r="UIG1" s="841"/>
      <c r="UIH1" s="841"/>
      <c r="UII1" s="841"/>
      <c r="UIJ1" s="841"/>
      <c r="UIK1" s="841"/>
      <c r="UIL1" s="841"/>
      <c r="UIM1" s="841"/>
      <c r="UIN1" s="841"/>
      <c r="UIO1" s="841"/>
      <c r="UIP1" s="841"/>
      <c r="UIQ1" s="841"/>
      <c r="UIR1" s="841"/>
      <c r="UIS1" s="841"/>
      <c r="UIT1" s="841"/>
      <c r="UIU1" s="841"/>
      <c r="UIV1" s="841"/>
      <c r="UIW1" s="841"/>
      <c r="UIX1" s="841"/>
      <c r="UIY1" s="841"/>
      <c r="UIZ1" s="841"/>
      <c r="UJA1" s="841"/>
      <c r="UJB1" s="841"/>
      <c r="UJC1" s="841"/>
      <c r="UJD1" s="841"/>
      <c r="UJE1" s="841"/>
      <c r="UJF1" s="841"/>
      <c r="UJG1" s="841"/>
      <c r="UJH1" s="841"/>
      <c r="UJI1" s="841"/>
      <c r="UJJ1" s="841"/>
      <c r="UJK1" s="841"/>
      <c r="UJL1" s="841"/>
      <c r="UJM1" s="841"/>
      <c r="UJN1" s="841"/>
      <c r="UJO1" s="841"/>
      <c r="UJP1" s="841"/>
      <c r="UJQ1" s="841"/>
      <c r="UJR1" s="841"/>
      <c r="UJS1" s="841"/>
      <c r="UJT1" s="841"/>
      <c r="UJU1" s="841"/>
      <c r="UJV1" s="841"/>
      <c r="UJW1" s="841"/>
      <c r="UJX1" s="841"/>
      <c r="UJY1" s="841"/>
      <c r="UJZ1" s="841"/>
      <c r="UKA1" s="841"/>
      <c r="UKB1" s="841"/>
      <c r="UKC1" s="841"/>
      <c r="UKD1" s="841"/>
      <c r="UKE1" s="841"/>
      <c r="UKF1" s="841"/>
      <c r="UKG1" s="841"/>
      <c r="UKH1" s="841"/>
      <c r="UKI1" s="841"/>
      <c r="UKJ1" s="841"/>
      <c r="UKK1" s="841"/>
      <c r="UKL1" s="841"/>
      <c r="UKM1" s="841"/>
      <c r="UKN1" s="841"/>
      <c r="UKO1" s="841"/>
      <c r="UKP1" s="841"/>
      <c r="UKQ1" s="841"/>
      <c r="UKR1" s="841"/>
      <c r="UKS1" s="841"/>
      <c r="UKT1" s="841"/>
      <c r="UKU1" s="841"/>
      <c r="UKV1" s="841"/>
      <c r="UKW1" s="841"/>
      <c r="UKX1" s="841"/>
      <c r="UKY1" s="841"/>
      <c r="UKZ1" s="841"/>
      <c r="ULA1" s="841"/>
      <c r="ULB1" s="841"/>
      <c r="ULC1" s="841"/>
      <c r="ULD1" s="841"/>
      <c r="ULE1" s="841"/>
      <c r="ULF1" s="841"/>
      <c r="ULG1" s="841"/>
      <c r="ULH1" s="841"/>
      <c r="ULI1" s="841"/>
      <c r="ULJ1" s="841"/>
      <c r="ULK1" s="841"/>
      <c r="ULL1" s="841"/>
      <c r="ULM1" s="841"/>
      <c r="ULN1" s="841"/>
      <c r="ULO1" s="841"/>
      <c r="ULP1" s="841"/>
      <c r="ULQ1" s="841"/>
      <c r="ULR1" s="841"/>
      <c r="ULS1" s="841"/>
      <c r="ULT1" s="841"/>
      <c r="ULU1" s="841"/>
      <c r="ULV1" s="841"/>
      <c r="ULW1" s="841"/>
      <c r="ULX1" s="841"/>
      <c r="ULY1" s="841"/>
      <c r="ULZ1" s="841"/>
      <c r="UMA1" s="841"/>
      <c r="UMB1" s="841"/>
      <c r="UMC1" s="841"/>
      <c r="UMD1" s="841"/>
      <c r="UME1" s="841"/>
      <c r="UMF1" s="841"/>
      <c r="UMG1" s="841"/>
      <c r="UMH1" s="841"/>
      <c r="UMI1" s="841"/>
      <c r="UMJ1" s="841"/>
      <c r="UMK1" s="841"/>
      <c r="UML1" s="841"/>
      <c r="UMM1" s="841"/>
      <c r="UMN1" s="841"/>
      <c r="UMO1" s="841"/>
      <c r="UMP1" s="841"/>
      <c r="UMQ1" s="841"/>
      <c r="UMR1" s="841"/>
      <c r="UMS1" s="841"/>
      <c r="UMT1" s="841"/>
      <c r="UMU1" s="841"/>
      <c r="UMV1" s="841"/>
      <c r="UMW1" s="841"/>
      <c r="UMX1" s="841"/>
      <c r="UMY1" s="841"/>
      <c r="UMZ1" s="841"/>
      <c r="UNA1" s="841"/>
      <c r="UNB1" s="841"/>
      <c r="UNC1" s="841"/>
      <c r="UND1" s="841"/>
      <c r="UNE1" s="841"/>
      <c r="UNF1" s="841"/>
      <c r="UNG1" s="841"/>
      <c r="UNH1" s="841"/>
      <c r="UNI1" s="841"/>
      <c r="UNJ1" s="841"/>
      <c r="UNK1" s="841"/>
      <c r="UNL1" s="841"/>
      <c r="UNM1" s="841"/>
      <c r="UNN1" s="841"/>
      <c r="UNO1" s="841"/>
      <c r="UNP1" s="841"/>
      <c r="UNQ1" s="841"/>
      <c r="UNR1" s="841"/>
      <c r="UNS1" s="841"/>
      <c r="UNT1" s="841"/>
      <c r="UNU1" s="841"/>
      <c r="UNV1" s="841"/>
      <c r="UNW1" s="841"/>
      <c r="UNX1" s="841"/>
      <c r="UNY1" s="841"/>
      <c r="UNZ1" s="841"/>
      <c r="UOA1" s="841"/>
      <c r="UOB1" s="841"/>
      <c r="UOC1" s="841"/>
      <c r="UOD1" s="841"/>
      <c r="UOE1" s="841"/>
      <c r="UOF1" s="841"/>
      <c r="UOG1" s="841"/>
      <c r="UOH1" s="841"/>
      <c r="UOI1" s="841"/>
      <c r="UOJ1" s="841"/>
      <c r="UOK1" s="841"/>
      <c r="UOL1" s="841"/>
      <c r="UOM1" s="841"/>
      <c r="UON1" s="841"/>
      <c r="UOO1" s="841"/>
      <c r="UOP1" s="841"/>
      <c r="UOQ1" s="841"/>
      <c r="UOR1" s="841"/>
      <c r="UOS1" s="841"/>
      <c r="UOT1" s="841"/>
      <c r="UOU1" s="841"/>
      <c r="UOV1" s="841"/>
      <c r="UOW1" s="841"/>
      <c r="UOX1" s="841"/>
      <c r="UOY1" s="841"/>
      <c r="UOZ1" s="841"/>
      <c r="UPA1" s="841"/>
      <c r="UPB1" s="841"/>
      <c r="UPC1" s="841"/>
      <c r="UPD1" s="841"/>
      <c r="UPE1" s="841"/>
      <c r="UPF1" s="841"/>
      <c r="UPG1" s="841"/>
      <c r="UPH1" s="841"/>
      <c r="UPI1" s="841"/>
      <c r="UPJ1" s="841"/>
      <c r="UPK1" s="841"/>
      <c r="UPL1" s="841"/>
      <c r="UPM1" s="841"/>
      <c r="UPN1" s="841"/>
      <c r="UPO1" s="841"/>
      <c r="UPP1" s="841"/>
      <c r="UPQ1" s="841"/>
      <c r="UPR1" s="841"/>
      <c r="UPS1" s="841"/>
      <c r="UPT1" s="841"/>
      <c r="UPU1" s="841"/>
      <c r="UPV1" s="841"/>
      <c r="UPW1" s="841"/>
      <c r="UPX1" s="841"/>
      <c r="UPY1" s="841"/>
      <c r="UPZ1" s="841"/>
      <c r="UQA1" s="841"/>
      <c r="UQB1" s="841"/>
      <c r="UQC1" s="841"/>
      <c r="UQD1" s="841"/>
      <c r="UQE1" s="841"/>
      <c r="UQF1" s="841"/>
      <c r="UQG1" s="841"/>
      <c r="UQH1" s="841"/>
      <c r="UQI1" s="841"/>
      <c r="UQJ1" s="841"/>
      <c r="UQK1" s="841"/>
      <c r="UQL1" s="841"/>
      <c r="UQM1" s="841"/>
      <c r="UQN1" s="841"/>
      <c r="UQO1" s="841"/>
      <c r="UQP1" s="841"/>
      <c r="UQQ1" s="841"/>
      <c r="UQR1" s="841"/>
      <c r="UQS1" s="841"/>
      <c r="UQT1" s="841"/>
      <c r="UQU1" s="841"/>
      <c r="UQV1" s="841"/>
      <c r="UQW1" s="841"/>
      <c r="UQX1" s="841"/>
      <c r="UQY1" s="841"/>
      <c r="UQZ1" s="841"/>
      <c r="URA1" s="841"/>
      <c r="URB1" s="841"/>
      <c r="URC1" s="841"/>
      <c r="URD1" s="841"/>
      <c r="URE1" s="841"/>
      <c r="URF1" s="841"/>
      <c r="URG1" s="841"/>
      <c r="URH1" s="841"/>
      <c r="URI1" s="841"/>
      <c r="URJ1" s="841"/>
      <c r="URK1" s="841"/>
      <c r="URL1" s="841"/>
      <c r="URM1" s="841"/>
      <c r="URN1" s="841"/>
      <c r="URO1" s="841"/>
      <c r="URP1" s="841"/>
      <c r="URQ1" s="841"/>
      <c r="URR1" s="841"/>
      <c r="URS1" s="841"/>
      <c r="URT1" s="841"/>
      <c r="URU1" s="841"/>
      <c r="URV1" s="841"/>
      <c r="URW1" s="841"/>
      <c r="URX1" s="841"/>
      <c r="URY1" s="841"/>
      <c r="URZ1" s="841"/>
      <c r="USA1" s="841"/>
      <c r="USB1" s="841"/>
      <c r="USC1" s="841"/>
      <c r="USD1" s="841"/>
      <c r="USE1" s="841"/>
      <c r="USF1" s="841"/>
      <c r="USG1" s="841"/>
      <c r="USH1" s="841"/>
      <c r="USI1" s="841"/>
      <c r="USJ1" s="841"/>
      <c r="USK1" s="841"/>
      <c r="USL1" s="841"/>
      <c r="USM1" s="841"/>
      <c r="USN1" s="841"/>
      <c r="USO1" s="841"/>
      <c r="USP1" s="841"/>
      <c r="USQ1" s="841"/>
      <c r="USR1" s="841"/>
      <c r="USS1" s="841"/>
      <c r="UST1" s="841"/>
      <c r="USU1" s="841"/>
      <c r="USV1" s="841"/>
      <c r="USW1" s="841"/>
      <c r="USX1" s="841"/>
      <c r="USY1" s="841"/>
      <c r="USZ1" s="841"/>
      <c r="UTA1" s="841"/>
      <c r="UTB1" s="841"/>
      <c r="UTC1" s="841"/>
      <c r="UTD1" s="841"/>
      <c r="UTE1" s="841"/>
      <c r="UTF1" s="841"/>
      <c r="UTG1" s="841"/>
      <c r="UTH1" s="841"/>
      <c r="UTI1" s="841"/>
      <c r="UTJ1" s="841"/>
      <c r="UTK1" s="841"/>
      <c r="UTL1" s="841"/>
      <c r="UTM1" s="841"/>
      <c r="UTN1" s="841"/>
      <c r="UTO1" s="841"/>
      <c r="UTP1" s="841"/>
      <c r="UTQ1" s="841"/>
      <c r="UTR1" s="841"/>
      <c r="UTS1" s="841"/>
      <c r="UTT1" s="841"/>
      <c r="UTU1" s="841"/>
      <c r="UTV1" s="841"/>
      <c r="UTW1" s="841"/>
      <c r="UTX1" s="841"/>
      <c r="UTY1" s="841"/>
      <c r="UTZ1" s="841"/>
      <c r="UUA1" s="841"/>
      <c r="UUB1" s="841"/>
      <c r="UUC1" s="841"/>
      <c r="UUD1" s="841"/>
      <c r="UUE1" s="841"/>
      <c r="UUF1" s="841"/>
      <c r="UUG1" s="841"/>
      <c r="UUH1" s="841"/>
      <c r="UUI1" s="841"/>
      <c r="UUJ1" s="841"/>
      <c r="UUK1" s="841"/>
      <c r="UUL1" s="841"/>
      <c r="UUM1" s="841"/>
      <c r="UUN1" s="841"/>
      <c r="UUO1" s="841"/>
      <c r="UUP1" s="841"/>
      <c r="UUQ1" s="841"/>
      <c r="UUR1" s="841"/>
      <c r="UUS1" s="841"/>
      <c r="UUT1" s="841"/>
      <c r="UUU1" s="841"/>
      <c r="UUV1" s="841"/>
      <c r="UUW1" s="841"/>
      <c r="UUX1" s="841"/>
      <c r="UUY1" s="841"/>
      <c r="UUZ1" s="841"/>
      <c r="UVA1" s="841"/>
      <c r="UVB1" s="841"/>
      <c r="UVC1" s="841"/>
      <c r="UVD1" s="841"/>
      <c r="UVE1" s="841"/>
      <c r="UVF1" s="841"/>
      <c r="UVG1" s="841"/>
      <c r="UVH1" s="841"/>
      <c r="UVI1" s="841"/>
      <c r="UVJ1" s="841"/>
      <c r="UVK1" s="841"/>
      <c r="UVL1" s="841"/>
      <c r="UVM1" s="841"/>
      <c r="UVN1" s="841"/>
      <c r="UVO1" s="841"/>
      <c r="UVP1" s="841"/>
      <c r="UVQ1" s="841"/>
      <c r="UVR1" s="841"/>
      <c r="UVS1" s="841"/>
      <c r="UVT1" s="841"/>
      <c r="UVU1" s="841"/>
      <c r="UVV1" s="841"/>
      <c r="UVW1" s="841"/>
      <c r="UVX1" s="841"/>
      <c r="UVY1" s="841"/>
      <c r="UVZ1" s="841"/>
      <c r="UWA1" s="841"/>
      <c r="UWB1" s="841"/>
      <c r="UWC1" s="841"/>
      <c r="UWD1" s="841"/>
      <c r="UWE1" s="841"/>
      <c r="UWF1" s="841"/>
      <c r="UWG1" s="841"/>
      <c r="UWH1" s="841"/>
      <c r="UWI1" s="841"/>
      <c r="UWJ1" s="841"/>
      <c r="UWK1" s="841"/>
      <c r="UWL1" s="841"/>
      <c r="UWM1" s="841"/>
      <c r="UWN1" s="841"/>
      <c r="UWO1" s="841"/>
      <c r="UWP1" s="841"/>
      <c r="UWQ1" s="841"/>
      <c r="UWR1" s="841"/>
      <c r="UWS1" s="841"/>
      <c r="UWT1" s="841"/>
      <c r="UWU1" s="841"/>
      <c r="UWV1" s="841"/>
      <c r="UWW1" s="841"/>
      <c r="UWX1" s="841"/>
      <c r="UWY1" s="841"/>
      <c r="UWZ1" s="841"/>
      <c r="UXA1" s="841"/>
      <c r="UXB1" s="841"/>
      <c r="UXC1" s="841"/>
      <c r="UXD1" s="841"/>
      <c r="UXE1" s="841"/>
      <c r="UXF1" s="841"/>
      <c r="UXG1" s="841"/>
      <c r="UXH1" s="841"/>
      <c r="UXI1" s="841"/>
      <c r="UXJ1" s="841"/>
      <c r="UXK1" s="841"/>
      <c r="UXL1" s="841"/>
      <c r="UXM1" s="841"/>
      <c r="UXN1" s="841"/>
      <c r="UXO1" s="841"/>
      <c r="UXP1" s="841"/>
      <c r="UXQ1" s="841"/>
      <c r="UXR1" s="841"/>
      <c r="UXS1" s="841"/>
      <c r="UXT1" s="841"/>
      <c r="UXU1" s="841"/>
      <c r="UXV1" s="841"/>
      <c r="UXW1" s="841"/>
      <c r="UXX1" s="841"/>
      <c r="UXY1" s="841"/>
      <c r="UXZ1" s="841"/>
      <c r="UYA1" s="841"/>
      <c r="UYB1" s="841"/>
      <c r="UYC1" s="841"/>
      <c r="UYD1" s="841"/>
      <c r="UYE1" s="841"/>
      <c r="UYF1" s="841"/>
      <c r="UYG1" s="841"/>
      <c r="UYH1" s="841"/>
      <c r="UYI1" s="841"/>
      <c r="UYJ1" s="841"/>
      <c r="UYK1" s="841"/>
      <c r="UYL1" s="841"/>
      <c r="UYM1" s="841"/>
      <c r="UYN1" s="841"/>
      <c r="UYO1" s="841"/>
      <c r="UYP1" s="841"/>
      <c r="UYQ1" s="841"/>
      <c r="UYR1" s="841"/>
      <c r="UYS1" s="841"/>
      <c r="UYT1" s="841"/>
      <c r="UYU1" s="841"/>
      <c r="UYV1" s="841"/>
      <c r="UYW1" s="841"/>
      <c r="UYX1" s="841"/>
      <c r="UYY1" s="841"/>
      <c r="UYZ1" s="841"/>
      <c r="UZA1" s="841"/>
      <c r="UZB1" s="841"/>
      <c r="UZC1" s="841"/>
      <c r="UZD1" s="841"/>
      <c r="UZE1" s="841"/>
      <c r="UZF1" s="841"/>
      <c r="UZG1" s="841"/>
      <c r="UZH1" s="841"/>
      <c r="UZI1" s="841"/>
      <c r="UZJ1" s="841"/>
      <c r="UZK1" s="841"/>
      <c r="UZL1" s="841"/>
      <c r="UZM1" s="841"/>
      <c r="UZN1" s="841"/>
      <c r="UZO1" s="841"/>
      <c r="UZP1" s="841"/>
      <c r="UZQ1" s="841"/>
      <c r="UZR1" s="841"/>
      <c r="UZS1" s="841"/>
      <c r="UZT1" s="841"/>
      <c r="UZU1" s="841"/>
      <c r="UZV1" s="841"/>
      <c r="UZW1" s="841"/>
      <c r="UZX1" s="841"/>
      <c r="UZY1" s="841"/>
      <c r="UZZ1" s="841"/>
      <c r="VAA1" s="841"/>
      <c r="VAB1" s="841"/>
      <c r="VAC1" s="841"/>
      <c r="VAD1" s="841"/>
      <c r="VAE1" s="841"/>
      <c r="VAF1" s="841"/>
      <c r="VAG1" s="841"/>
      <c r="VAH1" s="841"/>
      <c r="VAI1" s="841"/>
      <c r="VAJ1" s="841"/>
      <c r="VAK1" s="841"/>
      <c r="VAL1" s="841"/>
      <c r="VAM1" s="841"/>
      <c r="VAN1" s="841"/>
      <c r="VAO1" s="841"/>
      <c r="VAP1" s="841"/>
      <c r="VAQ1" s="841"/>
      <c r="VAR1" s="841"/>
      <c r="VAS1" s="841"/>
      <c r="VAT1" s="841"/>
      <c r="VAU1" s="841"/>
      <c r="VAV1" s="841"/>
      <c r="VAW1" s="841"/>
      <c r="VAX1" s="841"/>
      <c r="VAY1" s="841"/>
      <c r="VAZ1" s="841"/>
      <c r="VBA1" s="841"/>
      <c r="VBB1" s="841"/>
      <c r="VBC1" s="841"/>
      <c r="VBD1" s="841"/>
      <c r="VBE1" s="841"/>
      <c r="VBF1" s="841"/>
      <c r="VBG1" s="841"/>
      <c r="VBH1" s="841"/>
      <c r="VBI1" s="841"/>
      <c r="VBJ1" s="841"/>
      <c r="VBK1" s="841"/>
      <c r="VBL1" s="841"/>
      <c r="VBM1" s="841"/>
      <c r="VBN1" s="841"/>
      <c r="VBO1" s="841"/>
      <c r="VBP1" s="841"/>
      <c r="VBQ1" s="841"/>
      <c r="VBR1" s="841"/>
      <c r="VBS1" s="841"/>
      <c r="VBT1" s="841"/>
      <c r="VBU1" s="841"/>
      <c r="VBV1" s="841"/>
      <c r="VBW1" s="841"/>
      <c r="VBX1" s="841"/>
      <c r="VBY1" s="841"/>
      <c r="VBZ1" s="841"/>
      <c r="VCA1" s="841"/>
      <c r="VCB1" s="841"/>
      <c r="VCC1" s="841"/>
      <c r="VCD1" s="841"/>
      <c r="VCE1" s="841"/>
      <c r="VCF1" s="841"/>
      <c r="VCG1" s="841"/>
      <c r="VCH1" s="841"/>
      <c r="VCI1" s="841"/>
      <c r="VCJ1" s="841"/>
      <c r="VCK1" s="841"/>
      <c r="VCL1" s="841"/>
      <c r="VCM1" s="841"/>
      <c r="VCN1" s="841"/>
      <c r="VCO1" s="841"/>
      <c r="VCP1" s="841"/>
      <c r="VCQ1" s="841"/>
      <c r="VCR1" s="841"/>
      <c r="VCS1" s="841"/>
      <c r="VCT1" s="841"/>
      <c r="VCU1" s="841"/>
      <c r="VCV1" s="841"/>
      <c r="VCW1" s="841"/>
      <c r="VCX1" s="841"/>
      <c r="VCY1" s="841"/>
      <c r="VCZ1" s="841"/>
      <c r="VDA1" s="841"/>
      <c r="VDB1" s="841"/>
      <c r="VDC1" s="841"/>
      <c r="VDD1" s="841"/>
      <c r="VDE1" s="841"/>
      <c r="VDF1" s="841"/>
      <c r="VDG1" s="841"/>
      <c r="VDH1" s="841"/>
      <c r="VDI1" s="841"/>
      <c r="VDJ1" s="841"/>
      <c r="VDK1" s="841"/>
      <c r="VDL1" s="841"/>
      <c r="VDM1" s="841"/>
      <c r="VDN1" s="841"/>
      <c r="VDO1" s="841"/>
      <c r="VDP1" s="841"/>
      <c r="VDQ1" s="841"/>
      <c r="VDR1" s="841"/>
      <c r="VDS1" s="841"/>
      <c r="VDT1" s="841"/>
      <c r="VDU1" s="841"/>
      <c r="VDV1" s="841"/>
      <c r="VDW1" s="841"/>
      <c r="VDX1" s="841"/>
      <c r="VDY1" s="841"/>
      <c r="VDZ1" s="841"/>
      <c r="VEA1" s="841"/>
      <c r="VEB1" s="841"/>
      <c r="VEC1" s="841"/>
      <c r="VED1" s="841"/>
      <c r="VEE1" s="841"/>
      <c r="VEF1" s="841"/>
      <c r="VEG1" s="841"/>
      <c r="VEH1" s="841"/>
      <c r="VEI1" s="841"/>
      <c r="VEJ1" s="841"/>
      <c r="VEK1" s="841"/>
      <c r="VEL1" s="841"/>
      <c r="VEM1" s="841"/>
      <c r="VEN1" s="841"/>
      <c r="VEO1" s="841"/>
      <c r="VEP1" s="841"/>
      <c r="VEQ1" s="841"/>
      <c r="VER1" s="841"/>
      <c r="VES1" s="841"/>
      <c r="VET1" s="841"/>
      <c r="VEU1" s="841"/>
      <c r="VEV1" s="841"/>
      <c r="VEW1" s="841"/>
      <c r="VEX1" s="841"/>
      <c r="VEY1" s="841"/>
      <c r="VEZ1" s="841"/>
      <c r="VFA1" s="841"/>
      <c r="VFB1" s="841"/>
      <c r="VFC1" s="841"/>
      <c r="VFD1" s="841"/>
      <c r="VFE1" s="841"/>
      <c r="VFF1" s="841"/>
      <c r="VFG1" s="841"/>
      <c r="VFH1" s="841"/>
      <c r="VFI1" s="841"/>
      <c r="VFJ1" s="841"/>
      <c r="VFK1" s="841"/>
      <c r="VFL1" s="841"/>
      <c r="VFM1" s="841"/>
      <c r="VFN1" s="841"/>
      <c r="VFO1" s="841"/>
      <c r="VFP1" s="841"/>
      <c r="VFQ1" s="841"/>
      <c r="VFR1" s="841"/>
      <c r="VFS1" s="841"/>
      <c r="VFT1" s="841"/>
      <c r="VFU1" s="841"/>
      <c r="VFV1" s="841"/>
      <c r="VFW1" s="841"/>
      <c r="VFX1" s="841"/>
      <c r="VFY1" s="841"/>
      <c r="VFZ1" s="841"/>
      <c r="VGA1" s="841"/>
      <c r="VGB1" s="841"/>
      <c r="VGC1" s="841"/>
      <c r="VGD1" s="841"/>
      <c r="VGE1" s="841"/>
      <c r="VGF1" s="841"/>
      <c r="VGG1" s="841"/>
      <c r="VGH1" s="841"/>
      <c r="VGI1" s="841"/>
      <c r="VGJ1" s="841"/>
      <c r="VGK1" s="841"/>
      <c r="VGL1" s="841"/>
      <c r="VGM1" s="841"/>
      <c r="VGN1" s="841"/>
      <c r="VGO1" s="841"/>
      <c r="VGP1" s="841"/>
      <c r="VGQ1" s="841"/>
      <c r="VGR1" s="841"/>
      <c r="VGS1" s="841"/>
      <c r="VGT1" s="841"/>
      <c r="VGU1" s="841"/>
      <c r="VGV1" s="841"/>
      <c r="VGW1" s="841"/>
      <c r="VGX1" s="841"/>
      <c r="VGY1" s="841"/>
      <c r="VGZ1" s="841"/>
      <c r="VHA1" s="841"/>
      <c r="VHB1" s="841"/>
      <c r="VHC1" s="841"/>
      <c r="VHD1" s="841"/>
      <c r="VHE1" s="841"/>
      <c r="VHF1" s="841"/>
      <c r="VHG1" s="841"/>
      <c r="VHH1" s="841"/>
      <c r="VHI1" s="841"/>
      <c r="VHJ1" s="841"/>
      <c r="VHK1" s="841"/>
      <c r="VHL1" s="841"/>
      <c r="VHM1" s="841"/>
      <c r="VHN1" s="841"/>
      <c r="VHO1" s="841"/>
      <c r="VHP1" s="841"/>
      <c r="VHQ1" s="841"/>
      <c r="VHR1" s="841"/>
      <c r="VHS1" s="841"/>
      <c r="VHT1" s="841"/>
      <c r="VHU1" s="841"/>
      <c r="VHV1" s="841"/>
      <c r="VHW1" s="841"/>
      <c r="VHX1" s="841"/>
      <c r="VHY1" s="841"/>
      <c r="VHZ1" s="841"/>
      <c r="VIA1" s="841"/>
      <c r="VIB1" s="841"/>
      <c r="VIC1" s="841"/>
      <c r="VID1" s="841"/>
      <c r="VIE1" s="841"/>
      <c r="VIF1" s="841"/>
      <c r="VIG1" s="841"/>
      <c r="VIH1" s="841"/>
      <c r="VII1" s="841"/>
      <c r="VIJ1" s="841"/>
      <c r="VIK1" s="841"/>
      <c r="VIL1" s="841"/>
      <c r="VIM1" s="841"/>
      <c r="VIN1" s="841"/>
      <c r="VIO1" s="841"/>
      <c r="VIP1" s="841"/>
      <c r="VIQ1" s="841"/>
      <c r="VIR1" s="841"/>
      <c r="VIS1" s="841"/>
      <c r="VIT1" s="841"/>
      <c r="VIU1" s="841"/>
      <c r="VIV1" s="841"/>
      <c r="VIW1" s="841"/>
      <c r="VIX1" s="841"/>
      <c r="VIY1" s="841"/>
      <c r="VIZ1" s="841"/>
      <c r="VJA1" s="841"/>
      <c r="VJB1" s="841"/>
      <c r="VJC1" s="841"/>
      <c r="VJD1" s="841"/>
      <c r="VJE1" s="841"/>
      <c r="VJF1" s="841"/>
      <c r="VJG1" s="841"/>
      <c r="VJH1" s="841"/>
      <c r="VJI1" s="841"/>
      <c r="VJJ1" s="841"/>
      <c r="VJK1" s="841"/>
      <c r="VJL1" s="841"/>
      <c r="VJM1" s="841"/>
      <c r="VJN1" s="841"/>
      <c r="VJO1" s="841"/>
      <c r="VJP1" s="841"/>
      <c r="VJQ1" s="841"/>
      <c r="VJR1" s="841"/>
      <c r="VJS1" s="841"/>
      <c r="VJT1" s="841"/>
      <c r="VJU1" s="841"/>
      <c r="VJV1" s="841"/>
      <c r="VJW1" s="841"/>
      <c r="VJX1" s="841"/>
      <c r="VJY1" s="841"/>
      <c r="VJZ1" s="841"/>
      <c r="VKA1" s="841"/>
      <c r="VKB1" s="841"/>
      <c r="VKC1" s="841"/>
      <c r="VKD1" s="841"/>
      <c r="VKE1" s="841"/>
      <c r="VKF1" s="841"/>
      <c r="VKG1" s="841"/>
      <c r="VKH1" s="841"/>
      <c r="VKI1" s="841"/>
      <c r="VKJ1" s="841"/>
      <c r="VKK1" s="841"/>
      <c r="VKL1" s="841"/>
      <c r="VKM1" s="841"/>
      <c r="VKN1" s="841"/>
      <c r="VKO1" s="841"/>
      <c r="VKP1" s="841"/>
      <c r="VKQ1" s="841"/>
      <c r="VKR1" s="841"/>
      <c r="VKS1" s="841"/>
      <c r="VKT1" s="841"/>
      <c r="VKU1" s="841"/>
      <c r="VKV1" s="841"/>
      <c r="VKW1" s="841"/>
      <c r="VKX1" s="841"/>
      <c r="VKY1" s="841"/>
      <c r="VKZ1" s="841"/>
      <c r="VLA1" s="841"/>
      <c r="VLB1" s="841"/>
      <c r="VLC1" s="841"/>
      <c r="VLD1" s="841"/>
      <c r="VLE1" s="841"/>
      <c r="VLF1" s="841"/>
      <c r="VLG1" s="841"/>
      <c r="VLH1" s="841"/>
      <c r="VLI1" s="841"/>
      <c r="VLJ1" s="841"/>
      <c r="VLK1" s="841"/>
      <c r="VLL1" s="841"/>
      <c r="VLM1" s="841"/>
      <c r="VLN1" s="841"/>
      <c r="VLO1" s="841"/>
      <c r="VLP1" s="841"/>
      <c r="VLQ1" s="841"/>
      <c r="VLR1" s="841"/>
      <c r="VLS1" s="841"/>
      <c r="VLT1" s="841"/>
      <c r="VLU1" s="841"/>
      <c r="VLV1" s="841"/>
      <c r="VLW1" s="841"/>
      <c r="VLX1" s="841"/>
      <c r="VLY1" s="841"/>
      <c r="VLZ1" s="841"/>
      <c r="VMA1" s="841"/>
      <c r="VMB1" s="841"/>
      <c r="VMC1" s="841"/>
      <c r="VMD1" s="841"/>
      <c r="VME1" s="841"/>
      <c r="VMF1" s="841"/>
      <c r="VMG1" s="841"/>
      <c r="VMH1" s="841"/>
      <c r="VMI1" s="841"/>
      <c r="VMJ1" s="841"/>
      <c r="VMK1" s="841"/>
      <c r="VML1" s="841"/>
      <c r="VMM1" s="841"/>
      <c r="VMN1" s="841"/>
      <c r="VMO1" s="841"/>
      <c r="VMP1" s="841"/>
      <c r="VMQ1" s="841"/>
      <c r="VMR1" s="841"/>
      <c r="VMS1" s="841"/>
      <c r="VMT1" s="841"/>
      <c r="VMU1" s="841"/>
      <c r="VMV1" s="841"/>
      <c r="VMW1" s="841"/>
      <c r="VMX1" s="841"/>
      <c r="VMY1" s="841"/>
      <c r="VMZ1" s="841"/>
      <c r="VNA1" s="841"/>
      <c r="VNB1" s="841"/>
      <c r="VNC1" s="841"/>
      <c r="VND1" s="841"/>
      <c r="VNE1" s="841"/>
      <c r="VNF1" s="841"/>
      <c r="VNG1" s="841"/>
      <c r="VNH1" s="841"/>
      <c r="VNI1" s="841"/>
      <c r="VNJ1" s="841"/>
      <c r="VNK1" s="841"/>
      <c r="VNL1" s="841"/>
      <c r="VNM1" s="841"/>
      <c r="VNN1" s="841"/>
      <c r="VNO1" s="841"/>
      <c r="VNP1" s="841"/>
      <c r="VNQ1" s="841"/>
      <c r="VNR1" s="841"/>
      <c r="VNS1" s="841"/>
      <c r="VNT1" s="841"/>
      <c r="VNU1" s="841"/>
      <c r="VNV1" s="841"/>
      <c r="VNW1" s="841"/>
      <c r="VNX1" s="841"/>
      <c r="VNY1" s="841"/>
      <c r="VNZ1" s="841"/>
      <c r="VOA1" s="841"/>
      <c r="VOB1" s="841"/>
      <c r="VOC1" s="841"/>
      <c r="VOD1" s="841"/>
      <c r="VOE1" s="841"/>
      <c r="VOF1" s="841"/>
      <c r="VOG1" s="841"/>
      <c r="VOH1" s="841"/>
      <c r="VOI1" s="841"/>
      <c r="VOJ1" s="841"/>
      <c r="VOK1" s="841"/>
      <c r="VOL1" s="841"/>
      <c r="VOM1" s="841"/>
      <c r="VON1" s="841"/>
      <c r="VOO1" s="841"/>
      <c r="VOP1" s="841"/>
      <c r="VOQ1" s="841"/>
      <c r="VOR1" s="841"/>
      <c r="VOS1" s="841"/>
      <c r="VOT1" s="841"/>
      <c r="VOU1" s="841"/>
      <c r="VOV1" s="841"/>
      <c r="VOW1" s="841"/>
      <c r="VOX1" s="841"/>
      <c r="VOY1" s="841"/>
      <c r="VOZ1" s="841"/>
      <c r="VPA1" s="841"/>
      <c r="VPB1" s="841"/>
      <c r="VPC1" s="841"/>
      <c r="VPD1" s="841"/>
      <c r="VPE1" s="841"/>
      <c r="VPF1" s="841"/>
      <c r="VPG1" s="841"/>
      <c r="VPH1" s="841"/>
      <c r="VPI1" s="841"/>
      <c r="VPJ1" s="841"/>
      <c r="VPK1" s="841"/>
      <c r="VPL1" s="841"/>
      <c r="VPM1" s="841"/>
      <c r="VPN1" s="841"/>
      <c r="VPO1" s="841"/>
      <c r="VPP1" s="841"/>
      <c r="VPQ1" s="841"/>
      <c r="VPR1" s="841"/>
      <c r="VPS1" s="841"/>
      <c r="VPT1" s="841"/>
      <c r="VPU1" s="841"/>
      <c r="VPV1" s="841"/>
      <c r="VPW1" s="841"/>
      <c r="VPX1" s="841"/>
      <c r="VPY1" s="841"/>
      <c r="VPZ1" s="841"/>
      <c r="VQA1" s="841"/>
      <c r="VQB1" s="841"/>
      <c r="VQC1" s="841"/>
      <c r="VQD1" s="841"/>
      <c r="VQE1" s="841"/>
      <c r="VQF1" s="841"/>
      <c r="VQG1" s="841"/>
      <c r="VQH1" s="841"/>
      <c r="VQI1" s="841"/>
      <c r="VQJ1" s="841"/>
      <c r="VQK1" s="841"/>
      <c r="VQL1" s="841"/>
      <c r="VQM1" s="841"/>
      <c r="VQN1" s="841"/>
      <c r="VQO1" s="841"/>
      <c r="VQP1" s="841"/>
      <c r="VQQ1" s="841"/>
      <c r="VQR1" s="841"/>
      <c r="VQS1" s="841"/>
      <c r="VQT1" s="841"/>
      <c r="VQU1" s="841"/>
      <c r="VQV1" s="841"/>
      <c r="VQW1" s="841"/>
      <c r="VQX1" s="841"/>
      <c r="VQY1" s="841"/>
      <c r="VQZ1" s="841"/>
      <c r="VRA1" s="841"/>
      <c r="VRB1" s="841"/>
      <c r="VRC1" s="841"/>
      <c r="VRD1" s="841"/>
      <c r="VRE1" s="841"/>
      <c r="VRF1" s="841"/>
      <c r="VRG1" s="841"/>
      <c r="VRH1" s="841"/>
      <c r="VRI1" s="841"/>
      <c r="VRJ1" s="841"/>
      <c r="VRK1" s="841"/>
      <c r="VRL1" s="841"/>
      <c r="VRM1" s="841"/>
      <c r="VRN1" s="841"/>
      <c r="VRO1" s="841"/>
      <c r="VRP1" s="841"/>
      <c r="VRQ1" s="841"/>
      <c r="VRR1" s="841"/>
      <c r="VRS1" s="841"/>
      <c r="VRT1" s="841"/>
      <c r="VRU1" s="841"/>
      <c r="VRV1" s="841"/>
      <c r="VRW1" s="841"/>
      <c r="VRX1" s="841"/>
      <c r="VRY1" s="841"/>
      <c r="VRZ1" s="841"/>
      <c r="VSA1" s="841"/>
      <c r="VSB1" s="841"/>
      <c r="VSC1" s="841"/>
      <c r="VSD1" s="841"/>
      <c r="VSE1" s="841"/>
      <c r="VSF1" s="841"/>
      <c r="VSG1" s="841"/>
      <c r="VSH1" s="841"/>
      <c r="VSI1" s="841"/>
      <c r="VSJ1" s="841"/>
      <c r="VSK1" s="841"/>
      <c r="VSL1" s="841"/>
      <c r="VSM1" s="841"/>
      <c r="VSN1" s="841"/>
      <c r="VSO1" s="841"/>
      <c r="VSP1" s="841"/>
      <c r="VSQ1" s="841"/>
      <c r="VSR1" s="841"/>
      <c r="VSS1" s="841"/>
      <c r="VST1" s="841"/>
      <c r="VSU1" s="841"/>
      <c r="VSV1" s="841"/>
      <c r="VSW1" s="841"/>
      <c r="VSX1" s="841"/>
      <c r="VSY1" s="841"/>
      <c r="VSZ1" s="841"/>
      <c r="VTA1" s="841"/>
      <c r="VTB1" s="841"/>
      <c r="VTC1" s="841"/>
      <c r="VTD1" s="841"/>
      <c r="VTE1" s="841"/>
      <c r="VTF1" s="841"/>
      <c r="VTG1" s="841"/>
      <c r="VTH1" s="841"/>
      <c r="VTI1" s="841"/>
      <c r="VTJ1" s="841"/>
      <c r="VTK1" s="841"/>
      <c r="VTL1" s="841"/>
      <c r="VTM1" s="841"/>
      <c r="VTN1" s="841"/>
      <c r="VTO1" s="841"/>
      <c r="VTP1" s="841"/>
      <c r="VTQ1" s="841"/>
      <c r="VTR1" s="841"/>
      <c r="VTS1" s="841"/>
      <c r="VTT1" s="841"/>
      <c r="VTU1" s="841"/>
      <c r="VTV1" s="841"/>
      <c r="VTW1" s="841"/>
      <c r="VTX1" s="841"/>
      <c r="VTY1" s="841"/>
      <c r="VTZ1" s="841"/>
      <c r="VUA1" s="841"/>
      <c r="VUB1" s="841"/>
      <c r="VUC1" s="841"/>
      <c r="VUD1" s="841"/>
      <c r="VUE1" s="841"/>
      <c r="VUF1" s="841"/>
      <c r="VUG1" s="841"/>
      <c r="VUH1" s="841"/>
      <c r="VUI1" s="841"/>
      <c r="VUJ1" s="841"/>
      <c r="VUK1" s="841"/>
      <c r="VUL1" s="841"/>
      <c r="VUM1" s="841"/>
      <c r="VUN1" s="841"/>
      <c r="VUO1" s="841"/>
      <c r="VUP1" s="841"/>
      <c r="VUQ1" s="841"/>
      <c r="VUR1" s="841"/>
      <c r="VUS1" s="841"/>
      <c r="VUT1" s="841"/>
      <c r="VUU1" s="841"/>
      <c r="VUV1" s="841"/>
      <c r="VUW1" s="841"/>
      <c r="VUX1" s="841"/>
      <c r="VUY1" s="841"/>
      <c r="VUZ1" s="841"/>
      <c r="VVA1" s="841"/>
      <c r="VVB1" s="841"/>
      <c r="VVC1" s="841"/>
      <c r="VVD1" s="841"/>
      <c r="VVE1" s="841"/>
      <c r="VVF1" s="841"/>
      <c r="VVG1" s="841"/>
      <c r="VVH1" s="841"/>
      <c r="VVI1" s="841"/>
      <c r="VVJ1" s="841"/>
      <c r="VVK1" s="841"/>
      <c r="VVL1" s="841"/>
      <c r="VVM1" s="841"/>
      <c r="VVN1" s="841"/>
      <c r="VVO1" s="841"/>
      <c r="VVP1" s="841"/>
      <c r="VVQ1" s="841"/>
      <c r="VVR1" s="841"/>
      <c r="VVS1" s="841"/>
      <c r="VVT1" s="841"/>
      <c r="VVU1" s="841"/>
      <c r="VVV1" s="841"/>
      <c r="VVW1" s="841"/>
      <c r="VVX1" s="841"/>
      <c r="VVY1" s="841"/>
      <c r="VVZ1" s="841"/>
      <c r="VWA1" s="841"/>
      <c r="VWB1" s="841"/>
      <c r="VWC1" s="841"/>
      <c r="VWD1" s="841"/>
      <c r="VWE1" s="841"/>
      <c r="VWF1" s="841"/>
      <c r="VWG1" s="841"/>
      <c r="VWH1" s="841"/>
      <c r="VWI1" s="841"/>
      <c r="VWJ1" s="841"/>
      <c r="VWK1" s="841"/>
      <c r="VWL1" s="841"/>
      <c r="VWM1" s="841"/>
      <c r="VWN1" s="841"/>
      <c r="VWO1" s="841"/>
      <c r="VWP1" s="841"/>
      <c r="VWQ1" s="841"/>
      <c r="VWR1" s="841"/>
      <c r="VWS1" s="841"/>
      <c r="VWT1" s="841"/>
      <c r="VWU1" s="841"/>
      <c r="VWV1" s="841"/>
      <c r="VWW1" s="841"/>
      <c r="VWX1" s="841"/>
      <c r="VWY1" s="841"/>
      <c r="VWZ1" s="841"/>
      <c r="VXA1" s="841"/>
      <c r="VXB1" s="841"/>
      <c r="VXC1" s="841"/>
      <c r="VXD1" s="841"/>
      <c r="VXE1" s="841"/>
      <c r="VXF1" s="841"/>
      <c r="VXG1" s="841"/>
      <c r="VXH1" s="841"/>
      <c r="VXI1" s="841"/>
      <c r="VXJ1" s="841"/>
      <c r="VXK1" s="841"/>
      <c r="VXL1" s="841"/>
      <c r="VXM1" s="841"/>
      <c r="VXN1" s="841"/>
      <c r="VXO1" s="841"/>
      <c r="VXP1" s="841"/>
      <c r="VXQ1" s="841"/>
      <c r="VXR1" s="841"/>
      <c r="VXS1" s="841"/>
      <c r="VXT1" s="841"/>
      <c r="VXU1" s="841"/>
      <c r="VXV1" s="841"/>
      <c r="VXW1" s="841"/>
      <c r="VXX1" s="841"/>
      <c r="VXY1" s="841"/>
      <c r="VXZ1" s="841"/>
      <c r="VYA1" s="841"/>
      <c r="VYB1" s="841"/>
      <c r="VYC1" s="841"/>
      <c r="VYD1" s="841"/>
      <c r="VYE1" s="841"/>
      <c r="VYF1" s="841"/>
      <c r="VYG1" s="841"/>
      <c r="VYH1" s="841"/>
      <c r="VYI1" s="841"/>
      <c r="VYJ1" s="841"/>
      <c r="VYK1" s="841"/>
      <c r="VYL1" s="841"/>
      <c r="VYM1" s="841"/>
      <c r="VYN1" s="841"/>
      <c r="VYO1" s="841"/>
      <c r="VYP1" s="841"/>
      <c r="VYQ1" s="841"/>
      <c r="VYR1" s="841"/>
      <c r="VYS1" s="841"/>
      <c r="VYT1" s="841"/>
      <c r="VYU1" s="841"/>
      <c r="VYV1" s="841"/>
      <c r="VYW1" s="841"/>
      <c r="VYX1" s="841"/>
      <c r="VYY1" s="841"/>
      <c r="VYZ1" s="841"/>
      <c r="VZA1" s="841"/>
      <c r="VZB1" s="841"/>
      <c r="VZC1" s="841"/>
      <c r="VZD1" s="841"/>
      <c r="VZE1" s="841"/>
      <c r="VZF1" s="841"/>
      <c r="VZG1" s="841"/>
      <c r="VZH1" s="841"/>
      <c r="VZI1" s="841"/>
      <c r="VZJ1" s="841"/>
      <c r="VZK1" s="841"/>
      <c r="VZL1" s="841"/>
      <c r="VZM1" s="841"/>
      <c r="VZN1" s="841"/>
      <c r="VZO1" s="841"/>
      <c r="VZP1" s="841"/>
      <c r="VZQ1" s="841"/>
      <c r="VZR1" s="841"/>
      <c r="VZS1" s="841"/>
      <c r="VZT1" s="841"/>
      <c r="VZU1" s="841"/>
      <c r="VZV1" s="841"/>
      <c r="VZW1" s="841"/>
      <c r="VZX1" s="841"/>
      <c r="VZY1" s="841"/>
      <c r="VZZ1" s="841"/>
      <c r="WAA1" s="841"/>
      <c r="WAB1" s="841"/>
      <c r="WAC1" s="841"/>
      <c r="WAD1" s="841"/>
      <c r="WAE1" s="841"/>
      <c r="WAF1" s="841"/>
      <c r="WAG1" s="841"/>
      <c r="WAH1" s="841"/>
      <c r="WAI1" s="841"/>
      <c r="WAJ1" s="841"/>
      <c r="WAK1" s="841"/>
      <c r="WAL1" s="841"/>
      <c r="WAM1" s="841"/>
      <c r="WAN1" s="841"/>
      <c r="WAO1" s="841"/>
      <c r="WAP1" s="841"/>
      <c r="WAQ1" s="841"/>
      <c r="WAR1" s="841"/>
      <c r="WAS1" s="841"/>
      <c r="WAT1" s="841"/>
      <c r="WAU1" s="841"/>
      <c r="WAV1" s="841"/>
      <c r="WAW1" s="841"/>
      <c r="WAX1" s="841"/>
      <c r="WAY1" s="841"/>
      <c r="WAZ1" s="841"/>
      <c r="WBA1" s="841"/>
      <c r="WBB1" s="841"/>
      <c r="WBC1" s="841"/>
      <c r="WBD1" s="841"/>
      <c r="WBE1" s="841"/>
      <c r="WBF1" s="841"/>
      <c r="WBG1" s="841"/>
      <c r="WBH1" s="841"/>
      <c r="WBI1" s="841"/>
      <c r="WBJ1" s="841"/>
      <c r="WBK1" s="841"/>
      <c r="WBL1" s="841"/>
      <c r="WBM1" s="841"/>
      <c r="WBN1" s="841"/>
      <c r="WBO1" s="841"/>
      <c r="WBP1" s="841"/>
      <c r="WBQ1" s="841"/>
      <c r="WBR1" s="841"/>
      <c r="WBS1" s="841"/>
      <c r="WBT1" s="841"/>
      <c r="WBU1" s="841"/>
      <c r="WBV1" s="841"/>
      <c r="WBW1" s="841"/>
      <c r="WBX1" s="841"/>
      <c r="WBY1" s="841"/>
      <c r="WBZ1" s="841"/>
      <c r="WCA1" s="841"/>
      <c r="WCB1" s="841"/>
      <c r="WCC1" s="841"/>
      <c r="WCD1" s="841"/>
      <c r="WCE1" s="841"/>
      <c r="WCF1" s="841"/>
      <c r="WCG1" s="841"/>
      <c r="WCH1" s="841"/>
      <c r="WCI1" s="841"/>
      <c r="WCJ1" s="841"/>
      <c r="WCK1" s="841"/>
      <c r="WCL1" s="841"/>
      <c r="WCM1" s="841"/>
      <c r="WCN1" s="841"/>
      <c r="WCO1" s="841"/>
      <c r="WCP1" s="841"/>
      <c r="WCQ1" s="841"/>
      <c r="WCR1" s="841"/>
      <c r="WCS1" s="841"/>
      <c r="WCT1" s="841"/>
      <c r="WCU1" s="841"/>
      <c r="WCV1" s="841"/>
      <c r="WCW1" s="841"/>
      <c r="WCX1" s="841"/>
      <c r="WCY1" s="841"/>
      <c r="WCZ1" s="841"/>
      <c r="WDA1" s="841"/>
      <c r="WDB1" s="841"/>
      <c r="WDC1" s="841"/>
      <c r="WDD1" s="841"/>
      <c r="WDE1" s="841"/>
      <c r="WDF1" s="841"/>
      <c r="WDG1" s="841"/>
      <c r="WDH1" s="841"/>
      <c r="WDI1" s="841"/>
      <c r="WDJ1" s="841"/>
      <c r="WDK1" s="841"/>
      <c r="WDL1" s="841"/>
      <c r="WDM1" s="841"/>
      <c r="WDN1" s="841"/>
      <c r="WDO1" s="841"/>
      <c r="WDP1" s="841"/>
      <c r="WDQ1" s="841"/>
      <c r="WDR1" s="841"/>
      <c r="WDS1" s="841"/>
      <c r="WDT1" s="841"/>
      <c r="WDU1" s="841"/>
      <c r="WDV1" s="841"/>
      <c r="WDW1" s="841"/>
      <c r="WDX1" s="841"/>
      <c r="WDY1" s="841"/>
      <c r="WDZ1" s="841"/>
      <c r="WEA1" s="841"/>
      <c r="WEB1" s="841"/>
      <c r="WEC1" s="841"/>
      <c r="WED1" s="841"/>
      <c r="WEE1" s="841"/>
      <c r="WEF1" s="841"/>
      <c r="WEG1" s="841"/>
      <c r="WEH1" s="841"/>
      <c r="WEI1" s="841"/>
      <c r="WEJ1" s="841"/>
      <c r="WEK1" s="841"/>
      <c r="WEL1" s="841"/>
      <c r="WEM1" s="841"/>
      <c r="WEN1" s="841"/>
      <c r="WEO1" s="841"/>
      <c r="WEP1" s="841"/>
      <c r="WEQ1" s="841"/>
      <c r="WER1" s="841"/>
      <c r="WES1" s="841"/>
      <c r="WET1" s="841"/>
      <c r="WEU1" s="841"/>
      <c r="WEV1" s="841"/>
      <c r="WEW1" s="841"/>
      <c r="WEX1" s="841"/>
      <c r="WEY1" s="841"/>
      <c r="WEZ1" s="841"/>
      <c r="WFA1" s="841"/>
      <c r="WFB1" s="841"/>
      <c r="WFC1" s="841"/>
      <c r="WFD1" s="841"/>
      <c r="WFE1" s="841"/>
      <c r="WFF1" s="841"/>
      <c r="WFG1" s="841"/>
      <c r="WFH1" s="841"/>
      <c r="WFI1" s="841"/>
      <c r="WFJ1" s="841"/>
      <c r="WFK1" s="841"/>
      <c r="WFL1" s="841"/>
      <c r="WFM1" s="841"/>
      <c r="WFN1" s="841"/>
      <c r="WFO1" s="841"/>
      <c r="WFP1" s="841"/>
      <c r="WFQ1" s="841"/>
      <c r="WFR1" s="841"/>
      <c r="WFS1" s="841"/>
      <c r="WFT1" s="841"/>
      <c r="WFU1" s="841"/>
      <c r="WFV1" s="841"/>
      <c r="WFW1" s="841"/>
      <c r="WFX1" s="841"/>
      <c r="WFY1" s="841"/>
      <c r="WFZ1" s="841"/>
      <c r="WGA1" s="841"/>
      <c r="WGB1" s="841"/>
      <c r="WGC1" s="841"/>
      <c r="WGD1" s="841"/>
      <c r="WGE1" s="841"/>
      <c r="WGF1" s="841"/>
      <c r="WGG1" s="841"/>
      <c r="WGH1" s="841"/>
      <c r="WGI1" s="841"/>
      <c r="WGJ1" s="841"/>
      <c r="WGK1" s="841"/>
      <c r="WGL1" s="841"/>
      <c r="WGM1" s="841"/>
      <c r="WGN1" s="841"/>
      <c r="WGO1" s="841"/>
      <c r="WGP1" s="841"/>
      <c r="WGQ1" s="841"/>
      <c r="WGR1" s="841"/>
      <c r="WGS1" s="841"/>
      <c r="WGT1" s="841"/>
      <c r="WGU1" s="841"/>
      <c r="WGV1" s="841"/>
      <c r="WGW1" s="841"/>
      <c r="WGX1" s="841"/>
      <c r="WGY1" s="841"/>
      <c r="WGZ1" s="841"/>
      <c r="WHA1" s="841"/>
      <c r="WHB1" s="841"/>
      <c r="WHC1" s="841"/>
      <c r="WHD1" s="841"/>
      <c r="WHE1" s="841"/>
      <c r="WHF1" s="841"/>
      <c r="WHG1" s="841"/>
      <c r="WHH1" s="841"/>
      <c r="WHI1" s="841"/>
      <c r="WHJ1" s="841"/>
      <c r="WHK1" s="841"/>
      <c r="WHL1" s="841"/>
      <c r="WHM1" s="841"/>
      <c r="WHN1" s="841"/>
      <c r="WHO1" s="841"/>
      <c r="WHP1" s="841"/>
      <c r="WHQ1" s="841"/>
      <c r="WHR1" s="841"/>
      <c r="WHS1" s="841"/>
      <c r="WHT1" s="841"/>
      <c r="WHU1" s="841"/>
      <c r="WHV1" s="841"/>
      <c r="WHW1" s="841"/>
      <c r="WHX1" s="841"/>
      <c r="WHY1" s="841"/>
      <c r="WHZ1" s="841"/>
      <c r="WIA1" s="841"/>
      <c r="WIB1" s="841"/>
      <c r="WIC1" s="841"/>
      <c r="WID1" s="841"/>
      <c r="WIE1" s="841"/>
      <c r="WIF1" s="841"/>
      <c r="WIG1" s="841"/>
      <c r="WIH1" s="841"/>
      <c r="WII1" s="841"/>
      <c r="WIJ1" s="841"/>
      <c r="WIK1" s="841"/>
      <c r="WIL1" s="841"/>
      <c r="WIM1" s="841"/>
      <c r="WIN1" s="841"/>
      <c r="WIO1" s="841"/>
      <c r="WIP1" s="841"/>
      <c r="WIQ1" s="841"/>
      <c r="WIR1" s="841"/>
      <c r="WIS1" s="841"/>
      <c r="WIT1" s="841"/>
      <c r="WIU1" s="841"/>
      <c r="WIV1" s="841"/>
      <c r="WIW1" s="841"/>
      <c r="WIX1" s="841"/>
      <c r="WIY1" s="841"/>
      <c r="WIZ1" s="841"/>
      <c r="WJA1" s="841"/>
      <c r="WJB1" s="841"/>
      <c r="WJC1" s="841"/>
      <c r="WJD1" s="841"/>
      <c r="WJE1" s="841"/>
      <c r="WJF1" s="841"/>
      <c r="WJG1" s="841"/>
      <c r="WJH1" s="841"/>
      <c r="WJI1" s="841"/>
      <c r="WJJ1" s="841"/>
      <c r="WJK1" s="841"/>
      <c r="WJL1" s="841"/>
      <c r="WJM1" s="841"/>
      <c r="WJN1" s="841"/>
      <c r="WJO1" s="841"/>
      <c r="WJP1" s="841"/>
      <c r="WJQ1" s="841"/>
      <c r="WJR1" s="841"/>
      <c r="WJS1" s="841"/>
      <c r="WJT1" s="841"/>
      <c r="WJU1" s="841"/>
      <c r="WJV1" s="841"/>
      <c r="WJW1" s="841"/>
      <c r="WJX1" s="841"/>
      <c r="WJY1" s="841"/>
      <c r="WJZ1" s="841"/>
      <c r="WKA1" s="841"/>
      <c r="WKB1" s="841"/>
      <c r="WKC1" s="841"/>
      <c r="WKD1" s="841"/>
      <c r="WKE1" s="841"/>
      <c r="WKF1" s="841"/>
      <c r="WKG1" s="841"/>
      <c r="WKH1" s="841"/>
      <c r="WKI1" s="841"/>
      <c r="WKJ1" s="841"/>
      <c r="WKK1" s="841"/>
      <c r="WKL1" s="841"/>
      <c r="WKM1" s="841"/>
      <c r="WKN1" s="841"/>
      <c r="WKO1" s="841"/>
      <c r="WKP1" s="841"/>
      <c r="WKQ1" s="841"/>
      <c r="WKR1" s="841"/>
      <c r="WKS1" s="841"/>
      <c r="WKT1" s="841"/>
      <c r="WKU1" s="841"/>
      <c r="WKV1" s="841"/>
      <c r="WKW1" s="841"/>
      <c r="WKX1" s="841"/>
      <c r="WKY1" s="841"/>
      <c r="WKZ1" s="841"/>
      <c r="WLA1" s="841"/>
      <c r="WLB1" s="841"/>
      <c r="WLC1" s="841"/>
      <c r="WLD1" s="841"/>
      <c r="WLE1" s="841"/>
      <c r="WLF1" s="841"/>
      <c r="WLG1" s="841"/>
      <c r="WLH1" s="841"/>
      <c r="WLI1" s="841"/>
      <c r="WLJ1" s="841"/>
      <c r="WLK1" s="841"/>
      <c r="WLL1" s="841"/>
      <c r="WLM1" s="841"/>
      <c r="WLN1" s="841"/>
      <c r="WLO1" s="841"/>
      <c r="WLP1" s="841"/>
      <c r="WLQ1" s="841"/>
      <c r="WLR1" s="841"/>
      <c r="WLS1" s="841"/>
      <c r="WLT1" s="841"/>
      <c r="WLU1" s="841"/>
      <c r="WLV1" s="841"/>
      <c r="WLW1" s="841"/>
      <c r="WLX1" s="841"/>
      <c r="WLY1" s="841"/>
      <c r="WLZ1" s="841"/>
      <c r="WMA1" s="841"/>
      <c r="WMB1" s="841"/>
      <c r="WMC1" s="841"/>
      <c r="WMD1" s="841"/>
      <c r="WME1" s="841"/>
      <c r="WMF1" s="841"/>
      <c r="WMG1" s="841"/>
      <c r="WMH1" s="841"/>
      <c r="WMI1" s="841"/>
      <c r="WMJ1" s="841"/>
      <c r="WMK1" s="841"/>
      <c r="WML1" s="841"/>
      <c r="WMM1" s="841"/>
      <c r="WMN1" s="841"/>
      <c r="WMO1" s="841"/>
      <c r="WMP1" s="841"/>
      <c r="WMQ1" s="841"/>
      <c r="WMR1" s="841"/>
      <c r="WMS1" s="841"/>
      <c r="WMT1" s="841"/>
      <c r="WMU1" s="841"/>
      <c r="WMV1" s="841"/>
      <c r="WMW1" s="841"/>
      <c r="WMX1" s="841"/>
      <c r="WMY1" s="841"/>
      <c r="WMZ1" s="841"/>
      <c r="WNA1" s="841"/>
      <c r="WNB1" s="841"/>
      <c r="WNC1" s="841"/>
      <c r="WND1" s="841"/>
      <c r="WNE1" s="841"/>
      <c r="WNF1" s="841"/>
      <c r="WNG1" s="841"/>
      <c r="WNH1" s="841"/>
      <c r="WNI1" s="841"/>
      <c r="WNJ1" s="841"/>
      <c r="WNK1" s="841"/>
      <c r="WNL1" s="841"/>
      <c r="WNM1" s="841"/>
      <c r="WNN1" s="841"/>
      <c r="WNO1" s="841"/>
      <c r="WNP1" s="841"/>
      <c r="WNQ1" s="841"/>
      <c r="WNR1" s="841"/>
      <c r="WNS1" s="841"/>
      <c r="WNT1" s="841"/>
      <c r="WNU1" s="841"/>
      <c r="WNV1" s="841"/>
      <c r="WNW1" s="841"/>
      <c r="WNX1" s="841"/>
      <c r="WNY1" s="841"/>
      <c r="WNZ1" s="841"/>
      <c r="WOA1" s="841"/>
      <c r="WOB1" s="841"/>
      <c r="WOC1" s="841"/>
      <c r="WOD1" s="841"/>
      <c r="WOE1" s="841"/>
      <c r="WOF1" s="841"/>
      <c r="WOG1" s="841"/>
      <c r="WOH1" s="841"/>
      <c r="WOI1" s="841"/>
      <c r="WOJ1" s="841"/>
      <c r="WOK1" s="841"/>
      <c r="WOL1" s="841"/>
      <c r="WOM1" s="841"/>
      <c r="WON1" s="841"/>
      <c r="WOO1" s="841"/>
      <c r="WOP1" s="841"/>
      <c r="WOQ1" s="841"/>
      <c r="WOR1" s="841"/>
      <c r="WOS1" s="841"/>
      <c r="WOT1" s="841"/>
      <c r="WOU1" s="841"/>
      <c r="WOV1" s="841"/>
      <c r="WOW1" s="841"/>
      <c r="WOX1" s="841"/>
      <c r="WOY1" s="841"/>
      <c r="WOZ1" s="841"/>
      <c r="WPA1" s="841"/>
      <c r="WPB1" s="841"/>
      <c r="WPC1" s="841"/>
      <c r="WPD1" s="841"/>
      <c r="WPE1" s="841"/>
      <c r="WPF1" s="841"/>
      <c r="WPG1" s="841"/>
      <c r="WPH1" s="841"/>
      <c r="WPI1" s="841"/>
      <c r="WPJ1" s="841"/>
      <c r="WPK1" s="841"/>
      <c r="WPL1" s="841"/>
      <c r="WPM1" s="841"/>
      <c r="WPN1" s="841"/>
      <c r="WPO1" s="841"/>
      <c r="WPP1" s="841"/>
      <c r="WPQ1" s="841"/>
      <c r="WPR1" s="841"/>
      <c r="WPS1" s="841"/>
      <c r="WPT1" s="841"/>
      <c r="WPU1" s="841"/>
      <c r="WPV1" s="841"/>
      <c r="WPW1" s="841"/>
      <c r="WPX1" s="841"/>
      <c r="WPY1" s="841"/>
      <c r="WPZ1" s="841"/>
      <c r="WQA1" s="841"/>
      <c r="WQB1" s="841"/>
      <c r="WQC1" s="841"/>
      <c r="WQD1" s="841"/>
      <c r="WQE1" s="841"/>
      <c r="WQF1" s="841"/>
      <c r="WQG1" s="841"/>
      <c r="WQH1" s="841"/>
      <c r="WQI1" s="841"/>
      <c r="WQJ1" s="841"/>
      <c r="WQK1" s="841"/>
      <c r="WQL1" s="841"/>
      <c r="WQM1" s="841"/>
      <c r="WQN1" s="841"/>
      <c r="WQO1" s="841"/>
      <c r="WQP1" s="841"/>
      <c r="WQQ1" s="841"/>
      <c r="WQR1" s="841"/>
      <c r="WQS1" s="841"/>
      <c r="WQT1" s="841"/>
      <c r="WQU1" s="841"/>
      <c r="WQV1" s="841"/>
      <c r="WQW1" s="841"/>
      <c r="WQX1" s="841"/>
      <c r="WQY1" s="841"/>
      <c r="WQZ1" s="841"/>
      <c r="WRA1" s="841"/>
      <c r="WRB1" s="841"/>
      <c r="WRC1" s="841"/>
      <c r="WRD1" s="841"/>
      <c r="WRE1" s="841"/>
      <c r="WRF1" s="841"/>
      <c r="WRG1" s="841"/>
      <c r="WRH1" s="841"/>
      <c r="WRI1" s="841"/>
      <c r="WRJ1" s="841"/>
      <c r="WRK1" s="841"/>
      <c r="WRL1" s="841"/>
      <c r="WRM1" s="841"/>
      <c r="WRN1" s="841"/>
      <c r="WRO1" s="841"/>
      <c r="WRP1" s="841"/>
      <c r="WRQ1" s="841"/>
      <c r="WRR1" s="841"/>
      <c r="WRS1" s="841"/>
      <c r="WRT1" s="841"/>
      <c r="WRU1" s="841"/>
      <c r="WRV1" s="841"/>
      <c r="WRW1" s="841"/>
      <c r="WRX1" s="841"/>
      <c r="WRY1" s="841"/>
      <c r="WRZ1" s="841"/>
      <c r="WSA1" s="841"/>
      <c r="WSB1" s="841"/>
      <c r="WSC1" s="841"/>
      <c r="WSD1" s="841"/>
      <c r="WSE1" s="841"/>
      <c r="WSF1" s="841"/>
      <c r="WSG1" s="841"/>
      <c r="WSH1" s="841"/>
      <c r="WSI1" s="841"/>
      <c r="WSJ1" s="841"/>
      <c r="WSK1" s="841"/>
      <c r="WSL1" s="841"/>
      <c r="WSM1" s="841"/>
      <c r="WSN1" s="841"/>
      <c r="WSO1" s="841"/>
      <c r="WSP1" s="841"/>
      <c r="WSQ1" s="841"/>
      <c r="WSR1" s="841"/>
      <c r="WSS1" s="841"/>
      <c r="WST1" s="841"/>
      <c r="WSU1" s="841"/>
      <c r="WSV1" s="841"/>
      <c r="WSW1" s="841"/>
      <c r="WSX1" s="841"/>
      <c r="WSY1" s="841"/>
      <c r="WSZ1" s="841"/>
      <c r="WTA1" s="841"/>
      <c r="WTB1" s="841"/>
      <c r="WTC1" s="841"/>
      <c r="WTD1" s="841"/>
      <c r="WTE1" s="841"/>
      <c r="WTF1" s="841"/>
      <c r="WTG1" s="841"/>
      <c r="WTH1" s="841"/>
      <c r="WTI1" s="841"/>
      <c r="WTJ1" s="841"/>
      <c r="WTK1" s="841"/>
      <c r="WTL1" s="841"/>
      <c r="WTM1" s="841"/>
      <c r="WTN1" s="841"/>
      <c r="WTO1" s="841"/>
      <c r="WTP1" s="841"/>
      <c r="WTQ1" s="841"/>
      <c r="WTR1" s="841"/>
      <c r="WTS1" s="841"/>
      <c r="WTT1" s="841"/>
      <c r="WTU1" s="841"/>
      <c r="WTV1" s="841"/>
      <c r="WTW1" s="841"/>
      <c r="WTX1" s="841"/>
      <c r="WTY1" s="841"/>
      <c r="WTZ1" s="841"/>
      <c r="WUA1" s="841"/>
      <c r="WUB1" s="841"/>
      <c r="WUC1" s="841"/>
      <c r="WUD1" s="841"/>
      <c r="WUE1" s="841"/>
      <c r="WUF1" s="841"/>
      <c r="WUG1" s="841"/>
      <c r="WUH1" s="841"/>
      <c r="WUI1" s="841"/>
      <c r="WUJ1" s="841"/>
      <c r="WUK1" s="841"/>
      <c r="WUL1" s="841"/>
      <c r="WUM1" s="841"/>
      <c r="WUN1" s="841"/>
      <c r="WUO1" s="841"/>
      <c r="WUP1" s="841"/>
      <c r="WUQ1" s="841"/>
      <c r="WUR1" s="841"/>
      <c r="WUS1" s="841"/>
      <c r="WUT1" s="841"/>
      <c r="WUU1" s="841"/>
      <c r="WUV1" s="841"/>
      <c r="WUW1" s="841"/>
      <c r="WUX1" s="841"/>
      <c r="WUY1" s="841"/>
      <c r="WUZ1" s="841"/>
      <c r="WVA1" s="841"/>
      <c r="WVB1" s="841"/>
      <c r="WVC1" s="841"/>
      <c r="WVD1" s="841"/>
      <c r="WVE1" s="841"/>
      <c r="WVF1" s="841"/>
      <c r="WVG1" s="841"/>
      <c r="WVH1" s="841"/>
      <c r="WVI1" s="841"/>
      <c r="WVJ1" s="841"/>
      <c r="WVK1" s="841"/>
      <c r="WVL1" s="841"/>
      <c r="WVM1" s="841"/>
      <c r="WVN1" s="841"/>
      <c r="WVO1" s="841"/>
      <c r="WVP1" s="841"/>
      <c r="WVQ1" s="841"/>
      <c r="WVR1" s="841"/>
      <c r="WVS1" s="841"/>
      <c r="WVT1" s="841"/>
      <c r="WVU1" s="841"/>
      <c r="WVV1" s="841"/>
      <c r="WVW1" s="841"/>
      <c r="WVX1" s="841"/>
      <c r="WVY1" s="841"/>
      <c r="WVZ1" s="841"/>
      <c r="WWA1" s="841"/>
      <c r="WWB1" s="841"/>
      <c r="WWC1" s="841"/>
      <c r="WWD1" s="841"/>
      <c r="WWE1" s="841"/>
      <c r="WWF1" s="841"/>
      <c r="WWG1" s="841"/>
      <c r="WWH1" s="841"/>
      <c r="WWI1" s="841"/>
      <c r="WWJ1" s="841"/>
      <c r="WWK1" s="841"/>
      <c r="WWL1" s="841"/>
      <c r="WWM1" s="841"/>
      <c r="WWN1" s="841"/>
      <c r="WWO1" s="841"/>
      <c r="WWP1" s="841"/>
      <c r="WWQ1" s="841"/>
      <c r="WWR1" s="841"/>
      <c r="WWS1" s="841"/>
      <c r="WWT1" s="841"/>
      <c r="WWU1" s="841"/>
      <c r="WWV1" s="841"/>
      <c r="WWW1" s="841"/>
      <c r="WWX1" s="841"/>
      <c r="WWY1" s="841"/>
      <c r="WWZ1" s="841"/>
      <c r="WXA1" s="841"/>
      <c r="WXB1" s="841"/>
      <c r="WXC1" s="841"/>
      <c r="WXD1" s="841"/>
      <c r="WXE1" s="841"/>
      <c r="WXF1" s="841"/>
      <c r="WXG1" s="841"/>
      <c r="WXH1" s="841"/>
      <c r="WXI1" s="841"/>
      <c r="WXJ1" s="841"/>
      <c r="WXK1" s="841"/>
      <c r="WXL1" s="841"/>
      <c r="WXM1" s="841"/>
      <c r="WXN1" s="841"/>
      <c r="WXO1" s="841"/>
      <c r="WXP1" s="841"/>
      <c r="WXQ1" s="841"/>
      <c r="WXR1" s="841"/>
      <c r="WXS1" s="841"/>
      <c r="WXT1" s="841"/>
      <c r="WXU1" s="841"/>
      <c r="WXV1" s="841"/>
      <c r="WXW1" s="841"/>
      <c r="WXX1" s="841"/>
      <c r="WXY1" s="841"/>
      <c r="WXZ1" s="841"/>
      <c r="WYA1" s="841"/>
      <c r="WYB1" s="841"/>
      <c r="WYC1" s="841"/>
      <c r="WYD1" s="841"/>
      <c r="WYE1" s="841"/>
      <c r="WYF1" s="841"/>
      <c r="WYG1" s="841"/>
      <c r="WYH1" s="841"/>
      <c r="WYI1" s="841"/>
      <c r="WYJ1" s="841"/>
      <c r="WYK1" s="841"/>
      <c r="WYL1" s="841"/>
      <c r="WYM1" s="841"/>
      <c r="WYN1" s="841"/>
      <c r="WYO1" s="841"/>
      <c r="WYP1" s="841"/>
      <c r="WYQ1" s="841"/>
      <c r="WYR1" s="841"/>
      <c r="WYS1" s="841"/>
      <c r="WYT1" s="841"/>
      <c r="WYU1" s="841"/>
      <c r="WYV1" s="841"/>
      <c r="WYW1" s="841"/>
      <c r="WYX1" s="841"/>
      <c r="WYY1" s="841"/>
      <c r="WYZ1" s="841"/>
      <c r="WZA1" s="841"/>
      <c r="WZB1" s="841"/>
      <c r="WZC1" s="841"/>
      <c r="WZD1" s="841"/>
      <c r="WZE1" s="841"/>
      <c r="WZF1" s="841"/>
      <c r="WZG1" s="841"/>
      <c r="WZH1" s="841"/>
      <c r="WZI1" s="841"/>
      <c r="WZJ1" s="841"/>
      <c r="WZK1" s="841"/>
      <c r="WZL1" s="841"/>
      <c r="WZM1" s="841"/>
      <c r="WZN1" s="841"/>
      <c r="WZO1" s="841"/>
      <c r="WZP1" s="841"/>
      <c r="WZQ1" s="841"/>
      <c r="WZR1" s="841"/>
      <c r="WZS1" s="841"/>
      <c r="WZT1" s="841"/>
      <c r="WZU1" s="841"/>
      <c r="WZV1" s="841"/>
      <c r="WZW1" s="841"/>
      <c r="WZX1" s="841"/>
      <c r="WZY1" s="841"/>
      <c r="WZZ1" s="841"/>
      <c r="XAA1" s="841"/>
      <c r="XAB1" s="841"/>
      <c r="XAC1" s="841"/>
      <c r="XAD1" s="841"/>
      <c r="XAE1" s="841"/>
      <c r="XAF1" s="841"/>
      <c r="XAG1" s="841"/>
      <c r="XAH1" s="841"/>
      <c r="XAI1" s="841"/>
      <c r="XAJ1" s="841"/>
      <c r="XAK1" s="841"/>
      <c r="XAL1" s="841"/>
      <c r="XAM1" s="841"/>
      <c r="XAN1" s="841"/>
      <c r="XAO1" s="841"/>
      <c r="XAP1" s="841"/>
      <c r="XAQ1" s="841"/>
      <c r="XAR1" s="841"/>
      <c r="XAS1" s="841"/>
      <c r="XAT1" s="841"/>
      <c r="XAU1" s="841"/>
      <c r="XAV1" s="841"/>
      <c r="XAW1" s="841"/>
      <c r="XAX1" s="841"/>
      <c r="XAY1" s="841"/>
      <c r="XAZ1" s="841"/>
      <c r="XBA1" s="841"/>
      <c r="XBB1" s="841"/>
      <c r="XBC1" s="841"/>
      <c r="XBD1" s="841"/>
      <c r="XBE1" s="841"/>
      <c r="XBF1" s="841"/>
      <c r="XBG1" s="841"/>
      <c r="XBH1" s="841"/>
      <c r="XBI1" s="841"/>
      <c r="XBJ1" s="841"/>
      <c r="XBK1" s="841"/>
      <c r="XBL1" s="841"/>
      <c r="XBM1" s="841"/>
      <c r="XBN1" s="841"/>
      <c r="XBO1" s="841"/>
      <c r="XBP1" s="841"/>
      <c r="XBQ1" s="841"/>
      <c r="XBR1" s="841"/>
      <c r="XBS1" s="841"/>
      <c r="XBT1" s="841"/>
      <c r="XBU1" s="841"/>
      <c r="XBV1" s="841"/>
      <c r="XBW1" s="841"/>
      <c r="XBX1" s="841"/>
      <c r="XBY1" s="841"/>
      <c r="XBZ1" s="841"/>
      <c r="XCA1" s="841"/>
      <c r="XCB1" s="841"/>
      <c r="XCC1" s="841"/>
      <c r="XCD1" s="841"/>
      <c r="XCE1" s="841"/>
      <c r="XCF1" s="841"/>
      <c r="XCG1" s="841"/>
      <c r="XCH1" s="841"/>
      <c r="XCI1" s="841"/>
      <c r="XCJ1" s="841"/>
      <c r="XCK1" s="841"/>
      <c r="XCL1" s="841"/>
      <c r="XCM1" s="841"/>
      <c r="XCN1" s="841"/>
      <c r="XCO1" s="841"/>
      <c r="XCP1" s="841"/>
      <c r="XCQ1" s="841"/>
      <c r="XCR1" s="841"/>
      <c r="XCS1" s="841"/>
      <c r="XCT1" s="841"/>
      <c r="XCU1" s="841"/>
      <c r="XCV1" s="841"/>
      <c r="XCW1" s="841"/>
      <c r="XCX1" s="841"/>
      <c r="XCY1" s="841"/>
      <c r="XCZ1" s="841"/>
      <c r="XDA1" s="841"/>
      <c r="XDB1" s="841"/>
      <c r="XDC1" s="841"/>
      <c r="XDD1" s="841"/>
      <c r="XDE1" s="841"/>
      <c r="XDF1" s="841"/>
      <c r="XDG1" s="841"/>
      <c r="XDH1" s="841"/>
      <c r="XDI1" s="841"/>
      <c r="XDJ1" s="841"/>
      <c r="XDK1" s="841"/>
      <c r="XDL1" s="841"/>
      <c r="XDM1" s="841"/>
      <c r="XDN1" s="841"/>
      <c r="XDO1" s="841"/>
      <c r="XDP1" s="841"/>
      <c r="XDQ1" s="841"/>
      <c r="XDR1" s="841"/>
      <c r="XDS1" s="841"/>
      <c r="XDT1" s="841"/>
      <c r="XDU1" s="841"/>
      <c r="XDV1" s="841"/>
      <c r="XDW1" s="841"/>
      <c r="XDX1" s="841"/>
      <c r="XDY1" s="841"/>
      <c r="XDZ1" s="841"/>
      <c r="XEA1" s="841"/>
      <c r="XEB1" s="841"/>
      <c r="XEC1" s="841"/>
      <c r="XED1" s="841"/>
      <c r="XEE1" s="841"/>
      <c r="XEF1" s="841"/>
      <c r="XEG1" s="841"/>
      <c r="XEH1" s="841"/>
      <c r="XEI1" s="841"/>
      <c r="XEJ1" s="841"/>
      <c r="XEK1" s="841"/>
      <c r="XEL1" s="841"/>
      <c r="XEM1" s="841"/>
      <c r="XEN1" s="841"/>
      <c r="XEO1" s="841"/>
      <c r="XEP1" s="841"/>
      <c r="XEQ1" s="841"/>
      <c r="XER1" s="841"/>
      <c r="XES1" s="841"/>
      <c r="XET1" s="841"/>
      <c r="XEU1" s="841"/>
      <c r="XEV1" s="841"/>
      <c r="XEW1" s="841"/>
      <c r="XEX1" s="841"/>
      <c r="XEY1" s="841"/>
      <c r="XEZ1" s="841"/>
    </row>
    <row r="2" spans="1:16380" customFormat="1" ht="20">
      <c r="A2" s="712" t="str">
        <f>Licensee</f>
        <v>ESO</v>
      </c>
      <c r="B2" s="715"/>
      <c r="C2" s="715"/>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row>
    <row r="3" spans="1:16380" s="181" customFormat="1" ht="20">
      <c r="A3" s="707">
        <f>Reporting_Year</f>
        <v>2022</v>
      </c>
      <c r="B3" s="1067" t="str">
        <f>'R5 - Financing'!B3</f>
        <v/>
      </c>
      <c r="C3" s="1067"/>
      <c r="D3" s="1067"/>
      <c r="E3" s="1067"/>
      <c r="F3" s="1067"/>
      <c r="G3" s="1054"/>
      <c r="H3" s="1054"/>
      <c r="I3" s="1055"/>
      <c r="J3" s="1055"/>
      <c r="K3" s="1055"/>
      <c r="L3" s="1055"/>
      <c r="M3" s="1055"/>
      <c r="N3" s="1055"/>
      <c r="O3" s="1055"/>
      <c r="P3" s="1055"/>
      <c r="Q3" s="1055"/>
      <c r="R3" s="1055"/>
      <c r="S3" s="1055"/>
      <c r="T3" s="1055"/>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I3" s="1055"/>
      <c r="BJ3" s="1055"/>
      <c r="BK3" s="1055"/>
      <c r="BL3" s="1055"/>
      <c r="BM3" s="1055"/>
      <c r="BN3" s="1055"/>
      <c r="BO3" s="1055"/>
      <c r="BP3" s="1055"/>
      <c r="BQ3" s="1055"/>
      <c r="BR3" s="1055"/>
      <c r="BS3" s="1055"/>
      <c r="BT3" s="1055"/>
      <c r="BU3" s="1055"/>
      <c r="BV3" s="1055"/>
      <c r="BW3" s="1055"/>
      <c r="BX3" s="1055"/>
      <c r="BY3" s="1055"/>
      <c r="BZ3" s="1055"/>
      <c r="CA3" s="1055"/>
      <c r="CB3" s="1055"/>
      <c r="CC3" s="1055"/>
      <c r="CD3" s="1055"/>
      <c r="CE3" s="1055"/>
      <c r="CF3" s="1055"/>
      <c r="CG3" s="1055"/>
      <c r="CH3" s="1055"/>
      <c r="CI3" s="1055"/>
      <c r="CJ3" s="1055"/>
      <c r="CK3" s="1055"/>
      <c r="CL3" s="1055"/>
      <c r="CM3" s="1055"/>
      <c r="CN3" s="1055"/>
      <c r="CO3" s="1055"/>
      <c r="CP3" s="1055"/>
      <c r="CQ3" s="1055"/>
      <c r="CR3" s="1055"/>
      <c r="CS3" s="1055"/>
      <c r="CT3" s="1055"/>
      <c r="CU3" s="1055"/>
      <c r="CV3" s="1055"/>
      <c r="CW3" s="1055"/>
      <c r="CX3" s="1055"/>
      <c r="CY3" s="1055"/>
      <c r="CZ3" s="1055"/>
      <c r="DA3" s="1055"/>
      <c r="DB3" s="1055"/>
      <c r="DC3" s="1055"/>
      <c r="DD3" s="1055"/>
      <c r="DE3" s="1055"/>
      <c r="DF3" s="1055"/>
      <c r="DG3" s="1055"/>
      <c r="DH3" s="1055"/>
      <c r="DI3" s="1055"/>
      <c r="DJ3" s="1055"/>
      <c r="DK3" s="1055"/>
      <c r="DL3" s="1055"/>
      <c r="DM3" s="1055"/>
      <c r="DN3" s="1055"/>
      <c r="DO3" s="1055"/>
      <c r="DP3" s="1055"/>
      <c r="DQ3" s="1055"/>
      <c r="DR3" s="1055"/>
      <c r="DS3" s="1055"/>
      <c r="DT3" s="1055"/>
      <c r="DU3" s="1055"/>
      <c r="DV3" s="1055"/>
      <c r="DW3" s="1055"/>
      <c r="DX3" s="1055"/>
      <c r="DY3" s="1055"/>
      <c r="DZ3" s="1055"/>
      <c r="EA3" s="1055"/>
      <c r="EB3" s="1055"/>
      <c r="EC3" s="1055"/>
      <c r="ED3" s="1055"/>
      <c r="EE3" s="1055"/>
      <c r="EF3" s="1055"/>
      <c r="EG3" s="1055"/>
      <c r="EH3" s="1055"/>
      <c r="EI3" s="1055"/>
      <c r="EJ3" s="1055"/>
      <c r="EK3" s="1055"/>
      <c r="EL3" s="1055"/>
      <c r="EM3" s="1055"/>
      <c r="EN3" s="1055"/>
      <c r="EO3" s="1055"/>
      <c r="EP3" s="1055"/>
      <c r="EQ3" s="1055"/>
      <c r="ER3" s="1055"/>
      <c r="ES3" s="1055"/>
      <c r="ET3" s="1055"/>
      <c r="EU3" s="1055"/>
      <c r="EV3" s="1055"/>
      <c r="EW3" s="1055"/>
      <c r="EX3" s="1055"/>
      <c r="EY3" s="1055"/>
      <c r="EZ3" s="1055"/>
      <c r="FA3" s="1055"/>
      <c r="FB3" s="1055"/>
      <c r="FC3" s="1055"/>
      <c r="FD3" s="1055"/>
      <c r="FE3" s="1055"/>
      <c r="FF3" s="1055"/>
      <c r="FG3" s="1055"/>
      <c r="FH3" s="1055"/>
      <c r="FI3" s="1055"/>
      <c r="FJ3" s="1055"/>
      <c r="FK3" s="1055"/>
      <c r="FL3" s="1055"/>
      <c r="FM3" s="1055"/>
      <c r="FN3" s="1055"/>
      <c r="FO3" s="1055"/>
      <c r="FP3" s="1055"/>
      <c r="FQ3" s="1055"/>
      <c r="FR3" s="1055"/>
      <c r="FS3" s="1055"/>
      <c r="FT3" s="1055"/>
      <c r="FU3" s="1055"/>
      <c r="FV3" s="1055"/>
      <c r="FW3" s="1055"/>
      <c r="FX3" s="1055"/>
      <c r="FY3" s="1055"/>
      <c r="FZ3" s="1055"/>
      <c r="GA3" s="1055"/>
      <c r="GB3" s="1055"/>
      <c r="GC3" s="1055"/>
      <c r="GD3" s="1055"/>
      <c r="GE3" s="1055"/>
      <c r="GF3" s="1055"/>
      <c r="GG3" s="1055"/>
      <c r="GH3" s="1055"/>
      <c r="GI3" s="1055"/>
      <c r="GJ3" s="1055"/>
      <c r="GK3" s="1055"/>
      <c r="GL3" s="1055"/>
      <c r="GM3" s="1055"/>
      <c r="GN3" s="1055"/>
      <c r="GO3" s="1055"/>
      <c r="GP3" s="1055"/>
      <c r="GQ3" s="1055"/>
      <c r="GR3" s="1055"/>
      <c r="GS3" s="1055"/>
      <c r="GT3" s="1055"/>
      <c r="GU3" s="1055"/>
      <c r="GV3" s="1055"/>
      <c r="GW3" s="1055"/>
      <c r="GX3" s="1055"/>
      <c r="GY3" s="1055"/>
      <c r="GZ3" s="1055"/>
      <c r="HA3" s="1055"/>
      <c r="HB3" s="1055"/>
      <c r="HC3" s="1055"/>
      <c r="HD3" s="1055"/>
      <c r="HE3" s="1055"/>
      <c r="HF3" s="1055"/>
      <c r="HG3" s="1055"/>
      <c r="HH3" s="1055"/>
      <c r="HI3" s="1055"/>
      <c r="HJ3" s="1055"/>
      <c r="HK3" s="1055"/>
      <c r="HL3" s="1055"/>
      <c r="HM3" s="1055"/>
      <c r="HN3" s="1055"/>
      <c r="HO3" s="1055"/>
      <c r="HP3" s="1055"/>
      <c r="HQ3" s="1055"/>
      <c r="HR3" s="1055"/>
      <c r="HS3" s="1055"/>
      <c r="HT3" s="1055"/>
      <c r="HU3" s="1055"/>
      <c r="HV3" s="1055"/>
      <c r="HW3" s="1055"/>
      <c r="HX3" s="1055"/>
      <c r="HY3" s="1055"/>
      <c r="HZ3" s="1055"/>
      <c r="IA3" s="1055"/>
      <c r="IB3" s="1055"/>
      <c r="IC3" s="1055"/>
      <c r="ID3" s="1055"/>
      <c r="IE3" s="1055"/>
      <c r="IF3" s="1055"/>
      <c r="IG3" s="1055"/>
      <c r="IH3" s="1055"/>
      <c r="II3" s="1055"/>
      <c r="IJ3" s="1055"/>
      <c r="IK3" s="1055"/>
      <c r="IL3" s="1055"/>
      <c r="IM3" s="1055"/>
      <c r="IN3" s="1055"/>
      <c r="IO3" s="1055"/>
      <c r="IP3" s="1055"/>
      <c r="IQ3" s="1055"/>
      <c r="IR3" s="1055"/>
      <c r="IS3" s="1055"/>
      <c r="IT3" s="1055"/>
      <c r="IU3" s="1055"/>
      <c r="IV3" s="1055"/>
      <c r="IW3" s="1055"/>
      <c r="IX3" s="1055"/>
      <c r="IY3" s="1055"/>
      <c r="IZ3" s="1055"/>
      <c r="JA3" s="1055"/>
      <c r="JB3" s="1055"/>
      <c r="JC3" s="1055"/>
      <c r="JD3" s="1055"/>
      <c r="JE3" s="1055"/>
      <c r="JF3" s="1055"/>
      <c r="JG3" s="1055"/>
      <c r="JH3" s="1055"/>
      <c r="JI3" s="1055"/>
      <c r="JJ3" s="1055"/>
      <c r="JK3" s="1055"/>
      <c r="JL3" s="1055"/>
      <c r="JM3" s="1055"/>
      <c r="JN3" s="1055"/>
      <c r="JO3" s="1055"/>
      <c r="JP3" s="1055"/>
      <c r="JQ3" s="1055"/>
      <c r="JR3" s="1055"/>
      <c r="JS3" s="1055"/>
      <c r="JT3" s="1055"/>
      <c r="JU3" s="1055"/>
      <c r="JV3" s="1055"/>
      <c r="JW3" s="1055"/>
      <c r="JX3" s="1055"/>
      <c r="JY3" s="1055"/>
      <c r="JZ3" s="1055"/>
      <c r="KA3" s="1055"/>
      <c r="KB3" s="1055"/>
      <c r="KC3" s="1055"/>
      <c r="KD3" s="1055"/>
      <c r="KE3" s="1055"/>
      <c r="KF3" s="1055"/>
      <c r="KG3" s="1055"/>
      <c r="KH3" s="1055"/>
      <c r="KI3" s="1055"/>
      <c r="KJ3" s="1055"/>
      <c r="KK3" s="1055"/>
      <c r="KL3" s="1055"/>
      <c r="KM3" s="1055"/>
      <c r="KN3" s="1055"/>
      <c r="KO3" s="1055"/>
      <c r="KP3" s="1055"/>
      <c r="KQ3" s="1055"/>
      <c r="KR3" s="1055"/>
      <c r="KS3" s="1055"/>
      <c r="KT3" s="1055"/>
      <c r="KU3" s="1055"/>
      <c r="KV3" s="1055"/>
      <c r="KW3" s="1055"/>
      <c r="KX3" s="1055"/>
      <c r="KY3" s="1055"/>
      <c r="KZ3" s="1055"/>
      <c r="LA3" s="1055"/>
      <c r="LB3" s="1055"/>
      <c r="LC3" s="1055"/>
      <c r="LD3" s="1055"/>
      <c r="LE3" s="1055"/>
      <c r="LF3" s="1055"/>
      <c r="LG3" s="1055"/>
      <c r="LH3" s="1055"/>
      <c r="LI3" s="1055"/>
      <c r="LJ3" s="1055"/>
      <c r="LK3" s="1055"/>
      <c r="LL3" s="1055"/>
      <c r="LM3" s="1055"/>
      <c r="LN3" s="1055"/>
      <c r="LO3" s="1055"/>
      <c r="LP3" s="1055"/>
      <c r="LQ3" s="1055"/>
      <c r="LR3" s="1055"/>
      <c r="LS3" s="1055"/>
      <c r="LT3" s="1055"/>
      <c r="LU3" s="1055"/>
      <c r="LV3" s="1055"/>
      <c r="LW3" s="1055"/>
      <c r="LX3" s="1055"/>
      <c r="LY3" s="1055"/>
      <c r="LZ3" s="1055"/>
      <c r="MA3" s="1055"/>
      <c r="MB3" s="1055"/>
      <c r="MC3" s="1055"/>
      <c r="MD3" s="1055"/>
      <c r="ME3" s="1055"/>
      <c r="MF3" s="1055"/>
      <c r="MG3" s="1055"/>
      <c r="MH3" s="1055"/>
      <c r="MI3" s="1055"/>
      <c r="MJ3" s="1055"/>
      <c r="MK3" s="1055"/>
      <c r="ML3" s="1055"/>
      <c r="MM3" s="1055"/>
      <c r="MN3" s="1055"/>
      <c r="MO3" s="1055"/>
      <c r="MP3" s="1055"/>
      <c r="MQ3" s="1055"/>
      <c r="MR3" s="1055"/>
      <c r="MS3" s="1055"/>
      <c r="MT3" s="1055"/>
      <c r="MU3" s="1055"/>
      <c r="MV3" s="1055"/>
      <c r="MW3" s="1055"/>
      <c r="MX3" s="1055"/>
      <c r="MY3" s="1055"/>
      <c r="MZ3" s="1055"/>
      <c r="NA3" s="1055"/>
      <c r="NB3" s="1055"/>
      <c r="NC3" s="1055"/>
      <c r="ND3" s="1055"/>
      <c r="NE3" s="1055"/>
      <c r="NF3" s="1055"/>
      <c r="NG3" s="1055"/>
      <c r="NH3" s="1055"/>
      <c r="NI3" s="1055"/>
      <c r="NJ3" s="1055"/>
      <c r="NK3" s="1055"/>
      <c r="NL3" s="1055"/>
      <c r="NM3" s="1055"/>
      <c r="NN3" s="1055"/>
      <c r="NO3" s="1055"/>
      <c r="NP3" s="1055"/>
      <c r="NQ3" s="1055"/>
      <c r="NR3" s="1055"/>
      <c r="NS3" s="1055"/>
      <c r="NT3" s="1055"/>
      <c r="NU3" s="1055"/>
      <c r="NV3" s="1055"/>
      <c r="NW3" s="1055"/>
      <c r="NX3" s="1055"/>
      <c r="NY3" s="1055"/>
      <c r="NZ3" s="1055"/>
      <c r="OA3" s="1055"/>
      <c r="OB3" s="1055"/>
      <c r="OC3" s="1055"/>
      <c r="OD3" s="1055"/>
      <c r="OE3" s="1055"/>
      <c r="OF3" s="1055"/>
      <c r="OG3" s="1055"/>
      <c r="OH3" s="1055"/>
      <c r="OI3" s="1055"/>
      <c r="OJ3" s="1055"/>
      <c r="OK3" s="1055"/>
      <c r="OL3" s="1055"/>
      <c r="OM3" s="1055"/>
      <c r="ON3" s="1055"/>
      <c r="OO3" s="1055"/>
      <c r="OP3" s="1055"/>
      <c r="OQ3" s="1055"/>
      <c r="OR3" s="1055"/>
      <c r="OS3" s="1055"/>
      <c r="OT3" s="1055"/>
      <c r="OU3" s="1055"/>
      <c r="OV3" s="1055"/>
      <c r="OW3" s="1055"/>
      <c r="OX3" s="1055"/>
      <c r="OY3" s="1055"/>
      <c r="OZ3" s="1055"/>
      <c r="PA3" s="1055"/>
      <c r="PB3" s="1055"/>
      <c r="PC3" s="1055"/>
      <c r="PD3" s="1055"/>
      <c r="PE3" s="1055"/>
      <c r="PF3" s="1055"/>
      <c r="PG3" s="1055"/>
      <c r="PH3" s="1055"/>
      <c r="PI3" s="1055"/>
      <c r="PJ3" s="1055"/>
      <c r="PK3" s="1055"/>
      <c r="PL3" s="1055"/>
      <c r="PM3" s="1055"/>
      <c r="PN3" s="1055"/>
      <c r="PO3" s="1055"/>
      <c r="PP3" s="1055"/>
      <c r="PQ3" s="1055"/>
      <c r="PR3" s="1055"/>
      <c r="PS3" s="1055"/>
      <c r="PT3" s="1055"/>
      <c r="PU3" s="1055"/>
      <c r="PV3" s="1055"/>
      <c r="PW3" s="1055"/>
      <c r="PX3" s="1055"/>
      <c r="PY3" s="1055"/>
      <c r="PZ3" s="1055"/>
      <c r="QA3" s="1055"/>
      <c r="QB3" s="1055"/>
      <c r="QC3" s="1055"/>
      <c r="QD3" s="1055"/>
      <c r="QE3" s="1055"/>
      <c r="QF3" s="1055"/>
      <c r="QG3" s="1055"/>
      <c r="QH3" s="1055"/>
      <c r="QI3" s="1055"/>
      <c r="QJ3" s="1055"/>
      <c r="QK3" s="1055"/>
      <c r="QL3" s="1055"/>
      <c r="QM3" s="1055"/>
      <c r="QN3" s="1055"/>
      <c r="QO3" s="1055"/>
      <c r="QP3" s="1055"/>
      <c r="QQ3" s="1055"/>
      <c r="QR3" s="1055"/>
      <c r="QS3" s="1055"/>
      <c r="QT3" s="1055"/>
      <c r="QU3" s="1055"/>
      <c r="QV3" s="1055"/>
      <c r="QW3" s="1055"/>
      <c r="QX3" s="1055"/>
      <c r="QY3" s="1055"/>
      <c r="QZ3" s="1055"/>
      <c r="RA3" s="1055"/>
      <c r="RB3" s="1055"/>
      <c r="RC3" s="1055"/>
      <c r="RD3" s="1055"/>
      <c r="RE3" s="1055"/>
      <c r="RF3" s="1055"/>
      <c r="RG3" s="1055"/>
      <c r="RH3" s="1055"/>
      <c r="RI3" s="1055"/>
      <c r="RJ3" s="1055"/>
      <c r="RK3" s="1055"/>
      <c r="RL3" s="1055"/>
      <c r="RM3" s="1055"/>
      <c r="RN3" s="1055"/>
      <c r="RO3" s="1055"/>
      <c r="RP3" s="1055"/>
      <c r="RQ3" s="1055"/>
      <c r="RR3" s="1055"/>
      <c r="RS3" s="1055"/>
      <c r="RT3" s="1055"/>
      <c r="RU3" s="1055"/>
      <c r="RV3" s="1055"/>
      <c r="RW3" s="1055"/>
      <c r="RX3" s="1055"/>
      <c r="RY3" s="1055"/>
      <c r="RZ3" s="1055"/>
      <c r="SA3" s="1055"/>
      <c r="SB3" s="1055"/>
      <c r="SC3" s="1055"/>
      <c r="SD3" s="1055"/>
      <c r="SE3" s="1055"/>
      <c r="SF3" s="1055"/>
      <c r="SG3" s="1055"/>
      <c r="SH3" s="1055"/>
      <c r="SI3" s="1055"/>
      <c r="SJ3" s="1055"/>
      <c r="SK3" s="1055"/>
      <c r="SL3" s="1055"/>
      <c r="SM3" s="1055"/>
      <c r="SN3" s="1055"/>
      <c r="SO3" s="1055"/>
      <c r="SP3" s="1055"/>
      <c r="SQ3" s="1055"/>
      <c r="SR3" s="1055"/>
      <c r="SS3" s="1055"/>
      <c r="ST3" s="1055"/>
      <c r="SU3" s="1055"/>
      <c r="SV3" s="1055"/>
      <c r="SW3" s="1055"/>
      <c r="SX3" s="1055"/>
      <c r="SY3" s="1055"/>
      <c r="SZ3" s="1055"/>
      <c r="TA3" s="1055"/>
      <c r="TB3" s="1055"/>
      <c r="TC3" s="1055"/>
      <c r="TD3" s="1055"/>
      <c r="TE3" s="1055"/>
      <c r="TF3" s="1055"/>
      <c r="TG3" s="1055"/>
      <c r="TH3" s="1055"/>
      <c r="TI3" s="1055"/>
      <c r="TJ3" s="1055"/>
      <c r="TK3" s="1055"/>
      <c r="TL3" s="1055"/>
      <c r="TM3" s="1055"/>
      <c r="TN3" s="1055"/>
      <c r="TO3" s="1055"/>
      <c r="TP3" s="1055"/>
      <c r="TQ3" s="1055"/>
      <c r="TR3" s="1055"/>
      <c r="TS3" s="1055"/>
      <c r="TT3" s="1055"/>
      <c r="TU3" s="1055"/>
      <c r="TV3" s="1055"/>
      <c r="TW3" s="1055"/>
      <c r="TX3" s="1055"/>
      <c r="TY3" s="1055"/>
      <c r="TZ3" s="1055"/>
      <c r="UA3" s="1055"/>
      <c r="UB3" s="1055"/>
      <c r="UC3" s="1055"/>
      <c r="UD3" s="1055"/>
      <c r="UE3" s="1055"/>
      <c r="UF3" s="1055"/>
      <c r="UG3" s="1055"/>
      <c r="UH3" s="1055"/>
      <c r="UI3" s="1055"/>
      <c r="UJ3" s="1055"/>
      <c r="UK3" s="1055"/>
      <c r="UL3" s="1055"/>
      <c r="UM3" s="1055"/>
      <c r="UN3" s="1055"/>
      <c r="UO3" s="1055"/>
      <c r="UP3" s="1055"/>
      <c r="UQ3" s="1055"/>
      <c r="UR3" s="1055"/>
      <c r="US3" s="1055"/>
      <c r="UT3" s="1055"/>
      <c r="UU3" s="1055"/>
      <c r="UV3" s="1055"/>
      <c r="UW3" s="1055"/>
      <c r="UX3" s="1055"/>
      <c r="UY3" s="1055"/>
      <c r="UZ3" s="1055"/>
      <c r="VA3" s="1055"/>
      <c r="VB3" s="1055"/>
      <c r="VC3" s="1055"/>
      <c r="VD3" s="1055"/>
      <c r="VE3" s="1055"/>
      <c r="VF3" s="1055"/>
      <c r="VG3" s="1055"/>
      <c r="VH3" s="1055"/>
      <c r="VI3" s="1055"/>
      <c r="VJ3" s="1055"/>
      <c r="VK3" s="1055"/>
      <c r="VL3" s="1055"/>
      <c r="VM3" s="1055"/>
      <c r="VN3" s="1055"/>
      <c r="VO3" s="1055"/>
      <c r="VP3" s="1055"/>
      <c r="VQ3" s="1055"/>
      <c r="VR3" s="1055"/>
      <c r="VS3" s="1055"/>
      <c r="VT3" s="1055"/>
      <c r="VU3" s="1055"/>
      <c r="VV3" s="1055"/>
      <c r="VW3" s="1055"/>
      <c r="VX3" s="1055"/>
      <c r="VY3" s="1055"/>
      <c r="VZ3" s="1055"/>
      <c r="WA3" s="1055"/>
      <c r="WB3" s="1055"/>
      <c r="WC3" s="1055"/>
      <c r="WD3" s="1055"/>
      <c r="WE3" s="1055"/>
      <c r="WF3" s="1055"/>
      <c r="WG3" s="1055"/>
      <c r="WH3" s="1055"/>
      <c r="WI3" s="1055"/>
      <c r="WJ3" s="1055"/>
      <c r="WK3" s="1055"/>
      <c r="WL3" s="1055"/>
      <c r="WM3" s="1055"/>
      <c r="WN3" s="1055"/>
      <c r="WO3" s="1055"/>
      <c r="WP3" s="1055"/>
      <c r="WQ3" s="1055"/>
      <c r="WR3" s="1055"/>
      <c r="WS3" s="1055"/>
      <c r="WT3" s="1055"/>
      <c r="WU3" s="1055"/>
      <c r="WV3" s="1055"/>
      <c r="WW3" s="1055"/>
      <c r="WX3" s="1055"/>
      <c r="WY3" s="1055"/>
      <c r="WZ3" s="1055"/>
      <c r="XA3" s="1055"/>
      <c r="XB3" s="1055"/>
      <c r="XC3" s="1055"/>
      <c r="XD3" s="1055"/>
      <c r="XE3" s="1055"/>
      <c r="XF3" s="1055"/>
      <c r="XG3" s="1055"/>
      <c r="XH3" s="1055"/>
      <c r="XI3" s="1055"/>
      <c r="XJ3" s="1055"/>
      <c r="XK3" s="1055"/>
      <c r="XL3" s="1055"/>
      <c r="XM3" s="1055"/>
      <c r="XN3" s="1055"/>
      <c r="XO3" s="1055"/>
      <c r="XP3" s="1055"/>
      <c r="XQ3" s="1055"/>
      <c r="XR3" s="1055"/>
      <c r="XS3" s="1055"/>
      <c r="XT3" s="1055"/>
      <c r="XU3" s="1055"/>
      <c r="XV3" s="1055"/>
      <c r="XW3" s="1055"/>
      <c r="XX3" s="1055"/>
      <c r="XY3" s="1055"/>
      <c r="XZ3" s="1055"/>
      <c r="YA3" s="1055"/>
      <c r="YB3" s="1055"/>
      <c r="YC3" s="1055"/>
      <c r="YD3" s="1055"/>
      <c r="YE3" s="1055"/>
      <c r="YF3" s="1055"/>
      <c r="YG3" s="1055"/>
      <c r="YH3" s="1055"/>
      <c r="YI3" s="1055"/>
      <c r="YJ3" s="1055"/>
      <c r="YK3" s="1055"/>
      <c r="YL3" s="1055"/>
      <c r="YM3" s="1055"/>
      <c r="YN3" s="1055"/>
      <c r="YO3" s="1055"/>
      <c r="YP3" s="1055"/>
      <c r="YQ3" s="1055"/>
      <c r="YR3" s="1055"/>
      <c r="YS3" s="1055"/>
      <c r="YT3" s="1055"/>
      <c r="YU3" s="1055"/>
      <c r="YV3" s="1055"/>
      <c r="YW3" s="1055"/>
      <c r="YX3" s="1055"/>
      <c r="YY3" s="1055"/>
      <c r="YZ3" s="1055"/>
      <c r="ZA3" s="1055"/>
      <c r="ZB3" s="1055"/>
      <c r="ZC3" s="1055"/>
      <c r="ZD3" s="1055"/>
      <c r="ZE3" s="1055"/>
      <c r="ZF3" s="1055"/>
      <c r="ZG3" s="1055"/>
      <c r="ZH3" s="1055"/>
      <c r="ZI3" s="1055"/>
      <c r="ZJ3" s="1055"/>
      <c r="ZK3" s="1055"/>
      <c r="ZL3" s="1055"/>
      <c r="ZM3" s="1055"/>
      <c r="ZN3" s="1055"/>
      <c r="ZO3" s="1055"/>
      <c r="ZP3" s="1055"/>
      <c r="ZQ3" s="1055"/>
      <c r="ZR3" s="1055"/>
      <c r="ZS3" s="1055"/>
      <c r="ZT3" s="1055"/>
      <c r="ZU3" s="1055"/>
      <c r="ZV3" s="1055"/>
      <c r="ZW3" s="1055"/>
      <c r="ZX3" s="1055"/>
      <c r="ZY3" s="1055"/>
      <c r="ZZ3" s="1055"/>
      <c r="AAA3" s="1055"/>
      <c r="AAB3" s="1055"/>
      <c r="AAC3" s="1055"/>
      <c r="AAD3" s="1055"/>
      <c r="AAE3" s="1055"/>
      <c r="AAF3" s="1055"/>
      <c r="AAG3" s="1055"/>
      <c r="AAH3" s="1055"/>
      <c r="AAI3" s="1055"/>
      <c r="AAJ3" s="1055"/>
      <c r="AAK3" s="1055"/>
      <c r="AAL3" s="1055"/>
      <c r="AAM3" s="1055"/>
      <c r="AAN3" s="1055"/>
      <c r="AAO3" s="1055"/>
      <c r="AAP3" s="1055"/>
      <c r="AAQ3" s="1055"/>
      <c r="AAR3" s="1055"/>
      <c r="AAS3" s="1055"/>
      <c r="AAT3" s="1055"/>
      <c r="AAU3" s="1055"/>
      <c r="AAV3" s="1055"/>
      <c r="AAW3" s="1055"/>
      <c r="AAX3" s="1055"/>
      <c r="AAY3" s="1055"/>
      <c r="AAZ3" s="1055"/>
      <c r="ABA3" s="1055"/>
      <c r="ABB3" s="1055"/>
      <c r="ABC3" s="1055"/>
      <c r="ABD3" s="1055"/>
      <c r="ABE3" s="1055"/>
      <c r="ABF3" s="1055"/>
      <c r="ABG3" s="1055"/>
      <c r="ABH3" s="1055"/>
      <c r="ABI3" s="1055"/>
      <c r="ABJ3" s="1055"/>
      <c r="ABK3" s="1055"/>
      <c r="ABL3" s="1055"/>
      <c r="ABM3" s="1055"/>
      <c r="ABN3" s="1055"/>
      <c r="ABO3" s="1055"/>
      <c r="ABP3" s="1055"/>
      <c r="ABQ3" s="1055"/>
      <c r="ABR3" s="1055"/>
      <c r="ABS3" s="1055"/>
      <c r="ABT3" s="1055"/>
      <c r="ABU3" s="1055"/>
      <c r="ABV3" s="1055"/>
      <c r="ABW3" s="1055"/>
      <c r="ABX3" s="1055"/>
      <c r="ABY3" s="1055"/>
      <c r="ABZ3" s="1055"/>
      <c r="ACA3" s="1055"/>
      <c r="ACB3" s="1055"/>
      <c r="ACC3" s="1055"/>
      <c r="ACD3" s="1055"/>
      <c r="ACE3" s="1055"/>
      <c r="ACF3" s="1055"/>
      <c r="ACG3" s="1055"/>
      <c r="ACH3" s="1055"/>
      <c r="ACI3" s="1055"/>
      <c r="ACJ3" s="1055"/>
      <c r="ACK3" s="1055"/>
      <c r="ACL3" s="1055"/>
      <c r="ACM3" s="1055"/>
      <c r="ACN3" s="1055"/>
      <c r="ACO3" s="1055"/>
      <c r="ACP3" s="1055"/>
      <c r="ACQ3" s="1055"/>
      <c r="ACR3" s="1055"/>
      <c r="ACS3" s="1055"/>
      <c r="ACT3" s="1055"/>
      <c r="ACU3" s="1055"/>
      <c r="ACV3" s="1055"/>
      <c r="ACW3" s="1055"/>
      <c r="ACX3" s="1055"/>
      <c r="ACY3" s="1055"/>
      <c r="ACZ3" s="1055"/>
      <c r="ADA3" s="1055"/>
      <c r="ADB3" s="1055"/>
      <c r="ADC3" s="1055"/>
      <c r="ADD3" s="1055"/>
      <c r="ADE3" s="1055"/>
      <c r="ADF3" s="1055"/>
      <c r="ADG3" s="1055"/>
      <c r="ADH3" s="1055"/>
      <c r="ADI3" s="1055"/>
      <c r="ADJ3" s="1055"/>
      <c r="ADK3" s="1055"/>
      <c r="ADL3" s="1055"/>
      <c r="ADM3" s="1055"/>
      <c r="ADN3" s="1055"/>
      <c r="ADO3" s="1055"/>
      <c r="ADP3" s="1055"/>
      <c r="ADQ3" s="1055"/>
      <c r="ADR3" s="1055"/>
      <c r="ADS3" s="1055"/>
      <c r="ADT3" s="1055"/>
      <c r="ADU3" s="1055"/>
      <c r="ADV3" s="1055"/>
      <c r="ADW3" s="1055"/>
      <c r="ADX3" s="1055"/>
      <c r="ADY3" s="1055"/>
      <c r="ADZ3" s="1055"/>
      <c r="AEA3" s="1055"/>
      <c r="AEB3" s="1055"/>
      <c r="AEC3" s="1055"/>
      <c r="AED3" s="1055"/>
      <c r="AEE3" s="1055"/>
      <c r="AEF3" s="1055"/>
      <c r="AEG3" s="1055"/>
      <c r="AEH3" s="1055"/>
      <c r="AEI3" s="1055"/>
      <c r="AEJ3" s="1055"/>
      <c r="AEK3" s="1055"/>
      <c r="AEL3" s="1055"/>
      <c r="AEM3" s="1055"/>
      <c r="AEN3" s="1055"/>
      <c r="AEO3" s="1055"/>
      <c r="AEP3" s="1055"/>
      <c r="AEQ3" s="1055"/>
      <c r="AER3" s="1055"/>
      <c r="AES3" s="1055"/>
      <c r="AET3" s="1055"/>
      <c r="AEU3" s="1055"/>
      <c r="AEV3" s="1055"/>
      <c r="AEW3" s="1055"/>
      <c r="AEX3" s="1055"/>
      <c r="AEY3" s="1055"/>
      <c r="AEZ3" s="1055"/>
      <c r="AFA3" s="1055"/>
      <c r="AFB3" s="1055"/>
      <c r="AFC3" s="1055"/>
      <c r="AFD3" s="1055"/>
      <c r="AFE3" s="1055"/>
      <c r="AFF3" s="1055"/>
      <c r="AFG3" s="1055"/>
      <c r="AFH3" s="1055"/>
      <c r="AFI3" s="1055"/>
      <c r="AFJ3" s="1055"/>
      <c r="AFK3" s="1055"/>
      <c r="AFL3" s="1055"/>
      <c r="AFM3" s="1055"/>
      <c r="AFN3" s="1055"/>
      <c r="AFO3" s="1055"/>
      <c r="AFP3" s="1055"/>
      <c r="AFQ3" s="1055"/>
      <c r="AFR3" s="1055"/>
      <c r="AFS3" s="1055"/>
      <c r="AFT3" s="1055"/>
      <c r="AFU3" s="1055"/>
      <c r="AFV3" s="1055"/>
      <c r="AFW3" s="1055"/>
      <c r="AFX3" s="1055"/>
      <c r="AFY3" s="1055"/>
      <c r="AFZ3" s="1055"/>
      <c r="AGA3" s="1055"/>
      <c r="AGB3" s="1055"/>
      <c r="AGC3" s="1055"/>
      <c r="AGD3" s="1055"/>
      <c r="AGE3" s="1055"/>
      <c r="AGF3" s="1055"/>
      <c r="AGG3" s="1055"/>
      <c r="AGH3" s="1055"/>
      <c r="AGI3" s="1055"/>
      <c r="AGJ3" s="1055"/>
      <c r="AGK3" s="1055"/>
      <c r="AGL3" s="1055"/>
      <c r="AGM3" s="1055"/>
      <c r="AGN3" s="1055"/>
      <c r="AGO3" s="1055"/>
      <c r="AGP3" s="1055"/>
      <c r="AGQ3" s="1055"/>
      <c r="AGR3" s="1055"/>
      <c r="AGS3" s="1055"/>
      <c r="AGT3" s="1055"/>
      <c r="AGU3" s="1055"/>
      <c r="AGV3" s="1055"/>
      <c r="AGW3" s="1055"/>
      <c r="AGX3" s="1055"/>
      <c r="AGY3" s="1055"/>
      <c r="AGZ3" s="1055"/>
      <c r="AHA3" s="1055"/>
      <c r="AHB3" s="1055"/>
      <c r="AHC3" s="1055"/>
      <c r="AHD3" s="1055"/>
      <c r="AHE3" s="1055"/>
      <c r="AHF3" s="1055"/>
      <c r="AHG3" s="1055"/>
      <c r="AHH3" s="1055"/>
      <c r="AHI3" s="1055"/>
      <c r="AHJ3" s="1055"/>
      <c r="AHK3" s="1055"/>
      <c r="AHL3" s="1055"/>
      <c r="AHM3" s="1055"/>
      <c r="AHN3" s="1055"/>
      <c r="AHO3" s="1055"/>
      <c r="AHP3" s="1055"/>
      <c r="AHQ3" s="1055"/>
      <c r="AHR3" s="1055"/>
      <c r="AHS3" s="1055"/>
      <c r="AHT3" s="1055"/>
      <c r="AHU3" s="1055"/>
      <c r="AHV3" s="1055"/>
      <c r="AHW3" s="1055"/>
      <c r="AHX3" s="1055"/>
      <c r="AHY3" s="1055"/>
      <c r="AHZ3" s="1055"/>
      <c r="AIA3" s="1055"/>
      <c r="AIB3" s="1055"/>
      <c r="AIC3" s="1055"/>
      <c r="AID3" s="1055"/>
      <c r="AIE3" s="1055"/>
      <c r="AIF3" s="1055"/>
      <c r="AIG3" s="1055"/>
      <c r="AIH3" s="1055"/>
      <c r="AII3" s="1055"/>
      <c r="AIJ3" s="1055"/>
      <c r="AIK3" s="1055"/>
      <c r="AIL3" s="1055"/>
      <c r="AIM3" s="1055"/>
      <c r="AIN3" s="1055"/>
      <c r="AIO3" s="1055"/>
      <c r="AIP3" s="1055"/>
      <c r="AIQ3" s="1055"/>
      <c r="AIR3" s="1055"/>
      <c r="AIS3" s="1055"/>
      <c r="AIT3" s="1055"/>
      <c r="AIU3" s="1055"/>
      <c r="AIV3" s="1055"/>
      <c r="AIW3" s="1055"/>
      <c r="AIX3" s="1055"/>
      <c r="AIY3" s="1055"/>
      <c r="AIZ3" s="1055"/>
      <c r="AJA3" s="1055"/>
      <c r="AJB3" s="1055"/>
      <c r="AJC3" s="1055"/>
      <c r="AJD3" s="1055"/>
      <c r="AJE3" s="1055"/>
      <c r="AJF3" s="1055"/>
      <c r="AJG3" s="1055"/>
      <c r="AJH3" s="1055"/>
      <c r="AJI3" s="1055"/>
      <c r="AJJ3" s="1055"/>
      <c r="AJK3" s="1055"/>
      <c r="AJL3" s="1055"/>
      <c r="AJM3" s="1055"/>
      <c r="AJN3" s="1055"/>
      <c r="AJO3" s="1055"/>
      <c r="AJP3" s="1055"/>
      <c r="AJQ3" s="1055"/>
      <c r="AJR3" s="1055"/>
      <c r="AJS3" s="1055"/>
      <c r="AJT3" s="1055"/>
      <c r="AJU3" s="1055"/>
      <c r="AJV3" s="1055"/>
      <c r="AJW3" s="1055"/>
      <c r="AJX3" s="1055"/>
      <c r="AJY3" s="1055"/>
      <c r="AJZ3" s="1055"/>
      <c r="AKA3" s="1055"/>
      <c r="AKB3" s="1055"/>
      <c r="AKC3" s="1055"/>
      <c r="AKD3" s="1055"/>
      <c r="AKE3" s="1055"/>
      <c r="AKF3" s="1055"/>
      <c r="AKG3" s="1055"/>
      <c r="AKH3" s="1055"/>
      <c r="AKI3" s="1055"/>
      <c r="AKJ3" s="1055"/>
      <c r="AKK3" s="1055"/>
      <c r="AKL3" s="1055"/>
      <c r="AKM3" s="1055"/>
      <c r="AKN3" s="1055"/>
      <c r="AKO3" s="1055"/>
      <c r="AKP3" s="1055"/>
      <c r="AKQ3" s="1055"/>
      <c r="AKR3" s="1055"/>
      <c r="AKS3" s="1055"/>
      <c r="AKT3" s="1055"/>
      <c r="AKU3" s="1055"/>
      <c r="AKV3" s="1055"/>
      <c r="AKW3" s="1055"/>
      <c r="AKX3" s="1055"/>
      <c r="AKY3" s="1055"/>
      <c r="AKZ3" s="1055"/>
      <c r="ALA3" s="1055"/>
      <c r="ALB3" s="1055"/>
      <c r="ALC3" s="1055"/>
      <c r="ALD3" s="1055"/>
      <c r="ALE3" s="1055"/>
      <c r="ALF3" s="1055"/>
      <c r="ALG3" s="1055"/>
      <c r="ALH3" s="1055"/>
      <c r="ALI3" s="1055"/>
      <c r="ALJ3" s="1055"/>
      <c r="ALK3" s="1055"/>
      <c r="ALL3" s="1055"/>
      <c r="ALM3" s="1055"/>
      <c r="ALN3" s="1055"/>
      <c r="ALO3" s="1055"/>
      <c r="ALP3" s="1055"/>
      <c r="ALQ3" s="1055"/>
      <c r="ALR3" s="1055"/>
      <c r="ALS3" s="1055"/>
      <c r="ALT3" s="1055"/>
      <c r="ALU3" s="1055"/>
      <c r="ALV3" s="1055"/>
      <c r="ALW3" s="1055"/>
      <c r="ALX3" s="1055"/>
      <c r="ALY3" s="1055"/>
      <c r="ALZ3" s="1055"/>
      <c r="AMA3" s="1055"/>
      <c r="AMB3" s="1055"/>
      <c r="AMC3" s="1055"/>
      <c r="AMD3" s="1055"/>
      <c r="AME3" s="1055"/>
      <c r="AMF3" s="1055"/>
      <c r="AMG3" s="1055"/>
      <c r="AMH3" s="1055"/>
      <c r="AMI3" s="1055"/>
      <c r="AMJ3" s="1055"/>
      <c r="AMK3" s="1055"/>
      <c r="AML3" s="1055"/>
      <c r="AMM3" s="1055"/>
      <c r="AMN3" s="1055"/>
      <c r="AMO3" s="1055"/>
      <c r="AMP3" s="1055"/>
      <c r="AMQ3" s="1055"/>
      <c r="AMR3" s="1055"/>
      <c r="AMS3" s="1055"/>
      <c r="AMT3" s="1055"/>
      <c r="AMU3" s="1055"/>
      <c r="AMV3" s="1055"/>
      <c r="AMW3" s="1055"/>
      <c r="AMX3" s="1055"/>
      <c r="AMY3" s="1055"/>
      <c r="AMZ3" s="1055"/>
      <c r="ANA3" s="1055"/>
      <c r="ANB3" s="1055"/>
      <c r="ANC3" s="1055"/>
      <c r="AND3" s="1055"/>
      <c r="ANE3" s="1055"/>
      <c r="ANF3" s="1055"/>
      <c r="ANG3" s="1055"/>
      <c r="ANH3" s="1055"/>
      <c r="ANI3" s="1055"/>
      <c r="ANJ3" s="1055"/>
      <c r="ANK3" s="1055"/>
      <c r="ANL3" s="1055"/>
      <c r="ANM3" s="1055"/>
      <c r="ANN3" s="1055"/>
      <c r="ANO3" s="1055"/>
      <c r="ANP3" s="1055"/>
      <c r="ANQ3" s="1055"/>
      <c r="ANR3" s="1055"/>
      <c r="ANS3" s="1055"/>
      <c r="ANT3" s="1055"/>
      <c r="ANU3" s="1055"/>
      <c r="ANV3" s="1055"/>
      <c r="ANW3" s="1055"/>
      <c r="ANX3" s="1055"/>
      <c r="ANY3" s="1055"/>
      <c r="ANZ3" s="1055"/>
      <c r="AOA3" s="1055"/>
      <c r="AOB3" s="1055"/>
      <c r="AOC3" s="1055"/>
      <c r="AOD3" s="1055"/>
      <c r="AOE3" s="1055"/>
      <c r="AOF3" s="1055"/>
      <c r="AOG3" s="1055"/>
      <c r="AOH3" s="1055"/>
      <c r="AOI3" s="1055"/>
      <c r="AOJ3" s="1055"/>
      <c r="AOK3" s="1055"/>
      <c r="AOL3" s="1055"/>
      <c r="AOM3" s="1055"/>
      <c r="AON3" s="1055"/>
      <c r="AOO3" s="1055"/>
      <c r="AOP3" s="1055"/>
      <c r="AOQ3" s="1055"/>
      <c r="AOR3" s="1055"/>
      <c r="AOS3" s="1055"/>
      <c r="AOT3" s="1055"/>
      <c r="AOU3" s="1055"/>
      <c r="AOV3" s="1055"/>
      <c r="AOW3" s="1055"/>
      <c r="AOX3" s="1055"/>
      <c r="AOY3" s="1055"/>
      <c r="AOZ3" s="1055"/>
      <c r="APA3" s="1055"/>
      <c r="APB3" s="1055"/>
      <c r="APC3" s="1055"/>
      <c r="APD3" s="1055"/>
      <c r="APE3" s="1055"/>
      <c r="APF3" s="1055"/>
      <c r="APG3" s="1055"/>
      <c r="APH3" s="1055"/>
      <c r="API3" s="1055"/>
      <c r="APJ3" s="1055"/>
      <c r="APK3" s="1055"/>
      <c r="APL3" s="1055"/>
      <c r="APM3" s="1055"/>
      <c r="APN3" s="1055"/>
      <c r="APO3" s="1055"/>
      <c r="APP3" s="1055"/>
      <c r="APQ3" s="1055"/>
      <c r="APR3" s="1055"/>
      <c r="APS3" s="1055"/>
      <c r="APT3" s="1055"/>
      <c r="APU3" s="1055"/>
      <c r="APV3" s="1055"/>
      <c r="APW3" s="1055"/>
      <c r="APX3" s="1055"/>
      <c r="APY3" s="1055"/>
      <c r="APZ3" s="1055"/>
      <c r="AQA3" s="1055"/>
      <c r="AQB3" s="1055"/>
      <c r="AQC3" s="1055"/>
      <c r="AQD3" s="1055"/>
      <c r="AQE3" s="1055"/>
      <c r="AQF3" s="1055"/>
      <c r="AQG3" s="1055"/>
      <c r="AQH3" s="1055"/>
      <c r="AQI3" s="1055"/>
      <c r="AQJ3" s="1055"/>
      <c r="AQK3" s="1055"/>
      <c r="AQL3" s="1055"/>
      <c r="AQM3" s="1055"/>
      <c r="AQN3" s="1055"/>
      <c r="AQO3" s="1055"/>
      <c r="AQP3" s="1055"/>
      <c r="AQQ3" s="1055"/>
      <c r="AQR3" s="1055"/>
      <c r="AQS3" s="1055"/>
      <c r="AQT3" s="1055"/>
      <c r="AQU3" s="1055"/>
      <c r="AQV3" s="1055"/>
      <c r="AQW3" s="1055"/>
      <c r="AQX3" s="1055"/>
      <c r="AQY3" s="1055"/>
      <c r="AQZ3" s="1055"/>
      <c r="ARA3" s="1055"/>
      <c r="ARB3" s="1055"/>
      <c r="ARC3" s="1055"/>
      <c r="ARD3" s="1055"/>
      <c r="ARE3" s="1055"/>
      <c r="ARF3" s="1055"/>
      <c r="ARG3" s="1055"/>
      <c r="ARH3" s="1055"/>
      <c r="ARI3" s="1055"/>
      <c r="ARJ3" s="1055"/>
      <c r="ARK3" s="1055"/>
      <c r="ARL3" s="1055"/>
      <c r="ARM3" s="1055"/>
      <c r="ARN3" s="1055"/>
      <c r="ARO3" s="1055"/>
      <c r="ARP3" s="1055"/>
      <c r="ARQ3" s="1055"/>
      <c r="ARR3" s="1055"/>
      <c r="ARS3" s="1055"/>
      <c r="ART3" s="1055"/>
      <c r="ARU3" s="1055"/>
      <c r="ARV3" s="1055"/>
      <c r="ARW3" s="1055"/>
      <c r="ARX3" s="1055"/>
      <c r="ARY3" s="1055"/>
      <c r="ARZ3" s="1055"/>
      <c r="ASA3" s="1055"/>
      <c r="ASB3" s="1055"/>
      <c r="ASC3" s="1055"/>
      <c r="ASD3" s="1055"/>
      <c r="ASE3" s="1055"/>
      <c r="ASF3" s="1055"/>
      <c r="ASG3" s="1055"/>
      <c r="ASH3" s="1055"/>
      <c r="ASI3" s="1055"/>
      <c r="ASJ3" s="1055"/>
      <c r="ASK3" s="1055"/>
      <c r="ASL3" s="1055"/>
      <c r="ASM3" s="1055"/>
      <c r="ASN3" s="1055"/>
      <c r="ASO3" s="1055"/>
      <c r="ASP3" s="1055"/>
      <c r="ASQ3" s="1055"/>
      <c r="ASR3" s="1055"/>
      <c r="ASS3" s="1055"/>
      <c r="AST3" s="1055"/>
      <c r="ASU3" s="1055"/>
      <c r="ASV3" s="1055"/>
      <c r="ASW3" s="1055"/>
      <c r="ASX3" s="1055"/>
      <c r="ASY3" s="1055"/>
      <c r="ASZ3" s="1055"/>
      <c r="ATA3" s="1055"/>
      <c r="ATB3" s="1055"/>
      <c r="ATC3" s="1055"/>
      <c r="ATD3" s="1055"/>
      <c r="ATE3" s="1055"/>
      <c r="ATF3" s="1055"/>
      <c r="ATG3" s="1055"/>
      <c r="ATH3" s="1055"/>
      <c r="ATI3" s="1055"/>
      <c r="ATJ3" s="1055"/>
      <c r="ATK3" s="1055"/>
      <c r="ATL3" s="1055"/>
      <c r="ATM3" s="1055"/>
      <c r="ATN3" s="1055"/>
      <c r="ATO3" s="1055"/>
      <c r="ATP3" s="1055"/>
      <c r="ATQ3" s="1055"/>
      <c r="ATR3" s="1055"/>
      <c r="ATS3" s="1055"/>
      <c r="ATT3" s="1055"/>
      <c r="ATU3" s="1055"/>
      <c r="ATV3" s="1055"/>
      <c r="ATW3" s="1055"/>
      <c r="ATX3" s="1055"/>
      <c r="ATY3" s="1055"/>
      <c r="ATZ3" s="1055"/>
      <c r="AUA3" s="1055"/>
      <c r="AUB3" s="1055"/>
      <c r="AUC3" s="1055"/>
      <c r="AUD3" s="1055"/>
      <c r="AUE3" s="1055"/>
      <c r="AUF3" s="1055"/>
      <c r="AUG3" s="1055"/>
      <c r="AUH3" s="1055"/>
      <c r="AUI3" s="1055"/>
      <c r="AUJ3" s="1055"/>
      <c r="AUK3" s="1055"/>
      <c r="AUL3" s="1055"/>
      <c r="AUM3" s="1055"/>
      <c r="AUN3" s="1055"/>
      <c r="AUO3" s="1055"/>
      <c r="AUP3" s="1055"/>
      <c r="AUQ3" s="1055"/>
      <c r="AUR3" s="1055"/>
      <c r="AUS3" s="1055"/>
      <c r="AUT3" s="1055"/>
      <c r="AUU3" s="1055"/>
      <c r="AUV3" s="1055"/>
      <c r="AUW3" s="1055"/>
      <c r="AUX3" s="1055"/>
      <c r="AUY3" s="1055"/>
      <c r="AUZ3" s="1055"/>
      <c r="AVA3" s="1055"/>
      <c r="AVB3" s="1055"/>
      <c r="AVC3" s="1055"/>
      <c r="AVD3" s="1055"/>
      <c r="AVE3" s="1055"/>
      <c r="AVF3" s="1055"/>
      <c r="AVG3" s="1055"/>
      <c r="AVH3" s="1055"/>
      <c r="AVI3" s="1055"/>
      <c r="AVJ3" s="1055"/>
      <c r="AVK3" s="1055"/>
      <c r="AVL3" s="1055"/>
      <c r="AVM3" s="1055"/>
      <c r="AVN3" s="1055"/>
      <c r="AVO3" s="1055"/>
      <c r="AVP3" s="1055"/>
      <c r="AVQ3" s="1055"/>
      <c r="AVR3" s="1055"/>
      <c r="AVS3" s="1055"/>
      <c r="AVT3" s="1055"/>
      <c r="AVU3" s="1055"/>
      <c r="AVV3" s="1055"/>
      <c r="AVW3" s="1055"/>
      <c r="AVX3" s="1055"/>
      <c r="AVY3" s="1055"/>
      <c r="AVZ3" s="1055"/>
      <c r="AWA3" s="1055"/>
      <c r="AWB3" s="1055"/>
      <c r="AWC3" s="1055"/>
      <c r="AWD3" s="1055"/>
      <c r="AWE3" s="1055"/>
      <c r="AWF3" s="1055"/>
      <c r="AWG3" s="1055"/>
      <c r="AWH3" s="1055"/>
      <c r="AWI3" s="1055"/>
      <c r="AWJ3" s="1055"/>
      <c r="AWK3" s="1055"/>
      <c r="AWL3" s="1055"/>
      <c r="AWM3" s="1055"/>
      <c r="AWN3" s="1055"/>
      <c r="AWO3" s="1055"/>
      <c r="AWP3" s="1055"/>
      <c r="AWQ3" s="1055"/>
      <c r="AWR3" s="1055"/>
      <c r="AWS3" s="1055"/>
      <c r="AWT3" s="1055"/>
      <c r="AWU3" s="1055"/>
      <c r="AWV3" s="1055"/>
      <c r="AWW3" s="1055"/>
      <c r="AWX3" s="1055"/>
      <c r="AWY3" s="1055"/>
      <c r="AWZ3" s="1055"/>
      <c r="AXA3" s="1055"/>
      <c r="AXB3" s="1055"/>
      <c r="AXC3" s="1055"/>
      <c r="AXD3" s="1055"/>
      <c r="AXE3" s="1055"/>
      <c r="AXF3" s="1055"/>
      <c r="AXG3" s="1055"/>
      <c r="AXH3" s="1055"/>
      <c r="AXI3" s="1055"/>
      <c r="AXJ3" s="1055"/>
      <c r="AXK3" s="1055"/>
      <c r="AXL3" s="1055"/>
      <c r="AXM3" s="1055"/>
      <c r="AXN3" s="1055"/>
      <c r="AXO3" s="1055"/>
      <c r="AXP3" s="1055"/>
      <c r="AXQ3" s="1055"/>
      <c r="AXR3" s="1055"/>
      <c r="AXS3" s="1055"/>
      <c r="AXT3" s="1055"/>
      <c r="AXU3" s="1055"/>
      <c r="AXV3" s="1055"/>
      <c r="AXW3" s="1055"/>
      <c r="AXX3" s="1055"/>
      <c r="AXY3" s="1055"/>
      <c r="AXZ3" s="1055"/>
      <c r="AYA3" s="1055"/>
      <c r="AYB3" s="1055"/>
      <c r="AYC3" s="1055"/>
      <c r="AYD3" s="1055"/>
      <c r="AYE3" s="1055"/>
      <c r="AYF3" s="1055"/>
      <c r="AYG3" s="1055"/>
      <c r="AYH3" s="1055"/>
      <c r="AYI3" s="1055"/>
      <c r="AYJ3" s="1055"/>
      <c r="AYK3" s="1055"/>
      <c r="AYL3" s="1055"/>
      <c r="AYM3" s="1055"/>
      <c r="AYN3" s="1055"/>
      <c r="AYO3" s="1055"/>
      <c r="AYP3" s="1055"/>
      <c r="AYQ3" s="1055"/>
      <c r="AYR3" s="1055"/>
      <c r="AYS3" s="1055"/>
      <c r="AYT3" s="1055"/>
      <c r="AYU3" s="1055"/>
      <c r="AYV3" s="1055"/>
      <c r="AYW3" s="1055"/>
      <c r="AYX3" s="1055"/>
      <c r="AYY3" s="1055"/>
      <c r="AYZ3" s="1055"/>
      <c r="AZA3" s="1055"/>
      <c r="AZB3" s="1055"/>
      <c r="AZC3" s="1055"/>
      <c r="AZD3" s="1055"/>
      <c r="AZE3" s="1055"/>
      <c r="AZF3" s="1055"/>
      <c r="AZG3" s="1055"/>
      <c r="AZH3" s="1055"/>
      <c r="AZI3" s="1055"/>
      <c r="AZJ3" s="1055"/>
      <c r="AZK3" s="1055"/>
      <c r="AZL3" s="1055"/>
      <c r="AZM3" s="1055"/>
      <c r="AZN3" s="1055"/>
      <c r="AZO3" s="1055"/>
      <c r="AZP3" s="1055"/>
      <c r="AZQ3" s="1055"/>
      <c r="AZR3" s="1055"/>
      <c r="AZS3" s="1055"/>
      <c r="AZT3" s="1055"/>
      <c r="AZU3" s="1055"/>
      <c r="AZV3" s="1055"/>
      <c r="AZW3" s="1055"/>
      <c r="AZX3" s="1055"/>
      <c r="AZY3" s="1055"/>
      <c r="AZZ3" s="1055"/>
      <c r="BAA3" s="1055"/>
      <c r="BAB3" s="1055"/>
      <c r="BAC3" s="1055"/>
      <c r="BAD3" s="1055"/>
      <c r="BAE3" s="1055"/>
      <c r="BAF3" s="1055"/>
      <c r="BAG3" s="1055"/>
      <c r="BAH3" s="1055"/>
      <c r="BAI3" s="1055"/>
      <c r="BAJ3" s="1055"/>
      <c r="BAK3" s="1055"/>
      <c r="BAL3" s="1055"/>
      <c r="BAM3" s="1055"/>
      <c r="BAN3" s="1055"/>
      <c r="BAO3" s="1055"/>
      <c r="BAP3" s="1055"/>
      <c r="BAQ3" s="1055"/>
      <c r="BAR3" s="1055"/>
      <c r="BAS3" s="1055"/>
      <c r="BAT3" s="1055"/>
      <c r="BAU3" s="1055"/>
      <c r="BAV3" s="1055"/>
      <c r="BAW3" s="1055"/>
      <c r="BAX3" s="1055"/>
      <c r="BAY3" s="1055"/>
      <c r="BAZ3" s="1055"/>
      <c r="BBA3" s="1055"/>
      <c r="BBB3" s="1055"/>
      <c r="BBC3" s="1055"/>
      <c r="BBD3" s="1055"/>
      <c r="BBE3" s="1055"/>
      <c r="BBF3" s="1055"/>
      <c r="BBG3" s="1055"/>
      <c r="BBH3" s="1055"/>
      <c r="BBI3" s="1055"/>
      <c r="BBJ3" s="1055"/>
      <c r="BBK3" s="1055"/>
      <c r="BBL3" s="1055"/>
      <c r="BBM3" s="1055"/>
      <c r="BBN3" s="1055"/>
      <c r="BBO3" s="1055"/>
      <c r="BBP3" s="1055"/>
      <c r="BBQ3" s="1055"/>
      <c r="BBR3" s="1055"/>
      <c r="BBS3" s="1055"/>
      <c r="BBT3" s="1055"/>
      <c r="BBU3" s="1055"/>
      <c r="BBV3" s="1055"/>
      <c r="BBW3" s="1055"/>
      <c r="BBX3" s="1055"/>
      <c r="BBY3" s="1055"/>
      <c r="BBZ3" s="1055"/>
      <c r="BCA3" s="1055"/>
      <c r="BCB3" s="1055"/>
      <c r="BCC3" s="1055"/>
      <c r="BCD3" s="1055"/>
      <c r="BCE3" s="1055"/>
      <c r="BCF3" s="1055"/>
      <c r="BCG3" s="1055"/>
      <c r="BCH3" s="1055"/>
      <c r="BCI3" s="1055"/>
      <c r="BCJ3" s="1055"/>
      <c r="BCK3" s="1055"/>
      <c r="BCL3" s="1055"/>
      <c r="BCM3" s="1055"/>
      <c r="BCN3" s="1055"/>
      <c r="BCO3" s="1055"/>
      <c r="BCP3" s="1055"/>
      <c r="BCQ3" s="1055"/>
      <c r="BCR3" s="1055"/>
      <c r="BCS3" s="1055"/>
      <c r="BCT3" s="1055"/>
      <c r="BCU3" s="1055"/>
      <c r="BCV3" s="1055"/>
      <c r="BCW3" s="1055"/>
      <c r="BCX3" s="1055"/>
      <c r="BCY3" s="1055"/>
      <c r="BCZ3" s="1055"/>
      <c r="BDA3" s="1055"/>
      <c r="BDB3" s="1055"/>
      <c r="BDC3" s="1055"/>
      <c r="BDD3" s="1055"/>
      <c r="BDE3" s="1055"/>
      <c r="BDF3" s="1055"/>
      <c r="BDG3" s="1055"/>
      <c r="BDH3" s="1055"/>
      <c r="BDI3" s="1055"/>
      <c r="BDJ3" s="1055"/>
      <c r="BDK3" s="1055"/>
      <c r="BDL3" s="1055"/>
      <c r="BDM3" s="1055"/>
      <c r="BDN3" s="1055"/>
      <c r="BDO3" s="1055"/>
      <c r="BDP3" s="1055"/>
      <c r="BDQ3" s="1055"/>
      <c r="BDR3" s="1055"/>
      <c r="BDS3" s="1055"/>
      <c r="BDT3" s="1055"/>
      <c r="BDU3" s="1055"/>
      <c r="BDV3" s="1055"/>
      <c r="BDW3" s="1055"/>
      <c r="BDX3" s="1055"/>
      <c r="BDY3" s="1055"/>
      <c r="BDZ3" s="1055"/>
      <c r="BEA3" s="1055"/>
      <c r="BEB3" s="1055"/>
      <c r="BEC3" s="1055"/>
      <c r="BED3" s="1055"/>
      <c r="BEE3" s="1055"/>
      <c r="BEF3" s="1055"/>
      <c r="BEG3" s="1055"/>
      <c r="BEH3" s="1055"/>
      <c r="BEI3" s="1055"/>
      <c r="BEJ3" s="1055"/>
      <c r="BEK3" s="1055"/>
      <c r="BEL3" s="1055"/>
      <c r="BEM3" s="1055"/>
      <c r="BEN3" s="1055"/>
      <c r="BEO3" s="1055"/>
      <c r="BEP3" s="1055"/>
      <c r="BEQ3" s="1055"/>
      <c r="BER3" s="1055"/>
      <c r="BES3" s="1055"/>
      <c r="BET3" s="1055"/>
      <c r="BEU3" s="1055"/>
      <c r="BEV3" s="1055"/>
      <c r="BEW3" s="1055"/>
      <c r="BEX3" s="1055"/>
      <c r="BEY3" s="1055"/>
      <c r="BEZ3" s="1055"/>
      <c r="BFA3" s="1055"/>
      <c r="BFB3" s="1055"/>
      <c r="BFC3" s="1055"/>
      <c r="BFD3" s="1055"/>
      <c r="BFE3" s="1055"/>
      <c r="BFF3" s="1055"/>
      <c r="BFG3" s="1055"/>
      <c r="BFH3" s="1055"/>
      <c r="BFI3" s="1055"/>
      <c r="BFJ3" s="1055"/>
      <c r="BFK3" s="1055"/>
      <c r="BFL3" s="1055"/>
      <c r="BFM3" s="1055"/>
      <c r="BFN3" s="1055"/>
      <c r="BFO3" s="1055"/>
      <c r="BFP3" s="1055"/>
      <c r="BFQ3" s="1055"/>
      <c r="BFR3" s="1055"/>
      <c r="BFS3" s="1055"/>
      <c r="BFT3" s="1055"/>
      <c r="BFU3" s="1055"/>
      <c r="BFV3" s="1055"/>
      <c r="BFW3" s="1055"/>
      <c r="BFX3" s="1055"/>
      <c r="BFY3" s="1055"/>
      <c r="BFZ3" s="1055"/>
      <c r="BGA3" s="1055"/>
      <c r="BGB3" s="1055"/>
      <c r="BGC3" s="1055"/>
      <c r="BGD3" s="1055"/>
      <c r="BGE3" s="1055"/>
      <c r="BGF3" s="1055"/>
      <c r="BGG3" s="1055"/>
      <c r="BGH3" s="1055"/>
      <c r="BGI3" s="1055"/>
      <c r="BGJ3" s="1055"/>
      <c r="BGK3" s="1055"/>
      <c r="BGL3" s="1055"/>
      <c r="BGM3" s="1055"/>
      <c r="BGN3" s="1055"/>
      <c r="BGO3" s="1055"/>
      <c r="BGP3" s="1055"/>
      <c r="BGQ3" s="1055"/>
      <c r="BGR3" s="1055"/>
      <c r="BGS3" s="1055"/>
      <c r="BGT3" s="1055"/>
      <c r="BGU3" s="1055"/>
      <c r="BGV3" s="1055"/>
      <c r="BGW3" s="1055"/>
      <c r="BGX3" s="1055"/>
      <c r="BGY3" s="1055"/>
      <c r="BGZ3" s="1055"/>
      <c r="BHA3" s="1055"/>
      <c r="BHB3" s="1055"/>
      <c r="BHC3" s="1055"/>
      <c r="BHD3" s="1055"/>
      <c r="BHE3" s="1055"/>
      <c r="BHF3" s="1055"/>
      <c r="BHG3" s="1055"/>
      <c r="BHH3" s="1055"/>
      <c r="BHI3" s="1055"/>
      <c r="BHJ3" s="1055"/>
      <c r="BHK3" s="1055"/>
      <c r="BHL3" s="1055"/>
      <c r="BHM3" s="1055"/>
      <c r="BHN3" s="1055"/>
      <c r="BHO3" s="1055"/>
      <c r="BHP3" s="1055"/>
      <c r="BHQ3" s="1055"/>
      <c r="BHR3" s="1055"/>
      <c r="BHS3" s="1055"/>
      <c r="BHT3" s="1055"/>
      <c r="BHU3" s="1055"/>
      <c r="BHV3" s="1055"/>
      <c r="BHW3" s="1055"/>
      <c r="BHX3" s="1055"/>
      <c r="BHY3" s="1055"/>
      <c r="BHZ3" s="1055"/>
      <c r="BIA3" s="1055"/>
      <c r="BIB3" s="1055"/>
      <c r="BIC3" s="1055"/>
      <c r="BID3" s="1055"/>
      <c r="BIE3" s="1055"/>
      <c r="BIF3" s="1055"/>
      <c r="BIG3" s="1055"/>
      <c r="BIH3" s="1055"/>
      <c r="BII3" s="1055"/>
      <c r="BIJ3" s="1055"/>
      <c r="BIK3" s="1055"/>
      <c r="BIL3" s="1055"/>
      <c r="BIM3" s="1055"/>
      <c r="BIN3" s="1055"/>
      <c r="BIO3" s="1055"/>
      <c r="BIP3" s="1055"/>
      <c r="BIQ3" s="1055"/>
      <c r="BIR3" s="1055"/>
      <c r="BIS3" s="1055"/>
      <c r="BIT3" s="1055"/>
      <c r="BIU3" s="1055"/>
      <c r="BIV3" s="1055"/>
      <c r="BIW3" s="1055"/>
      <c r="BIX3" s="1055"/>
      <c r="BIY3" s="1055"/>
      <c r="BIZ3" s="1055"/>
      <c r="BJA3" s="1055"/>
      <c r="BJB3" s="1055"/>
      <c r="BJC3" s="1055"/>
      <c r="BJD3" s="1055"/>
      <c r="BJE3" s="1055"/>
      <c r="BJF3" s="1055"/>
      <c r="BJG3" s="1055"/>
      <c r="BJH3" s="1055"/>
      <c r="BJI3" s="1055"/>
      <c r="BJJ3" s="1055"/>
      <c r="BJK3" s="1055"/>
      <c r="BJL3" s="1055"/>
      <c r="BJM3" s="1055"/>
      <c r="BJN3" s="1055"/>
      <c r="BJO3" s="1055"/>
      <c r="BJP3" s="1055"/>
      <c r="BJQ3" s="1055"/>
      <c r="BJR3" s="1055"/>
      <c r="BJS3" s="1055"/>
      <c r="BJT3" s="1055"/>
      <c r="BJU3" s="1055"/>
      <c r="BJV3" s="1055"/>
      <c r="BJW3" s="1055"/>
      <c r="BJX3" s="1055"/>
      <c r="BJY3" s="1055"/>
      <c r="BJZ3" s="1055"/>
      <c r="BKA3" s="1055"/>
      <c r="BKB3" s="1055"/>
      <c r="BKC3" s="1055"/>
      <c r="BKD3" s="1055"/>
      <c r="BKE3" s="1055"/>
      <c r="BKF3" s="1055"/>
      <c r="BKG3" s="1055"/>
      <c r="BKH3" s="1055"/>
      <c r="BKI3" s="1055"/>
      <c r="BKJ3" s="1055"/>
      <c r="BKK3" s="1055"/>
      <c r="BKL3" s="1055"/>
      <c r="BKM3" s="1055"/>
      <c r="BKN3" s="1055"/>
      <c r="BKO3" s="1055"/>
      <c r="BKP3" s="1055"/>
      <c r="BKQ3" s="1055"/>
      <c r="BKR3" s="1055"/>
      <c r="BKS3" s="1055"/>
      <c r="BKT3" s="1055"/>
      <c r="BKU3" s="1055"/>
      <c r="BKV3" s="1055"/>
      <c r="BKW3" s="1055"/>
      <c r="BKX3" s="1055"/>
      <c r="BKY3" s="1055"/>
      <c r="BKZ3" s="1055"/>
      <c r="BLA3" s="1055"/>
      <c r="BLB3" s="1055"/>
      <c r="BLC3" s="1055"/>
      <c r="BLD3" s="1055"/>
      <c r="BLE3" s="1055"/>
      <c r="BLF3" s="1055"/>
      <c r="BLG3" s="1055"/>
      <c r="BLH3" s="1055"/>
      <c r="BLI3" s="1055"/>
      <c r="BLJ3" s="1055"/>
      <c r="BLK3" s="1055"/>
      <c r="BLL3" s="1055"/>
      <c r="BLM3" s="1055"/>
      <c r="BLN3" s="1055"/>
      <c r="BLO3" s="1055"/>
      <c r="BLP3" s="1055"/>
      <c r="BLQ3" s="1055"/>
      <c r="BLR3" s="1055"/>
      <c r="BLS3" s="1055"/>
      <c r="BLT3" s="1055"/>
      <c r="BLU3" s="1055"/>
      <c r="BLV3" s="1055"/>
      <c r="BLW3" s="1055"/>
      <c r="BLX3" s="1055"/>
      <c r="BLY3" s="1055"/>
      <c r="BLZ3" s="1055"/>
      <c r="BMA3" s="1055"/>
      <c r="BMB3" s="1055"/>
      <c r="BMC3" s="1055"/>
      <c r="BMD3" s="1055"/>
      <c r="BME3" s="1055"/>
      <c r="BMF3" s="1055"/>
      <c r="BMG3" s="1055"/>
      <c r="BMH3" s="1055"/>
      <c r="BMI3" s="1055"/>
      <c r="BMJ3" s="1055"/>
      <c r="BMK3" s="1055"/>
      <c r="BML3" s="1055"/>
      <c r="BMM3" s="1055"/>
      <c r="BMN3" s="1055"/>
      <c r="BMO3" s="1055"/>
      <c r="BMP3" s="1055"/>
      <c r="BMQ3" s="1055"/>
      <c r="BMR3" s="1055"/>
      <c r="BMS3" s="1055"/>
      <c r="BMT3" s="1055"/>
      <c r="BMU3" s="1055"/>
      <c r="BMV3" s="1055"/>
      <c r="BMW3" s="1055"/>
      <c r="BMX3" s="1055"/>
      <c r="BMY3" s="1055"/>
      <c r="BMZ3" s="1055"/>
      <c r="BNA3" s="1055"/>
      <c r="BNB3" s="1055"/>
      <c r="BNC3" s="1055"/>
      <c r="BND3" s="1055"/>
      <c r="BNE3" s="1055"/>
      <c r="BNF3" s="1055"/>
      <c r="BNG3" s="1055"/>
      <c r="BNH3" s="1055"/>
      <c r="BNI3" s="1055"/>
      <c r="BNJ3" s="1055"/>
      <c r="BNK3" s="1055"/>
      <c r="BNL3" s="1055"/>
      <c r="BNM3" s="1055"/>
      <c r="BNN3" s="1055"/>
      <c r="BNO3" s="1055"/>
      <c r="BNP3" s="1055"/>
      <c r="BNQ3" s="1055"/>
      <c r="BNR3" s="1055"/>
      <c r="BNS3" s="1055"/>
      <c r="BNT3" s="1055"/>
      <c r="BNU3" s="1055"/>
      <c r="BNV3" s="1055"/>
      <c r="BNW3" s="1055"/>
      <c r="BNX3" s="1055"/>
      <c r="BNY3" s="1055"/>
      <c r="BNZ3" s="1055"/>
      <c r="BOA3" s="1055"/>
      <c r="BOB3" s="1055"/>
      <c r="BOC3" s="1055"/>
      <c r="BOD3" s="1055"/>
      <c r="BOE3" s="1055"/>
      <c r="BOF3" s="1055"/>
      <c r="BOG3" s="1055"/>
      <c r="BOH3" s="1055"/>
      <c r="BOI3" s="1055"/>
      <c r="BOJ3" s="1055"/>
      <c r="BOK3" s="1055"/>
      <c r="BOL3" s="1055"/>
      <c r="BOM3" s="1055"/>
      <c r="BON3" s="1055"/>
      <c r="BOO3" s="1055"/>
      <c r="BOP3" s="1055"/>
      <c r="BOQ3" s="1055"/>
      <c r="BOR3" s="1055"/>
      <c r="BOS3" s="1055"/>
      <c r="BOT3" s="1055"/>
      <c r="BOU3" s="1055"/>
      <c r="BOV3" s="1055"/>
      <c r="BOW3" s="1055"/>
      <c r="BOX3" s="1055"/>
      <c r="BOY3" s="1055"/>
      <c r="BOZ3" s="1055"/>
      <c r="BPA3" s="1055"/>
      <c r="BPB3" s="1055"/>
      <c r="BPC3" s="1055"/>
      <c r="BPD3" s="1055"/>
      <c r="BPE3" s="1055"/>
      <c r="BPF3" s="1055"/>
      <c r="BPG3" s="1055"/>
      <c r="BPH3" s="1055"/>
      <c r="BPI3" s="1055"/>
      <c r="BPJ3" s="1055"/>
      <c r="BPK3" s="1055"/>
      <c r="BPL3" s="1055"/>
      <c r="BPM3" s="1055"/>
      <c r="BPN3" s="1055"/>
      <c r="BPO3" s="1055"/>
      <c r="BPP3" s="1055"/>
      <c r="BPQ3" s="1055"/>
      <c r="BPR3" s="1055"/>
      <c r="BPS3" s="1055"/>
      <c r="BPT3" s="1055"/>
      <c r="BPU3" s="1055"/>
      <c r="BPV3" s="1055"/>
      <c r="BPW3" s="1055"/>
      <c r="BPX3" s="1055"/>
      <c r="BPY3" s="1055"/>
      <c r="BPZ3" s="1055"/>
      <c r="BQA3" s="1055"/>
      <c r="BQB3" s="1055"/>
      <c r="BQC3" s="1055"/>
      <c r="BQD3" s="1055"/>
      <c r="BQE3" s="1055"/>
      <c r="BQF3" s="1055"/>
      <c r="BQG3" s="1055"/>
      <c r="BQH3" s="1055"/>
      <c r="BQI3" s="1055"/>
      <c r="BQJ3" s="1055"/>
      <c r="BQK3" s="1055"/>
      <c r="BQL3" s="1055"/>
      <c r="BQM3" s="1055"/>
      <c r="BQN3" s="1055"/>
      <c r="BQO3" s="1055"/>
      <c r="BQP3" s="1055"/>
      <c r="BQQ3" s="1055"/>
      <c r="BQR3" s="1055"/>
      <c r="BQS3" s="1055"/>
      <c r="BQT3" s="1055"/>
      <c r="BQU3" s="1055"/>
      <c r="BQV3" s="1055"/>
      <c r="BQW3" s="1055"/>
      <c r="BQX3" s="1055"/>
      <c r="BQY3" s="1055"/>
      <c r="BQZ3" s="1055"/>
      <c r="BRA3" s="1055"/>
      <c r="BRB3" s="1055"/>
      <c r="BRC3" s="1055"/>
      <c r="BRD3" s="1055"/>
      <c r="BRE3" s="1055"/>
      <c r="BRF3" s="1055"/>
      <c r="BRG3" s="1055"/>
      <c r="BRH3" s="1055"/>
      <c r="BRI3" s="1055"/>
      <c r="BRJ3" s="1055"/>
      <c r="BRK3" s="1055"/>
      <c r="BRL3" s="1055"/>
      <c r="BRM3" s="1055"/>
      <c r="BRN3" s="1055"/>
      <c r="BRO3" s="1055"/>
      <c r="BRP3" s="1055"/>
      <c r="BRQ3" s="1055"/>
      <c r="BRR3" s="1055"/>
      <c r="BRS3" s="1055"/>
      <c r="BRT3" s="1055"/>
      <c r="BRU3" s="1055"/>
      <c r="BRV3" s="1055"/>
      <c r="BRW3" s="1055"/>
      <c r="BRX3" s="1055"/>
      <c r="BRY3" s="1055"/>
      <c r="BRZ3" s="1055"/>
      <c r="BSA3" s="1055"/>
      <c r="BSB3" s="1055"/>
      <c r="BSC3" s="1055"/>
      <c r="BSD3" s="1055"/>
      <c r="BSE3" s="1055"/>
      <c r="BSF3" s="1055"/>
      <c r="BSG3" s="1055"/>
      <c r="BSH3" s="1055"/>
      <c r="BSI3" s="1055"/>
      <c r="BSJ3" s="1055"/>
      <c r="BSK3" s="1055"/>
      <c r="BSL3" s="1055"/>
      <c r="BSM3" s="1055"/>
      <c r="BSN3" s="1055"/>
      <c r="BSO3" s="1055"/>
      <c r="BSP3" s="1055"/>
      <c r="BSQ3" s="1055"/>
      <c r="BSR3" s="1055"/>
      <c r="BSS3" s="1055"/>
      <c r="BST3" s="1055"/>
      <c r="BSU3" s="1055"/>
      <c r="BSV3" s="1055"/>
      <c r="BSW3" s="1055"/>
      <c r="BSX3" s="1055"/>
      <c r="BSY3" s="1055"/>
      <c r="BSZ3" s="1055"/>
      <c r="BTA3" s="1055"/>
      <c r="BTB3" s="1055"/>
      <c r="BTC3" s="1055"/>
      <c r="BTD3" s="1055"/>
      <c r="BTE3" s="1055"/>
      <c r="BTF3" s="1055"/>
      <c r="BTG3" s="1055"/>
      <c r="BTH3" s="1055"/>
      <c r="BTI3" s="1055"/>
      <c r="BTJ3" s="1055"/>
      <c r="BTK3" s="1055"/>
      <c r="BTL3" s="1055"/>
      <c r="BTM3" s="1055"/>
      <c r="BTN3" s="1055"/>
      <c r="BTO3" s="1055"/>
      <c r="BTP3" s="1055"/>
      <c r="BTQ3" s="1055"/>
      <c r="BTR3" s="1055"/>
      <c r="BTS3" s="1055"/>
      <c r="BTT3" s="1055"/>
      <c r="BTU3" s="1055"/>
      <c r="BTV3" s="1055"/>
      <c r="BTW3" s="1055"/>
      <c r="BTX3" s="1055"/>
      <c r="BTY3" s="1055"/>
      <c r="BTZ3" s="1055"/>
      <c r="BUA3" s="1055"/>
      <c r="BUB3" s="1055"/>
      <c r="BUC3" s="1055"/>
      <c r="BUD3" s="1055"/>
      <c r="BUE3" s="1055"/>
      <c r="BUF3" s="1055"/>
      <c r="BUG3" s="1055"/>
      <c r="BUH3" s="1055"/>
      <c r="BUI3" s="1055"/>
      <c r="BUJ3" s="1055"/>
      <c r="BUK3" s="1055"/>
      <c r="BUL3" s="1055"/>
      <c r="BUM3" s="1055"/>
      <c r="BUN3" s="1055"/>
      <c r="BUO3" s="1055"/>
      <c r="BUP3" s="1055"/>
      <c r="BUQ3" s="1055"/>
      <c r="BUR3" s="1055"/>
      <c r="BUS3" s="1055"/>
      <c r="BUT3" s="1055"/>
      <c r="BUU3" s="1055"/>
      <c r="BUV3" s="1055"/>
      <c r="BUW3" s="1055"/>
      <c r="BUX3" s="1055"/>
      <c r="BUY3" s="1055"/>
      <c r="BUZ3" s="1055"/>
      <c r="BVA3" s="1055"/>
      <c r="BVB3" s="1055"/>
      <c r="BVC3" s="1055"/>
      <c r="BVD3" s="1055"/>
      <c r="BVE3" s="1055"/>
      <c r="BVF3" s="1055"/>
      <c r="BVG3" s="1055"/>
      <c r="BVH3" s="1055"/>
      <c r="BVI3" s="1055"/>
      <c r="BVJ3" s="1055"/>
      <c r="BVK3" s="1055"/>
      <c r="BVL3" s="1055"/>
      <c r="BVM3" s="1055"/>
      <c r="BVN3" s="1055"/>
      <c r="BVO3" s="1055"/>
      <c r="BVP3" s="1055"/>
      <c r="BVQ3" s="1055"/>
      <c r="BVR3" s="1055"/>
      <c r="BVS3" s="1055"/>
      <c r="BVT3" s="1055"/>
      <c r="BVU3" s="1055"/>
      <c r="BVV3" s="1055"/>
      <c r="BVW3" s="1055"/>
      <c r="BVX3" s="1055"/>
      <c r="BVY3" s="1055"/>
      <c r="BVZ3" s="1055"/>
      <c r="BWA3" s="1055"/>
      <c r="BWB3" s="1055"/>
      <c r="BWC3" s="1055"/>
      <c r="BWD3" s="1055"/>
      <c r="BWE3" s="1055"/>
      <c r="BWF3" s="1055"/>
      <c r="BWG3" s="1055"/>
      <c r="BWH3" s="1055"/>
      <c r="BWI3" s="1055"/>
      <c r="BWJ3" s="1055"/>
      <c r="BWK3" s="1055"/>
      <c r="BWL3" s="1055"/>
      <c r="BWM3" s="1055"/>
      <c r="BWN3" s="1055"/>
      <c r="BWO3" s="1055"/>
      <c r="BWP3" s="1055"/>
      <c r="BWQ3" s="1055"/>
      <c r="BWR3" s="1055"/>
      <c r="BWS3" s="1055"/>
      <c r="BWT3" s="1055"/>
      <c r="BWU3" s="1055"/>
      <c r="BWV3" s="1055"/>
      <c r="BWW3" s="1055"/>
      <c r="BWX3" s="1055"/>
      <c r="BWY3" s="1055"/>
      <c r="BWZ3" s="1055"/>
      <c r="BXA3" s="1055"/>
      <c r="BXB3" s="1055"/>
      <c r="BXC3" s="1055"/>
      <c r="BXD3" s="1055"/>
      <c r="BXE3" s="1055"/>
      <c r="BXF3" s="1055"/>
      <c r="BXG3" s="1055"/>
      <c r="BXH3" s="1055"/>
      <c r="BXI3" s="1055"/>
      <c r="BXJ3" s="1055"/>
      <c r="BXK3" s="1055"/>
      <c r="BXL3" s="1055"/>
      <c r="BXM3" s="1055"/>
      <c r="BXN3" s="1055"/>
      <c r="BXO3" s="1055"/>
      <c r="BXP3" s="1055"/>
      <c r="BXQ3" s="1055"/>
      <c r="BXR3" s="1055"/>
      <c r="BXS3" s="1055"/>
      <c r="BXT3" s="1055"/>
      <c r="BXU3" s="1055"/>
      <c r="BXV3" s="1055"/>
      <c r="BXW3" s="1055"/>
      <c r="BXX3" s="1055"/>
      <c r="BXY3" s="1055"/>
      <c r="BXZ3" s="1055"/>
      <c r="BYA3" s="1055"/>
      <c r="BYB3" s="1055"/>
      <c r="BYC3" s="1055"/>
      <c r="BYD3" s="1055"/>
      <c r="BYE3" s="1055"/>
      <c r="BYF3" s="1055"/>
      <c r="BYG3" s="1055"/>
      <c r="BYH3" s="1055"/>
      <c r="BYI3" s="1055"/>
      <c r="BYJ3" s="1055"/>
      <c r="BYK3" s="1055"/>
      <c r="BYL3" s="1055"/>
      <c r="BYM3" s="1055"/>
      <c r="BYN3" s="1055"/>
      <c r="BYO3" s="1055"/>
      <c r="BYP3" s="1055"/>
      <c r="BYQ3" s="1055"/>
      <c r="BYR3" s="1055"/>
      <c r="BYS3" s="1055"/>
      <c r="BYT3" s="1055"/>
      <c r="BYU3" s="1055"/>
      <c r="BYV3" s="1055"/>
      <c r="BYW3" s="1055"/>
      <c r="BYX3" s="1055"/>
      <c r="BYY3" s="1055"/>
      <c r="BYZ3" s="1055"/>
      <c r="BZA3" s="1055"/>
      <c r="BZB3" s="1055"/>
      <c r="BZC3" s="1055"/>
      <c r="BZD3" s="1055"/>
      <c r="BZE3" s="1055"/>
      <c r="BZF3" s="1055"/>
      <c r="BZG3" s="1055"/>
      <c r="BZH3" s="1055"/>
      <c r="BZI3" s="1055"/>
      <c r="BZJ3" s="1055"/>
      <c r="BZK3" s="1055"/>
      <c r="BZL3" s="1055"/>
      <c r="BZM3" s="1055"/>
      <c r="BZN3" s="1055"/>
      <c r="BZO3" s="1055"/>
      <c r="BZP3" s="1055"/>
      <c r="BZQ3" s="1055"/>
      <c r="BZR3" s="1055"/>
      <c r="BZS3" s="1055"/>
      <c r="BZT3" s="1055"/>
      <c r="BZU3" s="1055"/>
      <c r="BZV3" s="1055"/>
      <c r="BZW3" s="1055"/>
      <c r="BZX3" s="1055"/>
      <c r="BZY3" s="1055"/>
      <c r="BZZ3" s="1055"/>
      <c r="CAA3" s="1055"/>
      <c r="CAB3" s="1055"/>
      <c r="CAC3" s="1055"/>
      <c r="CAD3" s="1055"/>
      <c r="CAE3" s="1055"/>
      <c r="CAF3" s="1055"/>
      <c r="CAG3" s="1055"/>
      <c r="CAH3" s="1055"/>
      <c r="CAI3" s="1055"/>
      <c r="CAJ3" s="1055"/>
      <c r="CAK3" s="1055"/>
      <c r="CAL3" s="1055"/>
      <c r="CAM3" s="1055"/>
      <c r="CAN3" s="1055"/>
      <c r="CAO3" s="1055"/>
      <c r="CAP3" s="1055"/>
      <c r="CAQ3" s="1055"/>
      <c r="CAR3" s="1055"/>
      <c r="CAS3" s="1055"/>
      <c r="CAT3" s="1055"/>
      <c r="CAU3" s="1055"/>
      <c r="CAV3" s="1055"/>
      <c r="CAW3" s="1055"/>
      <c r="CAX3" s="1055"/>
      <c r="CAY3" s="1055"/>
      <c r="CAZ3" s="1055"/>
      <c r="CBA3" s="1055"/>
      <c r="CBB3" s="1055"/>
      <c r="CBC3" s="1055"/>
      <c r="CBD3" s="1055"/>
      <c r="CBE3" s="1055"/>
      <c r="CBF3" s="1055"/>
      <c r="CBG3" s="1055"/>
      <c r="CBH3" s="1055"/>
      <c r="CBI3" s="1055"/>
      <c r="CBJ3" s="1055"/>
      <c r="CBK3" s="1055"/>
      <c r="CBL3" s="1055"/>
      <c r="CBM3" s="1055"/>
      <c r="CBN3" s="1055"/>
      <c r="CBO3" s="1055"/>
      <c r="CBP3" s="1055"/>
      <c r="CBQ3" s="1055"/>
      <c r="CBR3" s="1055"/>
      <c r="CBS3" s="1055"/>
      <c r="CBT3" s="1055"/>
      <c r="CBU3" s="1055"/>
      <c r="CBV3" s="1055"/>
      <c r="CBW3" s="1055"/>
      <c r="CBX3" s="1055"/>
      <c r="CBY3" s="1055"/>
      <c r="CBZ3" s="1055"/>
      <c r="CCA3" s="1055"/>
      <c r="CCB3" s="1055"/>
      <c r="CCC3" s="1055"/>
      <c r="CCD3" s="1055"/>
      <c r="CCE3" s="1055"/>
      <c r="CCF3" s="1055"/>
      <c r="CCG3" s="1055"/>
      <c r="CCH3" s="1055"/>
      <c r="CCI3" s="1055"/>
      <c r="CCJ3" s="1055"/>
      <c r="CCK3" s="1055"/>
      <c r="CCL3" s="1055"/>
      <c r="CCM3" s="1055"/>
      <c r="CCN3" s="1055"/>
      <c r="CCO3" s="1055"/>
      <c r="CCP3" s="1055"/>
      <c r="CCQ3" s="1055"/>
      <c r="CCR3" s="1055"/>
      <c r="CCS3" s="1055"/>
      <c r="CCT3" s="1055"/>
      <c r="CCU3" s="1055"/>
      <c r="CCV3" s="1055"/>
      <c r="CCW3" s="1055"/>
      <c r="CCX3" s="1055"/>
      <c r="CCY3" s="1055"/>
      <c r="CCZ3" s="1055"/>
      <c r="CDA3" s="1055"/>
      <c r="CDB3" s="1055"/>
      <c r="CDC3" s="1055"/>
      <c r="CDD3" s="1055"/>
      <c r="CDE3" s="1055"/>
      <c r="CDF3" s="1055"/>
      <c r="CDG3" s="1055"/>
      <c r="CDH3" s="1055"/>
      <c r="CDI3" s="1055"/>
      <c r="CDJ3" s="1055"/>
      <c r="CDK3" s="1055"/>
      <c r="CDL3" s="1055"/>
      <c r="CDM3" s="1055"/>
      <c r="CDN3" s="1055"/>
      <c r="CDO3" s="1055"/>
      <c r="CDP3" s="1055"/>
      <c r="CDQ3" s="1055"/>
      <c r="CDR3" s="1055"/>
      <c r="CDS3" s="1055"/>
      <c r="CDT3" s="1055"/>
      <c r="CDU3" s="1055"/>
      <c r="CDV3" s="1055"/>
      <c r="CDW3" s="1055"/>
      <c r="CDX3" s="1055"/>
      <c r="CDY3" s="1055"/>
      <c r="CDZ3" s="1055"/>
      <c r="CEA3" s="1055"/>
      <c r="CEB3" s="1055"/>
      <c r="CEC3" s="1055"/>
      <c r="CED3" s="1055"/>
      <c r="CEE3" s="1055"/>
      <c r="CEF3" s="1055"/>
      <c r="CEG3" s="1055"/>
      <c r="CEH3" s="1055"/>
      <c r="CEI3" s="1055"/>
      <c r="CEJ3" s="1055"/>
      <c r="CEK3" s="1055"/>
      <c r="CEL3" s="1055"/>
      <c r="CEM3" s="1055"/>
      <c r="CEN3" s="1055"/>
      <c r="CEO3" s="1055"/>
      <c r="CEP3" s="1055"/>
      <c r="CEQ3" s="1055"/>
      <c r="CER3" s="1055"/>
      <c r="CES3" s="1055"/>
      <c r="CET3" s="1055"/>
      <c r="CEU3" s="1055"/>
      <c r="CEV3" s="1055"/>
      <c r="CEW3" s="1055"/>
      <c r="CEX3" s="1055"/>
      <c r="CEY3" s="1055"/>
      <c r="CEZ3" s="1055"/>
      <c r="CFA3" s="1055"/>
      <c r="CFB3" s="1055"/>
      <c r="CFC3" s="1055"/>
      <c r="CFD3" s="1055"/>
      <c r="CFE3" s="1055"/>
      <c r="CFF3" s="1055"/>
      <c r="CFG3" s="1055"/>
      <c r="CFH3" s="1055"/>
      <c r="CFI3" s="1055"/>
      <c r="CFJ3" s="1055"/>
      <c r="CFK3" s="1055"/>
      <c r="CFL3" s="1055"/>
      <c r="CFM3" s="1055"/>
      <c r="CFN3" s="1055"/>
      <c r="CFO3" s="1055"/>
      <c r="CFP3" s="1055"/>
      <c r="CFQ3" s="1055"/>
      <c r="CFR3" s="1055"/>
      <c r="CFS3" s="1055"/>
      <c r="CFT3" s="1055"/>
      <c r="CFU3" s="1055"/>
      <c r="CFV3" s="1055"/>
      <c r="CFW3" s="1055"/>
      <c r="CFX3" s="1055"/>
      <c r="CFY3" s="1055"/>
      <c r="CFZ3" s="1055"/>
      <c r="CGA3" s="1055"/>
      <c r="CGB3" s="1055"/>
      <c r="CGC3" s="1055"/>
      <c r="CGD3" s="1055"/>
      <c r="CGE3" s="1055"/>
      <c r="CGF3" s="1055"/>
      <c r="CGG3" s="1055"/>
      <c r="CGH3" s="1055"/>
      <c r="CGI3" s="1055"/>
      <c r="CGJ3" s="1055"/>
      <c r="CGK3" s="1055"/>
      <c r="CGL3" s="1055"/>
      <c r="CGM3" s="1055"/>
      <c r="CGN3" s="1055"/>
      <c r="CGO3" s="1055"/>
      <c r="CGP3" s="1055"/>
      <c r="CGQ3" s="1055"/>
      <c r="CGR3" s="1055"/>
      <c r="CGS3" s="1055"/>
      <c r="CGT3" s="1055"/>
      <c r="CGU3" s="1055"/>
      <c r="CGV3" s="1055"/>
      <c r="CGW3" s="1055"/>
      <c r="CGX3" s="1055"/>
      <c r="CGY3" s="1055"/>
      <c r="CGZ3" s="1055"/>
      <c r="CHA3" s="1055"/>
      <c r="CHB3" s="1055"/>
      <c r="CHC3" s="1055"/>
      <c r="CHD3" s="1055"/>
      <c r="CHE3" s="1055"/>
      <c r="CHF3" s="1055"/>
      <c r="CHG3" s="1055"/>
      <c r="CHH3" s="1055"/>
      <c r="CHI3" s="1055"/>
      <c r="CHJ3" s="1055"/>
      <c r="CHK3" s="1055"/>
      <c r="CHL3" s="1055"/>
      <c r="CHM3" s="1055"/>
      <c r="CHN3" s="1055"/>
      <c r="CHO3" s="1055"/>
      <c r="CHP3" s="1055"/>
      <c r="CHQ3" s="1055"/>
      <c r="CHR3" s="1055"/>
      <c r="CHS3" s="1055"/>
      <c r="CHT3" s="1055"/>
      <c r="CHU3" s="1055"/>
      <c r="CHV3" s="1055"/>
      <c r="CHW3" s="1055"/>
      <c r="CHX3" s="1055"/>
      <c r="CHY3" s="1055"/>
      <c r="CHZ3" s="1055"/>
      <c r="CIA3" s="1055"/>
      <c r="CIB3" s="1055"/>
      <c r="CIC3" s="1055"/>
      <c r="CID3" s="1055"/>
      <c r="CIE3" s="1055"/>
      <c r="CIF3" s="1055"/>
      <c r="CIG3" s="1055"/>
      <c r="CIH3" s="1055"/>
      <c r="CII3" s="1055"/>
      <c r="CIJ3" s="1055"/>
      <c r="CIK3" s="1055"/>
      <c r="CIL3" s="1055"/>
      <c r="CIM3" s="1055"/>
      <c r="CIN3" s="1055"/>
      <c r="CIO3" s="1055"/>
      <c r="CIP3" s="1055"/>
      <c r="CIQ3" s="1055"/>
      <c r="CIR3" s="1055"/>
      <c r="CIS3" s="1055"/>
      <c r="CIT3" s="1055"/>
      <c r="CIU3" s="1055"/>
      <c r="CIV3" s="1055"/>
      <c r="CIW3" s="1055"/>
      <c r="CIX3" s="1055"/>
      <c r="CIY3" s="1055"/>
      <c r="CIZ3" s="1055"/>
      <c r="CJA3" s="1055"/>
      <c r="CJB3" s="1055"/>
      <c r="CJC3" s="1055"/>
      <c r="CJD3" s="1055"/>
      <c r="CJE3" s="1055"/>
      <c r="CJF3" s="1055"/>
      <c r="CJG3" s="1055"/>
      <c r="CJH3" s="1055"/>
      <c r="CJI3" s="1055"/>
      <c r="CJJ3" s="1055"/>
      <c r="CJK3" s="1055"/>
      <c r="CJL3" s="1055"/>
      <c r="CJM3" s="1055"/>
      <c r="CJN3" s="1055"/>
      <c r="CJO3" s="1055"/>
      <c r="CJP3" s="1055"/>
      <c r="CJQ3" s="1055"/>
      <c r="CJR3" s="1055"/>
      <c r="CJS3" s="1055"/>
      <c r="CJT3" s="1055"/>
      <c r="CJU3" s="1055"/>
      <c r="CJV3" s="1055"/>
      <c r="CJW3" s="1055"/>
      <c r="CJX3" s="1055"/>
      <c r="CJY3" s="1055"/>
      <c r="CJZ3" s="1055"/>
      <c r="CKA3" s="1055"/>
      <c r="CKB3" s="1055"/>
      <c r="CKC3" s="1055"/>
      <c r="CKD3" s="1055"/>
      <c r="CKE3" s="1055"/>
      <c r="CKF3" s="1055"/>
      <c r="CKG3" s="1055"/>
      <c r="CKH3" s="1055"/>
      <c r="CKI3" s="1055"/>
      <c r="CKJ3" s="1055"/>
      <c r="CKK3" s="1055"/>
      <c r="CKL3" s="1055"/>
      <c r="CKM3" s="1055"/>
      <c r="CKN3" s="1055"/>
      <c r="CKO3" s="1055"/>
      <c r="CKP3" s="1055"/>
      <c r="CKQ3" s="1055"/>
      <c r="CKR3" s="1055"/>
      <c r="CKS3" s="1055"/>
      <c r="CKT3" s="1055"/>
      <c r="CKU3" s="1055"/>
      <c r="CKV3" s="1055"/>
      <c r="CKW3" s="1055"/>
      <c r="CKX3" s="1055"/>
      <c r="CKY3" s="1055"/>
      <c r="CKZ3" s="1055"/>
      <c r="CLA3" s="1055"/>
      <c r="CLB3" s="1055"/>
      <c r="CLC3" s="1055"/>
      <c r="CLD3" s="1055"/>
      <c r="CLE3" s="1055"/>
      <c r="CLF3" s="1055"/>
      <c r="CLG3" s="1055"/>
      <c r="CLH3" s="1055"/>
      <c r="CLI3" s="1055"/>
      <c r="CLJ3" s="1055"/>
      <c r="CLK3" s="1055"/>
      <c r="CLL3" s="1055"/>
      <c r="CLM3" s="1055"/>
      <c r="CLN3" s="1055"/>
      <c r="CLO3" s="1055"/>
      <c r="CLP3" s="1055"/>
      <c r="CLQ3" s="1055"/>
      <c r="CLR3" s="1055"/>
      <c r="CLS3" s="1055"/>
      <c r="CLT3" s="1055"/>
      <c r="CLU3" s="1055"/>
      <c r="CLV3" s="1055"/>
      <c r="CLW3" s="1055"/>
      <c r="CLX3" s="1055"/>
      <c r="CLY3" s="1055"/>
      <c r="CLZ3" s="1055"/>
      <c r="CMA3" s="1055"/>
      <c r="CMB3" s="1055"/>
      <c r="CMC3" s="1055"/>
      <c r="CMD3" s="1055"/>
      <c r="CME3" s="1055"/>
      <c r="CMF3" s="1055"/>
      <c r="CMG3" s="1055"/>
      <c r="CMH3" s="1055"/>
      <c r="CMI3" s="1055"/>
      <c r="CMJ3" s="1055"/>
      <c r="CMK3" s="1055"/>
      <c r="CML3" s="1055"/>
      <c r="CMM3" s="1055"/>
      <c r="CMN3" s="1055"/>
      <c r="CMO3" s="1055"/>
      <c r="CMP3" s="1055"/>
      <c r="CMQ3" s="1055"/>
      <c r="CMR3" s="1055"/>
      <c r="CMS3" s="1055"/>
      <c r="CMT3" s="1055"/>
      <c r="CMU3" s="1055"/>
      <c r="CMV3" s="1055"/>
      <c r="CMW3" s="1055"/>
      <c r="CMX3" s="1055"/>
      <c r="CMY3" s="1055"/>
      <c r="CMZ3" s="1055"/>
      <c r="CNA3" s="1055"/>
      <c r="CNB3" s="1055"/>
      <c r="CNC3" s="1055"/>
      <c r="CND3" s="1055"/>
      <c r="CNE3" s="1055"/>
      <c r="CNF3" s="1055"/>
      <c r="CNG3" s="1055"/>
      <c r="CNH3" s="1055"/>
      <c r="CNI3" s="1055"/>
      <c r="CNJ3" s="1055"/>
      <c r="CNK3" s="1055"/>
      <c r="CNL3" s="1055"/>
      <c r="CNM3" s="1055"/>
      <c r="CNN3" s="1055"/>
      <c r="CNO3" s="1055"/>
      <c r="CNP3" s="1055"/>
      <c r="CNQ3" s="1055"/>
      <c r="CNR3" s="1055"/>
      <c r="CNS3" s="1055"/>
      <c r="CNT3" s="1055"/>
      <c r="CNU3" s="1055"/>
      <c r="CNV3" s="1055"/>
      <c r="CNW3" s="1055"/>
      <c r="CNX3" s="1055"/>
      <c r="CNY3" s="1055"/>
      <c r="CNZ3" s="1055"/>
      <c r="COA3" s="1055"/>
      <c r="COB3" s="1055"/>
      <c r="COC3" s="1055"/>
      <c r="COD3" s="1055"/>
      <c r="COE3" s="1055"/>
      <c r="COF3" s="1055"/>
      <c r="COG3" s="1055"/>
      <c r="COH3" s="1055"/>
      <c r="COI3" s="1055"/>
      <c r="COJ3" s="1055"/>
      <c r="COK3" s="1055"/>
      <c r="COL3" s="1055"/>
      <c r="COM3" s="1055"/>
      <c r="CON3" s="1055"/>
      <c r="COO3" s="1055"/>
      <c r="COP3" s="1055"/>
      <c r="COQ3" s="1055"/>
      <c r="COR3" s="1055"/>
      <c r="COS3" s="1055"/>
      <c r="COT3" s="1055"/>
      <c r="COU3" s="1055"/>
      <c r="COV3" s="1055"/>
      <c r="COW3" s="1055"/>
      <c r="COX3" s="1055"/>
      <c r="COY3" s="1055"/>
      <c r="COZ3" s="1055"/>
      <c r="CPA3" s="1055"/>
      <c r="CPB3" s="1055"/>
      <c r="CPC3" s="1055"/>
      <c r="CPD3" s="1055"/>
      <c r="CPE3" s="1055"/>
      <c r="CPF3" s="1055"/>
      <c r="CPG3" s="1055"/>
      <c r="CPH3" s="1055"/>
      <c r="CPI3" s="1055"/>
      <c r="CPJ3" s="1055"/>
      <c r="CPK3" s="1055"/>
      <c r="CPL3" s="1055"/>
      <c r="CPM3" s="1055"/>
      <c r="CPN3" s="1055"/>
      <c r="CPO3" s="1055"/>
      <c r="CPP3" s="1055"/>
      <c r="CPQ3" s="1055"/>
      <c r="CPR3" s="1055"/>
      <c r="CPS3" s="1055"/>
      <c r="CPT3" s="1055"/>
      <c r="CPU3" s="1055"/>
      <c r="CPV3" s="1055"/>
      <c r="CPW3" s="1055"/>
      <c r="CPX3" s="1055"/>
      <c r="CPY3" s="1055"/>
      <c r="CPZ3" s="1055"/>
      <c r="CQA3" s="1055"/>
      <c r="CQB3" s="1055"/>
      <c r="CQC3" s="1055"/>
      <c r="CQD3" s="1055"/>
      <c r="CQE3" s="1055"/>
      <c r="CQF3" s="1055"/>
      <c r="CQG3" s="1055"/>
      <c r="CQH3" s="1055"/>
      <c r="CQI3" s="1055"/>
      <c r="CQJ3" s="1055"/>
      <c r="CQK3" s="1055"/>
      <c r="CQL3" s="1055"/>
      <c r="CQM3" s="1055"/>
      <c r="CQN3" s="1055"/>
      <c r="CQO3" s="1055"/>
      <c r="CQP3" s="1055"/>
      <c r="CQQ3" s="1055"/>
      <c r="CQR3" s="1055"/>
      <c r="CQS3" s="1055"/>
      <c r="CQT3" s="1055"/>
      <c r="CQU3" s="1055"/>
      <c r="CQV3" s="1055"/>
      <c r="CQW3" s="1055"/>
      <c r="CQX3" s="1055"/>
      <c r="CQY3" s="1055"/>
      <c r="CQZ3" s="1055"/>
      <c r="CRA3" s="1055"/>
      <c r="CRB3" s="1055"/>
      <c r="CRC3" s="1055"/>
      <c r="CRD3" s="1055"/>
      <c r="CRE3" s="1055"/>
      <c r="CRF3" s="1055"/>
      <c r="CRG3" s="1055"/>
      <c r="CRH3" s="1055"/>
      <c r="CRI3" s="1055"/>
      <c r="CRJ3" s="1055"/>
      <c r="CRK3" s="1055"/>
      <c r="CRL3" s="1055"/>
      <c r="CRM3" s="1055"/>
      <c r="CRN3" s="1055"/>
      <c r="CRO3" s="1055"/>
      <c r="CRP3" s="1055"/>
      <c r="CRQ3" s="1055"/>
      <c r="CRR3" s="1055"/>
      <c r="CRS3" s="1055"/>
      <c r="CRT3" s="1055"/>
      <c r="CRU3" s="1055"/>
      <c r="CRV3" s="1055"/>
      <c r="CRW3" s="1055"/>
      <c r="CRX3" s="1055"/>
      <c r="CRY3" s="1055"/>
      <c r="CRZ3" s="1055"/>
      <c r="CSA3" s="1055"/>
      <c r="CSB3" s="1055"/>
      <c r="CSC3" s="1055"/>
      <c r="CSD3" s="1055"/>
      <c r="CSE3" s="1055"/>
      <c r="CSF3" s="1055"/>
      <c r="CSG3" s="1055"/>
      <c r="CSH3" s="1055"/>
      <c r="CSI3" s="1055"/>
      <c r="CSJ3" s="1055"/>
      <c r="CSK3" s="1055"/>
      <c r="CSL3" s="1055"/>
      <c r="CSM3" s="1055"/>
      <c r="CSN3" s="1055"/>
      <c r="CSO3" s="1055"/>
      <c r="CSP3" s="1055"/>
      <c r="CSQ3" s="1055"/>
      <c r="CSR3" s="1055"/>
      <c r="CSS3" s="1055"/>
      <c r="CST3" s="1055"/>
      <c r="CSU3" s="1055"/>
      <c r="CSV3" s="1055"/>
      <c r="CSW3" s="1055"/>
      <c r="CSX3" s="1055"/>
      <c r="CSY3" s="1055"/>
      <c r="CSZ3" s="1055"/>
      <c r="CTA3" s="1055"/>
      <c r="CTB3" s="1055"/>
      <c r="CTC3" s="1055"/>
      <c r="CTD3" s="1055"/>
      <c r="CTE3" s="1055"/>
      <c r="CTF3" s="1055"/>
      <c r="CTG3" s="1055"/>
      <c r="CTH3" s="1055"/>
      <c r="CTI3" s="1055"/>
      <c r="CTJ3" s="1055"/>
      <c r="CTK3" s="1055"/>
      <c r="CTL3" s="1055"/>
      <c r="CTM3" s="1055"/>
      <c r="CTN3" s="1055"/>
      <c r="CTO3" s="1055"/>
      <c r="CTP3" s="1055"/>
      <c r="CTQ3" s="1055"/>
      <c r="CTR3" s="1055"/>
      <c r="CTS3" s="1055"/>
      <c r="CTT3" s="1055"/>
      <c r="CTU3" s="1055"/>
      <c r="CTV3" s="1055"/>
      <c r="CTW3" s="1055"/>
      <c r="CTX3" s="1055"/>
      <c r="CTY3" s="1055"/>
      <c r="CTZ3" s="1055"/>
      <c r="CUA3" s="1055"/>
      <c r="CUB3" s="1055"/>
      <c r="CUC3" s="1055"/>
      <c r="CUD3" s="1055"/>
      <c r="CUE3" s="1055"/>
      <c r="CUF3" s="1055"/>
      <c r="CUG3" s="1055"/>
      <c r="CUH3" s="1055"/>
      <c r="CUI3" s="1055"/>
      <c r="CUJ3" s="1055"/>
      <c r="CUK3" s="1055"/>
      <c r="CUL3" s="1055"/>
      <c r="CUM3" s="1055"/>
      <c r="CUN3" s="1055"/>
      <c r="CUO3" s="1055"/>
      <c r="CUP3" s="1055"/>
      <c r="CUQ3" s="1055"/>
      <c r="CUR3" s="1055"/>
      <c r="CUS3" s="1055"/>
      <c r="CUT3" s="1055"/>
      <c r="CUU3" s="1055"/>
      <c r="CUV3" s="1055"/>
      <c r="CUW3" s="1055"/>
      <c r="CUX3" s="1055"/>
      <c r="CUY3" s="1055"/>
      <c r="CUZ3" s="1055"/>
      <c r="CVA3" s="1055"/>
      <c r="CVB3" s="1055"/>
      <c r="CVC3" s="1055"/>
      <c r="CVD3" s="1055"/>
      <c r="CVE3" s="1055"/>
      <c r="CVF3" s="1055"/>
      <c r="CVG3" s="1055"/>
      <c r="CVH3" s="1055"/>
      <c r="CVI3" s="1055"/>
      <c r="CVJ3" s="1055"/>
      <c r="CVK3" s="1055"/>
      <c r="CVL3" s="1055"/>
      <c r="CVM3" s="1055"/>
      <c r="CVN3" s="1055"/>
      <c r="CVO3" s="1055"/>
      <c r="CVP3" s="1055"/>
      <c r="CVQ3" s="1055"/>
      <c r="CVR3" s="1055"/>
      <c r="CVS3" s="1055"/>
      <c r="CVT3" s="1055"/>
      <c r="CVU3" s="1055"/>
      <c r="CVV3" s="1055"/>
      <c r="CVW3" s="1055"/>
      <c r="CVX3" s="1055"/>
      <c r="CVY3" s="1055"/>
      <c r="CVZ3" s="1055"/>
      <c r="CWA3" s="1055"/>
      <c r="CWB3" s="1055"/>
      <c r="CWC3" s="1055"/>
      <c r="CWD3" s="1055"/>
      <c r="CWE3" s="1055"/>
      <c r="CWF3" s="1055"/>
      <c r="CWG3" s="1055"/>
      <c r="CWH3" s="1055"/>
      <c r="CWI3" s="1055"/>
      <c r="CWJ3" s="1055"/>
      <c r="CWK3" s="1055"/>
      <c r="CWL3" s="1055"/>
      <c r="CWM3" s="1055"/>
      <c r="CWN3" s="1055"/>
      <c r="CWO3" s="1055"/>
      <c r="CWP3" s="1055"/>
      <c r="CWQ3" s="1055"/>
      <c r="CWR3" s="1055"/>
      <c r="CWS3" s="1055"/>
      <c r="CWT3" s="1055"/>
      <c r="CWU3" s="1055"/>
      <c r="CWV3" s="1055"/>
      <c r="CWW3" s="1055"/>
      <c r="CWX3" s="1055"/>
      <c r="CWY3" s="1055"/>
      <c r="CWZ3" s="1055"/>
      <c r="CXA3" s="1055"/>
      <c r="CXB3" s="1055"/>
      <c r="CXC3" s="1055"/>
      <c r="CXD3" s="1055"/>
      <c r="CXE3" s="1055"/>
      <c r="CXF3" s="1055"/>
      <c r="CXG3" s="1055"/>
      <c r="CXH3" s="1055"/>
      <c r="CXI3" s="1055"/>
      <c r="CXJ3" s="1055"/>
      <c r="CXK3" s="1055"/>
      <c r="CXL3" s="1055"/>
      <c r="CXM3" s="1055"/>
      <c r="CXN3" s="1055"/>
      <c r="CXO3" s="1055"/>
      <c r="CXP3" s="1055"/>
      <c r="CXQ3" s="1055"/>
      <c r="CXR3" s="1055"/>
      <c r="CXS3" s="1055"/>
      <c r="CXT3" s="1055"/>
      <c r="CXU3" s="1055"/>
      <c r="CXV3" s="1055"/>
      <c r="CXW3" s="1055"/>
      <c r="CXX3" s="1055"/>
      <c r="CXY3" s="1055"/>
      <c r="CXZ3" s="1055"/>
      <c r="CYA3" s="1055"/>
      <c r="CYB3" s="1055"/>
      <c r="CYC3" s="1055"/>
      <c r="CYD3" s="1055"/>
      <c r="CYE3" s="1055"/>
      <c r="CYF3" s="1055"/>
      <c r="CYG3" s="1055"/>
      <c r="CYH3" s="1055"/>
      <c r="CYI3" s="1055"/>
      <c r="CYJ3" s="1055"/>
      <c r="CYK3" s="1055"/>
      <c r="CYL3" s="1055"/>
      <c r="CYM3" s="1055"/>
      <c r="CYN3" s="1055"/>
      <c r="CYO3" s="1055"/>
      <c r="CYP3" s="1055"/>
      <c r="CYQ3" s="1055"/>
      <c r="CYR3" s="1055"/>
      <c r="CYS3" s="1055"/>
      <c r="CYT3" s="1055"/>
      <c r="CYU3" s="1055"/>
      <c r="CYV3" s="1055"/>
      <c r="CYW3" s="1055"/>
      <c r="CYX3" s="1055"/>
      <c r="CYY3" s="1055"/>
      <c r="CYZ3" s="1055"/>
      <c r="CZA3" s="1055"/>
      <c r="CZB3" s="1055"/>
      <c r="CZC3" s="1055"/>
      <c r="CZD3" s="1055"/>
      <c r="CZE3" s="1055"/>
      <c r="CZF3" s="1055"/>
      <c r="CZG3" s="1055"/>
      <c r="CZH3" s="1055"/>
      <c r="CZI3" s="1055"/>
      <c r="CZJ3" s="1055"/>
      <c r="CZK3" s="1055"/>
      <c r="CZL3" s="1055"/>
      <c r="CZM3" s="1055"/>
      <c r="CZN3" s="1055"/>
      <c r="CZO3" s="1055"/>
      <c r="CZP3" s="1055"/>
      <c r="CZQ3" s="1055"/>
      <c r="CZR3" s="1055"/>
      <c r="CZS3" s="1055"/>
      <c r="CZT3" s="1055"/>
      <c r="CZU3" s="1055"/>
      <c r="CZV3" s="1055"/>
      <c r="CZW3" s="1055"/>
      <c r="CZX3" s="1055"/>
      <c r="CZY3" s="1055"/>
      <c r="CZZ3" s="1055"/>
      <c r="DAA3" s="1055"/>
      <c r="DAB3" s="1055"/>
      <c r="DAC3" s="1055"/>
      <c r="DAD3" s="1055"/>
      <c r="DAE3" s="1055"/>
      <c r="DAF3" s="1055"/>
      <c r="DAG3" s="1055"/>
      <c r="DAH3" s="1055"/>
      <c r="DAI3" s="1055"/>
      <c r="DAJ3" s="1055"/>
      <c r="DAK3" s="1055"/>
      <c r="DAL3" s="1055"/>
      <c r="DAM3" s="1055"/>
      <c r="DAN3" s="1055"/>
      <c r="DAO3" s="1055"/>
      <c r="DAP3" s="1055"/>
      <c r="DAQ3" s="1055"/>
      <c r="DAR3" s="1055"/>
      <c r="DAS3" s="1055"/>
      <c r="DAT3" s="1055"/>
      <c r="DAU3" s="1055"/>
      <c r="DAV3" s="1055"/>
      <c r="DAW3" s="1055"/>
      <c r="DAX3" s="1055"/>
      <c r="DAY3" s="1055"/>
      <c r="DAZ3" s="1055"/>
      <c r="DBA3" s="1055"/>
      <c r="DBB3" s="1055"/>
      <c r="DBC3" s="1055"/>
      <c r="DBD3" s="1055"/>
      <c r="DBE3" s="1055"/>
      <c r="DBF3" s="1055"/>
      <c r="DBG3" s="1055"/>
      <c r="DBH3" s="1055"/>
      <c r="DBI3" s="1055"/>
      <c r="DBJ3" s="1055"/>
      <c r="DBK3" s="1055"/>
      <c r="DBL3" s="1055"/>
      <c r="DBM3" s="1055"/>
      <c r="DBN3" s="1055"/>
      <c r="DBO3" s="1055"/>
      <c r="DBP3" s="1055"/>
      <c r="DBQ3" s="1055"/>
      <c r="DBR3" s="1055"/>
      <c r="DBS3" s="1055"/>
      <c r="DBT3" s="1055"/>
      <c r="DBU3" s="1055"/>
      <c r="DBV3" s="1055"/>
      <c r="DBW3" s="1055"/>
      <c r="DBX3" s="1055"/>
      <c r="DBY3" s="1055"/>
      <c r="DBZ3" s="1055"/>
      <c r="DCA3" s="1055"/>
      <c r="DCB3" s="1055"/>
      <c r="DCC3" s="1055"/>
      <c r="DCD3" s="1055"/>
      <c r="DCE3" s="1055"/>
      <c r="DCF3" s="1055"/>
      <c r="DCG3" s="1055"/>
      <c r="DCH3" s="1055"/>
      <c r="DCI3" s="1055"/>
      <c r="DCJ3" s="1055"/>
      <c r="DCK3" s="1055"/>
      <c r="DCL3" s="1055"/>
      <c r="DCM3" s="1055"/>
      <c r="DCN3" s="1055"/>
      <c r="DCO3" s="1055"/>
      <c r="DCP3" s="1055"/>
      <c r="DCQ3" s="1055"/>
      <c r="DCR3" s="1055"/>
      <c r="DCS3" s="1055"/>
      <c r="DCT3" s="1055"/>
      <c r="DCU3" s="1055"/>
      <c r="DCV3" s="1055"/>
      <c r="DCW3" s="1055"/>
      <c r="DCX3" s="1055"/>
      <c r="DCY3" s="1055"/>
      <c r="DCZ3" s="1055"/>
      <c r="DDA3" s="1055"/>
      <c r="DDB3" s="1055"/>
      <c r="DDC3" s="1055"/>
      <c r="DDD3" s="1055"/>
      <c r="DDE3" s="1055"/>
      <c r="DDF3" s="1055"/>
      <c r="DDG3" s="1055"/>
      <c r="DDH3" s="1055"/>
      <c r="DDI3" s="1055"/>
      <c r="DDJ3" s="1055"/>
      <c r="DDK3" s="1055"/>
      <c r="DDL3" s="1055"/>
      <c r="DDM3" s="1055"/>
      <c r="DDN3" s="1055"/>
      <c r="DDO3" s="1055"/>
      <c r="DDP3" s="1055"/>
      <c r="DDQ3" s="1055"/>
      <c r="DDR3" s="1055"/>
      <c r="DDS3" s="1055"/>
      <c r="DDT3" s="1055"/>
      <c r="DDU3" s="1055"/>
      <c r="DDV3" s="1055"/>
      <c r="DDW3" s="1055"/>
      <c r="DDX3" s="1055"/>
      <c r="DDY3" s="1055"/>
      <c r="DDZ3" s="1055"/>
      <c r="DEA3" s="1055"/>
      <c r="DEB3" s="1055"/>
      <c r="DEC3" s="1055"/>
      <c r="DED3" s="1055"/>
      <c r="DEE3" s="1055"/>
      <c r="DEF3" s="1055"/>
      <c r="DEG3" s="1055"/>
      <c r="DEH3" s="1055"/>
      <c r="DEI3" s="1055"/>
      <c r="DEJ3" s="1055"/>
      <c r="DEK3" s="1055"/>
      <c r="DEL3" s="1055"/>
      <c r="DEM3" s="1055"/>
      <c r="DEN3" s="1055"/>
      <c r="DEO3" s="1055"/>
      <c r="DEP3" s="1055"/>
      <c r="DEQ3" s="1055"/>
      <c r="DER3" s="1055"/>
      <c r="DES3" s="1055"/>
      <c r="DET3" s="1055"/>
      <c r="DEU3" s="1055"/>
      <c r="DEV3" s="1055"/>
      <c r="DEW3" s="1055"/>
      <c r="DEX3" s="1055"/>
      <c r="DEY3" s="1055"/>
      <c r="DEZ3" s="1055"/>
      <c r="DFA3" s="1055"/>
      <c r="DFB3" s="1055"/>
      <c r="DFC3" s="1055"/>
      <c r="DFD3" s="1055"/>
      <c r="DFE3" s="1055"/>
      <c r="DFF3" s="1055"/>
      <c r="DFG3" s="1055"/>
      <c r="DFH3" s="1055"/>
      <c r="DFI3" s="1055"/>
      <c r="DFJ3" s="1055"/>
      <c r="DFK3" s="1055"/>
      <c r="DFL3" s="1055"/>
      <c r="DFM3" s="1055"/>
      <c r="DFN3" s="1055"/>
      <c r="DFO3" s="1055"/>
      <c r="DFP3" s="1055"/>
      <c r="DFQ3" s="1055"/>
      <c r="DFR3" s="1055"/>
      <c r="DFS3" s="1055"/>
      <c r="DFT3" s="1055"/>
      <c r="DFU3" s="1055"/>
      <c r="DFV3" s="1055"/>
      <c r="DFW3" s="1055"/>
      <c r="DFX3" s="1055"/>
      <c r="DFY3" s="1055"/>
      <c r="DFZ3" s="1055"/>
      <c r="DGA3" s="1055"/>
      <c r="DGB3" s="1055"/>
      <c r="DGC3" s="1055"/>
      <c r="DGD3" s="1055"/>
      <c r="DGE3" s="1055"/>
      <c r="DGF3" s="1055"/>
      <c r="DGG3" s="1055"/>
      <c r="DGH3" s="1055"/>
      <c r="DGI3" s="1055"/>
      <c r="DGJ3" s="1055"/>
      <c r="DGK3" s="1055"/>
      <c r="DGL3" s="1055"/>
      <c r="DGM3" s="1055"/>
      <c r="DGN3" s="1055"/>
      <c r="DGO3" s="1055"/>
      <c r="DGP3" s="1055"/>
      <c r="DGQ3" s="1055"/>
      <c r="DGR3" s="1055"/>
      <c r="DGS3" s="1055"/>
      <c r="DGT3" s="1055"/>
      <c r="DGU3" s="1055"/>
      <c r="DGV3" s="1055"/>
      <c r="DGW3" s="1055"/>
      <c r="DGX3" s="1055"/>
      <c r="DGY3" s="1055"/>
      <c r="DGZ3" s="1055"/>
      <c r="DHA3" s="1055"/>
      <c r="DHB3" s="1055"/>
      <c r="DHC3" s="1055"/>
      <c r="DHD3" s="1055"/>
      <c r="DHE3" s="1055"/>
      <c r="DHF3" s="1055"/>
      <c r="DHG3" s="1055"/>
      <c r="DHH3" s="1055"/>
      <c r="DHI3" s="1055"/>
      <c r="DHJ3" s="1055"/>
      <c r="DHK3" s="1055"/>
      <c r="DHL3" s="1055"/>
      <c r="DHM3" s="1055"/>
      <c r="DHN3" s="1055"/>
      <c r="DHO3" s="1055"/>
      <c r="DHP3" s="1055"/>
      <c r="DHQ3" s="1055"/>
      <c r="DHR3" s="1055"/>
      <c r="DHS3" s="1055"/>
      <c r="DHT3" s="1055"/>
      <c r="DHU3" s="1055"/>
      <c r="DHV3" s="1055"/>
      <c r="DHW3" s="1055"/>
      <c r="DHX3" s="1055"/>
      <c r="DHY3" s="1055"/>
      <c r="DHZ3" s="1055"/>
      <c r="DIA3" s="1055"/>
      <c r="DIB3" s="1055"/>
      <c r="DIC3" s="1055"/>
      <c r="DID3" s="1055"/>
      <c r="DIE3" s="1055"/>
      <c r="DIF3" s="1055"/>
      <c r="DIG3" s="1055"/>
      <c r="DIH3" s="1055"/>
      <c r="DII3" s="1055"/>
      <c r="DIJ3" s="1055"/>
      <c r="DIK3" s="1055"/>
      <c r="DIL3" s="1055"/>
      <c r="DIM3" s="1055"/>
      <c r="DIN3" s="1055"/>
      <c r="DIO3" s="1055"/>
      <c r="DIP3" s="1055"/>
      <c r="DIQ3" s="1055"/>
      <c r="DIR3" s="1055"/>
      <c r="DIS3" s="1055"/>
      <c r="DIT3" s="1055"/>
      <c r="DIU3" s="1055"/>
      <c r="DIV3" s="1055"/>
      <c r="DIW3" s="1055"/>
      <c r="DIX3" s="1055"/>
      <c r="DIY3" s="1055"/>
      <c r="DIZ3" s="1055"/>
      <c r="DJA3" s="1055"/>
      <c r="DJB3" s="1055"/>
      <c r="DJC3" s="1055"/>
      <c r="DJD3" s="1055"/>
      <c r="DJE3" s="1055"/>
      <c r="DJF3" s="1055"/>
      <c r="DJG3" s="1055"/>
      <c r="DJH3" s="1055"/>
      <c r="DJI3" s="1055"/>
      <c r="DJJ3" s="1055"/>
      <c r="DJK3" s="1055"/>
      <c r="DJL3" s="1055"/>
      <c r="DJM3" s="1055"/>
      <c r="DJN3" s="1055"/>
      <c r="DJO3" s="1055"/>
      <c r="DJP3" s="1055"/>
      <c r="DJQ3" s="1055"/>
      <c r="DJR3" s="1055"/>
      <c r="DJS3" s="1055"/>
      <c r="DJT3" s="1055"/>
      <c r="DJU3" s="1055"/>
      <c r="DJV3" s="1055"/>
      <c r="DJW3" s="1055"/>
      <c r="DJX3" s="1055"/>
      <c r="DJY3" s="1055"/>
      <c r="DJZ3" s="1055"/>
      <c r="DKA3" s="1055"/>
      <c r="DKB3" s="1055"/>
      <c r="DKC3" s="1055"/>
      <c r="DKD3" s="1055"/>
      <c r="DKE3" s="1055"/>
      <c r="DKF3" s="1055"/>
      <c r="DKG3" s="1055"/>
      <c r="DKH3" s="1055"/>
      <c r="DKI3" s="1055"/>
      <c r="DKJ3" s="1055"/>
      <c r="DKK3" s="1055"/>
      <c r="DKL3" s="1055"/>
      <c r="DKM3" s="1055"/>
      <c r="DKN3" s="1055"/>
      <c r="DKO3" s="1055"/>
      <c r="DKP3" s="1055"/>
      <c r="DKQ3" s="1055"/>
      <c r="DKR3" s="1055"/>
      <c r="DKS3" s="1055"/>
      <c r="DKT3" s="1055"/>
      <c r="DKU3" s="1055"/>
      <c r="DKV3" s="1055"/>
      <c r="DKW3" s="1055"/>
      <c r="DKX3" s="1055"/>
      <c r="DKY3" s="1055"/>
      <c r="DKZ3" s="1055"/>
      <c r="DLA3" s="1055"/>
      <c r="DLB3" s="1055"/>
      <c r="DLC3" s="1055"/>
      <c r="DLD3" s="1055"/>
      <c r="DLE3" s="1055"/>
      <c r="DLF3" s="1055"/>
      <c r="DLG3" s="1055"/>
      <c r="DLH3" s="1055"/>
      <c r="DLI3" s="1055"/>
      <c r="DLJ3" s="1055"/>
      <c r="DLK3" s="1055"/>
      <c r="DLL3" s="1055"/>
      <c r="DLM3" s="1055"/>
      <c r="DLN3" s="1055"/>
      <c r="DLO3" s="1055"/>
      <c r="DLP3" s="1055"/>
      <c r="DLQ3" s="1055"/>
      <c r="DLR3" s="1055"/>
      <c r="DLS3" s="1055"/>
      <c r="DLT3" s="1055"/>
      <c r="DLU3" s="1055"/>
      <c r="DLV3" s="1055"/>
      <c r="DLW3" s="1055"/>
      <c r="DLX3" s="1055"/>
      <c r="DLY3" s="1055"/>
      <c r="DLZ3" s="1055"/>
      <c r="DMA3" s="1055"/>
      <c r="DMB3" s="1055"/>
      <c r="DMC3" s="1055"/>
      <c r="DMD3" s="1055"/>
      <c r="DME3" s="1055"/>
      <c r="DMF3" s="1055"/>
      <c r="DMG3" s="1055"/>
      <c r="DMH3" s="1055"/>
      <c r="DMI3" s="1055"/>
      <c r="DMJ3" s="1055"/>
      <c r="DMK3" s="1055"/>
      <c r="DML3" s="1055"/>
      <c r="DMM3" s="1055"/>
      <c r="DMN3" s="1055"/>
      <c r="DMO3" s="1055"/>
      <c r="DMP3" s="1055"/>
      <c r="DMQ3" s="1055"/>
      <c r="DMR3" s="1055"/>
      <c r="DMS3" s="1055"/>
      <c r="DMT3" s="1055"/>
      <c r="DMU3" s="1055"/>
      <c r="DMV3" s="1055"/>
      <c r="DMW3" s="1055"/>
      <c r="DMX3" s="1055"/>
      <c r="DMY3" s="1055"/>
      <c r="DMZ3" s="1055"/>
      <c r="DNA3" s="1055"/>
      <c r="DNB3" s="1055"/>
      <c r="DNC3" s="1055"/>
      <c r="DND3" s="1055"/>
      <c r="DNE3" s="1055"/>
      <c r="DNF3" s="1055"/>
      <c r="DNG3" s="1055"/>
      <c r="DNH3" s="1055"/>
      <c r="DNI3" s="1055"/>
      <c r="DNJ3" s="1055"/>
      <c r="DNK3" s="1055"/>
      <c r="DNL3" s="1055"/>
      <c r="DNM3" s="1055"/>
      <c r="DNN3" s="1055"/>
      <c r="DNO3" s="1055"/>
      <c r="DNP3" s="1055"/>
      <c r="DNQ3" s="1055"/>
      <c r="DNR3" s="1055"/>
      <c r="DNS3" s="1055"/>
      <c r="DNT3" s="1055"/>
      <c r="DNU3" s="1055"/>
      <c r="DNV3" s="1055"/>
      <c r="DNW3" s="1055"/>
      <c r="DNX3" s="1055"/>
      <c r="DNY3" s="1055"/>
      <c r="DNZ3" s="1055"/>
      <c r="DOA3" s="1055"/>
      <c r="DOB3" s="1055"/>
      <c r="DOC3" s="1055"/>
      <c r="DOD3" s="1055"/>
      <c r="DOE3" s="1055"/>
      <c r="DOF3" s="1055"/>
      <c r="DOG3" s="1055"/>
      <c r="DOH3" s="1055"/>
      <c r="DOI3" s="1055"/>
      <c r="DOJ3" s="1055"/>
      <c r="DOK3" s="1055"/>
      <c r="DOL3" s="1055"/>
      <c r="DOM3" s="1055"/>
      <c r="DON3" s="1055"/>
      <c r="DOO3" s="1055"/>
      <c r="DOP3" s="1055"/>
      <c r="DOQ3" s="1055"/>
      <c r="DOR3" s="1055"/>
      <c r="DOS3" s="1055"/>
      <c r="DOT3" s="1055"/>
      <c r="DOU3" s="1055"/>
      <c r="DOV3" s="1055"/>
      <c r="DOW3" s="1055"/>
      <c r="DOX3" s="1055"/>
      <c r="DOY3" s="1055"/>
      <c r="DOZ3" s="1055"/>
      <c r="DPA3" s="1055"/>
      <c r="DPB3" s="1055"/>
      <c r="DPC3" s="1055"/>
      <c r="DPD3" s="1055"/>
      <c r="DPE3" s="1055"/>
      <c r="DPF3" s="1055"/>
      <c r="DPG3" s="1055"/>
      <c r="DPH3" s="1055"/>
      <c r="DPI3" s="1055"/>
      <c r="DPJ3" s="1055"/>
      <c r="DPK3" s="1055"/>
      <c r="DPL3" s="1055"/>
      <c r="DPM3" s="1055"/>
      <c r="DPN3" s="1055"/>
      <c r="DPO3" s="1055"/>
      <c r="DPP3" s="1055"/>
      <c r="DPQ3" s="1055"/>
      <c r="DPR3" s="1055"/>
      <c r="DPS3" s="1055"/>
      <c r="DPT3" s="1055"/>
      <c r="DPU3" s="1055"/>
      <c r="DPV3" s="1055"/>
      <c r="DPW3" s="1055"/>
      <c r="DPX3" s="1055"/>
      <c r="DPY3" s="1055"/>
      <c r="DPZ3" s="1055"/>
      <c r="DQA3" s="1055"/>
      <c r="DQB3" s="1055"/>
      <c r="DQC3" s="1055"/>
      <c r="DQD3" s="1055"/>
      <c r="DQE3" s="1055"/>
      <c r="DQF3" s="1055"/>
      <c r="DQG3" s="1055"/>
      <c r="DQH3" s="1055"/>
      <c r="DQI3" s="1055"/>
      <c r="DQJ3" s="1055"/>
      <c r="DQK3" s="1055"/>
      <c r="DQL3" s="1055"/>
      <c r="DQM3" s="1055"/>
      <c r="DQN3" s="1055"/>
      <c r="DQO3" s="1055"/>
      <c r="DQP3" s="1055"/>
      <c r="DQQ3" s="1055"/>
      <c r="DQR3" s="1055"/>
      <c r="DQS3" s="1055"/>
      <c r="DQT3" s="1055"/>
      <c r="DQU3" s="1055"/>
      <c r="DQV3" s="1055"/>
      <c r="DQW3" s="1055"/>
      <c r="DQX3" s="1055"/>
      <c r="DQY3" s="1055"/>
      <c r="DQZ3" s="1055"/>
      <c r="DRA3" s="1055"/>
      <c r="DRB3" s="1055"/>
      <c r="DRC3" s="1055"/>
      <c r="DRD3" s="1055"/>
      <c r="DRE3" s="1055"/>
      <c r="DRF3" s="1055"/>
      <c r="DRG3" s="1055"/>
      <c r="DRH3" s="1055"/>
      <c r="DRI3" s="1055"/>
      <c r="DRJ3" s="1055"/>
      <c r="DRK3" s="1055"/>
      <c r="DRL3" s="1055"/>
      <c r="DRM3" s="1055"/>
      <c r="DRN3" s="1055"/>
      <c r="DRO3" s="1055"/>
      <c r="DRP3" s="1055"/>
      <c r="DRQ3" s="1055"/>
      <c r="DRR3" s="1055"/>
      <c r="DRS3" s="1055"/>
      <c r="DRT3" s="1055"/>
      <c r="DRU3" s="1055"/>
      <c r="DRV3" s="1055"/>
      <c r="DRW3" s="1055"/>
      <c r="DRX3" s="1055"/>
      <c r="DRY3" s="1055"/>
      <c r="DRZ3" s="1055"/>
      <c r="DSA3" s="1055"/>
      <c r="DSB3" s="1055"/>
      <c r="DSC3" s="1055"/>
      <c r="DSD3" s="1055"/>
      <c r="DSE3" s="1055"/>
      <c r="DSF3" s="1055"/>
      <c r="DSG3" s="1055"/>
      <c r="DSH3" s="1055"/>
      <c r="DSI3" s="1055"/>
      <c r="DSJ3" s="1055"/>
      <c r="DSK3" s="1055"/>
      <c r="DSL3" s="1055"/>
      <c r="DSM3" s="1055"/>
      <c r="DSN3" s="1055"/>
      <c r="DSO3" s="1055"/>
      <c r="DSP3" s="1055"/>
      <c r="DSQ3" s="1055"/>
      <c r="DSR3" s="1055"/>
      <c r="DSS3" s="1055"/>
      <c r="DST3" s="1055"/>
      <c r="DSU3" s="1055"/>
      <c r="DSV3" s="1055"/>
      <c r="DSW3" s="1055"/>
      <c r="DSX3" s="1055"/>
      <c r="DSY3" s="1055"/>
      <c r="DSZ3" s="1055"/>
      <c r="DTA3" s="1055"/>
      <c r="DTB3" s="1055"/>
      <c r="DTC3" s="1055"/>
      <c r="DTD3" s="1055"/>
      <c r="DTE3" s="1055"/>
      <c r="DTF3" s="1055"/>
      <c r="DTG3" s="1055"/>
      <c r="DTH3" s="1055"/>
      <c r="DTI3" s="1055"/>
      <c r="DTJ3" s="1055"/>
      <c r="DTK3" s="1055"/>
      <c r="DTL3" s="1055"/>
      <c r="DTM3" s="1055"/>
      <c r="DTN3" s="1055"/>
      <c r="DTO3" s="1055"/>
      <c r="DTP3" s="1055"/>
      <c r="DTQ3" s="1055"/>
      <c r="DTR3" s="1055"/>
      <c r="DTS3" s="1055"/>
      <c r="DTT3" s="1055"/>
      <c r="DTU3" s="1055"/>
      <c r="DTV3" s="1055"/>
      <c r="DTW3" s="1055"/>
      <c r="DTX3" s="1055"/>
      <c r="DTY3" s="1055"/>
      <c r="DTZ3" s="1055"/>
      <c r="DUA3" s="1055"/>
      <c r="DUB3" s="1055"/>
      <c r="DUC3" s="1055"/>
      <c r="DUD3" s="1055"/>
      <c r="DUE3" s="1055"/>
      <c r="DUF3" s="1055"/>
      <c r="DUG3" s="1055"/>
      <c r="DUH3" s="1055"/>
      <c r="DUI3" s="1055"/>
      <c r="DUJ3" s="1055"/>
      <c r="DUK3" s="1055"/>
      <c r="DUL3" s="1055"/>
      <c r="DUM3" s="1055"/>
      <c r="DUN3" s="1055"/>
      <c r="DUO3" s="1055"/>
      <c r="DUP3" s="1055"/>
      <c r="DUQ3" s="1055"/>
      <c r="DUR3" s="1055"/>
      <c r="DUS3" s="1055"/>
      <c r="DUT3" s="1055"/>
      <c r="DUU3" s="1055"/>
      <c r="DUV3" s="1055"/>
      <c r="DUW3" s="1055"/>
      <c r="DUX3" s="1055"/>
      <c r="DUY3" s="1055"/>
      <c r="DUZ3" s="1055"/>
      <c r="DVA3" s="1055"/>
      <c r="DVB3" s="1055"/>
      <c r="DVC3" s="1055"/>
      <c r="DVD3" s="1055"/>
      <c r="DVE3" s="1055"/>
      <c r="DVF3" s="1055"/>
      <c r="DVG3" s="1055"/>
      <c r="DVH3" s="1055"/>
      <c r="DVI3" s="1055"/>
      <c r="DVJ3" s="1055"/>
      <c r="DVK3" s="1055"/>
      <c r="DVL3" s="1055"/>
      <c r="DVM3" s="1055"/>
      <c r="DVN3" s="1055"/>
      <c r="DVO3" s="1055"/>
      <c r="DVP3" s="1055"/>
      <c r="DVQ3" s="1055"/>
      <c r="DVR3" s="1055"/>
      <c r="DVS3" s="1055"/>
      <c r="DVT3" s="1055"/>
      <c r="DVU3" s="1055"/>
      <c r="DVV3" s="1055"/>
      <c r="DVW3" s="1055"/>
      <c r="DVX3" s="1055"/>
      <c r="DVY3" s="1055"/>
      <c r="DVZ3" s="1055"/>
      <c r="DWA3" s="1055"/>
      <c r="DWB3" s="1055"/>
      <c r="DWC3" s="1055"/>
      <c r="DWD3" s="1055"/>
      <c r="DWE3" s="1055"/>
      <c r="DWF3" s="1055"/>
      <c r="DWG3" s="1055"/>
      <c r="DWH3" s="1055"/>
      <c r="DWI3" s="1055"/>
      <c r="DWJ3" s="1055"/>
      <c r="DWK3" s="1055"/>
      <c r="DWL3" s="1055"/>
      <c r="DWM3" s="1055"/>
      <c r="DWN3" s="1055"/>
      <c r="DWO3" s="1055"/>
      <c r="DWP3" s="1055"/>
      <c r="DWQ3" s="1055"/>
      <c r="DWR3" s="1055"/>
      <c r="DWS3" s="1055"/>
      <c r="DWT3" s="1055"/>
      <c r="DWU3" s="1055"/>
      <c r="DWV3" s="1055"/>
      <c r="DWW3" s="1055"/>
      <c r="DWX3" s="1055"/>
      <c r="DWY3" s="1055"/>
      <c r="DWZ3" s="1055"/>
      <c r="DXA3" s="1055"/>
      <c r="DXB3" s="1055"/>
      <c r="DXC3" s="1055"/>
      <c r="DXD3" s="1055"/>
      <c r="DXE3" s="1055"/>
      <c r="DXF3" s="1055"/>
      <c r="DXG3" s="1055"/>
      <c r="DXH3" s="1055"/>
      <c r="DXI3" s="1055"/>
      <c r="DXJ3" s="1055"/>
      <c r="DXK3" s="1055"/>
      <c r="DXL3" s="1055"/>
      <c r="DXM3" s="1055"/>
      <c r="DXN3" s="1055"/>
      <c r="DXO3" s="1055"/>
      <c r="DXP3" s="1055"/>
      <c r="DXQ3" s="1055"/>
      <c r="DXR3" s="1055"/>
      <c r="DXS3" s="1055"/>
      <c r="DXT3" s="1055"/>
      <c r="DXU3" s="1055"/>
      <c r="DXV3" s="1055"/>
      <c r="DXW3" s="1055"/>
      <c r="DXX3" s="1055"/>
      <c r="DXY3" s="1055"/>
      <c r="DXZ3" s="1055"/>
      <c r="DYA3" s="1055"/>
      <c r="DYB3" s="1055"/>
      <c r="DYC3" s="1055"/>
      <c r="DYD3" s="1055"/>
      <c r="DYE3" s="1055"/>
      <c r="DYF3" s="1055"/>
      <c r="DYG3" s="1055"/>
      <c r="DYH3" s="1055"/>
      <c r="DYI3" s="1055"/>
      <c r="DYJ3" s="1055"/>
      <c r="DYK3" s="1055"/>
      <c r="DYL3" s="1055"/>
      <c r="DYM3" s="1055"/>
      <c r="DYN3" s="1055"/>
      <c r="DYO3" s="1055"/>
      <c r="DYP3" s="1055"/>
      <c r="DYQ3" s="1055"/>
      <c r="DYR3" s="1055"/>
      <c r="DYS3" s="1055"/>
      <c r="DYT3" s="1055"/>
      <c r="DYU3" s="1055"/>
      <c r="DYV3" s="1055"/>
      <c r="DYW3" s="1055"/>
      <c r="DYX3" s="1055"/>
      <c r="DYY3" s="1055"/>
      <c r="DYZ3" s="1055"/>
      <c r="DZA3" s="1055"/>
      <c r="DZB3" s="1055"/>
      <c r="DZC3" s="1055"/>
      <c r="DZD3" s="1055"/>
      <c r="DZE3" s="1055"/>
      <c r="DZF3" s="1055"/>
      <c r="DZG3" s="1055"/>
      <c r="DZH3" s="1055"/>
      <c r="DZI3" s="1055"/>
      <c r="DZJ3" s="1055"/>
      <c r="DZK3" s="1055"/>
      <c r="DZL3" s="1055"/>
      <c r="DZM3" s="1055"/>
      <c r="DZN3" s="1055"/>
      <c r="DZO3" s="1055"/>
      <c r="DZP3" s="1055"/>
      <c r="DZQ3" s="1055"/>
      <c r="DZR3" s="1055"/>
      <c r="DZS3" s="1055"/>
      <c r="DZT3" s="1055"/>
      <c r="DZU3" s="1055"/>
      <c r="DZV3" s="1055"/>
      <c r="DZW3" s="1055"/>
      <c r="DZX3" s="1055"/>
      <c r="DZY3" s="1055"/>
      <c r="DZZ3" s="1055"/>
      <c r="EAA3" s="1055"/>
      <c r="EAB3" s="1055"/>
      <c r="EAC3" s="1055"/>
      <c r="EAD3" s="1055"/>
      <c r="EAE3" s="1055"/>
      <c r="EAF3" s="1055"/>
      <c r="EAG3" s="1055"/>
      <c r="EAH3" s="1055"/>
      <c r="EAI3" s="1055"/>
      <c r="EAJ3" s="1055"/>
      <c r="EAK3" s="1055"/>
      <c r="EAL3" s="1055"/>
      <c r="EAM3" s="1055"/>
      <c r="EAN3" s="1055"/>
      <c r="EAO3" s="1055"/>
      <c r="EAP3" s="1055"/>
      <c r="EAQ3" s="1055"/>
      <c r="EAR3" s="1055"/>
      <c r="EAS3" s="1055"/>
      <c r="EAT3" s="1055"/>
      <c r="EAU3" s="1055"/>
      <c r="EAV3" s="1055"/>
      <c r="EAW3" s="1055"/>
      <c r="EAX3" s="1055"/>
      <c r="EAY3" s="1055"/>
      <c r="EAZ3" s="1055"/>
      <c r="EBA3" s="1055"/>
      <c r="EBB3" s="1055"/>
      <c r="EBC3" s="1055"/>
      <c r="EBD3" s="1055"/>
      <c r="EBE3" s="1055"/>
      <c r="EBF3" s="1055"/>
      <c r="EBG3" s="1055"/>
      <c r="EBH3" s="1055"/>
      <c r="EBI3" s="1055"/>
      <c r="EBJ3" s="1055"/>
      <c r="EBK3" s="1055"/>
      <c r="EBL3" s="1055"/>
      <c r="EBM3" s="1055"/>
      <c r="EBN3" s="1055"/>
      <c r="EBO3" s="1055"/>
      <c r="EBP3" s="1055"/>
      <c r="EBQ3" s="1055"/>
      <c r="EBR3" s="1055"/>
      <c r="EBS3" s="1055"/>
      <c r="EBT3" s="1055"/>
      <c r="EBU3" s="1055"/>
      <c r="EBV3" s="1055"/>
      <c r="EBW3" s="1055"/>
      <c r="EBX3" s="1055"/>
      <c r="EBY3" s="1055"/>
      <c r="EBZ3" s="1055"/>
      <c r="ECA3" s="1055"/>
      <c r="ECB3" s="1055"/>
      <c r="ECC3" s="1055"/>
      <c r="ECD3" s="1055"/>
      <c r="ECE3" s="1055"/>
      <c r="ECF3" s="1055"/>
      <c r="ECG3" s="1055"/>
      <c r="ECH3" s="1055"/>
      <c r="ECI3" s="1055"/>
      <c r="ECJ3" s="1055"/>
      <c r="ECK3" s="1055"/>
      <c r="ECL3" s="1055"/>
      <c r="ECM3" s="1055"/>
      <c r="ECN3" s="1055"/>
      <c r="ECO3" s="1055"/>
      <c r="ECP3" s="1055"/>
      <c r="ECQ3" s="1055"/>
      <c r="ECR3" s="1055"/>
      <c r="ECS3" s="1055"/>
      <c r="ECT3" s="1055"/>
      <c r="ECU3" s="1055"/>
      <c r="ECV3" s="1055"/>
      <c r="ECW3" s="1055"/>
      <c r="ECX3" s="1055"/>
      <c r="ECY3" s="1055"/>
      <c r="ECZ3" s="1055"/>
      <c r="EDA3" s="1055"/>
      <c r="EDB3" s="1055"/>
      <c r="EDC3" s="1055"/>
      <c r="EDD3" s="1055"/>
      <c r="EDE3" s="1055"/>
      <c r="EDF3" s="1055"/>
      <c r="EDG3" s="1055"/>
      <c r="EDH3" s="1055"/>
      <c r="EDI3" s="1055"/>
      <c r="EDJ3" s="1055"/>
      <c r="EDK3" s="1055"/>
      <c r="EDL3" s="1055"/>
      <c r="EDM3" s="1055"/>
      <c r="EDN3" s="1055"/>
      <c r="EDO3" s="1055"/>
      <c r="EDP3" s="1055"/>
      <c r="EDQ3" s="1055"/>
      <c r="EDR3" s="1055"/>
      <c r="EDS3" s="1055"/>
      <c r="EDT3" s="1055"/>
      <c r="EDU3" s="1055"/>
      <c r="EDV3" s="1055"/>
      <c r="EDW3" s="1055"/>
      <c r="EDX3" s="1055"/>
      <c r="EDY3" s="1055"/>
      <c r="EDZ3" s="1055"/>
      <c r="EEA3" s="1055"/>
      <c r="EEB3" s="1055"/>
      <c r="EEC3" s="1055"/>
      <c r="EED3" s="1055"/>
      <c r="EEE3" s="1055"/>
      <c r="EEF3" s="1055"/>
      <c r="EEG3" s="1055"/>
      <c r="EEH3" s="1055"/>
      <c r="EEI3" s="1055"/>
      <c r="EEJ3" s="1055"/>
      <c r="EEK3" s="1055"/>
      <c r="EEL3" s="1055"/>
      <c r="EEM3" s="1055"/>
      <c r="EEN3" s="1055"/>
      <c r="EEO3" s="1055"/>
      <c r="EEP3" s="1055"/>
      <c r="EEQ3" s="1055"/>
      <c r="EER3" s="1055"/>
      <c r="EES3" s="1055"/>
      <c r="EET3" s="1055"/>
      <c r="EEU3" s="1055"/>
      <c r="EEV3" s="1055"/>
      <c r="EEW3" s="1055"/>
      <c r="EEX3" s="1055"/>
      <c r="EEY3" s="1055"/>
      <c r="EEZ3" s="1055"/>
      <c r="EFA3" s="1055"/>
      <c r="EFB3" s="1055"/>
      <c r="EFC3" s="1055"/>
      <c r="EFD3" s="1055"/>
      <c r="EFE3" s="1055"/>
      <c r="EFF3" s="1055"/>
      <c r="EFG3" s="1055"/>
      <c r="EFH3" s="1055"/>
      <c r="EFI3" s="1055"/>
      <c r="EFJ3" s="1055"/>
      <c r="EFK3" s="1055"/>
      <c r="EFL3" s="1055"/>
      <c r="EFM3" s="1055"/>
      <c r="EFN3" s="1055"/>
      <c r="EFO3" s="1055"/>
      <c r="EFP3" s="1055"/>
      <c r="EFQ3" s="1055"/>
      <c r="EFR3" s="1055"/>
      <c r="EFS3" s="1055"/>
      <c r="EFT3" s="1055"/>
      <c r="EFU3" s="1055"/>
      <c r="EFV3" s="1055"/>
      <c r="EFW3" s="1055"/>
      <c r="EFX3" s="1055"/>
      <c r="EFY3" s="1055"/>
      <c r="EFZ3" s="1055"/>
      <c r="EGA3" s="1055"/>
      <c r="EGB3" s="1055"/>
      <c r="EGC3" s="1055"/>
      <c r="EGD3" s="1055"/>
      <c r="EGE3" s="1055"/>
      <c r="EGF3" s="1055"/>
      <c r="EGG3" s="1055"/>
      <c r="EGH3" s="1055"/>
      <c r="EGI3" s="1055"/>
      <c r="EGJ3" s="1055"/>
      <c r="EGK3" s="1055"/>
      <c r="EGL3" s="1055"/>
      <c r="EGM3" s="1055"/>
      <c r="EGN3" s="1055"/>
      <c r="EGO3" s="1055"/>
      <c r="EGP3" s="1055"/>
      <c r="EGQ3" s="1055"/>
      <c r="EGR3" s="1055"/>
      <c r="EGS3" s="1055"/>
      <c r="EGT3" s="1055"/>
      <c r="EGU3" s="1055"/>
      <c r="EGV3" s="1055"/>
      <c r="EGW3" s="1055"/>
      <c r="EGX3" s="1055"/>
      <c r="EGY3" s="1055"/>
      <c r="EGZ3" s="1055"/>
      <c r="EHA3" s="1055"/>
      <c r="EHB3" s="1055"/>
      <c r="EHC3" s="1055"/>
      <c r="EHD3" s="1055"/>
      <c r="EHE3" s="1055"/>
      <c r="EHF3" s="1055"/>
      <c r="EHG3" s="1055"/>
      <c r="EHH3" s="1055"/>
      <c r="EHI3" s="1055"/>
      <c r="EHJ3" s="1055"/>
      <c r="EHK3" s="1055"/>
      <c r="EHL3" s="1055"/>
      <c r="EHM3" s="1055"/>
      <c r="EHN3" s="1055"/>
      <c r="EHO3" s="1055"/>
      <c r="EHP3" s="1055"/>
      <c r="EHQ3" s="1055"/>
      <c r="EHR3" s="1055"/>
      <c r="EHS3" s="1055"/>
      <c r="EHT3" s="1055"/>
      <c r="EHU3" s="1055"/>
      <c r="EHV3" s="1055"/>
      <c r="EHW3" s="1055"/>
      <c r="EHX3" s="1055"/>
      <c r="EHY3" s="1055"/>
      <c r="EHZ3" s="1055"/>
      <c r="EIA3" s="1055"/>
      <c r="EIB3" s="1055"/>
      <c r="EIC3" s="1055"/>
      <c r="EID3" s="1055"/>
      <c r="EIE3" s="1055"/>
      <c r="EIF3" s="1055"/>
      <c r="EIG3" s="1055"/>
      <c r="EIH3" s="1055"/>
      <c r="EII3" s="1055"/>
      <c r="EIJ3" s="1055"/>
      <c r="EIK3" s="1055"/>
      <c r="EIL3" s="1055"/>
      <c r="EIM3" s="1055"/>
      <c r="EIN3" s="1055"/>
      <c r="EIO3" s="1055"/>
      <c r="EIP3" s="1055"/>
      <c r="EIQ3" s="1055"/>
      <c r="EIR3" s="1055"/>
      <c r="EIS3" s="1055"/>
      <c r="EIT3" s="1055"/>
      <c r="EIU3" s="1055"/>
      <c r="EIV3" s="1055"/>
      <c r="EIW3" s="1055"/>
      <c r="EIX3" s="1055"/>
      <c r="EIY3" s="1055"/>
      <c r="EIZ3" s="1055"/>
      <c r="EJA3" s="1055"/>
      <c r="EJB3" s="1055"/>
      <c r="EJC3" s="1055"/>
      <c r="EJD3" s="1055"/>
      <c r="EJE3" s="1055"/>
      <c r="EJF3" s="1055"/>
      <c r="EJG3" s="1055"/>
      <c r="EJH3" s="1055"/>
      <c r="EJI3" s="1055"/>
      <c r="EJJ3" s="1055"/>
      <c r="EJK3" s="1055"/>
      <c r="EJL3" s="1055"/>
      <c r="EJM3" s="1055"/>
      <c r="EJN3" s="1055"/>
      <c r="EJO3" s="1055"/>
      <c r="EJP3" s="1055"/>
      <c r="EJQ3" s="1055"/>
      <c r="EJR3" s="1055"/>
      <c r="EJS3" s="1055"/>
      <c r="EJT3" s="1055"/>
      <c r="EJU3" s="1055"/>
      <c r="EJV3" s="1055"/>
      <c r="EJW3" s="1055"/>
      <c r="EJX3" s="1055"/>
      <c r="EJY3" s="1055"/>
      <c r="EJZ3" s="1055"/>
      <c r="EKA3" s="1055"/>
      <c r="EKB3" s="1055"/>
      <c r="EKC3" s="1055"/>
      <c r="EKD3" s="1055"/>
      <c r="EKE3" s="1055"/>
      <c r="EKF3" s="1055"/>
      <c r="EKG3" s="1055"/>
      <c r="EKH3" s="1055"/>
      <c r="EKI3" s="1055"/>
      <c r="EKJ3" s="1055"/>
      <c r="EKK3" s="1055"/>
      <c r="EKL3" s="1055"/>
      <c r="EKM3" s="1055"/>
      <c r="EKN3" s="1055"/>
      <c r="EKO3" s="1055"/>
      <c r="EKP3" s="1055"/>
      <c r="EKQ3" s="1055"/>
      <c r="EKR3" s="1055"/>
      <c r="EKS3" s="1055"/>
      <c r="EKT3" s="1055"/>
      <c r="EKU3" s="1055"/>
      <c r="EKV3" s="1055"/>
      <c r="EKW3" s="1055"/>
      <c r="EKX3" s="1055"/>
      <c r="EKY3" s="1055"/>
      <c r="EKZ3" s="1055"/>
      <c r="ELA3" s="1055"/>
      <c r="ELB3" s="1055"/>
      <c r="ELC3" s="1055"/>
      <c r="ELD3" s="1055"/>
      <c r="ELE3" s="1055"/>
      <c r="ELF3" s="1055"/>
      <c r="ELG3" s="1055"/>
      <c r="ELH3" s="1055"/>
      <c r="ELI3" s="1055"/>
      <c r="ELJ3" s="1055"/>
      <c r="ELK3" s="1055"/>
      <c r="ELL3" s="1055"/>
      <c r="ELM3" s="1055"/>
      <c r="ELN3" s="1055"/>
      <c r="ELO3" s="1055"/>
      <c r="ELP3" s="1055"/>
      <c r="ELQ3" s="1055"/>
      <c r="ELR3" s="1055"/>
      <c r="ELS3" s="1055"/>
      <c r="ELT3" s="1055"/>
      <c r="ELU3" s="1055"/>
      <c r="ELV3" s="1055"/>
      <c r="ELW3" s="1055"/>
      <c r="ELX3" s="1055"/>
      <c r="ELY3" s="1055"/>
      <c r="ELZ3" s="1055"/>
      <c r="EMA3" s="1055"/>
      <c r="EMB3" s="1055"/>
      <c r="EMC3" s="1055"/>
      <c r="EMD3" s="1055"/>
      <c r="EME3" s="1055"/>
      <c r="EMF3" s="1055"/>
      <c r="EMG3" s="1055"/>
      <c r="EMH3" s="1055"/>
      <c r="EMI3" s="1055"/>
      <c r="EMJ3" s="1055"/>
      <c r="EMK3" s="1055"/>
      <c r="EML3" s="1055"/>
      <c r="EMM3" s="1055"/>
      <c r="EMN3" s="1055"/>
      <c r="EMO3" s="1055"/>
      <c r="EMP3" s="1055"/>
      <c r="EMQ3" s="1055"/>
      <c r="EMR3" s="1055"/>
      <c r="EMS3" s="1055"/>
      <c r="EMT3" s="1055"/>
      <c r="EMU3" s="1055"/>
      <c r="EMV3" s="1055"/>
      <c r="EMW3" s="1055"/>
      <c r="EMX3" s="1055"/>
      <c r="EMY3" s="1055"/>
      <c r="EMZ3" s="1055"/>
      <c r="ENA3" s="1055"/>
      <c r="ENB3" s="1055"/>
      <c r="ENC3" s="1055"/>
      <c r="END3" s="1055"/>
      <c r="ENE3" s="1055"/>
      <c r="ENF3" s="1055"/>
      <c r="ENG3" s="1055"/>
      <c r="ENH3" s="1055"/>
      <c r="ENI3" s="1055"/>
      <c r="ENJ3" s="1055"/>
      <c r="ENK3" s="1055"/>
      <c r="ENL3" s="1055"/>
      <c r="ENM3" s="1055"/>
      <c r="ENN3" s="1055"/>
      <c r="ENO3" s="1055"/>
      <c r="ENP3" s="1055"/>
      <c r="ENQ3" s="1055"/>
      <c r="ENR3" s="1055"/>
      <c r="ENS3" s="1055"/>
      <c r="ENT3" s="1055"/>
      <c r="ENU3" s="1055"/>
      <c r="ENV3" s="1055"/>
      <c r="ENW3" s="1055"/>
      <c r="ENX3" s="1055"/>
      <c r="ENY3" s="1055"/>
      <c r="ENZ3" s="1055"/>
      <c r="EOA3" s="1055"/>
      <c r="EOB3" s="1055"/>
      <c r="EOC3" s="1055"/>
      <c r="EOD3" s="1055"/>
      <c r="EOE3" s="1055"/>
      <c r="EOF3" s="1055"/>
      <c r="EOG3" s="1055"/>
      <c r="EOH3" s="1055"/>
      <c r="EOI3" s="1055"/>
      <c r="EOJ3" s="1055"/>
      <c r="EOK3" s="1055"/>
      <c r="EOL3" s="1055"/>
      <c r="EOM3" s="1055"/>
      <c r="EON3" s="1055"/>
      <c r="EOO3" s="1055"/>
      <c r="EOP3" s="1055"/>
      <c r="EOQ3" s="1055"/>
      <c r="EOR3" s="1055"/>
      <c r="EOS3" s="1055"/>
      <c r="EOT3" s="1055"/>
      <c r="EOU3" s="1055"/>
      <c r="EOV3" s="1055"/>
      <c r="EOW3" s="1055"/>
      <c r="EOX3" s="1055"/>
      <c r="EOY3" s="1055"/>
      <c r="EOZ3" s="1055"/>
      <c r="EPA3" s="1055"/>
      <c r="EPB3" s="1055"/>
      <c r="EPC3" s="1055"/>
      <c r="EPD3" s="1055"/>
      <c r="EPE3" s="1055"/>
      <c r="EPF3" s="1055"/>
      <c r="EPG3" s="1055"/>
      <c r="EPH3" s="1055"/>
      <c r="EPI3" s="1055"/>
      <c r="EPJ3" s="1055"/>
      <c r="EPK3" s="1055"/>
      <c r="EPL3" s="1055"/>
      <c r="EPM3" s="1055"/>
      <c r="EPN3" s="1055"/>
      <c r="EPO3" s="1055"/>
      <c r="EPP3" s="1055"/>
      <c r="EPQ3" s="1055"/>
      <c r="EPR3" s="1055"/>
      <c r="EPS3" s="1055"/>
      <c r="EPT3" s="1055"/>
      <c r="EPU3" s="1055"/>
      <c r="EPV3" s="1055"/>
      <c r="EPW3" s="1055"/>
      <c r="EPX3" s="1055"/>
      <c r="EPY3" s="1055"/>
      <c r="EPZ3" s="1055"/>
      <c r="EQA3" s="1055"/>
      <c r="EQB3" s="1055"/>
      <c r="EQC3" s="1055"/>
      <c r="EQD3" s="1055"/>
      <c r="EQE3" s="1055"/>
      <c r="EQF3" s="1055"/>
      <c r="EQG3" s="1055"/>
      <c r="EQH3" s="1055"/>
      <c r="EQI3" s="1055"/>
      <c r="EQJ3" s="1055"/>
      <c r="EQK3" s="1055"/>
      <c r="EQL3" s="1055"/>
      <c r="EQM3" s="1055"/>
      <c r="EQN3" s="1055"/>
      <c r="EQO3" s="1055"/>
      <c r="EQP3" s="1055"/>
      <c r="EQQ3" s="1055"/>
      <c r="EQR3" s="1055"/>
      <c r="EQS3" s="1055"/>
      <c r="EQT3" s="1055"/>
      <c r="EQU3" s="1055"/>
      <c r="EQV3" s="1055"/>
      <c r="EQW3" s="1055"/>
      <c r="EQX3" s="1055"/>
      <c r="EQY3" s="1055"/>
      <c r="EQZ3" s="1055"/>
      <c r="ERA3" s="1055"/>
      <c r="ERB3" s="1055"/>
      <c r="ERC3" s="1055"/>
      <c r="ERD3" s="1055"/>
      <c r="ERE3" s="1055"/>
      <c r="ERF3" s="1055"/>
      <c r="ERG3" s="1055"/>
      <c r="ERH3" s="1055"/>
      <c r="ERI3" s="1055"/>
      <c r="ERJ3" s="1055"/>
      <c r="ERK3" s="1055"/>
      <c r="ERL3" s="1055"/>
      <c r="ERM3" s="1055"/>
      <c r="ERN3" s="1055"/>
      <c r="ERO3" s="1055"/>
      <c r="ERP3" s="1055"/>
      <c r="ERQ3" s="1055"/>
      <c r="ERR3" s="1055"/>
      <c r="ERS3" s="1055"/>
      <c r="ERT3" s="1055"/>
      <c r="ERU3" s="1055"/>
      <c r="ERV3" s="1055"/>
      <c r="ERW3" s="1055"/>
      <c r="ERX3" s="1055"/>
      <c r="ERY3" s="1055"/>
      <c r="ERZ3" s="1055"/>
      <c r="ESA3" s="1055"/>
      <c r="ESB3" s="1055"/>
      <c r="ESC3" s="1055"/>
      <c r="ESD3" s="1055"/>
      <c r="ESE3" s="1055"/>
      <c r="ESF3" s="1055"/>
      <c r="ESG3" s="1055"/>
      <c r="ESH3" s="1055"/>
      <c r="ESI3" s="1055"/>
      <c r="ESJ3" s="1055"/>
      <c r="ESK3" s="1055"/>
      <c r="ESL3" s="1055"/>
      <c r="ESM3" s="1055"/>
      <c r="ESN3" s="1055"/>
      <c r="ESO3" s="1055"/>
      <c r="ESP3" s="1055"/>
      <c r="ESQ3" s="1055"/>
      <c r="ESR3" s="1055"/>
      <c r="ESS3" s="1055"/>
      <c r="EST3" s="1055"/>
      <c r="ESU3" s="1055"/>
      <c r="ESV3" s="1055"/>
      <c r="ESW3" s="1055"/>
      <c r="ESX3" s="1055"/>
      <c r="ESY3" s="1055"/>
      <c r="ESZ3" s="1055"/>
      <c r="ETA3" s="1055"/>
      <c r="ETB3" s="1055"/>
      <c r="ETC3" s="1055"/>
      <c r="ETD3" s="1055"/>
      <c r="ETE3" s="1055"/>
      <c r="ETF3" s="1055"/>
      <c r="ETG3" s="1055"/>
      <c r="ETH3" s="1055"/>
      <c r="ETI3" s="1055"/>
      <c r="ETJ3" s="1055"/>
      <c r="ETK3" s="1055"/>
      <c r="ETL3" s="1055"/>
      <c r="ETM3" s="1055"/>
      <c r="ETN3" s="1055"/>
      <c r="ETO3" s="1055"/>
      <c r="ETP3" s="1055"/>
      <c r="ETQ3" s="1055"/>
      <c r="ETR3" s="1055"/>
      <c r="ETS3" s="1055"/>
      <c r="ETT3" s="1055"/>
      <c r="ETU3" s="1055"/>
      <c r="ETV3" s="1055"/>
      <c r="ETW3" s="1055"/>
      <c r="ETX3" s="1055"/>
      <c r="ETY3" s="1055"/>
      <c r="ETZ3" s="1055"/>
      <c r="EUA3" s="1055"/>
      <c r="EUB3" s="1055"/>
      <c r="EUC3" s="1055"/>
      <c r="EUD3" s="1055"/>
      <c r="EUE3" s="1055"/>
      <c r="EUF3" s="1055"/>
      <c r="EUG3" s="1055"/>
      <c r="EUH3" s="1055"/>
      <c r="EUI3" s="1055"/>
      <c r="EUJ3" s="1055"/>
      <c r="EUK3" s="1055"/>
      <c r="EUL3" s="1055"/>
      <c r="EUM3" s="1055"/>
      <c r="EUN3" s="1055"/>
      <c r="EUO3" s="1055"/>
      <c r="EUP3" s="1055"/>
      <c r="EUQ3" s="1055"/>
      <c r="EUR3" s="1055"/>
      <c r="EUS3" s="1055"/>
      <c r="EUT3" s="1055"/>
      <c r="EUU3" s="1055"/>
      <c r="EUV3" s="1055"/>
      <c r="EUW3" s="1055"/>
      <c r="EUX3" s="1055"/>
      <c r="EUY3" s="1055"/>
      <c r="EUZ3" s="1055"/>
      <c r="EVA3" s="1055"/>
      <c r="EVB3" s="1055"/>
      <c r="EVC3" s="1055"/>
      <c r="EVD3" s="1055"/>
      <c r="EVE3" s="1055"/>
      <c r="EVF3" s="1055"/>
      <c r="EVG3" s="1055"/>
      <c r="EVH3" s="1055"/>
      <c r="EVI3" s="1055"/>
      <c r="EVJ3" s="1055"/>
      <c r="EVK3" s="1055"/>
      <c r="EVL3" s="1055"/>
      <c r="EVM3" s="1055"/>
      <c r="EVN3" s="1055"/>
      <c r="EVO3" s="1055"/>
      <c r="EVP3" s="1055"/>
      <c r="EVQ3" s="1055"/>
      <c r="EVR3" s="1055"/>
      <c r="EVS3" s="1055"/>
      <c r="EVT3" s="1055"/>
      <c r="EVU3" s="1055"/>
      <c r="EVV3" s="1055"/>
      <c r="EVW3" s="1055"/>
      <c r="EVX3" s="1055"/>
      <c r="EVY3" s="1055"/>
      <c r="EVZ3" s="1055"/>
      <c r="EWA3" s="1055"/>
      <c r="EWB3" s="1055"/>
      <c r="EWC3" s="1055"/>
      <c r="EWD3" s="1055"/>
      <c r="EWE3" s="1055"/>
      <c r="EWF3" s="1055"/>
      <c r="EWG3" s="1055"/>
      <c r="EWH3" s="1055"/>
      <c r="EWI3" s="1055"/>
      <c r="EWJ3" s="1055"/>
      <c r="EWK3" s="1055"/>
      <c r="EWL3" s="1055"/>
      <c r="EWM3" s="1055"/>
      <c r="EWN3" s="1055"/>
      <c r="EWO3" s="1055"/>
      <c r="EWP3" s="1055"/>
      <c r="EWQ3" s="1055"/>
      <c r="EWR3" s="1055"/>
      <c r="EWS3" s="1055"/>
      <c r="EWT3" s="1055"/>
      <c r="EWU3" s="1055"/>
      <c r="EWV3" s="1055"/>
      <c r="EWW3" s="1055"/>
      <c r="EWX3" s="1055"/>
      <c r="EWY3" s="1055"/>
      <c r="EWZ3" s="1055"/>
      <c r="EXA3" s="1055"/>
      <c r="EXB3" s="1055"/>
      <c r="EXC3" s="1055"/>
      <c r="EXD3" s="1055"/>
      <c r="EXE3" s="1055"/>
      <c r="EXF3" s="1055"/>
      <c r="EXG3" s="1055"/>
      <c r="EXH3" s="1055"/>
      <c r="EXI3" s="1055"/>
      <c r="EXJ3" s="1055"/>
      <c r="EXK3" s="1055"/>
      <c r="EXL3" s="1055"/>
      <c r="EXM3" s="1055"/>
      <c r="EXN3" s="1055"/>
      <c r="EXO3" s="1055"/>
      <c r="EXP3" s="1055"/>
      <c r="EXQ3" s="1055"/>
      <c r="EXR3" s="1055"/>
      <c r="EXS3" s="1055"/>
      <c r="EXT3" s="1055"/>
      <c r="EXU3" s="1055"/>
      <c r="EXV3" s="1055"/>
      <c r="EXW3" s="1055"/>
      <c r="EXX3" s="1055"/>
      <c r="EXY3" s="1055"/>
      <c r="EXZ3" s="1055"/>
      <c r="EYA3" s="1055"/>
      <c r="EYB3" s="1055"/>
      <c r="EYC3" s="1055"/>
      <c r="EYD3" s="1055"/>
      <c r="EYE3" s="1055"/>
      <c r="EYF3" s="1055"/>
      <c r="EYG3" s="1055"/>
      <c r="EYH3" s="1055"/>
      <c r="EYI3" s="1055"/>
      <c r="EYJ3" s="1055"/>
      <c r="EYK3" s="1055"/>
      <c r="EYL3" s="1055"/>
      <c r="EYM3" s="1055"/>
      <c r="EYN3" s="1055"/>
      <c r="EYO3" s="1055"/>
      <c r="EYP3" s="1055"/>
      <c r="EYQ3" s="1055"/>
      <c r="EYR3" s="1055"/>
      <c r="EYS3" s="1055"/>
      <c r="EYT3" s="1055"/>
      <c r="EYU3" s="1055"/>
      <c r="EYV3" s="1055"/>
      <c r="EYW3" s="1055"/>
      <c r="EYX3" s="1055"/>
      <c r="EYY3" s="1055"/>
      <c r="EYZ3" s="1055"/>
      <c r="EZA3" s="1055"/>
      <c r="EZB3" s="1055"/>
      <c r="EZC3" s="1055"/>
      <c r="EZD3" s="1055"/>
      <c r="EZE3" s="1055"/>
      <c r="EZF3" s="1055"/>
      <c r="EZG3" s="1055"/>
      <c r="EZH3" s="1055"/>
      <c r="EZI3" s="1055"/>
      <c r="EZJ3" s="1055"/>
      <c r="EZK3" s="1055"/>
      <c r="EZL3" s="1055"/>
      <c r="EZM3" s="1055"/>
      <c r="EZN3" s="1055"/>
      <c r="EZO3" s="1055"/>
      <c r="EZP3" s="1055"/>
      <c r="EZQ3" s="1055"/>
      <c r="EZR3" s="1055"/>
      <c r="EZS3" s="1055"/>
      <c r="EZT3" s="1055"/>
      <c r="EZU3" s="1055"/>
      <c r="EZV3" s="1055"/>
      <c r="EZW3" s="1055"/>
      <c r="EZX3" s="1055"/>
      <c r="EZY3" s="1055"/>
      <c r="EZZ3" s="1055"/>
      <c r="FAA3" s="1055"/>
      <c r="FAB3" s="1055"/>
      <c r="FAC3" s="1055"/>
      <c r="FAD3" s="1055"/>
      <c r="FAE3" s="1055"/>
      <c r="FAF3" s="1055"/>
      <c r="FAG3" s="1055"/>
      <c r="FAH3" s="1055"/>
      <c r="FAI3" s="1055"/>
      <c r="FAJ3" s="1055"/>
      <c r="FAK3" s="1055"/>
      <c r="FAL3" s="1055"/>
      <c r="FAM3" s="1055"/>
      <c r="FAN3" s="1055"/>
      <c r="FAO3" s="1055"/>
      <c r="FAP3" s="1055"/>
      <c r="FAQ3" s="1055"/>
      <c r="FAR3" s="1055"/>
      <c r="FAS3" s="1055"/>
      <c r="FAT3" s="1055"/>
      <c r="FAU3" s="1055"/>
      <c r="FAV3" s="1055"/>
      <c r="FAW3" s="1055"/>
      <c r="FAX3" s="1055"/>
      <c r="FAY3" s="1055"/>
      <c r="FAZ3" s="1055"/>
      <c r="FBA3" s="1055"/>
      <c r="FBB3" s="1055"/>
      <c r="FBC3" s="1055"/>
      <c r="FBD3" s="1055"/>
      <c r="FBE3" s="1055"/>
      <c r="FBF3" s="1055"/>
      <c r="FBG3" s="1055"/>
      <c r="FBH3" s="1055"/>
      <c r="FBI3" s="1055"/>
      <c r="FBJ3" s="1055"/>
      <c r="FBK3" s="1055"/>
      <c r="FBL3" s="1055"/>
      <c r="FBM3" s="1055"/>
      <c r="FBN3" s="1055"/>
      <c r="FBO3" s="1055"/>
      <c r="FBP3" s="1055"/>
      <c r="FBQ3" s="1055"/>
      <c r="FBR3" s="1055"/>
      <c r="FBS3" s="1055"/>
      <c r="FBT3" s="1055"/>
      <c r="FBU3" s="1055"/>
      <c r="FBV3" s="1055"/>
      <c r="FBW3" s="1055"/>
      <c r="FBX3" s="1055"/>
      <c r="FBY3" s="1055"/>
      <c r="FBZ3" s="1055"/>
      <c r="FCA3" s="1055"/>
      <c r="FCB3" s="1055"/>
      <c r="FCC3" s="1055"/>
      <c r="FCD3" s="1055"/>
      <c r="FCE3" s="1055"/>
      <c r="FCF3" s="1055"/>
      <c r="FCG3" s="1055"/>
      <c r="FCH3" s="1055"/>
      <c r="FCI3" s="1055"/>
      <c r="FCJ3" s="1055"/>
      <c r="FCK3" s="1055"/>
      <c r="FCL3" s="1055"/>
      <c r="FCM3" s="1055"/>
      <c r="FCN3" s="1055"/>
      <c r="FCO3" s="1055"/>
      <c r="FCP3" s="1055"/>
      <c r="FCQ3" s="1055"/>
      <c r="FCR3" s="1055"/>
      <c r="FCS3" s="1055"/>
      <c r="FCT3" s="1055"/>
      <c r="FCU3" s="1055"/>
      <c r="FCV3" s="1055"/>
      <c r="FCW3" s="1055"/>
      <c r="FCX3" s="1055"/>
      <c r="FCY3" s="1055"/>
      <c r="FCZ3" s="1055"/>
      <c r="FDA3" s="1055"/>
      <c r="FDB3" s="1055"/>
      <c r="FDC3" s="1055"/>
      <c r="FDD3" s="1055"/>
      <c r="FDE3" s="1055"/>
      <c r="FDF3" s="1055"/>
      <c r="FDG3" s="1055"/>
      <c r="FDH3" s="1055"/>
      <c r="FDI3" s="1055"/>
      <c r="FDJ3" s="1055"/>
      <c r="FDK3" s="1055"/>
      <c r="FDL3" s="1055"/>
      <c r="FDM3" s="1055"/>
      <c r="FDN3" s="1055"/>
      <c r="FDO3" s="1055"/>
      <c r="FDP3" s="1055"/>
      <c r="FDQ3" s="1055"/>
      <c r="FDR3" s="1055"/>
      <c r="FDS3" s="1055"/>
      <c r="FDT3" s="1055"/>
      <c r="FDU3" s="1055"/>
      <c r="FDV3" s="1055"/>
      <c r="FDW3" s="1055"/>
      <c r="FDX3" s="1055"/>
      <c r="FDY3" s="1055"/>
      <c r="FDZ3" s="1055"/>
      <c r="FEA3" s="1055"/>
      <c r="FEB3" s="1055"/>
      <c r="FEC3" s="1055"/>
      <c r="FED3" s="1055"/>
      <c r="FEE3" s="1055"/>
      <c r="FEF3" s="1055"/>
      <c r="FEG3" s="1055"/>
      <c r="FEH3" s="1055"/>
      <c r="FEI3" s="1055"/>
      <c r="FEJ3" s="1055"/>
      <c r="FEK3" s="1055"/>
      <c r="FEL3" s="1055"/>
      <c r="FEM3" s="1055"/>
      <c r="FEN3" s="1055"/>
      <c r="FEO3" s="1055"/>
      <c r="FEP3" s="1055"/>
      <c r="FEQ3" s="1055"/>
      <c r="FER3" s="1055"/>
      <c r="FES3" s="1055"/>
      <c r="FET3" s="1055"/>
      <c r="FEU3" s="1055"/>
      <c r="FEV3" s="1055"/>
      <c r="FEW3" s="1055"/>
      <c r="FEX3" s="1055"/>
      <c r="FEY3" s="1055"/>
      <c r="FEZ3" s="1055"/>
      <c r="FFA3" s="1055"/>
      <c r="FFB3" s="1055"/>
      <c r="FFC3" s="1055"/>
      <c r="FFD3" s="1055"/>
      <c r="FFE3" s="1055"/>
      <c r="FFF3" s="1055"/>
      <c r="FFG3" s="1055"/>
      <c r="FFH3" s="1055"/>
      <c r="FFI3" s="1055"/>
      <c r="FFJ3" s="1055"/>
      <c r="FFK3" s="1055"/>
      <c r="FFL3" s="1055"/>
      <c r="FFM3" s="1055"/>
      <c r="FFN3" s="1055"/>
      <c r="FFO3" s="1055"/>
      <c r="FFP3" s="1055"/>
      <c r="FFQ3" s="1055"/>
      <c r="FFR3" s="1055"/>
      <c r="FFS3" s="1055"/>
      <c r="FFT3" s="1055"/>
      <c r="FFU3" s="1055"/>
      <c r="FFV3" s="1055"/>
      <c r="FFW3" s="1055"/>
      <c r="FFX3" s="1055"/>
      <c r="FFY3" s="1055"/>
      <c r="FFZ3" s="1055"/>
      <c r="FGA3" s="1055"/>
      <c r="FGB3" s="1055"/>
      <c r="FGC3" s="1055"/>
      <c r="FGD3" s="1055"/>
      <c r="FGE3" s="1055"/>
      <c r="FGF3" s="1055"/>
      <c r="FGG3" s="1055"/>
      <c r="FGH3" s="1055"/>
      <c r="FGI3" s="1055"/>
      <c r="FGJ3" s="1055"/>
      <c r="FGK3" s="1055"/>
      <c r="FGL3" s="1055"/>
      <c r="FGM3" s="1055"/>
      <c r="FGN3" s="1055"/>
      <c r="FGO3" s="1055"/>
      <c r="FGP3" s="1055"/>
      <c r="FGQ3" s="1055"/>
      <c r="FGR3" s="1055"/>
      <c r="FGS3" s="1055"/>
      <c r="FGT3" s="1055"/>
      <c r="FGU3" s="1055"/>
      <c r="FGV3" s="1055"/>
      <c r="FGW3" s="1055"/>
      <c r="FGX3" s="1055"/>
      <c r="FGY3" s="1055"/>
      <c r="FGZ3" s="1055"/>
      <c r="FHA3" s="1055"/>
      <c r="FHB3" s="1055"/>
      <c r="FHC3" s="1055"/>
      <c r="FHD3" s="1055"/>
      <c r="FHE3" s="1055"/>
      <c r="FHF3" s="1055"/>
      <c r="FHG3" s="1055"/>
      <c r="FHH3" s="1055"/>
      <c r="FHI3" s="1055"/>
      <c r="FHJ3" s="1055"/>
      <c r="FHK3" s="1055"/>
      <c r="FHL3" s="1055"/>
      <c r="FHM3" s="1055"/>
      <c r="FHN3" s="1055"/>
      <c r="FHO3" s="1055"/>
      <c r="FHP3" s="1055"/>
      <c r="FHQ3" s="1055"/>
      <c r="FHR3" s="1055"/>
      <c r="FHS3" s="1055"/>
      <c r="FHT3" s="1055"/>
      <c r="FHU3" s="1055"/>
      <c r="FHV3" s="1055"/>
      <c r="FHW3" s="1055"/>
      <c r="FHX3" s="1055"/>
      <c r="FHY3" s="1055"/>
      <c r="FHZ3" s="1055"/>
      <c r="FIA3" s="1055"/>
      <c r="FIB3" s="1055"/>
      <c r="FIC3" s="1055"/>
      <c r="FID3" s="1055"/>
      <c r="FIE3" s="1055"/>
      <c r="FIF3" s="1055"/>
      <c r="FIG3" s="1055"/>
      <c r="FIH3" s="1055"/>
      <c r="FII3" s="1055"/>
      <c r="FIJ3" s="1055"/>
      <c r="FIK3" s="1055"/>
      <c r="FIL3" s="1055"/>
      <c r="FIM3" s="1055"/>
      <c r="FIN3" s="1055"/>
      <c r="FIO3" s="1055"/>
      <c r="FIP3" s="1055"/>
      <c r="FIQ3" s="1055"/>
      <c r="FIR3" s="1055"/>
      <c r="FIS3" s="1055"/>
      <c r="FIT3" s="1055"/>
      <c r="FIU3" s="1055"/>
      <c r="FIV3" s="1055"/>
      <c r="FIW3" s="1055"/>
      <c r="FIX3" s="1055"/>
      <c r="FIY3" s="1055"/>
      <c r="FIZ3" s="1055"/>
      <c r="FJA3" s="1055"/>
      <c r="FJB3" s="1055"/>
      <c r="FJC3" s="1055"/>
      <c r="FJD3" s="1055"/>
      <c r="FJE3" s="1055"/>
      <c r="FJF3" s="1055"/>
      <c r="FJG3" s="1055"/>
      <c r="FJH3" s="1055"/>
      <c r="FJI3" s="1055"/>
      <c r="FJJ3" s="1055"/>
      <c r="FJK3" s="1055"/>
      <c r="FJL3" s="1055"/>
      <c r="FJM3" s="1055"/>
      <c r="FJN3" s="1055"/>
      <c r="FJO3" s="1055"/>
      <c r="FJP3" s="1055"/>
      <c r="FJQ3" s="1055"/>
      <c r="FJR3" s="1055"/>
      <c r="FJS3" s="1055"/>
      <c r="FJT3" s="1055"/>
      <c r="FJU3" s="1055"/>
      <c r="FJV3" s="1055"/>
      <c r="FJW3" s="1055"/>
      <c r="FJX3" s="1055"/>
      <c r="FJY3" s="1055"/>
      <c r="FJZ3" s="1055"/>
      <c r="FKA3" s="1055"/>
      <c r="FKB3" s="1055"/>
      <c r="FKC3" s="1055"/>
      <c r="FKD3" s="1055"/>
      <c r="FKE3" s="1055"/>
      <c r="FKF3" s="1055"/>
      <c r="FKG3" s="1055"/>
      <c r="FKH3" s="1055"/>
      <c r="FKI3" s="1055"/>
      <c r="FKJ3" s="1055"/>
      <c r="FKK3" s="1055"/>
      <c r="FKL3" s="1055"/>
      <c r="FKM3" s="1055"/>
      <c r="FKN3" s="1055"/>
      <c r="FKO3" s="1055"/>
      <c r="FKP3" s="1055"/>
      <c r="FKQ3" s="1055"/>
      <c r="FKR3" s="1055"/>
      <c r="FKS3" s="1055"/>
      <c r="FKT3" s="1055"/>
      <c r="FKU3" s="1055"/>
      <c r="FKV3" s="1055"/>
      <c r="FKW3" s="1055"/>
      <c r="FKX3" s="1055"/>
      <c r="FKY3" s="1055"/>
      <c r="FKZ3" s="1055"/>
      <c r="FLA3" s="1055"/>
      <c r="FLB3" s="1055"/>
      <c r="FLC3" s="1055"/>
      <c r="FLD3" s="1055"/>
      <c r="FLE3" s="1055"/>
      <c r="FLF3" s="1055"/>
      <c r="FLG3" s="1055"/>
      <c r="FLH3" s="1055"/>
      <c r="FLI3" s="1055"/>
      <c r="FLJ3" s="1055"/>
      <c r="FLK3" s="1055"/>
      <c r="FLL3" s="1055"/>
      <c r="FLM3" s="1055"/>
      <c r="FLN3" s="1055"/>
      <c r="FLO3" s="1055"/>
      <c r="FLP3" s="1055"/>
      <c r="FLQ3" s="1055"/>
      <c r="FLR3" s="1055"/>
      <c r="FLS3" s="1055"/>
      <c r="FLT3" s="1055"/>
      <c r="FLU3" s="1055"/>
      <c r="FLV3" s="1055"/>
      <c r="FLW3" s="1055"/>
      <c r="FLX3" s="1055"/>
      <c r="FLY3" s="1055"/>
      <c r="FLZ3" s="1055"/>
      <c r="FMA3" s="1055"/>
      <c r="FMB3" s="1055"/>
      <c r="FMC3" s="1055"/>
      <c r="FMD3" s="1055"/>
      <c r="FME3" s="1055"/>
      <c r="FMF3" s="1055"/>
      <c r="FMG3" s="1055"/>
      <c r="FMH3" s="1055"/>
      <c r="FMI3" s="1055"/>
      <c r="FMJ3" s="1055"/>
      <c r="FMK3" s="1055"/>
      <c r="FML3" s="1055"/>
      <c r="FMM3" s="1055"/>
      <c r="FMN3" s="1055"/>
      <c r="FMO3" s="1055"/>
      <c r="FMP3" s="1055"/>
      <c r="FMQ3" s="1055"/>
      <c r="FMR3" s="1055"/>
      <c r="FMS3" s="1055"/>
      <c r="FMT3" s="1055"/>
      <c r="FMU3" s="1055"/>
      <c r="FMV3" s="1055"/>
      <c r="FMW3" s="1055"/>
      <c r="FMX3" s="1055"/>
      <c r="FMY3" s="1055"/>
      <c r="FMZ3" s="1055"/>
      <c r="FNA3" s="1055"/>
      <c r="FNB3" s="1055"/>
      <c r="FNC3" s="1055"/>
      <c r="FND3" s="1055"/>
      <c r="FNE3" s="1055"/>
      <c r="FNF3" s="1055"/>
      <c r="FNG3" s="1055"/>
      <c r="FNH3" s="1055"/>
      <c r="FNI3" s="1055"/>
      <c r="FNJ3" s="1055"/>
      <c r="FNK3" s="1055"/>
      <c r="FNL3" s="1055"/>
      <c r="FNM3" s="1055"/>
      <c r="FNN3" s="1055"/>
      <c r="FNO3" s="1055"/>
      <c r="FNP3" s="1055"/>
      <c r="FNQ3" s="1055"/>
      <c r="FNR3" s="1055"/>
      <c r="FNS3" s="1055"/>
      <c r="FNT3" s="1055"/>
      <c r="FNU3" s="1055"/>
      <c r="FNV3" s="1055"/>
      <c r="FNW3" s="1055"/>
      <c r="FNX3" s="1055"/>
      <c r="FNY3" s="1055"/>
      <c r="FNZ3" s="1055"/>
      <c r="FOA3" s="1055"/>
      <c r="FOB3" s="1055"/>
      <c r="FOC3" s="1055"/>
      <c r="FOD3" s="1055"/>
      <c r="FOE3" s="1055"/>
      <c r="FOF3" s="1055"/>
      <c r="FOG3" s="1055"/>
      <c r="FOH3" s="1055"/>
      <c r="FOI3" s="1055"/>
      <c r="FOJ3" s="1055"/>
      <c r="FOK3" s="1055"/>
      <c r="FOL3" s="1055"/>
      <c r="FOM3" s="1055"/>
      <c r="FON3" s="1055"/>
      <c r="FOO3" s="1055"/>
      <c r="FOP3" s="1055"/>
      <c r="FOQ3" s="1055"/>
      <c r="FOR3" s="1055"/>
      <c r="FOS3" s="1055"/>
      <c r="FOT3" s="1055"/>
      <c r="FOU3" s="1055"/>
      <c r="FOV3" s="1055"/>
      <c r="FOW3" s="1055"/>
      <c r="FOX3" s="1055"/>
      <c r="FOY3" s="1055"/>
      <c r="FOZ3" s="1055"/>
      <c r="FPA3" s="1055"/>
      <c r="FPB3" s="1055"/>
      <c r="FPC3" s="1055"/>
      <c r="FPD3" s="1055"/>
      <c r="FPE3" s="1055"/>
      <c r="FPF3" s="1055"/>
      <c r="FPG3" s="1055"/>
      <c r="FPH3" s="1055"/>
      <c r="FPI3" s="1055"/>
      <c r="FPJ3" s="1055"/>
      <c r="FPK3" s="1055"/>
      <c r="FPL3" s="1055"/>
      <c r="FPM3" s="1055"/>
      <c r="FPN3" s="1055"/>
      <c r="FPO3" s="1055"/>
      <c r="FPP3" s="1055"/>
      <c r="FPQ3" s="1055"/>
      <c r="FPR3" s="1055"/>
      <c r="FPS3" s="1055"/>
      <c r="FPT3" s="1055"/>
      <c r="FPU3" s="1055"/>
      <c r="FPV3" s="1055"/>
      <c r="FPW3" s="1055"/>
      <c r="FPX3" s="1055"/>
      <c r="FPY3" s="1055"/>
      <c r="FPZ3" s="1055"/>
      <c r="FQA3" s="1055"/>
      <c r="FQB3" s="1055"/>
      <c r="FQC3" s="1055"/>
      <c r="FQD3" s="1055"/>
      <c r="FQE3" s="1055"/>
      <c r="FQF3" s="1055"/>
      <c r="FQG3" s="1055"/>
      <c r="FQH3" s="1055"/>
      <c r="FQI3" s="1055"/>
      <c r="FQJ3" s="1055"/>
      <c r="FQK3" s="1055"/>
      <c r="FQL3" s="1055"/>
      <c r="FQM3" s="1055"/>
      <c r="FQN3" s="1055"/>
      <c r="FQO3" s="1055"/>
      <c r="FQP3" s="1055"/>
      <c r="FQQ3" s="1055"/>
      <c r="FQR3" s="1055"/>
      <c r="FQS3" s="1055"/>
      <c r="FQT3" s="1055"/>
      <c r="FQU3" s="1055"/>
      <c r="FQV3" s="1055"/>
      <c r="FQW3" s="1055"/>
      <c r="FQX3" s="1055"/>
      <c r="FQY3" s="1055"/>
      <c r="FQZ3" s="1055"/>
      <c r="FRA3" s="1055"/>
      <c r="FRB3" s="1055"/>
      <c r="FRC3" s="1055"/>
      <c r="FRD3" s="1055"/>
      <c r="FRE3" s="1055"/>
      <c r="FRF3" s="1055"/>
      <c r="FRG3" s="1055"/>
      <c r="FRH3" s="1055"/>
      <c r="FRI3" s="1055"/>
      <c r="FRJ3" s="1055"/>
      <c r="FRK3" s="1055"/>
      <c r="FRL3" s="1055"/>
      <c r="FRM3" s="1055"/>
      <c r="FRN3" s="1055"/>
      <c r="FRO3" s="1055"/>
      <c r="FRP3" s="1055"/>
      <c r="FRQ3" s="1055"/>
      <c r="FRR3" s="1055"/>
      <c r="FRS3" s="1055"/>
      <c r="FRT3" s="1055"/>
      <c r="FRU3" s="1055"/>
      <c r="FRV3" s="1055"/>
      <c r="FRW3" s="1055"/>
      <c r="FRX3" s="1055"/>
      <c r="FRY3" s="1055"/>
      <c r="FRZ3" s="1055"/>
      <c r="FSA3" s="1055"/>
      <c r="FSB3" s="1055"/>
      <c r="FSC3" s="1055"/>
      <c r="FSD3" s="1055"/>
      <c r="FSE3" s="1055"/>
      <c r="FSF3" s="1055"/>
      <c r="FSG3" s="1055"/>
      <c r="FSH3" s="1055"/>
      <c r="FSI3" s="1055"/>
      <c r="FSJ3" s="1055"/>
      <c r="FSK3" s="1055"/>
      <c r="FSL3" s="1055"/>
      <c r="FSM3" s="1055"/>
      <c r="FSN3" s="1055"/>
      <c r="FSO3" s="1055"/>
      <c r="FSP3" s="1055"/>
      <c r="FSQ3" s="1055"/>
      <c r="FSR3" s="1055"/>
      <c r="FSS3" s="1055"/>
      <c r="FST3" s="1055"/>
      <c r="FSU3" s="1055"/>
      <c r="FSV3" s="1055"/>
      <c r="FSW3" s="1055"/>
      <c r="FSX3" s="1055"/>
      <c r="FSY3" s="1055"/>
      <c r="FSZ3" s="1055"/>
      <c r="FTA3" s="1055"/>
      <c r="FTB3" s="1055"/>
      <c r="FTC3" s="1055"/>
      <c r="FTD3" s="1055"/>
      <c r="FTE3" s="1055"/>
      <c r="FTF3" s="1055"/>
      <c r="FTG3" s="1055"/>
      <c r="FTH3" s="1055"/>
      <c r="FTI3" s="1055"/>
      <c r="FTJ3" s="1055"/>
      <c r="FTK3" s="1055"/>
      <c r="FTL3" s="1055"/>
      <c r="FTM3" s="1055"/>
      <c r="FTN3" s="1055"/>
      <c r="FTO3" s="1055"/>
      <c r="FTP3" s="1055"/>
      <c r="FTQ3" s="1055"/>
      <c r="FTR3" s="1055"/>
      <c r="FTS3" s="1055"/>
      <c r="FTT3" s="1055"/>
      <c r="FTU3" s="1055"/>
      <c r="FTV3" s="1055"/>
      <c r="FTW3" s="1055"/>
      <c r="FTX3" s="1055"/>
      <c r="FTY3" s="1055"/>
      <c r="FTZ3" s="1055"/>
      <c r="FUA3" s="1055"/>
      <c r="FUB3" s="1055"/>
      <c r="FUC3" s="1055"/>
      <c r="FUD3" s="1055"/>
      <c r="FUE3" s="1055"/>
      <c r="FUF3" s="1055"/>
      <c r="FUG3" s="1055"/>
      <c r="FUH3" s="1055"/>
      <c r="FUI3" s="1055"/>
      <c r="FUJ3" s="1055"/>
      <c r="FUK3" s="1055"/>
      <c r="FUL3" s="1055"/>
      <c r="FUM3" s="1055"/>
      <c r="FUN3" s="1055"/>
      <c r="FUO3" s="1055"/>
      <c r="FUP3" s="1055"/>
      <c r="FUQ3" s="1055"/>
      <c r="FUR3" s="1055"/>
      <c r="FUS3" s="1055"/>
      <c r="FUT3" s="1055"/>
      <c r="FUU3" s="1055"/>
      <c r="FUV3" s="1055"/>
      <c r="FUW3" s="1055"/>
      <c r="FUX3" s="1055"/>
      <c r="FUY3" s="1055"/>
      <c r="FUZ3" s="1055"/>
      <c r="FVA3" s="1055"/>
      <c r="FVB3" s="1055"/>
      <c r="FVC3" s="1055"/>
      <c r="FVD3" s="1055"/>
      <c r="FVE3" s="1055"/>
      <c r="FVF3" s="1055"/>
      <c r="FVG3" s="1055"/>
      <c r="FVH3" s="1055"/>
      <c r="FVI3" s="1055"/>
      <c r="FVJ3" s="1055"/>
      <c r="FVK3" s="1055"/>
      <c r="FVL3" s="1055"/>
      <c r="FVM3" s="1055"/>
      <c r="FVN3" s="1055"/>
      <c r="FVO3" s="1055"/>
      <c r="FVP3" s="1055"/>
      <c r="FVQ3" s="1055"/>
      <c r="FVR3" s="1055"/>
      <c r="FVS3" s="1055"/>
      <c r="FVT3" s="1055"/>
      <c r="FVU3" s="1055"/>
      <c r="FVV3" s="1055"/>
      <c r="FVW3" s="1055"/>
      <c r="FVX3" s="1055"/>
      <c r="FVY3" s="1055"/>
      <c r="FVZ3" s="1055"/>
      <c r="FWA3" s="1055"/>
      <c r="FWB3" s="1055"/>
      <c r="FWC3" s="1055"/>
      <c r="FWD3" s="1055"/>
      <c r="FWE3" s="1055"/>
      <c r="FWF3" s="1055"/>
      <c r="FWG3" s="1055"/>
      <c r="FWH3" s="1055"/>
      <c r="FWI3" s="1055"/>
      <c r="FWJ3" s="1055"/>
      <c r="FWK3" s="1055"/>
      <c r="FWL3" s="1055"/>
      <c r="FWM3" s="1055"/>
      <c r="FWN3" s="1055"/>
      <c r="FWO3" s="1055"/>
      <c r="FWP3" s="1055"/>
      <c r="FWQ3" s="1055"/>
      <c r="FWR3" s="1055"/>
      <c r="FWS3" s="1055"/>
      <c r="FWT3" s="1055"/>
      <c r="FWU3" s="1055"/>
      <c r="FWV3" s="1055"/>
      <c r="FWW3" s="1055"/>
      <c r="FWX3" s="1055"/>
      <c r="FWY3" s="1055"/>
      <c r="FWZ3" s="1055"/>
      <c r="FXA3" s="1055"/>
      <c r="FXB3" s="1055"/>
      <c r="FXC3" s="1055"/>
      <c r="FXD3" s="1055"/>
      <c r="FXE3" s="1055"/>
      <c r="FXF3" s="1055"/>
      <c r="FXG3" s="1055"/>
      <c r="FXH3" s="1055"/>
      <c r="FXI3" s="1055"/>
      <c r="FXJ3" s="1055"/>
      <c r="FXK3" s="1055"/>
      <c r="FXL3" s="1055"/>
      <c r="FXM3" s="1055"/>
      <c r="FXN3" s="1055"/>
      <c r="FXO3" s="1055"/>
      <c r="FXP3" s="1055"/>
      <c r="FXQ3" s="1055"/>
      <c r="FXR3" s="1055"/>
      <c r="FXS3" s="1055"/>
      <c r="FXT3" s="1055"/>
      <c r="FXU3" s="1055"/>
      <c r="FXV3" s="1055"/>
      <c r="FXW3" s="1055"/>
      <c r="FXX3" s="1055"/>
      <c r="FXY3" s="1055"/>
      <c r="FXZ3" s="1055"/>
      <c r="FYA3" s="1055"/>
      <c r="FYB3" s="1055"/>
      <c r="FYC3" s="1055"/>
      <c r="FYD3" s="1055"/>
      <c r="FYE3" s="1055"/>
      <c r="FYF3" s="1055"/>
      <c r="FYG3" s="1055"/>
      <c r="FYH3" s="1055"/>
      <c r="FYI3" s="1055"/>
      <c r="FYJ3" s="1055"/>
      <c r="FYK3" s="1055"/>
      <c r="FYL3" s="1055"/>
      <c r="FYM3" s="1055"/>
      <c r="FYN3" s="1055"/>
      <c r="FYO3" s="1055"/>
      <c r="FYP3" s="1055"/>
      <c r="FYQ3" s="1055"/>
      <c r="FYR3" s="1055"/>
      <c r="FYS3" s="1055"/>
      <c r="FYT3" s="1055"/>
      <c r="FYU3" s="1055"/>
      <c r="FYV3" s="1055"/>
      <c r="FYW3" s="1055"/>
      <c r="FYX3" s="1055"/>
      <c r="FYY3" s="1055"/>
      <c r="FYZ3" s="1055"/>
      <c r="FZA3" s="1055"/>
      <c r="FZB3" s="1055"/>
      <c r="FZC3" s="1055"/>
      <c r="FZD3" s="1055"/>
      <c r="FZE3" s="1055"/>
      <c r="FZF3" s="1055"/>
      <c r="FZG3" s="1055"/>
      <c r="FZH3" s="1055"/>
      <c r="FZI3" s="1055"/>
      <c r="FZJ3" s="1055"/>
      <c r="FZK3" s="1055"/>
      <c r="FZL3" s="1055"/>
      <c r="FZM3" s="1055"/>
      <c r="FZN3" s="1055"/>
      <c r="FZO3" s="1055"/>
      <c r="FZP3" s="1055"/>
      <c r="FZQ3" s="1055"/>
      <c r="FZR3" s="1055"/>
      <c r="FZS3" s="1055"/>
      <c r="FZT3" s="1055"/>
      <c r="FZU3" s="1055"/>
      <c r="FZV3" s="1055"/>
      <c r="FZW3" s="1055"/>
      <c r="FZX3" s="1055"/>
      <c r="FZY3" s="1055"/>
      <c r="FZZ3" s="1055"/>
      <c r="GAA3" s="1055"/>
      <c r="GAB3" s="1055"/>
      <c r="GAC3" s="1055"/>
      <c r="GAD3" s="1055"/>
      <c r="GAE3" s="1055"/>
      <c r="GAF3" s="1055"/>
      <c r="GAG3" s="1055"/>
      <c r="GAH3" s="1055"/>
      <c r="GAI3" s="1055"/>
      <c r="GAJ3" s="1055"/>
      <c r="GAK3" s="1055"/>
      <c r="GAL3" s="1055"/>
      <c r="GAM3" s="1055"/>
      <c r="GAN3" s="1055"/>
      <c r="GAO3" s="1055"/>
      <c r="GAP3" s="1055"/>
      <c r="GAQ3" s="1055"/>
      <c r="GAR3" s="1055"/>
      <c r="GAS3" s="1055"/>
      <c r="GAT3" s="1055"/>
      <c r="GAU3" s="1055"/>
      <c r="GAV3" s="1055"/>
      <c r="GAW3" s="1055"/>
      <c r="GAX3" s="1055"/>
      <c r="GAY3" s="1055"/>
      <c r="GAZ3" s="1055"/>
      <c r="GBA3" s="1055"/>
      <c r="GBB3" s="1055"/>
      <c r="GBC3" s="1055"/>
      <c r="GBD3" s="1055"/>
      <c r="GBE3" s="1055"/>
      <c r="GBF3" s="1055"/>
      <c r="GBG3" s="1055"/>
      <c r="GBH3" s="1055"/>
      <c r="GBI3" s="1055"/>
      <c r="GBJ3" s="1055"/>
      <c r="GBK3" s="1055"/>
      <c r="GBL3" s="1055"/>
      <c r="GBM3" s="1055"/>
      <c r="GBN3" s="1055"/>
      <c r="GBO3" s="1055"/>
      <c r="GBP3" s="1055"/>
      <c r="GBQ3" s="1055"/>
      <c r="GBR3" s="1055"/>
      <c r="GBS3" s="1055"/>
      <c r="GBT3" s="1055"/>
      <c r="GBU3" s="1055"/>
      <c r="GBV3" s="1055"/>
      <c r="GBW3" s="1055"/>
      <c r="GBX3" s="1055"/>
      <c r="GBY3" s="1055"/>
      <c r="GBZ3" s="1055"/>
      <c r="GCA3" s="1055"/>
      <c r="GCB3" s="1055"/>
      <c r="GCC3" s="1055"/>
      <c r="GCD3" s="1055"/>
      <c r="GCE3" s="1055"/>
      <c r="GCF3" s="1055"/>
      <c r="GCG3" s="1055"/>
      <c r="GCH3" s="1055"/>
      <c r="GCI3" s="1055"/>
      <c r="GCJ3" s="1055"/>
      <c r="GCK3" s="1055"/>
      <c r="GCL3" s="1055"/>
      <c r="GCM3" s="1055"/>
      <c r="GCN3" s="1055"/>
      <c r="GCO3" s="1055"/>
      <c r="GCP3" s="1055"/>
      <c r="GCQ3" s="1055"/>
      <c r="GCR3" s="1055"/>
      <c r="GCS3" s="1055"/>
      <c r="GCT3" s="1055"/>
      <c r="GCU3" s="1055"/>
      <c r="GCV3" s="1055"/>
      <c r="GCW3" s="1055"/>
      <c r="GCX3" s="1055"/>
      <c r="GCY3" s="1055"/>
      <c r="GCZ3" s="1055"/>
      <c r="GDA3" s="1055"/>
      <c r="GDB3" s="1055"/>
      <c r="GDC3" s="1055"/>
      <c r="GDD3" s="1055"/>
      <c r="GDE3" s="1055"/>
      <c r="GDF3" s="1055"/>
      <c r="GDG3" s="1055"/>
      <c r="GDH3" s="1055"/>
      <c r="GDI3" s="1055"/>
      <c r="GDJ3" s="1055"/>
      <c r="GDK3" s="1055"/>
      <c r="GDL3" s="1055"/>
      <c r="GDM3" s="1055"/>
      <c r="GDN3" s="1055"/>
      <c r="GDO3" s="1055"/>
      <c r="GDP3" s="1055"/>
      <c r="GDQ3" s="1055"/>
      <c r="GDR3" s="1055"/>
      <c r="GDS3" s="1055"/>
      <c r="GDT3" s="1055"/>
      <c r="GDU3" s="1055"/>
      <c r="GDV3" s="1055"/>
      <c r="GDW3" s="1055"/>
      <c r="GDX3" s="1055"/>
      <c r="GDY3" s="1055"/>
      <c r="GDZ3" s="1055"/>
      <c r="GEA3" s="1055"/>
      <c r="GEB3" s="1055"/>
      <c r="GEC3" s="1055"/>
      <c r="GED3" s="1055"/>
      <c r="GEE3" s="1055"/>
      <c r="GEF3" s="1055"/>
      <c r="GEG3" s="1055"/>
      <c r="GEH3" s="1055"/>
      <c r="GEI3" s="1055"/>
      <c r="GEJ3" s="1055"/>
      <c r="GEK3" s="1055"/>
      <c r="GEL3" s="1055"/>
      <c r="GEM3" s="1055"/>
      <c r="GEN3" s="1055"/>
      <c r="GEO3" s="1055"/>
      <c r="GEP3" s="1055"/>
      <c r="GEQ3" s="1055"/>
      <c r="GER3" s="1055"/>
      <c r="GES3" s="1055"/>
      <c r="GET3" s="1055"/>
      <c r="GEU3" s="1055"/>
      <c r="GEV3" s="1055"/>
      <c r="GEW3" s="1055"/>
      <c r="GEX3" s="1055"/>
      <c r="GEY3" s="1055"/>
      <c r="GEZ3" s="1055"/>
      <c r="GFA3" s="1055"/>
      <c r="GFB3" s="1055"/>
      <c r="GFC3" s="1055"/>
      <c r="GFD3" s="1055"/>
      <c r="GFE3" s="1055"/>
      <c r="GFF3" s="1055"/>
      <c r="GFG3" s="1055"/>
      <c r="GFH3" s="1055"/>
      <c r="GFI3" s="1055"/>
      <c r="GFJ3" s="1055"/>
      <c r="GFK3" s="1055"/>
      <c r="GFL3" s="1055"/>
      <c r="GFM3" s="1055"/>
      <c r="GFN3" s="1055"/>
      <c r="GFO3" s="1055"/>
      <c r="GFP3" s="1055"/>
      <c r="GFQ3" s="1055"/>
      <c r="GFR3" s="1055"/>
      <c r="GFS3" s="1055"/>
      <c r="GFT3" s="1055"/>
      <c r="GFU3" s="1055"/>
      <c r="GFV3" s="1055"/>
      <c r="GFW3" s="1055"/>
      <c r="GFX3" s="1055"/>
      <c r="GFY3" s="1055"/>
      <c r="GFZ3" s="1055"/>
      <c r="GGA3" s="1055"/>
      <c r="GGB3" s="1055"/>
      <c r="GGC3" s="1055"/>
      <c r="GGD3" s="1055"/>
      <c r="GGE3" s="1055"/>
      <c r="GGF3" s="1055"/>
      <c r="GGG3" s="1055"/>
      <c r="GGH3" s="1055"/>
      <c r="GGI3" s="1055"/>
      <c r="GGJ3" s="1055"/>
      <c r="GGK3" s="1055"/>
      <c r="GGL3" s="1055"/>
      <c r="GGM3" s="1055"/>
      <c r="GGN3" s="1055"/>
      <c r="GGO3" s="1055"/>
      <c r="GGP3" s="1055"/>
      <c r="GGQ3" s="1055"/>
      <c r="GGR3" s="1055"/>
      <c r="GGS3" s="1055"/>
      <c r="GGT3" s="1055"/>
      <c r="GGU3" s="1055"/>
      <c r="GGV3" s="1055"/>
      <c r="GGW3" s="1055"/>
      <c r="GGX3" s="1055"/>
      <c r="GGY3" s="1055"/>
      <c r="GGZ3" s="1055"/>
      <c r="GHA3" s="1055"/>
      <c r="GHB3" s="1055"/>
      <c r="GHC3" s="1055"/>
      <c r="GHD3" s="1055"/>
      <c r="GHE3" s="1055"/>
      <c r="GHF3" s="1055"/>
      <c r="GHG3" s="1055"/>
      <c r="GHH3" s="1055"/>
      <c r="GHI3" s="1055"/>
      <c r="GHJ3" s="1055"/>
      <c r="GHK3" s="1055"/>
      <c r="GHL3" s="1055"/>
      <c r="GHM3" s="1055"/>
      <c r="GHN3" s="1055"/>
      <c r="GHO3" s="1055"/>
      <c r="GHP3" s="1055"/>
      <c r="GHQ3" s="1055"/>
      <c r="GHR3" s="1055"/>
      <c r="GHS3" s="1055"/>
      <c r="GHT3" s="1055"/>
      <c r="GHU3" s="1055"/>
      <c r="GHV3" s="1055"/>
      <c r="GHW3" s="1055"/>
      <c r="GHX3" s="1055"/>
      <c r="GHY3" s="1055"/>
      <c r="GHZ3" s="1055"/>
      <c r="GIA3" s="1055"/>
      <c r="GIB3" s="1055"/>
      <c r="GIC3" s="1055"/>
      <c r="GID3" s="1055"/>
      <c r="GIE3" s="1055"/>
      <c r="GIF3" s="1055"/>
      <c r="GIG3" s="1055"/>
      <c r="GIH3" s="1055"/>
      <c r="GII3" s="1055"/>
      <c r="GIJ3" s="1055"/>
      <c r="GIK3" s="1055"/>
      <c r="GIL3" s="1055"/>
      <c r="GIM3" s="1055"/>
      <c r="GIN3" s="1055"/>
      <c r="GIO3" s="1055"/>
      <c r="GIP3" s="1055"/>
      <c r="GIQ3" s="1055"/>
      <c r="GIR3" s="1055"/>
      <c r="GIS3" s="1055"/>
      <c r="GIT3" s="1055"/>
      <c r="GIU3" s="1055"/>
      <c r="GIV3" s="1055"/>
      <c r="GIW3" s="1055"/>
      <c r="GIX3" s="1055"/>
      <c r="GIY3" s="1055"/>
      <c r="GIZ3" s="1055"/>
      <c r="GJA3" s="1055"/>
      <c r="GJB3" s="1055"/>
      <c r="GJC3" s="1055"/>
      <c r="GJD3" s="1055"/>
      <c r="GJE3" s="1055"/>
      <c r="GJF3" s="1055"/>
      <c r="GJG3" s="1055"/>
      <c r="GJH3" s="1055"/>
      <c r="GJI3" s="1055"/>
      <c r="GJJ3" s="1055"/>
      <c r="GJK3" s="1055"/>
      <c r="GJL3" s="1055"/>
      <c r="GJM3" s="1055"/>
      <c r="GJN3" s="1055"/>
      <c r="GJO3" s="1055"/>
      <c r="GJP3" s="1055"/>
      <c r="GJQ3" s="1055"/>
      <c r="GJR3" s="1055"/>
      <c r="GJS3" s="1055"/>
      <c r="GJT3" s="1055"/>
      <c r="GJU3" s="1055"/>
      <c r="GJV3" s="1055"/>
      <c r="GJW3" s="1055"/>
      <c r="GJX3" s="1055"/>
      <c r="GJY3" s="1055"/>
      <c r="GJZ3" s="1055"/>
      <c r="GKA3" s="1055"/>
      <c r="GKB3" s="1055"/>
      <c r="GKC3" s="1055"/>
      <c r="GKD3" s="1055"/>
      <c r="GKE3" s="1055"/>
      <c r="GKF3" s="1055"/>
      <c r="GKG3" s="1055"/>
      <c r="GKH3" s="1055"/>
      <c r="GKI3" s="1055"/>
      <c r="GKJ3" s="1055"/>
      <c r="GKK3" s="1055"/>
      <c r="GKL3" s="1055"/>
      <c r="GKM3" s="1055"/>
      <c r="GKN3" s="1055"/>
      <c r="GKO3" s="1055"/>
      <c r="GKP3" s="1055"/>
      <c r="GKQ3" s="1055"/>
      <c r="GKR3" s="1055"/>
      <c r="GKS3" s="1055"/>
      <c r="GKT3" s="1055"/>
      <c r="GKU3" s="1055"/>
      <c r="GKV3" s="1055"/>
      <c r="GKW3" s="1055"/>
      <c r="GKX3" s="1055"/>
      <c r="GKY3" s="1055"/>
      <c r="GKZ3" s="1055"/>
      <c r="GLA3" s="1055"/>
      <c r="GLB3" s="1055"/>
      <c r="GLC3" s="1055"/>
      <c r="GLD3" s="1055"/>
      <c r="GLE3" s="1055"/>
      <c r="GLF3" s="1055"/>
      <c r="GLG3" s="1055"/>
      <c r="GLH3" s="1055"/>
      <c r="GLI3" s="1055"/>
      <c r="GLJ3" s="1055"/>
      <c r="GLK3" s="1055"/>
      <c r="GLL3" s="1055"/>
      <c r="GLM3" s="1055"/>
      <c r="GLN3" s="1055"/>
      <c r="GLO3" s="1055"/>
      <c r="GLP3" s="1055"/>
      <c r="GLQ3" s="1055"/>
      <c r="GLR3" s="1055"/>
      <c r="GLS3" s="1055"/>
      <c r="GLT3" s="1055"/>
      <c r="GLU3" s="1055"/>
      <c r="GLV3" s="1055"/>
      <c r="GLW3" s="1055"/>
      <c r="GLX3" s="1055"/>
      <c r="GLY3" s="1055"/>
      <c r="GLZ3" s="1055"/>
      <c r="GMA3" s="1055"/>
      <c r="GMB3" s="1055"/>
      <c r="GMC3" s="1055"/>
      <c r="GMD3" s="1055"/>
      <c r="GME3" s="1055"/>
      <c r="GMF3" s="1055"/>
      <c r="GMG3" s="1055"/>
      <c r="GMH3" s="1055"/>
      <c r="GMI3" s="1055"/>
      <c r="GMJ3" s="1055"/>
      <c r="GMK3" s="1055"/>
      <c r="GML3" s="1055"/>
      <c r="GMM3" s="1055"/>
      <c r="GMN3" s="1055"/>
      <c r="GMO3" s="1055"/>
      <c r="GMP3" s="1055"/>
      <c r="GMQ3" s="1055"/>
      <c r="GMR3" s="1055"/>
      <c r="GMS3" s="1055"/>
      <c r="GMT3" s="1055"/>
      <c r="GMU3" s="1055"/>
      <c r="GMV3" s="1055"/>
      <c r="GMW3" s="1055"/>
      <c r="GMX3" s="1055"/>
      <c r="GMY3" s="1055"/>
      <c r="GMZ3" s="1055"/>
      <c r="GNA3" s="1055"/>
      <c r="GNB3" s="1055"/>
      <c r="GNC3" s="1055"/>
      <c r="GND3" s="1055"/>
      <c r="GNE3" s="1055"/>
      <c r="GNF3" s="1055"/>
      <c r="GNG3" s="1055"/>
      <c r="GNH3" s="1055"/>
      <c r="GNI3" s="1055"/>
      <c r="GNJ3" s="1055"/>
      <c r="GNK3" s="1055"/>
      <c r="GNL3" s="1055"/>
      <c r="GNM3" s="1055"/>
      <c r="GNN3" s="1055"/>
      <c r="GNO3" s="1055"/>
      <c r="GNP3" s="1055"/>
      <c r="GNQ3" s="1055"/>
      <c r="GNR3" s="1055"/>
      <c r="GNS3" s="1055"/>
      <c r="GNT3" s="1055"/>
      <c r="GNU3" s="1055"/>
      <c r="GNV3" s="1055"/>
      <c r="GNW3" s="1055"/>
      <c r="GNX3" s="1055"/>
      <c r="GNY3" s="1055"/>
      <c r="GNZ3" s="1055"/>
      <c r="GOA3" s="1055"/>
      <c r="GOB3" s="1055"/>
      <c r="GOC3" s="1055"/>
      <c r="GOD3" s="1055"/>
      <c r="GOE3" s="1055"/>
      <c r="GOF3" s="1055"/>
      <c r="GOG3" s="1055"/>
      <c r="GOH3" s="1055"/>
      <c r="GOI3" s="1055"/>
      <c r="GOJ3" s="1055"/>
      <c r="GOK3" s="1055"/>
      <c r="GOL3" s="1055"/>
      <c r="GOM3" s="1055"/>
      <c r="GON3" s="1055"/>
      <c r="GOO3" s="1055"/>
      <c r="GOP3" s="1055"/>
      <c r="GOQ3" s="1055"/>
      <c r="GOR3" s="1055"/>
      <c r="GOS3" s="1055"/>
      <c r="GOT3" s="1055"/>
      <c r="GOU3" s="1055"/>
      <c r="GOV3" s="1055"/>
      <c r="GOW3" s="1055"/>
      <c r="GOX3" s="1055"/>
      <c r="GOY3" s="1055"/>
      <c r="GOZ3" s="1055"/>
      <c r="GPA3" s="1055"/>
      <c r="GPB3" s="1055"/>
      <c r="GPC3" s="1055"/>
      <c r="GPD3" s="1055"/>
      <c r="GPE3" s="1055"/>
      <c r="GPF3" s="1055"/>
      <c r="GPG3" s="1055"/>
      <c r="GPH3" s="1055"/>
      <c r="GPI3" s="1055"/>
      <c r="GPJ3" s="1055"/>
      <c r="GPK3" s="1055"/>
      <c r="GPL3" s="1055"/>
      <c r="GPM3" s="1055"/>
      <c r="GPN3" s="1055"/>
      <c r="GPO3" s="1055"/>
      <c r="GPP3" s="1055"/>
      <c r="GPQ3" s="1055"/>
      <c r="GPR3" s="1055"/>
      <c r="GPS3" s="1055"/>
      <c r="GPT3" s="1055"/>
      <c r="GPU3" s="1055"/>
      <c r="GPV3" s="1055"/>
      <c r="GPW3" s="1055"/>
      <c r="GPX3" s="1055"/>
      <c r="GPY3" s="1055"/>
      <c r="GPZ3" s="1055"/>
      <c r="GQA3" s="1055"/>
      <c r="GQB3" s="1055"/>
      <c r="GQC3" s="1055"/>
      <c r="GQD3" s="1055"/>
      <c r="GQE3" s="1055"/>
      <c r="GQF3" s="1055"/>
      <c r="GQG3" s="1055"/>
      <c r="GQH3" s="1055"/>
      <c r="GQI3" s="1055"/>
      <c r="GQJ3" s="1055"/>
      <c r="GQK3" s="1055"/>
      <c r="GQL3" s="1055"/>
      <c r="GQM3" s="1055"/>
      <c r="GQN3" s="1055"/>
      <c r="GQO3" s="1055"/>
      <c r="GQP3" s="1055"/>
      <c r="GQQ3" s="1055"/>
      <c r="GQR3" s="1055"/>
      <c r="GQS3" s="1055"/>
      <c r="GQT3" s="1055"/>
      <c r="GQU3" s="1055"/>
      <c r="GQV3" s="1055"/>
      <c r="GQW3" s="1055"/>
      <c r="GQX3" s="1055"/>
      <c r="GQY3" s="1055"/>
      <c r="GQZ3" s="1055"/>
      <c r="GRA3" s="1055"/>
      <c r="GRB3" s="1055"/>
      <c r="GRC3" s="1055"/>
      <c r="GRD3" s="1055"/>
      <c r="GRE3" s="1055"/>
      <c r="GRF3" s="1055"/>
      <c r="GRG3" s="1055"/>
      <c r="GRH3" s="1055"/>
      <c r="GRI3" s="1055"/>
      <c r="GRJ3" s="1055"/>
      <c r="GRK3" s="1055"/>
      <c r="GRL3" s="1055"/>
      <c r="GRM3" s="1055"/>
      <c r="GRN3" s="1055"/>
      <c r="GRO3" s="1055"/>
      <c r="GRP3" s="1055"/>
      <c r="GRQ3" s="1055"/>
      <c r="GRR3" s="1055"/>
      <c r="GRS3" s="1055"/>
      <c r="GRT3" s="1055"/>
      <c r="GRU3" s="1055"/>
      <c r="GRV3" s="1055"/>
      <c r="GRW3" s="1055"/>
      <c r="GRX3" s="1055"/>
      <c r="GRY3" s="1055"/>
      <c r="GRZ3" s="1055"/>
      <c r="GSA3" s="1055"/>
      <c r="GSB3" s="1055"/>
      <c r="GSC3" s="1055"/>
      <c r="GSD3" s="1055"/>
      <c r="GSE3" s="1055"/>
      <c r="GSF3" s="1055"/>
      <c r="GSG3" s="1055"/>
      <c r="GSH3" s="1055"/>
      <c r="GSI3" s="1055"/>
      <c r="GSJ3" s="1055"/>
      <c r="GSK3" s="1055"/>
      <c r="GSL3" s="1055"/>
      <c r="GSM3" s="1055"/>
      <c r="GSN3" s="1055"/>
      <c r="GSO3" s="1055"/>
      <c r="GSP3" s="1055"/>
      <c r="GSQ3" s="1055"/>
      <c r="GSR3" s="1055"/>
      <c r="GSS3" s="1055"/>
      <c r="GST3" s="1055"/>
      <c r="GSU3" s="1055"/>
      <c r="GSV3" s="1055"/>
      <c r="GSW3" s="1055"/>
      <c r="GSX3" s="1055"/>
      <c r="GSY3" s="1055"/>
      <c r="GSZ3" s="1055"/>
      <c r="GTA3" s="1055"/>
      <c r="GTB3" s="1055"/>
      <c r="GTC3" s="1055"/>
      <c r="GTD3" s="1055"/>
      <c r="GTE3" s="1055"/>
      <c r="GTF3" s="1055"/>
      <c r="GTG3" s="1055"/>
      <c r="GTH3" s="1055"/>
      <c r="GTI3" s="1055"/>
      <c r="GTJ3" s="1055"/>
      <c r="GTK3" s="1055"/>
      <c r="GTL3" s="1055"/>
      <c r="GTM3" s="1055"/>
      <c r="GTN3" s="1055"/>
      <c r="GTO3" s="1055"/>
      <c r="GTP3" s="1055"/>
      <c r="GTQ3" s="1055"/>
      <c r="GTR3" s="1055"/>
      <c r="GTS3" s="1055"/>
      <c r="GTT3" s="1055"/>
      <c r="GTU3" s="1055"/>
      <c r="GTV3" s="1055"/>
      <c r="GTW3" s="1055"/>
      <c r="GTX3" s="1055"/>
      <c r="GTY3" s="1055"/>
      <c r="GTZ3" s="1055"/>
      <c r="GUA3" s="1055"/>
      <c r="GUB3" s="1055"/>
      <c r="GUC3" s="1055"/>
      <c r="GUD3" s="1055"/>
      <c r="GUE3" s="1055"/>
      <c r="GUF3" s="1055"/>
      <c r="GUG3" s="1055"/>
      <c r="GUH3" s="1055"/>
      <c r="GUI3" s="1055"/>
      <c r="GUJ3" s="1055"/>
      <c r="GUK3" s="1055"/>
      <c r="GUL3" s="1055"/>
      <c r="GUM3" s="1055"/>
      <c r="GUN3" s="1055"/>
      <c r="GUO3" s="1055"/>
      <c r="GUP3" s="1055"/>
      <c r="GUQ3" s="1055"/>
      <c r="GUR3" s="1055"/>
      <c r="GUS3" s="1055"/>
      <c r="GUT3" s="1055"/>
      <c r="GUU3" s="1055"/>
      <c r="GUV3" s="1055"/>
      <c r="GUW3" s="1055"/>
      <c r="GUX3" s="1055"/>
      <c r="GUY3" s="1055"/>
      <c r="GUZ3" s="1055"/>
      <c r="GVA3" s="1055"/>
      <c r="GVB3" s="1055"/>
      <c r="GVC3" s="1055"/>
      <c r="GVD3" s="1055"/>
      <c r="GVE3" s="1055"/>
      <c r="GVF3" s="1055"/>
      <c r="GVG3" s="1055"/>
      <c r="GVH3" s="1055"/>
      <c r="GVI3" s="1055"/>
      <c r="GVJ3" s="1055"/>
      <c r="GVK3" s="1055"/>
      <c r="GVL3" s="1055"/>
      <c r="GVM3" s="1055"/>
      <c r="GVN3" s="1055"/>
      <c r="GVO3" s="1055"/>
      <c r="GVP3" s="1055"/>
      <c r="GVQ3" s="1055"/>
      <c r="GVR3" s="1055"/>
      <c r="GVS3" s="1055"/>
      <c r="GVT3" s="1055"/>
      <c r="GVU3" s="1055"/>
      <c r="GVV3" s="1055"/>
      <c r="GVW3" s="1055"/>
      <c r="GVX3" s="1055"/>
      <c r="GVY3" s="1055"/>
      <c r="GVZ3" s="1055"/>
      <c r="GWA3" s="1055"/>
      <c r="GWB3" s="1055"/>
      <c r="GWC3" s="1055"/>
      <c r="GWD3" s="1055"/>
      <c r="GWE3" s="1055"/>
      <c r="GWF3" s="1055"/>
      <c r="GWG3" s="1055"/>
      <c r="GWH3" s="1055"/>
      <c r="GWI3" s="1055"/>
      <c r="GWJ3" s="1055"/>
      <c r="GWK3" s="1055"/>
      <c r="GWL3" s="1055"/>
      <c r="GWM3" s="1055"/>
      <c r="GWN3" s="1055"/>
      <c r="GWO3" s="1055"/>
      <c r="GWP3" s="1055"/>
      <c r="GWQ3" s="1055"/>
      <c r="GWR3" s="1055"/>
      <c r="GWS3" s="1055"/>
      <c r="GWT3" s="1055"/>
      <c r="GWU3" s="1055"/>
      <c r="GWV3" s="1055"/>
      <c r="GWW3" s="1055"/>
      <c r="GWX3" s="1055"/>
      <c r="GWY3" s="1055"/>
      <c r="GWZ3" s="1055"/>
      <c r="GXA3" s="1055"/>
      <c r="GXB3" s="1055"/>
      <c r="GXC3" s="1055"/>
      <c r="GXD3" s="1055"/>
      <c r="GXE3" s="1055"/>
      <c r="GXF3" s="1055"/>
      <c r="GXG3" s="1055"/>
      <c r="GXH3" s="1055"/>
      <c r="GXI3" s="1055"/>
      <c r="GXJ3" s="1055"/>
      <c r="GXK3" s="1055"/>
      <c r="GXL3" s="1055"/>
      <c r="GXM3" s="1055"/>
      <c r="GXN3" s="1055"/>
      <c r="GXO3" s="1055"/>
      <c r="GXP3" s="1055"/>
      <c r="GXQ3" s="1055"/>
      <c r="GXR3" s="1055"/>
      <c r="GXS3" s="1055"/>
      <c r="GXT3" s="1055"/>
      <c r="GXU3" s="1055"/>
      <c r="GXV3" s="1055"/>
      <c r="GXW3" s="1055"/>
      <c r="GXX3" s="1055"/>
      <c r="GXY3" s="1055"/>
      <c r="GXZ3" s="1055"/>
      <c r="GYA3" s="1055"/>
      <c r="GYB3" s="1055"/>
      <c r="GYC3" s="1055"/>
      <c r="GYD3" s="1055"/>
      <c r="GYE3" s="1055"/>
      <c r="GYF3" s="1055"/>
      <c r="GYG3" s="1055"/>
      <c r="GYH3" s="1055"/>
      <c r="GYI3" s="1055"/>
      <c r="GYJ3" s="1055"/>
      <c r="GYK3" s="1055"/>
      <c r="GYL3" s="1055"/>
      <c r="GYM3" s="1055"/>
      <c r="GYN3" s="1055"/>
      <c r="GYO3" s="1055"/>
      <c r="GYP3" s="1055"/>
      <c r="GYQ3" s="1055"/>
      <c r="GYR3" s="1055"/>
      <c r="GYS3" s="1055"/>
      <c r="GYT3" s="1055"/>
      <c r="GYU3" s="1055"/>
      <c r="GYV3" s="1055"/>
      <c r="GYW3" s="1055"/>
      <c r="GYX3" s="1055"/>
      <c r="GYY3" s="1055"/>
      <c r="GYZ3" s="1055"/>
      <c r="GZA3" s="1055"/>
      <c r="GZB3" s="1055"/>
      <c r="GZC3" s="1055"/>
      <c r="GZD3" s="1055"/>
      <c r="GZE3" s="1055"/>
      <c r="GZF3" s="1055"/>
      <c r="GZG3" s="1055"/>
      <c r="GZH3" s="1055"/>
      <c r="GZI3" s="1055"/>
      <c r="GZJ3" s="1055"/>
      <c r="GZK3" s="1055"/>
      <c r="GZL3" s="1055"/>
      <c r="GZM3" s="1055"/>
      <c r="GZN3" s="1055"/>
      <c r="GZO3" s="1055"/>
      <c r="GZP3" s="1055"/>
      <c r="GZQ3" s="1055"/>
      <c r="GZR3" s="1055"/>
      <c r="GZS3" s="1055"/>
      <c r="GZT3" s="1055"/>
      <c r="GZU3" s="1055"/>
      <c r="GZV3" s="1055"/>
      <c r="GZW3" s="1055"/>
      <c r="GZX3" s="1055"/>
      <c r="GZY3" s="1055"/>
      <c r="GZZ3" s="1055"/>
      <c r="HAA3" s="1055"/>
      <c r="HAB3" s="1055"/>
      <c r="HAC3" s="1055"/>
      <c r="HAD3" s="1055"/>
      <c r="HAE3" s="1055"/>
      <c r="HAF3" s="1055"/>
      <c r="HAG3" s="1055"/>
      <c r="HAH3" s="1055"/>
      <c r="HAI3" s="1055"/>
      <c r="HAJ3" s="1055"/>
      <c r="HAK3" s="1055"/>
      <c r="HAL3" s="1055"/>
      <c r="HAM3" s="1055"/>
      <c r="HAN3" s="1055"/>
      <c r="HAO3" s="1055"/>
      <c r="HAP3" s="1055"/>
      <c r="HAQ3" s="1055"/>
      <c r="HAR3" s="1055"/>
      <c r="HAS3" s="1055"/>
      <c r="HAT3" s="1055"/>
      <c r="HAU3" s="1055"/>
      <c r="HAV3" s="1055"/>
      <c r="HAW3" s="1055"/>
      <c r="HAX3" s="1055"/>
      <c r="HAY3" s="1055"/>
      <c r="HAZ3" s="1055"/>
      <c r="HBA3" s="1055"/>
      <c r="HBB3" s="1055"/>
      <c r="HBC3" s="1055"/>
      <c r="HBD3" s="1055"/>
      <c r="HBE3" s="1055"/>
      <c r="HBF3" s="1055"/>
      <c r="HBG3" s="1055"/>
      <c r="HBH3" s="1055"/>
      <c r="HBI3" s="1055"/>
      <c r="HBJ3" s="1055"/>
      <c r="HBK3" s="1055"/>
      <c r="HBL3" s="1055"/>
      <c r="HBM3" s="1055"/>
      <c r="HBN3" s="1055"/>
      <c r="HBO3" s="1055"/>
      <c r="HBP3" s="1055"/>
      <c r="HBQ3" s="1055"/>
      <c r="HBR3" s="1055"/>
      <c r="HBS3" s="1055"/>
      <c r="HBT3" s="1055"/>
      <c r="HBU3" s="1055"/>
      <c r="HBV3" s="1055"/>
      <c r="HBW3" s="1055"/>
      <c r="HBX3" s="1055"/>
      <c r="HBY3" s="1055"/>
      <c r="HBZ3" s="1055"/>
      <c r="HCA3" s="1055"/>
      <c r="HCB3" s="1055"/>
      <c r="HCC3" s="1055"/>
      <c r="HCD3" s="1055"/>
      <c r="HCE3" s="1055"/>
      <c r="HCF3" s="1055"/>
      <c r="HCG3" s="1055"/>
      <c r="HCH3" s="1055"/>
      <c r="HCI3" s="1055"/>
      <c r="HCJ3" s="1055"/>
      <c r="HCK3" s="1055"/>
      <c r="HCL3" s="1055"/>
      <c r="HCM3" s="1055"/>
      <c r="HCN3" s="1055"/>
      <c r="HCO3" s="1055"/>
      <c r="HCP3" s="1055"/>
      <c r="HCQ3" s="1055"/>
      <c r="HCR3" s="1055"/>
      <c r="HCS3" s="1055"/>
      <c r="HCT3" s="1055"/>
      <c r="HCU3" s="1055"/>
      <c r="HCV3" s="1055"/>
      <c r="HCW3" s="1055"/>
      <c r="HCX3" s="1055"/>
      <c r="HCY3" s="1055"/>
      <c r="HCZ3" s="1055"/>
      <c r="HDA3" s="1055"/>
      <c r="HDB3" s="1055"/>
      <c r="HDC3" s="1055"/>
      <c r="HDD3" s="1055"/>
      <c r="HDE3" s="1055"/>
      <c r="HDF3" s="1055"/>
      <c r="HDG3" s="1055"/>
      <c r="HDH3" s="1055"/>
      <c r="HDI3" s="1055"/>
      <c r="HDJ3" s="1055"/>
      <c r="HDK3" s="1055"/>
      <c r="HDL3" s="1055"/>
      <c r="HDM3" s="1055"/>
      <c r="HDN3" s="1055"/>
      <c r="HDO3" s="1055"/>
      <c r="HDP3" s="1055"/>
      <c r="HDQ3" s="1055"/>
      <c r="HDR3" s="1055"/>
      <c r="HDS3" s="1055"/>
      <c r="HDT3" s="1055"/>
      <c r="HDU3" s="1055"/>
      <c r="HDV3" s="1055"/>
      <c r="HDW3" s="1055"/>
      <c r="HDX3" s="1055"/>
      <c r="HDY3" s="1055"/>
      <c r="HDZ3" s="1055"/>
      <c r="HEA3" s="1055"/>
      <c r="HEB3" s="1055"/>
      <c r="HEC3" s="1055"/>
      <c r="HED3" s="1055"/>
      <c r="HEE3" s="1055"/>
      <c r="HEF3" s="1055"/>
      <c r="HEG3" s="1055"/>
      <c r="HEH3" s="1055"/>
      <c r="HEI3" s="1055"/>
      <c r="HEJ3" s="1055"/>
      <c r="HEK3" s="1055"/>
      <c r="HEL3" s="1055"/>
      <c r="HEM3" s="1055"/>
      <c r="HEN3" s="1055"/>
      <c r="HEO3" s="1055"/>
      <c r="HEP3" s="1055"/>
      <c r="HEQ3" s="1055"/>
      <c r="HER3" s="1055"/>
      <c r="HES3" s="1055"/>
      <c r="HET3" s="1055"/>
      <c r="HEU3" s="1055"/>
      <c r="HEV3" s="1055"/>
      <c r="HEW3" s="1055"/>
      <c r="HEX3" s="1055"/>
      <c r="HEY3" s="1055"/>
      <c r="HEZ3" s="1055"/>
      <c r="HFA3" s="1055"/>
      <c r="HFB3" s="1055"/>
      <c r="HFC3" s="1055"/>
      <c r="HFD3" s="1055"/>
      <c r="HFE3" s="1055"/>
      <c r="HFF3" s="1055"/>
      <c r="HFG3" s="1055"/>
      <c r="HFH3" s="1055"/>
      <c r="HFI3" s="1055"/>
      <c r="HFJ3" s="1055"/>
      <c r="HFK3" s="1055"/>
      <c r="HFL3" s="1055"/>
      <c r="HFM3" s="1055"/>
      <c r="HFN3" s="1055"/>
      <c r="HFO3" s="1055"/>
      <c r="HFP3" s="1055"/>
      <c r="HFQ3" s="1055"/>
      <c r="HFR3" s="1055"/>
      <c r="HFS3" s="1055"/>
      <c r="HFT3" s="1055"/>
      <c r="HFU3" s="1055"/>
      <c r="HFV3" s="1055"/>
      <c r="HFW3" s="1055"/>
      <c r="HFX3" s="1055"/>
      <c r="HFY3" s="1055"/>
      <c r="HFZ3" s="1055"/>
      <c r="HGA3" s="1055"/>
      <c r="HGB3" s="1055"/>
      <c r="HGC3" s="1055"/>
      <c r="HGD3" s="1055"/>
      <c r="HGE3" s="1055"/>
      <c r="HGF3" s="1055"/>
      <c r="HGG3" s="1055"/>
      <c r="HGH3" s="1055"/>
      <c r="HGI3" s="1055"/>
      <c r="HGJ3" s="1055"/>
      <c r="HGK3" s="1055"/>
      <c r="HGL3" s="1055"/>
      <c r="HGM3" s="1055"/>
      <c r="HGN3" s="1055"/>
      <c r="HGO3" s="1055"/>
      <c r="HGP3" s="1055"/>
      <c r="HGQ3" s="1055"/>
      <c r="HGR3" s="1055"/>
      <c r="HGS3" s="1055"/>
      <c r="HGT3" s="1055"/>
      <c r="HGU3" s="1055"/>
      <c r="HGV3" s="1055"/>
      <c r="HGW3" s="1055"/>
      <c r="HGX3" s="1055"/>
      <c r="HGY3" s="1055"/>
      <c r="HGZ3" s="1055"/>
      <c r="HHA3" s="1055"/>
      <c r="HHB3" s="1055"/>
      <c r="HHC3" s="1055"/>
      <c r="HHD3" s="1055"/>
      <c r="HHE3" s="1055"/>
      <c r="HHF3" s="1055"/>
      <c r="HHG3" s="1055"/>
      <c r="HHH3" s="1055"/>
      <c r="HHI3" s="1055"/>
      <c r="HHJ3" s="1055"/>
      <c r="HHK3" s="1055"/>
      <c r="HHL3" s="1055"/>
      <c r="HHM3" s="1055"/>
      <c r="HHN3" s="1055"/>
      <c r="HHO3" s="1055"/>
      <c r="HHP3" s="1055"/>
      <c r="HHQ3" s="1055"/>
      <c r="HHR3" s="1055"/>
      <c r="HHS3" s="1055"/>
      <c r="HHT3" s="1055"/>
      <c r="HHU3" s="1055"/>
      <c r="HHV3" s="1055"/>
      <c r="HHW3" s="1055"/>
      <c r="HHX3" s="1055"/>
      <c r="HHY3" s="1055"/>
      <c r="HHZ3" s="1055"/>
      <c r="HIA3" s="1055"/>
      <c r="HIB3" s="1055"/>
      <c r="HIC3" s="1055"/>
      <c r="HID3" s="1055"/>
      <c r="HIE3" s="1055"/>
      <c r="HIF3" s="1055"/>
      <c r="HIG3" s="1055"/>
      <c r="HIH3" s="1055"/>
      <c r="HII3" s="1055"/>
      <c r="HIJ3" s="1055"/>
      <c r="HIK3" s="1055"/>
      <c r="HIL3" s="1055"/>
      <c r="HIM3" s="1055"/>
      <c r="HIN3" s="1055"/>
      <c r="HIO3" s="1055"/>
      <c r="HIP3" s="1055"/>
      <c r="HIQ3" s="1055"/>
      <c r="HIR3" s="1055"/>
      <c r="HIS3" s="1055"/>
      <c r="HIT3" s="1055"/>
      <c r="HIU3" s="1055"/>
      <c r="HIV3" s="1055"/>
      <c r="HIW3" s="1055"/>
      <c r="HIX3" s="1055"/>
      <c r="HIY3" s="1055"/>
      <c r="HIZ3" s="1055"/>
      <c r="HJA3" s="1055"/>
      <c r="HJB3" s="1055"/>
      <c r="HJC3" s="1055"/>
      <c r="HJD3" s="1055"/>
      <c r="HJE3" s="1055"/>
      <c r="HJF3" s="1055"/>
      <c r="HJG3" s="1055"/>
      <c r="HJH3" s="1055"/>
      <c r="HJI3" s="1055"/>
      <c r="HJJ3" s="1055"/>
      <c r="HJK3" s="1055"/>
      <c r="HJL3" s="1055"/>
      <c r="HJM3" s="1055"/>
      <c r="HJN3" s="1055"/>
      <c r="HJO3" s="1055"/>
      <c r="HJP3" s="1055"/>
      <c r="HJQ3" s="1055"/>
      <c r="HJR3" s="1055"/>
      <c r="HJS3" s="1055"/>
      <c r="HJT3" s="1055"/>
      <c r="HJU3" s="1055"/>
      <c r="HJV3" s="1055"/>
      <c r="HJW3" s="1055"/>
      <c r="HJX3" s="1055"/>
      <c r="HJY3" s="1055"/>
      <c r="HJZ3" s="1055"/>
      <c r="HKA3" s="1055"/>
      <c r="HKB3" s="1055"/>
      <c r="HKC3" s="1055"/>
      <c r="HKD3" s="1055"/>
      <c r="HKE3" s="1055"/>
      <c r="HKF3" s="1055"/>
      <c r="HKG3" s="1055"/>
      <c r="HKH3" s="1055"/>
      <c r="HKI3" s="1055"/>
      <c r="HKJ3" s="1055"/>
      <c r="HKK3" s="1055"/>
      <c r="HKL3" s="1055"/>
      <c r="HKM3" s="1055"/>
      <c r="HKN3" s="1055"/>
      <c r="HKO3" s="1055"/>
      <c r="HKP3" s="1055"/>
      <c r="HKQ3" s="1055"/>
      <c r="HKR3" s="1055"/>
      <c r="HKS3" s="1055"/>
      <c r="HKT3" s="1055"/>
      <c r="HKU3" s="1055"/>
      <c r="HKV3" s="1055"/>
      <c r="HKW3" s="1055"/>
      <c r="HKX3" s="1055"/>
      <c r="HKY3" s="1055"/>
      <c r="HKZ3" s="1055"/>
      <c r="HLA3" s="1055"/>
      <c r="HLB3" s="1055"/>
      <c r="HLC3" s="1055"/>
      <c r="HLD3" s="1055"/>
      <c r="HLE3" s="1055"/>
      <c r="HLF3" s="1055"/>
      <c r="HLG3" s="1055"/>
      <c r="HLH3" s="1055"/>
      <c r="HLI3" s="1055"/>
      <c r="HLJ3" s="1055"/>
      <c r="HLK3" s="1055"/>
      <c r="HLL3" s="1055"/>
      <c r="HLM3" s="1055"/>
      <c r="HLN3" s="1055"/>
      <c r="HLO3" s="1055"/>
      <c r="HLP3" s="1055"/>
      <c r="HLQ3" s="1055"/>
      <c r="HLR3" s="1055"/>
      <c r="HLS3" s="1055"/>
      <c r="HLT3" s="1055"/>
      <c r="HLU3" s="1055"/>
      <c r="HLV3" s="1055"/>
      <c r="HLW3" s="1055"/>
      <c r="HLX3" s="1055"/>
      <c r="HLY3" s="1055"/>
      <c r="HLZ3" s="1055"/>
      <c r="HMA3" s="1055"/>
      <c r="HMB3" s="1055"/>
      <c r="HMC3" s="1055"/>
      <c r="HMD3" s="1055"/>
      <c r="HME3" s="1055"/>
      <c r="HMF3" s="1055"/>
      <c r="HMG3" s="1055"/>
      <c r="HMH3" s="1055"/>
      <c r="HMI3" s="1055"/>
      <c r="HMJ3" s="1055"/>
      <c r="HMK3" s="1055"/>
      <c r="HML3" s="1055"/>
      <c r="HMM3" s="1055"/>
      <c r="HMN3" s="1055"/>
      <c r="HMO3" s="1055"/>
      <c r="HMP3" s="1055"/>
      <c r="HMQ3" s="1055"/>
      <c r="HMR3" s="1055"/>
      <c r="HMS3" s="1055"/>
      <c r="HMT3" s="1055"/>
      <c r="HMU3" s="1055"/>
      <c r="HMV3" s="1055"/>
      <c r="HMW3" s="1055"/>
      <c r="HMX3" s="1055"/>
      <c r="HMY3" s="1055"/>
      <c r="HMZ3" s="1055"/>
      <c r="HNA3" s="1055"/>
      <c r="HNB3" s="1055"/>
      <c r="HNC3" s="1055"/>
      <c r="HND3" s="1055"/>
      <c r="HNE3" s="1055"/>
      <c r="HNF3" s="1055"/>
      <c r="HNG3" s="1055"/>
      <c r="HNH3" s="1055"/>
      <c r="HNI3" s="1055"/>
      <c r="HNJ3" s="1055"/>
      <c r="HNK3" s="1055"/>
      <c r="HNL3" s="1055"/>
      <c r="HNM3" s="1055"/>
      <c r="HNN3" s="1055"/>
      <c r="HNO3" s="1055"/>
      <c r="HNP3" s="1055"/>
      <c r="HNQ3" s="1055"/>
      <c r="HNR3" s="1055"/>
      <c r="HNS3" s="1055"/>
      <c r="HNT3" s="1055"/>
      <c r="HNU3" s="1055"/>
      <c r="HNV3" s="1055"/>
      <c r="HNW3" s="1055"/>
      <c r="HNX3" s="1055"/>
      <c r="HNY3" s="1055"/>
      <c r="HNZ3" s="1055"/>
      <c r="HOA3" s="1055"/>
      <c r="HOB3" s="1055"/>
      <c r="HOC3" s="1055"/>
      <c r="HOD3" s="1055"/>
      <c r="HOE3" s="1055"/>
      <c r="HOF3" s="1055"/>
      <c r="HOG3" s="1055"/>
      <c r="HOH3" s="1055"/>
      <c r="HOI3" s="1055"/>
      <c r="HOJ3" s="1055"/>
      <c r="HOK3" s="1055"/>
      <c r="HOL3" s="1055"/>
      <c r="HOM3" s="1055"/>
      <c r="HON3" s="1055"/>
      <c r="HOO3" s="1055"/>
      <c r="HOP3" s="1055"/>
      <c r="HOQ3" s="1055"/>
      <c r="HOR3" s="1055"/>
      <c r="HOS3" s="1055"/>
      <c r="HOT3" s="1055"/>
      <c r="HOU3" s="1055"/>
      <c r="HOV3" s="1055"/>
      <c r="HOW3" s="1055"/>
      <c r="HOX3" s="1055"/>
      <c r="HOY3" s="1055"/>
      <c r="HOZ3" s="1055"/>
      <c r="HPA3" s="1055"/>
      <c r="HPB3" s="1055"/>
      <c r="HPC3" s="1055"/>
      <c r="HPD3" s="1055"/>
      <c r="HPE3" s="1055"/>
      <c r="HPF3" s="1055"/>
      <c r="HPG3" s="1055"/>
      <c r="HPH3" s="1055"/>
      <c r="HPI3" s="1055"/>
      <c r="HPJ3" s="1055"/>
      <c r="HPK3" s="1055"/>
      <c r="HPL3" s="1055"/>
      <c r="HPM3" s="1055"/>
      <c r="HPN3" s="1055"/>
      <c r="HPO3" s="1055"/>
      <c r="HPP3" s="1055"/>
      <c r="HPQ3" s="1055"/>
      <c r="HPR3" s="1055"/>
      <c r="HPS3" s="1055"/>
      <c r="HPT3" s="1055"/>
      <c r="HPU3" s="1055"/>
      <c r="HPV3" s="1055"/>
      <c r="HPW3" s="1055"/>
      <c r="HPX3" s="1055"/>
      <c r="HPY3" s="1055"/>
      <c r="HPZ3" s="1055"/>
      <c r="HQA3" s="1055"/>
      <c r="HQB3" s="1055"/>
      <c r="HQC3" s="1055"/>
      <c r="HQD3" s="1055"/>
      <c r="HQE3" s="1055"/>
      <c r="HQF3" s="1055"/>
      <c r="HQG3" s="1055"/>
      <c r="HQH3" s="1055"/>
      <c r="HQI3" s="1055"/>
      <c r="HQJ3" s="1055"/>
      <c r="HQK3" s="1055"/>
      <c r="HQL3" s="1055"/>
      <c r="HQM3" s="1055"/>
      <c r="HQN3" s="1055"/>
      <c r="HQO3" s="1055"/>
      <c r="HQP3" s="1055"/>
      <c r="HQQ3" s="1055"/>
      <c r="HQR3" s="1055"/>
      <c r="HQS3" s="1055"/>
      <c r="HQT3" s="1055"/>
      <c r="HQU3" s="1055"/>
      <c r="HQV3" s="1055"/>
      <c r="HQW3" s="1055"/>
      <c r="HQX3" s="1055"/>
      <c r="HQY3" s="1055"/>
      <c r="HQZ3" s="1055"/>
      <c r="HRA3" s="1055"/>
      <c r="HRB3" s="1055"/>
      <c r="HRC3" s="1055"/>
      <c r="HRD3" s="1055"/>
      <c r="HRE3" s="1055"/>
      <c r="HRF3" s="1055"/>
      <c r="HRG3" s="1055"/>
      <c r="HRH3" s="1055"/>
      <c r="HRI3" s="1055"/>
      <c r="HRJ3" s="1055"/>
      <c r="HRK3" s="1055"/>
      <c r="HRL3" s="1055"/>
      <c r="HRM3" s="1055"/>
      <c r="HRN3" s="1055"/>
      <c r="HRO3" s="1055"/>
      <c r="HRP3" s="1055"/>
      <c r="HRQ3" s="1055"/>
      <c r="HRR3" s="1055"/>
      <c r="HRS3" s="1055"/>
      <c r="HRT3" s="1055"/>
      <c r="HRU3" s="1055"/>
      <c r="HRV3" s="1055"/>
      <c r="HRW3" s="1055"/>
      <c r="HRX3" s="1055"/>
      <c r="HRY3" s="1055"/>
      <c r="HRZ3" s="1055"/>
      <c r="HSA3" s="1055"/>
      <c r="HSB3" s="1055"/>
      <c r="HSC3" s="1055"/>
      <c r="HSD3" s="1055"/>
      <c r="HSE3" s="1055"/>
      <c r="HSF3" s="1055"/>
      <c r="HSG3" s="1055"/>
      <c r="HSH3" s="1055"/>
      <c r="HSI3" s="1055"/>
      <c r="HSJ3" s="1055"/>
      <c r="HSK3" s="1055"/>
      <c r="HSL3" s="1055"/>
      <c r="HSM3" s="1055"/>
      <c r="HSN3" s="1055"/>
      <c r="HSO3" s="1055"/>
      <c r="HSP3" s="1055"/>
      <c r="HSQ3" s="1055"/>
      <c r="HSR3" s="1055"/>
      <c r="HSS3" s="1055"/>
      <c r="HST3" s="1055"/>
      <c r="HSU3" s="1055"/>
      <c r="HSV3" s="1055"/>
      <c r="HSW3" s="1055"/>
      <c r="HSX3" s="1055"/>
      <c r="HSY3" s="1055"/>
      <c r="HSZ3" s="1055"/>
      <c r="HTA3" s="1055"/>
      <c r="HTB3" s="1055"/>
      <c r="HTC3" s="1055"/>
      <c r="HTD3" s="1055"/>
      <c r="HTE3" s="1055"/>
      <c r="HTF3" s="1055"/>
      <c r="HTG3" s="1055"/>
      <c r="HTH3" s="1055"/>
      <c r="HTI3" s="1055"/>
      <c r="HTJ3" s="1055"/>
      <c r="HTK3" s="1055"/>
      <c r="HTL3" s="1055"/>
      <c r="HTM3" s="1055"/>
      <c r="HTN3" s="1055"/>
      <c r="HTO3" s="1055"/>
      <c r="HTP3" s="1055"/>
      <c r="HTQ3" s="1055"/>
      <c r="HTR3" s="1055"/>
      <c r="HTS3" s="1055"/>
      <c r="HTT3" s="1055"/>
      <c r="HTU3" s="1055"/>
      <c r="HTV3" s="1055"/>
      <c r="HTW3" s="1055"/>
      <c r="HTX3" s="1055"/>
      <c r="HTY3" s="1055"/>
      <c r="HTZ3" s="1055"/>
      <c r="HUA3" s="1055"/>
      <c r="HUB3" s="1055"/>
      <c r="HUC3" s="1055"/>
      <c r="HUD3" s="1055"/>
      <c r="HUE3" s="1055"/>
      <c r="HUF3" s="1055"/>
      <c r="HUG3" s="1055"/>
      <c r="HUH3" s="1055"/>
      <c r="HUI3" s="1055"/>
      <c r="HUJ3" s="1055"/>
      <c r="HUK3" s="1055"/>
      <c r="HUL3" s="1055"/>
      <c r="HUM3" s="1055"/>
      <c r="HUN3" s="1055"/>
      <c r="HUO3" s="1055"/>
      <c r="HUP3" s="1055"/>
      <c r="HUQ3" s="1055"/>
      <c r="HUR3" s="1055"/>
      <c r="HUS3" s="1055"/>
      <c r="HUT3" s="1055"/>
      <c r="HUU3" s="1055"/>
      <c r="HUV3" s="1055"/>
      <c r="HUW3" s="1055"/>
      <c r="HUX3" s="1055"/>
      <c r="HUY3" s="1055"/>
      <c r="HUZ3" s="1055"/>
      <c r="HVA3" s="1055"/>
      <c r="HVB3" s="1055"/>
      <c r="HVC3" s="1055"/>
      <c r="HVD3" s="1055"/>
      <c r="HVE3" s="1055"/>
      <c r="HVF3" s="1055"/>
      <c r="HVG3" s="1055"/>
      <c r="HVH3" s="1055"/>
      <c r="HVI3" s="1055"/>
      <c r="HVJ3" s="1055"/>
      <c r="HVK3" s="1055"/>
      <c r="HVL3" s="1055"/>
      <c r="HVM3" s="1055"/>
      <c r="HVN3" s="1055"/>
      <c r="HVO3" s="1055"/>
      <c r="HVP3" s="1055"/>
      <c r="HVQ3" s="1055"/>
      <c r="HVR3" s="1055"/>
      <c r="HVS3" s="1055"/>
      <c r="HVT3" s="1055"/>
      <c r="HVU3" s="1055"/>
      <c r="HVV3" s="1055"/>
      <c r="HVW3" s="1055"/>
      <c r="HVX3" s="1055"/>
      <c r="HVY3" s="1055"/>
      <c r="HVZ3" s="1055"/>
      <c r="HWA3" s="1055"/>
      <c r="HWB3" s="1055"/>
      <c r="HWC3" s="1055"/>
      <c r="HWD3" s="1055"/>
      <c r="HWE3" s="1055"/>
      <c r="HWF3" s="1055"/>
      <c r="HWG3" s="1055"/>
      <c r="HWH3" s="1055"/>
      <c r="HWI3" s="1055"/>
      <c r="HWJ3" s="1055"/>
      <c r="HWK3" s="1055"/>
      <c r="HWL3" s="1055"/>
      <c r="HWM3" s="1055"/>
      <c r="HWN3" s="1055"/>
      <c r="HWO3" s="1055"/>
      <c r="HWP3" s="1055"/>
      <c r="HWQ3" s="1055"/>
      <c r="HWR3" s="1055"/>
      <c r="HWS3" s="1055"/>
      <c r="HWT3" s="1055"/>
      <c r="HWU3" s="1055"/>
      <c r="HWV3" s="1055"/>
      <c r="HWW3" s="1055"/>
      <c r="HWX3" s="1055"/>
      <c r="HWY3" s="1055"/>
      <c r="HWZ3" s="1055"/>
      <c r="HXA3" s="1055"/>
      <c r="HXB3" s="1055"/>
      <c r="HXC3" s="1055"/>
      <c r="HXD3" s="1055"/>
      <c r="HXE3" s="1055"/>
      <c r="HXF3" s="1055"/>
      <c r="HXG3" s="1055"/>
      <c r="HXH3" s="1055"/>
      <c r="HXI3" s="1055"/>
      <c r="HXJ3" s="1055"/>
      <c r="HXK3" s="1055"/>
      <c r="HXL3" s="1055"/>
      <c r="HXM3" s="1055"/>
      <c r="HXN3" s="1055"/>
      <c r="HXO3" s="1055"/>
      <c r="HXP3" s="1055"/>
      <c r="HXQ3" s="1055"/>
      <c r="HXR3" s="1055"/>
      <c r="HXS3" s="1055"/>
      <c r="HXT3" s="1055"/>
      <c r="HXU3" s="1055"/>
      <c r="HXV3" s="1055"/>
      <c r="HXW3" s="1055"/>
      <c r="HXX3" s="1055"/>
      <c r="HXY3" s="1055"/>
      <c r="HXZ3" s="1055"/>
      <c r="HYA3" s="1055"/>
      <c r="HYB3" s="1055"/>
      <c r="HYC3" s="1055"/>
      <c r="HYD3" s="1055"/>
      <c r="HYE3" s="1055"/>
      <c r="HYF3" s="1055"/>
      <c r="HYG3" s="1055"/>
      <c r="HYH3" s="1055"/>
      <c r="HYI3" s="1055"/>
      <c r="HYJ3" s="1055"/>
      <c r="HYK3" s="1055"/>
      <c r="HYL3" s="1055"/>
      <c r="HYM3" s="1055"/>
      <c r="HYN3" s="1055"/>
      <c r="HYO3" s="1055"/>
      <c r="HYP3" s="1055"/>
      <c r="HYQ3" s="1055"/>
      <c r="HYR3" s="1055"/>
      <c r="HYS3" s="1055"/>
      <c r="HYT3" s="1055"/>
      <c r="HYU3" s="1055"/>
      <c r="HYV3" s="1055"/>
      <c r="HYW3" s="1055"/>
      <c r="HYX3" s="1055"/>
      <c r="HYY3" s="1055"/>
      <c r="HYZ3" s="1055"/>
      <c r="HZA3" s="1055"/>
      <c r="HZB3" s="1055"/>
      <c r="HZC3" s="1055"/>
      <c r="HZD3" s="1055"/>
      <c r="HZE3" s="1055"/>
      <c r="HZF3" s="1055"/>
      <c r="HZG3" s="1055"/>
      <c r="HZH3" s="1055"/>
      <c r="HZI3" s="1055"/>
      <c r="HZJ3" s="1055"/>
      <c r="HZK3" s="1055"/>
      <c r="HZL3" s="1055"/>
      <c r="HZM3" s="1055"/>
      <c r="HZN3" s="1055"/>
      <c r="HZO3" s="1055"/>
      <c r="HZP3" s="1055"/>
      <c r="HZQ3" s="1055"/>
      <c r="HZR3" s="1055"/>
      <c r="HZS3" s="1055"/>
      <c r="HZT3" s="1055"/>
      <c r="HZU3" s="1055"/>
      <c r="HZV3" s="1055"/>
      <c r="HZW3" s="1055"/>
      <c r="HZX3" s="1055"/>
      <c r="HZY3" s="1055"/>
      <c r="HZZ3" s="1055"/>
      <c r="IAA3" s="1055"/>
      <c r="IAB3" s="1055"/>
      <c r="IAC3" s="1055"/>
      <c r="IAD3" s="1055"/>
      <c r="IAE3" s="1055"/>
      <c r="IAF3" s="1055"/>
      <c r="IAG3" s="1055"/>
      <c r="IAH3" s="1055"/>
      <c r="IAI3" s="1055"/>
      <c r="IAJ3" s="1055"/>
      <c r="IAK3" s="1055"/>
      <c r="IAL3" s="1055"/>
      <c r="IAM3" s="1055"/>
      <c r="IAN3" s="1055"/>
      <c r="IAO3" s="1055"/>
      <c r="IAP3" s="1055"/>
      <c r="IAQ3" s="1055"/>
      <c r="IAR3" s="1055"/>
      <c r="IAS3" s="1055"/>
      <c r="IAT3" s="1055"/>
      <c r="IAU3" s="1055"/>
      <c r="IAV3" s="1055"/>
      <c r="IAW3" s="1055"/>
      <c r="IAX3" s="1055"/>
      <c r="IAY3" s="1055"/>
      <c r="IAZ3" s="1055"/>
      <c r="IBA3" s="1055"/>
      <c r="IBB3" s="1055"/>
      <c r="IBC3" s="1055"/>
      <c r="IBD3" s="1055"/>
      <c r="IBE3" s="1055"/>
      <c r="IBF3" s="1055"/>
      <c r="IBG3" s="1055"/>
      <c r="IBH3" s="1055"/>
      <c r="IBI3" s="1055"/>
      <c r="IBJ3" s="1055"/>
      <c r="IBK3" s="1055"/>
      <c r="IBL3" s="1055"/>
      <c r="IBM3" s="1055"/>
      <c r="IBN3" s="1055"/>
      <c r="IBO3" s="1055"/>
      <c r="IBP3" s="1055"/>
      <c r="IBQ3" s="1055"/>
      <c r="IBR3" s="1055"/>
      <c r="IBS3" s="1055"/>
      <c r="IBT3" s="1055"/>
      <c r="IBU3" s="1055"/>
      <c r="IBV3" s="1055"/>
      <c r="IBW3" s="1055"/>
      <c r="IBX3" s="1055"/>
      <c r="IBY3" s="1055"/>
      <c r="IBZ3" s="1055"/>
      <c r="ICA3" s="1055"/>
      <c r="ICB3" s="1055"/>
      <c r="ICC3" s="1055"/>
      <c r="ICD3" s="1055"/>
      <c r="ICE3" s="1055"/>
      <c r="ICF3" s="1055"/>
      <c r="ICG3" s="1055"/>
      <c r="ICH3" s="1055"/>
      <c r="ICI3" s="1055"/>
      <c r="ICJ3" s="1055"/>
      <c r="ICK3" s="1055"/>
      <c r="ICL3" s="1055"/>
      <c r="ICM3" s="1055"/>
      <c r="ICN3" s="1055"/>
      <c r="ICO3" s="1055"/>
      <c r="ICP3" s="1055"/>
      <c r="ICQ3" s="1055"/>
      <c r="ICR3" s="1055"/>
      <c r="ICS3" s="1055"/>
      <c r="ICT3" s="1055"/>
      <c r="ICU3" s="1055"/>
      <c r="ICV3" s="1055"/>
      <c r="ICW3" s="1055"/>
      <c r="ICX3" s="1055"/>
      <c r="ICY3" s="1055"/>
      <c r="ICZ3" s="1055"/>
      <c r="IDA3" s="1055"/>
      <c r="IDB3" s="1055"/>
      <c r="IDC3" s="1055"/>
      <c r="IDD3" s="1055"/>
      <c r="IDE3" s="1055"/>
      <c r="IDF3" s="1055"/>
      <c r="IDG3" s="1055"/>
      <c r="IDH3" s="1055"/>
      <c r="IDI3" s="1055"/>
      <c r="IDJ3" s="1055"/>
      <c r="IDK3" s="1055"/>
      <c r="IDL3" s="1055"/>
      <c r="IDM3" s="1055"/>
      <c r="IDN3" s="1055"/>
      <c r="IDO3" s="1055"/>
      <c r="IDP3" s="1055"/>
      <c r="IDQ3" s="1055"/>
      <c r="IDR3" s="1055"/>
      <c r="IDS3" s="1055"/>
      <c r="IDT3" s="1055"/>
      <c r="IDU3" s="1055"/>
      <c r="IDV3" s="1055"/>
      <c r="IDW3" s="1055"/>
      <c r="IDX3" s="1055"/>
      <c r="IDY3" s="1055"/>
      <c r="IDZ3" s="1055"/>
      <c r="IEA3" s="1055"/>
      <c r="IEB3" s="1055"/>
      <c r="IEC3" s="1055"/>
      <c r="IED3" s="1055"/>
      <c r="IEE3" s="1055"/>
      <c r="IEF3" s="1055"/>
      <c r="IEG3" s="1055"/>
      <c r="IEH3" s="1055"/>
      <c r="IEI3" s="1055"/>
      <c r="IEJ3" s="1055"/>
      <c r="IEK3" s="1055"/>
      <c r="IEL3" s="1055"/>
      <c r="IEM3" s="1055"/>
      <c r="IEN3" s="1055"/>
      <c r="IEO3" s="1055"/>
      <c r="IEP3" s="1055"/>
      <c r="IEQ3" s="1055"/>
      <c r="IER3" s="1055"/>
      <c r="IES3" s="1055"/>
      <c r="IET3" s="1055"/>
      <c r="IEU3" s="1055"/>
      <c r="IEV3" s="1055"/>
      <c r="IEW3" s="1055"/>
      <c r="IEX3" s="1055"/>
      <c r="IEY3" s="1055"/>
      <c r="IEZ3" s="1055"/>
      <c r="IFA3" s="1055"/>
      <c r="IFB3" s="1055"/>
      <c r="IFC3" s="1055"/>
      <c r="IFD3" s="1055"/>
      <c r="IFE3" s="1055"/>
      <c r="IFF3" s="1055"/>
      <c r="IFG3" s="1055"/>
      <c r="IFH3" s="1055"/>
      <c r="IFI3" s="1055"/>
      <c r="IFJ3" s="1055"/>
      <c r="IFK3" s="1055"/>
      <c r="IFL3" s="1055"/>
      <c r="IFM3" s="1055"/>
      <c r="IFN3" s="1055"/>
      <c r="IFO3" s="1055"/>
      <c r="IFP3" s="1055"/>
      <c r="IFQ3" s="1055"/>
      <c r="IFR3" s="1055"/>
      <c r="IFS3" s="1055"/>
      <c r="IFT3" s="1055"/>
      <c r="IFU3" s="1055"/>
      <c r="IFV3" s="1055"/>
      <c r="IFW3" s="1055"/>
      <c r="IFX3" s="1055"/>
      <c r="IFY3" s="1055"/>
      <c r="IFZ3" s="1055"/>
      <c r="IGA3" s="1055"/>
      <c r="IGB3" s="1055"/>
      <c r="IGC3" s="1055"/>
      <c r="IGD3" s="1055"/>
      <c r="IGE3" s="1055"/>
      <c r="IGF3" s="1055"/>
      <c r="IGG3" s="1055"/>
      <c r="IGH3" s="1055"/>
      <c r="IGI3" s="1055"/>
      <c r="IGJ3" s="1055"/>
      <c r="IGK3" s="1055"/>
      <c r="IGL3" s="1055"/>
      <c r="IGM3" s="1055"/>
      <c r="IGN3" s="1055"/>
      <c r="IGO3" s="1055"/>
      <c r="IGP3" s="1055"/>
      <c r="IGQ3" s="1055"/>
      <c r="IGR3" s="1055"/>
      <c r="IGS3" s="1055"/>
      <c r="IGT3" s="1055"/>
      <c r="IGU3" s="1055"/>
      <c r="IGV3" s="1055"/>
      <c r="IGW3" s="1055"/>
      <c r="IGX3" s="1055"/>
      <c r="IGY3" s="1055"/>
      <c r="IGZ3" s="1055"/>
      <c r="IHA3" s="1055"/>
      <c r="IHB3" s="1055"/>
      <c r="IHC3" s="1055"/>
      <c r="IHD3" s="1055"/>
      <c r="IHE3" s="1055"/>
      <c r="IHF3" s="1055"/>
      <c r="IHG3" s="1055"/>
      <c r="IHH3" s="1055"/>
      <c r="IHI3" s="1055"/>
      <c r="IHJ3" s="1055"/>
      <c r="IHK3" s="1055"/>
      <c r="IHL3" s="1055"/>
      <c r="IHM3" s="1055"/>
      <c r="IHN3" s="1055"/>
      <c r="IHO3" s="1055"/>
      <c r="IHP3" s="1055"/>
      <c r="IHQ3" s="1055"/>
      <c r="IHR3" s="1055"/>
      <c r="IHS3" s="1055"/>
      <c r="IHT3" s="1055"/>
      <c r="IHU3" s="1055"/>
      <c r="IHV3" s="1055"/>
      <c r="IHW3" s="1055"/>
      <c r="IHX3" s="1055"/>
      <c r="IHY3" s="1055"/>
      <c r="IHZ3" s="1055"/>
      <c r="IIA3" s="1055"/>
      <c r="IIB3" s="1055"/>
      <c r="IIC3" s="1055"/>
      <c r="IID3" s="1055"/>
      <c r="IIE3" s="1055"/>
      <c r="IIF3" s="1055"/>
      <c r="IIG3" s="1055"/>
      <c r="IIH3" s="1055"/>
      <c r="III3" s="1055"/>
      <c r="IIJ3" s="1055"/>
      <c r="IIK3" s="1055"/>
      <c r="IIL3" s="1055"/>
      <c r="IIM3" s="1055"/>
      <c r="IIN3" s="1055"/>
      <c r="IIO3" s="1055"/>
      <c r="IIP3" s="1055"/>
      <c r="IIQ3" s="1055"/>
      <c r="IIR3" s="1055"/>
      <c r="IIS3" s="1055"/>
      <c r="IIT3" s="1055"/>
      <c r="IIU3" s="1055"/>
      <c r="IIV3" s="1055"/>
      <c r="IIW3" s="1055"/>
      <c r="IIX3" s="1055"/>
      <c r="IIY3" s="1055"/>
      <c r="IIZ3" s="1055"/>
      <c r="IJA3" s="1055"/>
      <c r="IJB3" s="1055"/>
      <c r="IJC3" s="1055"/>
      <c r="IJD3" s="1055"/>
      <c r="IJE3" s="1055"/>
      <c r="IJF3" s="1055"/>
      <c r="IJG3" s="1055"/>
      <c r="IJH3" s="1055"/>
      <c r="IJI3" s="1055"/>
      <c r="IJJ3" s="1055"/>
      <c r="IJK3" s="1055"/>
      <c r="IJL3" s="1055"/>
      <c r="IJM3" s="1055"/>
      <c r="IJN3" s="1055"/>
      <c r="IJO3" s="1055"/>
      <c r="IJP3" s="1055"/>
      <c r="IJQ3" s="1055"/>
      <c r="IJR3" s="1055"/>
      <c r="IJS3" s="1055"/>
      <c r="IJT3" s="1055"/>
      <c r="IJU3" s="1055"/>
      <c r="IJV3" s="1055"/>
      <c r="IJW3" s="1055"/>
      <c r="IJX3" s="1055"/>
      <c r="IJY3" s="1055"/>
      <c r="IJZ3" s="1055"/>
      <c r="IKA3" s="1055"/>
      <c r="IKB3" s="1055"/>
      <c r="IKC3" s="1055"/>
      <c r="IKD3" s="1055"/>
      <c r="IKE3" s="1055"/>
      <c r="IKF3" s="1055"/>
      <c r="IKG3" s="1055"/>
      <c r="IKH3" s="1055"/>
      <c r="IKI3" s="1055"/>
      <c r="IKJ3" s="1055"/>
      <c r="IKK3" s="1055"/>
      <c r="IKL3" s="1055"/>
      <c r="IKM3" s="1055"/>
      <c r="IKN3" s="1055"/>
      <c r="IKO3" s="1055"/>
      <c r="IKP3" s="1055"/>
      <c r="IKQ3" s="1055"/>
      <c r="IKR3" s="1055"/>
      <c r="IKS3" s="1055"/>
      <c r="IKT3" s="1055"/>
      <c r="IKU3" s="1055"/>
      <c r="IKV3" s="1055"/>
      <c r="IKW3" s="1055"/>
      <c r="IKX3" s="1055"/>
      <c r="IKY3" s="1055"/>
      <c r="IKZ3" s="1055"/>
      <c r="ILA3" s="1055"/>
      <c r="ILB3" s="1055"/>
      <c r="ILC3" s="1055"/>
      <c r="ILD3" s="1055"/>
      <c r="ILE3" s="1055"/>
      <c r="ILF3" s="1055"/>
      <c r="ILG3" s="1055"/>
      <c r="ILH3" s="1055"/>
      <c r="ILI3" s="1055"/>
      <c r="ILJ3" s="1055"/>
      <c r="ILK3" s="1055"/>
      <c r="ILL3" s="1055"/>
      <c r="ILM3" s="1055"/>
      <c r="ILN3" s="1055"/>
      <c r="ILO3" s="1055"/>
      <c r="ILP3" s="1055"/>
      <c r="ILQ3" s="1055"/>
      <c r="ILR3" s="1055"/>
      <c r="ILS3" s="1055"/>
      <c r="ILT3" s="1055"/>
      <c r="ILU3" s="1055"/>
      <c r="ILV3" s="1055"/>
      <c r="ILW3" s="1055"/>
      <c r="ILX3" s="1055"/>
      <c r="ILY3" s="1055"/>
      <c r="ILZ3" s="1055"/>
      <c r="IMA3" s="1055"/>
      <c r="IMB3" s="1055"/>
      <c r="IMC3" s="1055"/>
      <c r="IMD3" s="1055"/>
      <c r="IME3" s="1055"/>
      <c r="IMF3" s="1055"/>
      <c r="IMG3" s="1055"/>
      <c r="IMH3" s="1055"/>
      <c r="IMI3" s="1055"/>
      <c r="IMJ3" s="1055"/>
      <c r="IMK3" s="1055"/>
      <c r="IML3" s="1055"/>
      <c r="IMM3" s="1055"/>
      <c r="IMN3" s="1055"/>
      <c r="IMO3" s="1055"/>
      <c r="IMP3" s="1055"/>
      <c r="IMQ3" s="1055"/>
      <c r="IMR3" s="1055"/>
      <c r="IMS3" s="1055"/>
      <c r="IMT3" s="1055"/>
      <c r="IMU3" s="1055"/>
      <c r="IMV3" s="1055"/>
      <c r="IMW3" s="1055"/>
      <c r="IMX3" s="1055"/>
      <c r="IMY3" s="1055"/>
      <c r="IMZ3" s="1055"/>
      <c r="INA3" s="1055"/>
      <c r="INB3" s="1055"/>
      <c r="INC3" s="1055"/>
      <c r="IND3" s="1055"/>
      <c r="INE3" s="1055"/>
      <c r="INF3" s="1055"/>
      <c r="ING3" s="1055"/>
      <c r="INH3" s="1055"/>
      <c r="INI3" s="1055"/>
      <c r="INJ3" s="1055"/>
      <c r="INK3" s="1055"/>
      <c r="INL3" s="1055"/>
      <c r="INM3" s="1055"/>
      <c r="INN3" s="1055"/>
      <c r="INO3" s="1055"/>
      <c r="INP3" s="1055"/>
      <c r="INQ3" s="1055"/>
      <c r="INR3" s="1055"/>
      <c r="INS3" s="1055"/>
      <c r="INT3" s="1055"/>
      <c r="INU3" s="1055"/>
      <c r="INV3" s="1055"/>
      <c r="INW3" s="1055"/>
      <c r="INX3" s="1055"/>
      <c r="INY3" s="1055"/>
      <c r="INZ3" s="1055"/>
      <c r="IOA3" s="1055"/>
      <c r="IOB3" s="1055"/>
      <c r="IOC3" s="1055"/>
      <c r="IOD3" s="1055"/>
      <c r="IOE3" s="1055"/>
      <c r="IOF3" s="1055"/>
      <c r="IOG3" s="1055"/>
      <c r="IOH3" s="1055"/>
      <c r="IOI3" s="1055"/>
      <c r="IOJ3" s="1055"/>
      <c r="IOK3" s="1055"/>
      <c r="IOL3" s="1055"/>
      <c r="IOM3" s="1055"/>
      <c r="ION3" s="1055"/>
      <c r="IOO3" s="1055"/>
      <c r="IOP3" s="1055"/>
      <c r="IOQ3" s="1055"/>
      <c r="IOR3" s="1055"/>
      <c r="IOS3" s="1055"/>
      <c r="IOT3" s="1055"/>
      <c r="IOU3" s="1055"/>
      <c r="IOV3" s="1055"/>
      <c r="IOW3" s="1055"/>
      <c r="IOX3" s="1055"/>
      <c r="IOY3" s="1055"/>
      <c r="IOZ3" s="1055"/>
      <c r="IPA3" s="1055"/>
      <c r="IPB3" s="1055"/>
      <c r="IPC3" s="1055"/>
      <c r="IPD3" s="1055"/>
      <c r="IPE3" s="1055"/>
      <c r="IPF3" s="1055"/>
      <c r="IPG3" s="1055"/>
      <c r="IPH3" s="1055"/>
      <c r="IPI3" s="1055"/>
      <c r="IPJ3" s="1055"/>
      <c r="IPK3" s="1055"/>
      <c r="IPL3" s="1055"/>
      <c r="IPM3" s="1055"/>
      <c r="IPN3" s="1055"/>
      <c r="IPO3" s="1055"/>
      <c r="IPP3" s="1055"/>
      <c r="IPQ3" s="1055"/>
      <c r="IPR3" s="1055"/>
      <c r="IPS3" s="1055"/>
      <c r="IPT3" s="1055"/>
      <c r="IPU3" s="1055"/>
      <c r="IPV3" s="1055"/>
      <c r="IPW3" s="1055"/>
      <c r="IPX3" s="1055"/>
      <c r="IPY3" s="1055"/>
      <c r="IPZ3" s="1055"/>
      <c r="IQA3" s="1055"/>
      <c r="IQB3" s="1055"/>
      <c r="IQC3" s="1055"/>
      <c r="IQD3" s="1055"/>
      <c r="IQE3" s="1055"/>
      <c r="IQF3" s="1055"/>
      <c r="IQG3" s="1055"/>
      <c r="IQH3" s="1055"/>
      <c r="IQI3" s="1055"/>
      <c r="IQJ3" s="1055"/>
      <c r="IQK3" s="1055"/>
      <c r="IQL3" s="1055"/>
      <c r="IQM3" s="1055"/>
      <c r="IQN3" s="1055"/>
      <c r="IQO3" s="1055"/>
      <c r="IQP3" s="1055"/>
      <c r="IQQ3" s="1055"/>
      <c r="IQR3" s="1055"/>
      <c r="IQS3" s="1055"/>
      <c r="IQT3" s="1055"/>
      <c r="IQU3" s="1055"/>
      <c r="IQV3" s="1055"/>
      <c r="IQW3" s="1055"/>
      <c r="IQX3" s="1055"/>
      <c r="IQY3" s="1055"/>
      <c r="IQZ3" s="1055"/>
      <c r="IRA3" s="1055"/>
      <c r="IRB3" s="1055"/>
      <c r="IRC3" s="1055"/>
      <c r="IRD3" s="1055"/>
      <c r="IRE3" s="1055"/>
      <c r="IRF3" s="1055"/>
      <c r="IRG3" s="1055"/>
      <c r="IRH3" s="1055"/>
      <c r="IRI3" s="1055"/>
      <c r="IRJ3" s="1055"/>
      <c r="IRK3" s="1055"/>
      <c r="IRL3" s="1055"/>
      <c r="IRM3" s="1055"/>
      <c r="IRN3" s="1055"/>
      <c r="IRO3" s="1055"/>
      <c r="IRP3" s="1055"/>
      <c r="IRQ3" s="1055"/>
      <c r="IRR3" s="1055"/>
      <c r="IRS3" s="1055"/>
      <c r="IRT3" s="1055"/>
      <c r="IRU3" s="1055"/>
      <c r="IRV3" s="1055"/>
      <c r="IRW3" s="1055"/>
      <c r="IRX3" s="1055"/>
      <c r="IRY3" s="1055"/>
      <c r="IRZ3" s="1055"/>
      <c r="ISA3" s="1055"/>
      <c r="ISB3" s="1055"/>
      <c r="ISC3" s="1055"/>
      <c r="ISD3" s="1055"/>
      <c r="ISE3" s="1055"/>
      <c r="ISF3" s="1055"/>
      <c r="ISG3" s="1055"/>
      <c r="ISH3" s="1055"/>
      <c r="ISI3" s="1055"/>
      <c r="ISJ3" s="1055"/>
      <c r="ISK3" s="1055"/>
      <c r="ISL3" s="1055"/>
      <c r="ISM3" s="1055"/>
      <c r="ISN3" s="1055"/>
      <c r="ISO3" s="1055"/>
      <c r="ISP3" s="1055"/>
      <c r="ISQ3" s="1055"/>
      <c r="ISR3" s="1055"/>
      <c r="ISS3" s="1055"/>
      <c r="IST3" s="1055"/>
      <c r="ISU3" s="1055"/>
      <c r="ISV3" s="1055"/>
      <c r="ISW3" s="1055"/>
      <c r="ISX3" s="1055"/>
      <c r="ISY3" s="1055"/>
      <c r="ISZ3" s="1055"/>
      <c r="ITA3" s="1055"/>
      <c r="ITB3" s="1055"/>
      <c r="ITC3" s="1055"/>
      <c r="ITD3" s="1055"/>
      <c r="ITE3" s="1055"/>
      <c r="ITF3" s="1055"/>
      <c r="ITG3" s="1055"/>
      <c r="ITH3" s="1055"/>
      <c r="ITI3" s="1055"/>
      <c r="ITJ3" s="1055"/>
      <c r="ITK3" s="1055"/>
      <c r="ITL3" s="1055"/>
      <c r="ITM3" s="1055"/>
      <c r="ITN3" s="1055"/>
      <c r="ITO3" s="1055"/>
      <c r="ITP3" s="1055"/>
      <c r="ITQ3" s="1055"/>
      <c r="ITR3" s="1055"/>
      <c r="ITS3" s="1055"/>
      <c r="ITT3" s="1055"/>
      <c r="ITU3" s="1055"/>
      <c r="ITV3" s="1055"/>
      <c r="ITW3" s="1055"/>
      <c r="ITX3" s="1055"/>
      <c r="ITY3" s="1055"/>
      <c r="ITZ3" s="1055"/>
      <c r="IUA3" s="1055"/>
      <c r="IUB3" s="1055"/>
      <c r="IUC3" s="1055"/>
      <c r="IUD3" s="1055"/>
      <c r="IUE3" s="1055"/>
      <c r="IUF3" s="1055"/>
      <c r="IUG3" s="1055"/>
      <c r="IUH3" s="1055"/>
      <c r="IUI3" s="1055"/>
      <c r="IUJ3" s="1055"/>
      <c r="IUK3" s="1055"/>
      <c r="IUL3" s="1055"/>
      <c r="IUM3" s="1055"/>
      <c r="IUN3" s="1055"/>
      <c r="IUO3" s="1055"/>
      <c r="IUP3" s="1055"/>
      <c r="IUQ3" s="1055"/>
      <c r="IUR3" s="1055"/>
      <c r="IUS3" s="1055"/>
      <c r="IUT3" s="1055"/>
      <c r="IUU3" s="1055"/>
      <c r="IUV3" s="1055"/>
      <c r="IUW3" s="1055"/>
      <c r="IUX3" s="1055"/>
      <c r="IUY3" s="1055"/>
      <c r="IUZ3" s="1055"/>
      <c r="IVA3" s="1055"/>
      <c r="IVB3" s="1055"/>
      <c r="IVC3" s="1055"/>
      <c r="IVD3" s="1055"/>
      <c r="IVE3" s="1055"/>
      <c r="IVF3" s="1055"/>
      <c r="IVG3" s="1055"/>
      <c r="IVH3" s="1055"/>
      <c r="IVI3" s="1055"/>
      <c r="IVJ3" s="1055"/>
      <c r="IVK3" s="1055"/>
      <c r="IVL3" s="1055"/>
      <c r="IVM3" s="1055"/>
      <c r="IVN3" s="1055"/>
      <c r="IVO3" s="1055"/>
      <c r="IVP3" s="1055"/>
      <c r="IVQ3" s="1055"/>
      <c r="IVR3" s="1055"/>
      <c r="IVS3" s="1055"/>
      <c r="IVT3" s="1055"/>
      <c r="IVU3" s="1055"/>
      <c r="IVV3" s="1055"/>
      <c r="IVW3" s="1055"/>
      <c r="IVX3" s="1055"/>
      <c r="IVY3" s="1055"/>
      <c r="IVZ3" s="1055"/>
      <c r="IWA3" s="1055"/>
      <c r="IWB3" s="1055"/>
      <c r="IWC3" s="1055"/>
      <c r="IWD3" s="1055"/>
      <c r="IWE3" s="1055"/>
      <c r="IWF3" s="1055"/>
      <c r="IWG3" s="1055"/>
      <c r="IWH3" s="1055"/>
      <c r="IWI3" s="1055"/>
      <c r="IWJ3" s="1055"/>
      <c r="IWK3" s="1055"/>
      <c r="IWL3" s="1055"/>
      <c r="IWM3" s="1055"/>
      <c r="IWN3" s="1055"/>
      <c r="IWO3" s="1055"/>
      <c r="IWP3" s="1055"/>
      <c r="IWQ3" s="1055"/>
      <c r="IWR3" s="1055"/>
      <c r="IWS3" s="1055"/>
      <c r="IWT3" s="1055"/>
      <c r="IWU3" s="1055"/>
      <c r="IWV3" s="1055"/>
      <c r="IWW3" s="1055"/>
      <c r="IWX3" s="1055"/>
      <c r="IWY3" s="1055"/>
      <c r="IWZ3" s="1055"/>
      <c r="IXA3" s="1055"/>
      <c r="IXB3" s="1055"/>
      <c r="IXC3" s="1055"/>
      <c r="IXD3" s="1055"/>
      <c r="IXE3" s="1055"/>
      <c r="IXF3" s="1055"/>
      <c r="IXG3" s="1055"/>
      <c r="IXH3" s="1055"/>
      <c r="IXI3" s="1055"/>
      <c r="IXJ3" s="1055"/>
      <c r="IXK3" s="1055"/>
      <c r="IXL3" s="1055"/>
      <c r="IXM3" s="1055"/>
      <c r="IXN3" s="1055"/>
      <c r="IXO3" s="1055"/>
      <c r="IXP3" s="1055"/>
      <c r="IXQ3" s="1055"/>
      <c r="IXR3" s="1055"/>
      <c r="IXS3" s="1055"/>
      <c r="IXT3" s="1055"/>
      <c r="IXU3" s="1055"/>
      <c r="IXV3" s="1055"/>
      <c r="IXW3" s="1055"/>
      <c r="IXX3" s="1055"/>
      <c r="IXY3" s="1055"/>
      <c r="IXZ3" s="1055"/>
      <c r="IYA3" s="1055"/>
      <c r="IYB3" s="1055"/>
      <c r="IYC3" s="1055"/>
      <c r="IYD3" s="1055"/>
      <c r="IYE3" s="1055"/>
      <c r="IYF3" s="1055"/>
      <c r="IYG3" s="1055"/>
      <c r="IYH3" s="1055"/>
      <c r="IYI3" s="1055"/>
      <c r="IYJ3" s="1055"/>
      <c r="IYK3" s="1055"/>
      <c r="IYL3" s="1055"/>
      <c r="IYM3" s="1055"/>
      <c r="IYN3" s="1055"/>
      <c r="IYO3" s="1055"/>
      <c r="IYP3" s="1055"/>
      <c r="IYQ3" s="1055"/>
      <c r="IYR3" s="1055"/>
      <c r="IYS3" s="1055"/>
      <c r="IYT3" s="1055"/>
      <c r="IYU3" s="1055"/>
      <c r="IYV3" s="1055"/>
      <c r="IYW3" s="1055"/>
      <c r="IYX3" s="1055"/>
      <c r="IYY3" s="1055"/>
      <c r="IYZ3" s="1055"/>
      <c r="IZA3" s="1055"/>
      <c r="IZB3" s="1055"/>
      <c r="IZC3" s="1055"/>
      <c r="IZD3" s="1055"/>
      <c r="IZE3" s="1055"/>
      <c r="IZF3" s="1055"/>
      <c r="IZG3" s="1055"/>
      <c r="IZH3" s="1055"/>
      <c r="IZI3" s="1055"/>
      <c r="IZJ3" s="1055"/>
      <c r="IZK3" s="1055"/>
      <c r="IZL3" s="1055"/>
      <c r="IZM3" s="1055"/>
      <c r="IZN3" s="1055"/>
      <c r="IZO3" s="1055"/>
      <c r="IZP3" s="1055"/>
      <c r="IZQ3" s="1055"/>
      <c r="IZR3" s="1055"/>
      <c r="IZS3" s="1055"/>
      <c r="IZT3" s="1055"/>
      <c r="IZU3" s="1055"/>
      <c r="IZV3" s="1055"/>
      <c r="IZW3" s="1055"/>
      <c r="IZX3" s="1055"/>
      <c r="IZY3" s="1055"/>
      <c r="IZZ3" s="1055"/>
      <c r="JAA3" s="1055"/>
      <c r="JAB3" s="1055"/>
      <c r="JAC3" s="1055"/>
      <c r="JAD3" s="1055"/>
      <c r="JAE3" s="1055"/>
      <c r="JAF3" s="1055"/>
      <c r="JAG3" s="1055"/>
      <c r="JAH3" s="1055"/>
      <c r="JAI3" s="1055"/>
      <c r="JAJ3" s="1055"/>
      <c r="JAK3" s="1055"/>
      <c r="JAL3" s="1055"/>
      <c r="JAM3" s="1055"/>
      <c r="JAN3" s="1055"/>
      <c r="JAO3" s="1055"/>
      <c r="JAP3" s="1055"/>
      <c r="JAQ3" s="1055"/>
      <c r="JAR3" s="1055"/>
      <c r="JAS3" s="1055"/>
      <c r="JAT3" s="1055"/>
      <c r="JAU3" s="1055"/>
      <c r="JAV3" s="1055"/>
      <c r="JAW3" s="1055"/>
      <c r="JAX3" s="1055"/>
      <c r="JAY3" s="1055"/>
      <c r="JAZ3" s="1055"/>
      <c r="JBA3" s="1055"/>
      <c r="JBB3" s="1055"/>
      <c r="JBC3" s="1055"/>
      <c r="JBD3" s="1055"/>
      <c r="JBE3" s="1055"/>
      <c r="JBF3" s="1055"/>
      <c r="JBG3" s="1055"/>
      <c r="JBH3" s="1055"/>
      <c r="JBI3" s="1055"/>
      <c r="JBJ3" s="1055"/>
      <c r="JBK3" s="1055"/>
      <c r="JBL3" s="1055"/>
      <c r="JBM3" s="1055"/>
      <c r="JBN3" s="1055"/>
      <c r="JBO3" s="1055"/>
      <c r="JBP3" s="1055"/>
      <c r="JBQ3" s="1055"/>
      <c r="JBR3" s="1055"/>
      <c r="JBS3" s="1055"/>
      <c r="JBT3" s="1055"/>
      <c r="JBU3" s="1055"/>
      <c r="JBV3" s="1055"/>
      <c r="JBW3" s="1055"/>
      <c r="JBX3" s="1055"/>
      <c r="JBY3" s="1055"/>
      <c r="JBZ3" s="1055"/>
      <c r="JCA3" s="1055"/>
      <c r="JCB3" s="1055"/>
      <c r="JCC3" s="1055"/>
      <c r="JCD3" s="1055"/>
      <c r="JCE3" s="1055"/>
      <c r="JCF3" s="1055"/>
      <c r="JCG3" s="1055"/>
      <c r="JCH3" s="1055"/>
      <c r="JCI3" s="1055"/>
      <c r="JCJ3" s="1055"/>
      <c r="JCK3" s="1055"/>
      <c r="JCL3" s="1055"/>
      <c r="JCM3" s="1055"/>
      <c r="JCN3" s="1055"/>
      <c r="JCO3" s="1055"/>
      <c r="JCP3" s="1055"/>
      <c r="JCQ3" s="1055"/>
      <c r="JCR3" s="1055"/>
      <c r="JCS3" s="1055"/>
      <c r="JCT3" s="1055"/>
      <c r="JCU3" s="1055"/>
      <c r="JCV3" s="1055"/>
      <c r="JCW3" s="1055"/>
      <c r="JCX3" s="1055"/>
      <c r="JCY3" s="1055"/>
      <c r="JCZ3" s="1055"/>
      <c r="JDA3" s="1055"/>
      <c r="JDB3" s="1055"/>
      <c r="JDC3" s="1055"/>
      <c r="JDD3" s="1055"/>
      <c r="JDE3" s="1055"/>
      <c r="JDF3" s="1055"/>
      <c r="JDG3" s="1055"/>
      <c r="JDH3" s="1055"/>
      <c r="JDI3" s="1055"/>
      <c r="JDJ3" s="1055"/>
      <c r="JDK3" s="1055"/>
      <c r="JDL3" s="1055"/>
      <c r="JDM3" s="1055"/>
      <c r="JDN3" s="1055"/>
      <c r="JDO3" s="1055"/>
      <c r="JDP3" s="1055"/>
      <c r="JDQ3" s="1055"/>
      <c r="JDR3" s="1055"/>
      <c r="JDS3" s="1055"/>
      <c r="JDT3" s="1055"/>
      <c r="JDU3" s="1055"/>
      <c r="JDV3" s="1055"/>
      <c r="JDW3" s="1055"/>
      <c r="JDX3" s="1055"/>
      <c r="JDY3" s="1055"/>
      <c r="JDZ3" s="1055"/>
      <c r="JEA3" s="1055"/>
      <c r="JEB3" s="1055"/>
      <c r="JEC3" s="1055"/>
      <c r="JED3" s="1055"/>
      <c r="JEE3" s="1055"/>
      <c r="JEF3" s="1055"/>
      <c r="JEG3" s="1055"/>
      <c r="JEH3" s="1055"/>
      <c r="JEI3" s="1055"/>
      <c r="JEJ3" s="1055"/>
      <c r="JEK3" s="1055"/>
      <c r="JEL3" s="1055"/>
      <c r="JEM3" s="1055"/>
      <c r="JEN3" s="1055"/>
      <c r="JEO3" s="1055"/>
      <c r="JEP3" s="1055"/>
      <c r="JEQ3" s="1055"/>
      <c r="JER3" s="1055"/>
      <c r="JES3" s="1055"/>
      <c r="JET3" s="1055"/>
      <c r="JEU3" s="1055"/>
      <c r="JEV3" s="1055"/>
      <c r="JEW3" s="1055"/>
      <c r="JEX3" s="1055"/>
      <c r="JEY3" s="1055"/>
      <c r="JEZ3" s="1055"/>
      <c r="JFA3" s="1055"/>
      <c r="JFB3" s="1055"/>
      <c r="JFC3" s="1055"/>
      <c r="JFD3" s="1055"/>
      <c r="JFE3" s="1055"/>
      <c r="JFF3" s="1055"/>
      <c r="JFG3" s="1055"/>
      <c r="JFH3" s="1055"/>
      <c r="JFI3" s="1055"/>
      <c r="JFJ3" s="1055"/>
      <c r="JFK3" s="1055"/>
      <c r="JFL3" s="1055"/>
      <c r="JFM3" s="1055"/>
      <c r="JFN3" s="1055"/>
      <c r="JFO3" s="1055"/>
      <c r="JFP3" s="1055"/>
      <c r="JFQ3" s="1055"/>
      <c r="JFR3" s="1055"/>
      <c r="JFS3" s="1055"/>
      <c r="JFT3" s="1055"/>
      <c r="JFU3" s="1055"/>
      <c r="JFV3" s="1055"/>
      <c r="JFW3" s="1055"/>
      <c r="JFX3" s="1055"/>
      <c r="JFY3" s="1055"/>
      <c r="JFZ3" s="1055"/>
      <c r="JGA3" s="1055"/>
      <c r="JGB3" s="1055"/>
      <c r="JGC3" s="1055"/>
      <c r="JGD3" s="1055"/>
      <c r="JGE3" s="1055"/>
      <c r="JGF3" s="1055"/>
      <c r="JGG3" s="1055"/>
      <c r="JGH3" s="1055"/>
      <c r="JGI3" s="1055"/>
      <c r="JGJ3" s="1055"/>
      <c r="JGK3" s="1055"/>
      <c r="JGL3" s="1055"/>
      <c r="JGM3" s="1055"/>
      <c r="JGN3" s="1055"/>
      <c r="JGO3" s="1055"/>
      <c r="JGP3" s="1055"/>
      <c r="JGQ3" s="1055"/>
      <c r="JGR3" s="1055"/>
      <c r="JGS3" s="1055"/>
      <c r="JGT3" s="1055"/>
      <c r="JGU3" s="1055"/>
      <c r="JGV3" s="1055"/>
      <c r="JGW3" s="1055"/>
      <c r="JGX3" s="1055"/>
      <c r="JGY3" s="1055"/>
      <c r="JGZ3" s="1055"/>
      <c r="JHA3" s="1055"/>
      <c r="JHB3" s="1055"/>
      <c r="JHC3" s="1055"/>
      <c r="JHD3" s="1055"/>
      <c r="JHE3" s="1055"/>
      <c r="JHF3" s="1055"/>
      <c r="JHG3" s="1055"/>
      <c r="JHH3" s="1055"/>
      <c r="JHI3" s="1055"/>
      <c r="JHJ3" s="1055"/>
      <c r="JHK3" s="1055"/>
      <c r="JHL3" s="1055"/>
      <c r="JHM3" s="1055"/>
      <c r="JHN3" s="1055"/>
      <c r="JHO3" s="1055"/>
      <c r="JHP3" s="1055"/>
      <c r="JHQ3" s="1055"/>
      <c r="JHR3" s="1055"/>
      <c r="JHS3" s="1055"/>
      <c r="JHT3" s="1055"/>
      <c r="JHU3" s="1055"/>
      <c r="JHV3" s="1055"/>
      <c r="JHW3" s="1055"/>
      <c r="JHX3" s="1055"/>
      <c r="JHY3" s="1055"/>
      <c r="JHZ3" s="1055"/>
      <c r="JIA3" s="1055"/>
      <c r="JIB3" s="1055"/>
      <c r="JIC3" s="1055"/>
      <c r="JID3" s="1055"/>
      <c r="JIE3" s="1055"/>
      <c r="JIF3" s="1055"/>
      <c r="JIG3" s="1055"/>
      <c r="JIH3" s="1055"/>
      <c r="JII3" s="1055"/>
      <c r="JIJ3" s="1055"/>
      <c r="JIK3" s="1055"/>
      <c r="JIL3" s="1055"/>
      <c r="JIM3" s="1055"/>
      <c r="JIN3" s="1055"/>
      <c r="JIO3" s="1055"/>
      <c r="JIP3" s="1055"/>
      <c r="JIQ3" s="1055"/>
      <c r="JIR3" s="1055"/>
      <c r="JIS3" s="1055"/>
      <c r="JIT3" s="1055"/>
      <c r="JIU3" s="1055"/>
      <c r="JIV3" s="1055"/>
      <c r="JIW3" s="1055"/>
      <c r="JIX3" s="1055"/>
      <c r="JIY3" s="1055"/>
      <c r="JIZ3" s="1055"/>
      <c r="JJA3" s="1055"/>
      <c r="JJB3" s="1055"/>
      <c r="JJC3" s="1055"/>
      <c r="JJD3" s="1055"/>
      <c r="JJE3" s="1055"/>
      <c r="JJF3" s="1055"/>
      <c r="JJG3" s="1055"/>
      <c r="JJH3" s="1055"/>
      <c r="JJI3" s="1055"/>
      <c r="JJJ3" s="1055"/>
      <c r="JJK3" s="1055"/>
      <c r="JJL3" s="1055"/>
      <c r="JJM3" s="1055"/>
      <c r="JJN3" s="1055"/>
      <c r="JJO3" s="1055"/>
      <c r="JJP3" s="1055"/>
      <c r="JJQ3" s="1055"/>
      <c r="JJR3" s="1055"/>
      <c r="JJS3" s="1055"/>
      <c r="JJT3" s="1055"/>
      <c r="JJU3" s="1055"/>
      <c r="JJV3" s="1055"/>
      <c r="JJW3" s="1055"/>
      <c r="JJX3" s="1055"/>
      <c r="JJY3" s="1055"/>
      <c r="JJZ3" s="1055"/>
      <c r="JKA3" s="1055"/>
      <c r="JKB3" s="1055"/>
      <c r="JKC3" s="1055"/>
      <c r="JKD3" s="1055"/>
      <c r="JKE3" s="1055"/>
      <c r="JKF3" s="1055"/>
      <c r="JKG3" s="1055"/>
      <c r="JKH3" s="1055"/>
      <c r="JKI3" s="1055"/>
      <c r="JKJ3" s="1055"/>
      <c r="JKK3" s="1055"/>
      <c r="JKL3" s="1055"/>
      <c r="JKM3" s="1055"/>
      <c r="JKN3" s="1055"/>
      <c r="JKO3" s="1055"/>
      <c r="JKP3" s="1055"/>
      <c r="JKQ3" s="1055"/>
      <c r="JKR3" s="1055"/>
      <c r="JKS3" s="1055"/>
      <c r="JKT3" s="1055"/>
      <c r="JKU3" s="1055"/>
      <c r="JKV3" s="1055"/>
      <c r="JKW3" s="1055"/>
      <c r="JKX3" s="1055"/>
      <c r="JKY3" s="1055"/>
      <c r="JKZ3" s="1055"/>
      <c r="JLA3" s="1055"/>
      <c r="JLB3" s="1055"/>
      <c r="JLC3" s="1055"/>
      <c r="JLD3" s="1055"/>
      <c r="JLE3" s="1055"/>
      <c r="JLF3" s="1055"/>
      <c r="JLG3" s="1055"/>
      <c r="JLH3" s="1055"/>
      <c r="JLI3" s="1055"/>
      <c r="JLJ3" s="1055"/>
      <c r="JLK3" s="1055"/>
      <c r="JLL3" s="1055"/>
      <c r="JLM3" s="1055"/>
      <c r="JLN3" s="1055"/>
      <c r="JLO3" s="1055"/>
      <c r="JLP3" s="1055"/>
      <c r="JLQ3" s="1055"/>
      <c r="JLR3" s="1055"/>
      <c r="JLS3" s="1055"/>
      <c r="JLT3" s="1055"/>
      <c r="JLU3" s="1055"/>
      <c r="JLV3" s="1055"/>
      <c r="JLW3" s="1055"/>
      <c r="JLX3" s="1055"/>
      <c r="JLY3" s="1055"/>
      <c r="JLZ3" s="1055"/>
      <c r="JMA3" s="1055"/>
      <c r="JMB3" s="1055"/>
      <c r="JMC3" s="1055"/>
      <c r="JMD3" s="1055"/>
      <c r="JME3" s="1055"/>
      <c r="JMF3" s="1055"/>
      <c r="JMG3" s="1055"/>
      <c r="JMH3" s="1055"/>
      <c r="JMI3" s="1055"/>
      <c r="JMJ3" s="1055"/>
      <c r="JMK3" s="1055"/>
      <c r="JML3" s="1055"/>
      <c r="JMM3" s="1055"/>
      <c r="JMN3" s="1055"/>
      <c r="JMO3" s="1055"/>
      <c r="JMP3" s="1055"/>
      <c r="JMQ3" s="1055"/>
      <c r="JMR3" s="1055"/>
      <c r="JMS3" s="1055"/>
      <c r="JMT3" s="1055"/>
      <c r="JMU3" s="1055"/>
      <c r="JMV3" s="1055"/>
      <c r="JMW3" s="1055"/>
      <c r="JMX3" s="1055"/>
      <c r="JMY3" s="1055"/>
      <c r="JMZ3" s="1055"/>
      <c r="JNA3" s="1055"/>
      <c r="JNB3" s="1055"/>
      <c r="JNC3" s="1055"/>
      <c r="JND3" s="1055"/>
      <c r="JNE3" s="1055"/>
      <c r="JNF3" s="1055"/>
      <c r="JNG3" s="1055"/>
      <c r="JNH3" s="1055"/>
      <c r="JNI3" s="1055"/>
      <c r="JNJ3" s="1055"/>
      <c r="JNK3" s="1055"/>
      <c r="JNL3" s="1055"/>
      <c r="JNM3" s="1055"/>
      <c r="JNN3" s="1055"/>
      <c r="JNO3" s="1055"/>
      <c r="JNP3" s="1055"/>
      <c r="JNQ3" s="1055"/>
      <c r="JNR3" s="1055"/>
      <c r="JNS3" s="1055"/>
      <c r="JNT3" s="1055"/>
      <c r="JNU3" s="1055"/>
      <c r="JNV3" s="1055"/>
      <c r="JNW3" s="1055"/>
      <c r="JNX3" s="1055"/>
      <c r="JNY3" s="1055"/>
      <c r="JNZ3" s="1055"/>
      <c r="JOA3" s="1055"/>
      <c r="JOB3" s="1055"/>
      <c r="JOC3" s="1055"/>
      <c r="JOD3" s="1055"/>
      <c r="JOE3" s="1055"/>
      <c r="JOF3" s="1055"/>
      <c r="JOG3" s="1055"/>
      <c r="JOH3" s="1055"/>
      <c r="JOI3" s="1055"/>
      <c r="JOJ3" s="1055"/>
      <c r="JOK3" s="1055"/>
      <c r="JOL3" s="1055"/>
      <c r="JOM3" s="1055"/>
      <c r="JON3" s="1055"/>
      <c r="JOO3" s="1055"/>
      <c r="JOP3" s="1055"/>
      <c r="JOQ3" s="1055"/>
      <c r="JOR3" s="1055"/>
      <c r="JOS3" s="1055"/>
      <c r="JOT3" s="1055"/>
      <c r="JOU3" s="1055"/>
      <c r="JOV3" s="1055"/>
      <c r="JOW3" s="1055"/>
      <c r="JOX3" s="1055"/>
      <c r="JOY3" s="1055"/>
      <c r="JOZ3" s="1055"/>
      <c r="JPA3" s="1055"/>
      <c r="JPB3" s="1055"/>
      <c r="JPC3" s="1055"/>
      <c r="JPD3" s="1055"/>
      <c r="JPE3" s="1055"/>
      <c r="JPF3" s="1055"/>
      <c r="JPG3" s="1055"/>
      <c r="JPH3" s="1055"/>
      <c r="JPI3" s="1055"/>
      <c r="JPJ3" s="1055"/>
      <c r="JPK3" s="1055"/>
      <c r="JPL3" s="1055"/>
      <c r="JPM3" s="1055"/>
      <c r="JPN3" s="1055"/>
      <c r="JPO3" s="1055"/>
      <c r="JPP3" s="1055"/>
      <c r="JPQ3" s="1055"/>
      <c r="JPR3" s="1055"/>
      <c r="JPS3" s="1055"/>
      <c r="JPT3" s="1055"/>
      <c r="JPU3" s="1055"/>
      <c r="JPV3" s="1055"/>
      <c r="JPW3" s="1055"/>
      <c r="JPX3" s="1055"/>
      <c r="JPY3" s="1055"/>
      <c r="JPZ3" s="1055"/>
      <c r="JQA3" s="1055"/>
      <c r="JQB3" s="1055"/>
      <c r="JQC3" s="1055"/>
      <c r="JQD3" s="1055"/>
      <c r="JQE3" s="1055"/>
      <c r="JQF3" s="1055"/>
      <c r="JQG3" s="1055"/>
      <c r="JQH3" s="1055"/>
      <c r="JQI3" s="1055"/>
      <c r="JQJ3" s="1055"/>
      <c r="JQK3" s="1055"/>
      <c r="JQL3" s="1055"/>
      <c r="JQM3" s="1055"/>
      <c r="JQN3" s="1055"/>
      <c r="JQO3" s="1055"/>
      <c r="JQP3" s="1055"/>
      <c r="JQQ3" s="1055"/>
      <c r="JQR3" s="1055"/>
      <c r="JQS3" s="1055"/>
      <c r="JQT3" s="1055"/>
      <c r="JQU3" s="1055"/>
      <c r="JQV3" s="1055"/>
      <c r="JQW3" s="1055"/>
      <c r="JQX3" s="1055"/>
      <c r="JQY3" s="1055"/>
      <c r="JQZ3" s="1055"/>
      <c r="JRA3" s="1055"/>
      <c r="JRB3" s="1055"/>
      <c r="JRC3" s="1055"/>
      <c r="JRD3" s="1055"/>
      <c r="JRE3" s="1055"/>
      <c r="JRF3" s="1055"/>
      <c r="JRG3" s="1055"/>
      <c r="JRH3" s="1055"/>
      <c r="JRI3" s="1055"/>
      <c r="JRJ3" s="1055"/>
      <c r="JRK3" s="1055"/>
      <c r="JRL3" s="1055"/>
      <c r="JRM3" s="1055"/>
      <c r="JRN3" s="1055"/>
      <c r="JRO3" s="1055"/>
      <c r="JRP3" s="1055"/>
      <c r="JRQ3" s="1055"/>
      <c r="JRR3" s="1055"/>
      <c r="JRS3" s="1055"/>
      <c r="JRT3" s="1055"/>
      <c r="JRU3" s="1055"/>
      <c r="JRV3" s="1055"/>
      <c r="JRW3" s="1055"/>
      <c r="JRX3" s="1055"/>
      <c r="JRY3" s="1055"/>
      <c r="JRZ3" s="1055"/>
      <c r="JSA3" s="1055"/>
      <c r="JSB3" s="1055"/>
      <c r="JSC3" s="1055"/>
      <c r="JSD3" s="1055"/>
      <c r="JSE3" s="1055"/>
      <c r="JSF3" s="1055"/>
      <c r="JSG3" s="1055"/>
      <c r="JSH3" s="1055"/>
      <c r="JSI3" s="1055"/>
      <c r="JSJ3" s="1055"/>
      <c r="JSK3" s="1055"/>
      <c r="JSL3" s="1055"/>
      <c r="JSM3" s="1055"/>
      <c r="JSN3" s="1055"/>
      <c r="JSO3" s="1055"/>
      <c r="JSP3" s="1055"/>
      <c r="JSQ3" s="1055"/>
      <c r="JSR3" s="1055"/>
      <c r="JSS3" s="1055"/>
      <c r="JST3" s="1055"/>
      <c r="JSU3" s="1055"/>
      <c r="JSV3" s="1055"/>
      <c r="JSW3" s="1055"/>
      <c r="JSX3" s="1055"/>
      <c r="JSY3" s="1055"/>
      <c r="JSZ3" s="1055"/>
      <c r="JTA3" s="1055"/>
      <c r="JTB3" s="1055"/>
      <c r="JTC3" s="1055"/>
      <c r="JTD3" s="1055"/>
      <c r="JTE3" s="1055"/>
      <c r="JTF3" s="1055"/>
      <c r="JTG3" s="1055"/>
      <c r="JTH3" s="1055"/>
      <c r="JTI3" s="1055"/>
      <c r="JTJ3" s="1055"/>
      <c r="JTK3" s="1055"/>
      <c r="JTL3" s="1055"/>
      <c r="JTM3" s="1055"/>
      <c r="JTN3" s="1055"/>
      <c r="JTO3" s="1055"/>
      <c r="JTP3" s="1055"/>
      <c r="JTQ3" s="1055"/>
      <c r="JTR3" s="1055"/>
      <c r="JTS3" s="1055"/>
      <c r="JTT3" s="1055"/>
      <c r="JTU3" s="1055"/>
      <c r="JTV3" s="1055"/>
      <c r="JTW3" s="1055"/>
      <c r="JTX3" s="1055"/>
      <c r="JTY3" s="1055"/>
      <c r="JTZ3" s="1055"/>
      <c r="JUA3" s="1055"/>
      <c r="JUB3" s="1055"/>
      <c r="JUC3" s="1055"/>
      <c r="JUD3" s="1055"/>
      <c r="JUE3" s="1055"/>
      <c r="JUF3" s="1055"/>
      <c r="JUG3" s="1055"/>
      <c r="JUH3" s="1055"/>
      <c r="JUI3" s="1055"/>
      <c r="JUJ3" s="1055"/>
      <c r="JUK3" s="1055"/>
      <c r="JUL3" s="1055"/>
      <c r="JUM3" s="1055"/>
      <c r="JUN3" s="1055"/>
      <c r="JUO3" s="1055"/>
      <c r="JUP3" s="1055"/>
      <c r="JUQ3" s="1055"/>
      <c r="JUR3" s="1055"/>
      <c r="JUS3" s="1055"/>
      <c r="JUT3" s="1055"/>
      <c r="JUU3" s="1055"/>
      <c r="JUV3" s="1055"/>
      <c r="JUW3" s="1055"/>
      <c r="JUX3" s="1055"/>
      <c r="JUY3" s="1055"/>
      <c r="JUZ3" s="1055"/>
      <c r="JVA3" s="1055"/>
      <c r="JVB3" s="1055"/>
      <c r="JVC3" s="1055"/>
      <c r="JVD3" s="1055"/>
      <c r="JVE3" s="1055"/>
      <c r="JVF3" s="1055"/>
      <c r="JVG3" s="1055"/>
      <c r="JVH3" s="1055"/>
      <c r="JVI3" s="1055"/>
      <c r="JVJ3" s="1055"/>
      <c r="JVK3" s="1055"/>
      <c r="JVL3" s="1055"/>
      <c r="JVM3" s="1055"/>
      <c r="JVN3" s="1055"/>
      <c r="JVO3" s="1055"/>
      <c r="JVP3" s="1055"/>
      <c r="JVQ3" s="1055"/>
      <c r="JVR3" s="1055"/>
      <c r="JVS3" s="1055"/>
      <c r="JVT3" s="1055"/>
      <c r="JVU3" s="1055"/>
      <c r="JVV3" s="1055"/>
      <c r="JVW3" s="1055"/>
      <c r="JVX3" s="1055"/>
      <c r="JVY3" s="1055"/>
      <c r="JVZ3" s="1055"/>
      <c r="JWA3" s="1055"/>
      <c r="JWB3" s="1055"/>
      <c r="JWC3" s="1055"/>
      <c r="JWD3" s="1055"/>
      <c r="JWE3" s="1055"/>
      <c r="JWF3" s="1055"/>
      <c r="JWG3" s="1055"/>
      <c r="JWH3" s="1055"/>
      <c r="JWI3" s="1055"/>
      <c r="JWJ3" s="1055"/>
      <c r="JWK3" s="1055"/>
      <c r="JWL3" s="1055"/>
      <c r="JWM3" s="1055"/>
      <c r="JWN3" s="1055"/>
      <c r="JWO3" s="1055"/>
      <c r="JWP3" s="1055"/>
      <c r="JWQ3" s="1055"/>
      <c r="JWR3" s="1055"/>
      <c r="JWS3" s="1055"/>
      <c r="JWT3" s="1055"/>
      <c r="JWU3" s="1055"/>
      <c r="JWV3" s="1055"/>
      <c r="JWW3" s="1055"/>
      <c r="JWX3" s="1055"/>
      <c r="JWY3" s="1055"/>
      <c r="JWZ3" s="1055"/>
      <c r="JXA3" s="1055"/>
      <c r="JXB3" s="1055"/>
      <c r="JXC3" s="1055"/>
      <c r="JXD3" s="1055"/>
      <c r="JXE3" s="1055"/>
      <c r="JXF3" s="1055"/>
      <c r="JXG3" s="1055"/>
      <c r="JXH3" s="1055"/>
      <c r="JXI3" s="1055"/>
      <c r="JXJ3" s="1055"/>
      <c r="JXK3" s="1055"/>
      <c r="JXL3" s="1055"/>
      <c r="JXM3" s="1055"/>
      <c r="JXN3" s="1055"/>
      <c r="JXO3" s="1055"/>
      <c r="JXP3" s="1055"/>
      <c r="JXQ3" s="1055"/>
      <c r="JXR3" s="1055"/>
      <c r="JXS3" s="1055"/>
      <c r="JXT3" s="1055"/>
      <c r="JXU3" s="1055"/>
      <c r="JXV3" s="1055"/>
      <c r="JXW3" s="1055"/>
      <c r="JXX3" s="1055"/>
      <c r="JXY3" s="1055"/>
      <c r="JXZ3" s="1055"/>
      <c r="JYA3" s="1055"/>
      <c r="JYB3" s="1055"/>
      <c r="JYC3" s="1055"/>
      <c r="JYD3" s="1055"/>
      <c r="JYE3" s="1055"/>
      <c r="JYF3" s="1055"/>
      <c r="JYG3" s="1055"/>
      <c r="JYH3" s="1055"/>
      <c r="JYI3" s="1055"/>
      <c r="JYJ3" s="1055"/>
      <c r="JYK3" s="1055"/>
      <c r="JYL3" s="1055"/>
      <c r="JYM3" s="1055"/>
      <c r="JYN3" s="1055"/>
      <c r="JYO3" s="1055"/>
      <c r="JYP3" s="1055"/>
      <c r="JYQ3" s="1055"/>
      <c r="JYR3" s="1055"/>
      <c r="JYS3" s="1055"/>
      <c r="JYT3" s="1055"/>
      <c r="JYU3" s="1055"/>
      <c r="JYV3" s="1055"/>
      <c r="JYW3" s="1055"/>
      <c r="JYX3" s="1055"/>
      <c r="JYY3" s="1055"/>
      <c r="JYZ3" s="1055"/>
      <c r="JZA3" s="1055"/>
      <c r="JZB3" s="1055"/>
      <c r="JZC3" s="1055"/>
      <c r="JZD3" s="1055"/>
      <c r="JZE3" s="1055"/>
      <c r="JZF3" s="1055"/>
      <c r="JZG3" s="1055"/>
      <c r="JZH3" s="1055"/>
      <c r="JZI3" s="1055"/>
      <c r="JZJ3" s="1055"/>
      <c r="JZK3" s="1055"/>
      <c r="JZL3" s="1055"/>
      <c r="JZM3" s="1055"/>
      <c r="JZN3" s="1055"/>
      <c r="JZO3" s="1055"/>
      <c r="JZP3" s="1055"/>
      <c r="JZQ3" s="1055"/>
      <c r="JZR3" s="1055"/>
      <c r="JZS3" s="1055"/>
      <c r="JZT3" s="1055"/>
      <c r="JZU3" s="1055"/>
      <c r="JZV3" s="1055"/>
      <c r="JZW3" s="1055"/>
      <c r="JZX3" s="1055"/>
      <c r="JZY3" s="1055"/>
      <c r="JZZ3" s="1055"/>
      <c r="KAA3" s="1055"/>
      <c r="KAB3" s="1055"/>
      <c r="KAC3" s="1055"/>
      <c r="KAD3" s="1055"/>
      <c r="KAE3" s="1055"/>
      <c r="KAF3" s="1055"/>
      <c r="KAG3" s="1055"/>
      <c r="KAH3" s="1055"/>
      <c r="KAI3" s="1055"/>
      <c r="KAJ3" s="1055"/>
      <c r="KAK3" s="1055"/>
      <c r="KAL3" s="1055"/>
      <c r="KAM3" s="1055"/>
      <c r="KAN3" s="1055"/>
      <c r="KAO3" s="1055"/>
      <c r="KAP3" s="1055"/>
      <c r="KAQ3" s="1055"/>
      <c r="KAR3" s="1055"/>
      <c r="KAS3" s="1055"/>
      <c r="KAT3" s="1055"/>
      <c r="KAU3" s="1055"/>
      <c r="KAV3" s="1055"/>
      <c r="KAW3" s="1055"/>
      <c r="KAX3" s="1055"/>
      <c r="KAY3" s="1055"/>
      <c r="KAZ3" s="1055"/>
      <c r="KBA3" s="1055"/>
      <c r="KBB3" s="1055"/>
      <c r="KBC3" s="1055"/>
      <c r="KBD3" s="1055"/>
      <c r="KBE3" s="1055"/>
      <c r="KBF3" s="1055"/>
      <c r="KBG3" s="1055"/>
      <c r="KBH3" s="1055"/>
      <c r="KBI3" s="1055"/>
      <c r="KBJ3" s="1055"/>
      <c r="KBK3" s="1055"/>
      <c r="KBL3" s="1055"/>
      <c r="KBM3" s="1055"/>
      <c r="KBN3" s="1055"/>
      <c r="KBO3" s="1055"/>
      <c r="KBP3" s="1055"/>
      <c r="KBQ3" s="1055"/>
      <c r="KBR3" s="1055"/>
      <c r="KBS3" s="1055"/>
      <c r="KBT3" s="1055"/>
      <c r="KBU3" s="1055"/>
      <c r="KBV3" s="1055"/>
      <c r="KBW3" s="1055"/>
      <c r="KBX3" s="1055"/>
      <c r="KBY3" s="1055"/>
      <c r="KBZ3" s="1055"/>
      <c r="KCA3" s="1055"/>
      <c r="KCB3" s="1055"/>
      <c r="KCC3" s="1055"/>
      <c r="KCD3" s="1055"/>
      <c r="KCE3" s="1055"/>
      <c r="KCF3" s="1055"/>
      <c r="KCG3" s="1055"/>
      <c r="KCH3" s="1055"/>
      <c r="KCI3" s="1055"/>
      <c r="KCJ3" s="1055"/>
      <c r="KCK3" s="1055"/>
      <c r="KCL3" s="1055"/>
      <c r="KCM3" s="1055"/>
      <c r="KCN3" s="1055"/>
      <c r="KCO3" s="1055"/>
      <c r="KCP3" s="1055"/>
      <c r="KCQ3" s="1055"/>
      <c r="KCR3" s="1055"/>
      <c r="KCS3" s="1055"/>
      <c r="KCT3" s="1055"/>
      <c r="KCU3" s="1055"/>
      <c r="KCV3" s="1055"/>
      <c r="KCW3" s="1055"/>
      <c r="KCX3" s="1055"/>
      <c r="KCY3" s="1055"/>
      <c r="KCZ3" s="1055"/>
      <c r="KDA3" s="1055"/>
      <c r="KDB3" s="1055"/>
      <c r="KDC3" s="1055"/>
      <c r="KDD3" s="1055"/>
      <c r="KDE3" s="1055"/>
      <c r="KDF3" s="1055"/>
      <c r="KDG3" s="1055"/>
      <c r="KDH3" s="1055"/>
      <c r="KDI3" s="1055"/>
      <c r="KDJ3" s="1055"/>
      <c r="KDK3" s="1055"/>
      <c r="KDL3" s="1055"/>
      <c r="KDM3" s="1055"/>
      <c r="KDN3" s="1055"/>
      <c r="KDO3" s="1055"/>
      <c r="KDP3" s="1055"/>
      <c r="KDQ3" s="1055"/>
      <c r="KDR3" s="1055"/>
      <c r="KDS3" s="1055"/>
      <c r="KDT3" s="1055"/>
      <c r="KDU3" s="1055"/>
      <c r="KDV3" s="1055"/>
      <c r="KDW3" s="1055"/>
      <c r="KDX3" s="1055"/>
      <c r="KDY3" s="1055"/>
      <c r="KDZ3" s="1055"/>
      <c r="KEA3" s="1055"/>
      <c r="KEB3" s="1055"/>
      <c r="KEC3" s="1055"/>
      <c r="KED3" s="1055"/>
      <c r="KEE3" s="1055"/>
      <c r="KEF3" s="1055"/>
      <c r="KEG3" s="1055"/>
      <c r="KEH3" s="1055"/>
      <c r="KEI3" s="1055"/>
      <c r="KEJ3" s="1055"/>
      <c r="KEK3" s="1055"/>
      <c r="KEL3" s="1055"/>
      <c r="KEM3" s="1055"/>
      <c r="KEN3" s="1055"/>
      <c r="KEO3" s="1055"/>
      <c r="KEP3" s="1055"/>
      <c r="KEQ3" s="1055"/>
      <c r="KER3" s="1055"/>
      <c r="KES3" s="1055"/>
      <c r="KET3" s="1055"/>
      <c r="KEU3" s="1055"/>
      <c r="KEV3" s="1055"/>
      <c r="KEW3" s="1055"/>
      <c r="KEX3" s="1055"/>
      <c r="KEY3" s="1055"/>
      <c r="KEZ3" s="1055"/>
      <c r="KFA3" s="1055"/>
      <c r="KFB3" s="1055"/>
      <c r="KFC3" s="1055"/>
      <c r="KFD3" s="1055"/>
      <c r="KFE3" s="1055"/>
      <c r="KFF3" s="1055"/>
      <c r="KFG3" s="1055"/>
      <c r="KFH3" s="1055"/>
      <c r="KFI3" s="1055"/>
      <c r="KFJ3" s="1055"/>
      <c r="KFK3" s="1055"/>
      <c r="KFL3" s="1055"/>
      <c r="KFM3" s="1055"/>
      <c r="KFN3" s="1055"/>
      <c r="KFO3" s="1055"/>
      <c r="KFP3" s="1055"/>
      <c r="KFQ3" s="1055"/>
      <c r="KFR3" s="1055"/>
      <c r="KFS3" s="1055"/>
      <c r="KFT3" s="1055"/>
      <c r="KFU3" s="1055"/>
      <c r="KFV3" s="1055"/>
      <c r="KFW3" s="1055"/>
      <c r="KFX3" s="1055"/>
      <c r="KFY3" s="1055"/>
      <c r="KFZ3" s="1055"/>
      <c r="KGA3" s="1055"/>
      <c r="KGB3" s="1055"/>
      <c r="KGC3" s="1055"/>
      <c r="KGD3" s="1055"/>
      <c r="KGE3" s="1055"/>
      <c r="KGF3" s="1055"/>
      <c r="KGG3" s="1055"/>
      <c r="KGH3" s="1055"/>
      <c r="KGI3" s="1055"/>
      <c r="KGJ3" s="1055"/>
      <c r="KGK3" s="1055"/>
      <c r="KGL3" s="1055"/>
      <c r="KGM3" s="1055"/>
      <c r="KGN3" s="1055"/>
      <c r="KGO3" s="1055"/>
      <c r="KGP3" s="1055"/>
      <c r="KGQ3" s="1055"/>
      <c r="KGR3" s="1055"/>
      <c r="KGS3" s="1055"/>
      <c r="KGT3" s="1055"/>
      <c r="KGU3" s="1055"/>
      <c r="KGV3" s="1055"/>
      <c r="KGW3" s="1055"/>
      <c r="KGX3" s="1055"/>
      <c r="KGY3" s="1055"/>
      <c r="KGZ3" s="1055"/>
      <c r="KHA3" s="1055"/>
      <c r="KHB3" s="1055"/>
      <c r="KHC3" s="1055"/>
      <c r="KHD3" s="1055"/>
      <c r="KHE3" s="1055"/>
      <c r="KHF3" s="1055"/>
      <c r="KHG3" s="1055"/>
      <c r="KHH3" s="1055"/>
      <c r="KHI3" s="1055"/>
      <c r="KHJ3" s="1055"/>
      <c r="KHK3" s="1055"/>
      <c r="KHL3" s="1055"/>
      <c r="KHM3" s="1055"/>
      <c r="KHN3" s="1055"/>
      <c r="KHO3" s="1055"/>
      <c r="KHP3" s="1055"/>
      <c r="KHQ3" s="1055"/>
      <c r="KHR3" s="1055"/>
      <c r="KHS3" s="1055"/>
      <c r="KHT3" s="1055"/>
      <c r="KHU3" s="1055"/>
      <c r="KHV3" s="1055"/>
      <c r="KHW3" s="1055"/>
      <c r="KHX3" s="1055"/>
      <c r="KHY3" s="1055"/>
      <c r="KHZ3" s="1055"/>
      <c r="KIA3" s="1055"/>
      <c r="KIB3" s="1055"/>
      <c r="KIC3" s="1055"/>
      <c r="KID3" s="1055"/>
      <c r="KIE3" s="1055"/>
      <c r="KIF3" s="1055"/>
      <c r="KIG3" s="1055"/>
      <c r="KIH3" s="1055"/>
      <c r="KII3" s="1055"/>
      <c r="KIJ3" s="1055"/>
      <c r="KIK3" s="1055"/>
      <c r="KIL3" s="1055"/>
      <c r="KIM3" s="1055"/>
      <c r="KIN3" s="1055"/>
      <c r="KIO3" s="1055"/>
      <c r="KIP3" s="1055"/>
      <c r="KIQ3" s="1055"/>
      <c r="KIR3" s="1055"/>
      <c r="KIS3" s="1055"/>
      <c r="KIT3" s="1055"/>
      <c r="KIU3" s="1055"/>
      <c r="KIV3" s="1055"/>
      <c r="KIW3" s="1055"/>
      <c r="KIX3" s="1055"/>
      <c r="KIY3" s="1055"/>
      <c r="KIZ3" s="1055"/>
      <c r="KJA3" s="1055"/>
      <c r="KJB3" s="1055"/>
      <c r="KJC3" s="1055"/>
      <c r="KJD3" s="1055"/>
      <c r="KJE3" s="1055"/>
      <c r="KJF3" s="1055"/>
      <c r="KJG3" s="1055"/>
      <c r="KJH3" s="1055"/>
      <c r="KJI3" s="1055"/>
      <c r="KJJ3" s="1055"/>
      <c r="KJK3" s="1055"/>
      <c r="KJL3" s="1055"/>
      <c r="KJM3" s="1055"/>
      <c r="KJN3" s="1055"/>
      <c r="KJO3" s="1055"/>
      <c r="KJP3" s="1055"/>
      <c r="KJQ3" s="1055"/>
      <c r="KJR3" s="1055"/>
      <c r="KJS3" s="1055"/>
      <c r="KJT3" s="1055"/>
      <c r="KJU3" s="1055"/>
      <c r="KJV3" s="1055"/>
      <c r="KJW3" s="1055"/>
      <c r="KJX3" s="1055"/>
      <c r="KJY3" s="1055"/>
      <c r="KJZ3" s="1055"/>
      <c r="KKA3" s="1055"/>
      <c r="KKB3" s="1055"/>
      <c r="KKC3" s="1055"/>
      <c r="KKD3" s="1055"/>
      <c r="KKE3" s="1055"/>
      <c r="KKF3" s="1055"/>
      <c r="KKG3" s="1055"/>
      <c r="KKH3" s="1055"/>
      <c r="KKI3" s="1055"/>
      <c r="KKJ3" s="1055"/>
      <c r="KKK3" s="1055"/>
      <c r="KKL3" s="1055"/>
      <c r="KKM3" s="1055"/>
      <c r="KKN3" s="1055"/>
      <c r="KKO3" s="1055"/>
      <c r="KKP3" s="1055"/>
      <c r="KKQ3" s="1055"/>
      <c r="KKR3" s="1055"/>
      <c r="KKS3" s="1055"/>
      <c r="KKT3" s="1055"/>
      <c r="KKU3" s="1055"/>
      <c r="KKV3" s="1055"/>
      <c r="KKW3" s="1055"/>
      <c r="KKX3" s="1055"/>
      <c r="KKY3" s="1055"/>
      <c r="KKZ3" s="1055"/>
      <c r="KLA3" s="1055"/>
      <c r="KLB3" s="1055"/>
      <c r="KLC3" s="1055"/>
      <c r="KLD3" s="1055"/>
      <c r="KLE3" s="1055"/>
      <c r="KLF3" s="1055"/>
      <c r="KLG3" s="1055"/>
      <c r="KLH3" s="1055"/>
      <c r="KLI3" s="1055"/>
      <c r="KLJ3" s="1055"/>
      <c r="KLK3" s="1055"/>
      <c r="KLL3" s="1055"/>
      <c r="KLM3" s="1055"/>
      <c r="KLN3" s="1055"/>
      <c r="KLO3" s="1055"/>
      <c r="KLP3" s="1055"/>
      <c r="KLQ3" s="1055"/>
      <c r="KLR3" s="1055"/>
      <c r="KLS3" s="1055"/>
      <c r="KLT3" s="1055"/>
      <c r="KLU3" s="1055"/>
      <c r="KLV3" s="1055"/>
      <c r="KLW3" s="1055"/>
      <c r="KLX3" s="1055"/>
      <c r="KLY3" s="1055"/>
      <c r="KLZ3" s="1055"/>
      <c r="KMA3" s="1055"/>
      <c r="KMB3" s="1055"/>
      <c r="KMC3" s="1055"/>
      <c r="KMD3" s="1055"/>
      <c r="KME3" s="1055"/>
      <c r="KMF3" s="1055"/>
      <c r="KMG3" s="1055"/>
      <c r="KMH3" s="1055"/>
      <c r="KMI3" s="1055"/>
      <c r="KMJ3" s="1055"/>
      <c r="KMK3" s="1055"/>
      <c r="KML3" s="1055"/>
      <c r="KMM3" s="1055"/>
      <c r="KMN3" s="1055"/>
      <c r="KMO3" s="1055"/>
      <c r="KMP3" s="1055"/>
      <c r="KMQ3" s="1055"/>
      <c r="KMR3" s="1055"/>
      <c r="KMS3" s="1055"/>
      <c r="KMT3" s="1055"/>
      <c r="KMU3" s="1055"/>
      <c r="KMV3" s="1055"/>
      <c r="KMW3" s="1055"/>
      <c r="KMX3" s="1055"/>
      <c r="KMY3" s="1055"/>
      <c r="KMZ3" s="1055"/>
      <c r="KNA3" s="1055"/>
      <c r="KNB3" s="1055"/>
      <c r="KNC3" s="1055"/>
      <c r="KND3" s="1055"/>
      <c r="KNE3" s="1055"/>
      <c r="KNF3" s="1055"/>
      <c r="KNG3" s="1055"/>
      <c r="KNH3" s="1055"/>
      <c r="KNI3" s="1055"/>
      <c r="KNJ3" s="1055"/>
      <c r="KNK3" s="1055"/>
      <c r="KNL3" s="1055"/>
      <c r="KNM3" s="1055"/>
      <c r="KNN3" s="1055"/>
      <c r="KNO3" s="1055"/>
      <c r="KNP3" s="1055"/>
      <c r="KNQ3" s="1055"/>
      <c r="KNR3" s="1055"/>
      <c r="KNS3" s="1055"/>
      <c r="KNT3" s="1055"/>
      <c r="KNU3" s="1055"/>
      <c r="KNV3" s="1055"/>
      <c r="KNW3" s="1055"/>
      <c r="KNX3" s="1055"/>
      <c r="KNY3" s="1055"/>
      <c r="KNZ3" s="1055"/>
      <c r="KOA3" s="1055"/>
      <c r="KOB3" s="1055"/>
      <c r="KOC3" s="1055"/>
      <c r="KOD3" s="1055"/>
      <c r="KOE3" s="1055"/>
      <c r="KOF3" s="1055"/>
      <c r="KOG3" s="1055"/>
      <c r="KOH3" s="1055"/>
      <c r="KOI3" s="1055"/>
      <c r="KOJ3" s="1055"/>
      <c r="KOK3" s="1055"/>
      <c r="KOL3" s="1055"/>
      <c r="KOM3" s="1055"/>
      <c r="KON3" s="1055"/>
      <c r="KOO3" s="1055"/>
      <c r="KOP3" s="1055"/>
      <c r="KOQ3" s="1055"/>
      <c r="KOR3" s="1055"/>
      <c r="KOS3" s="1055"/>
      <c r="KOT3" s="1055"/>
      <c r="KOU3" s="1055"/>
      <c r="KOV3" s="1055"/>
      <c r="KOW3" s="1055"/>
      <c r="KOX3" s="1055"/>
      <c r="KOY3" s="1055"/>
      <c r="KOZ3" s="1055"/>
      <c r="KPA3" s="1055"/>
      <c r="KPB3" s="1055"/>
      <c r="KPC3" s="1055"/>
      <c r="KPD3" s="1055"/>
      <c r="KPE3" s="1055"/>
      <c r="KPF3" s="1055"/>
      <c r="KPG3" s="1055"/>
      <c r="KPH3" s="1055"/>
      <c r="KPI3" s="1055"/>
      <c r="KPJ3" s="1055"/>
      <c r="KPK3" s="1055"/>
      <c r="KPL3" s="1055"/>
      <c r="KPM3" s="1055"/>
      <c r="KPN3" s="1055"/>
      <c r="KPO3" s="1055"/>
      <c r="KPP3" s="1055"/>
      <c r="KPQ3" s="1055"/>
      <c r="KPR3" s="1055"/>
      <c r="KPS3" s="1055"/>
      <c r="KPT3" s="1055"/>
      <c r="KPU3" s="1055"/>
      <c r="KPV3" s="1055"/>
      <c r="KPW3" s="1055"/>
      <c r="KPX3" s="1055"/>
      <c r="KPY3" s="1055"/>
      <c r="KPZ3" s="1055"/>
      <c r="KQA3" s="1055"/>
      <c r="KQB3" s="1055"/>
      <c r="KQC3" s="1055"/>
      <c r="KQD3" s="1055"/>
      <c r="KQE3" s="1055"/>
      <c r="KQF3" s="1055"/>
      <c r="KQG3" s="1055"/>
      <c r="KQH3" s="1055"/>
      <c r="KQI3" s="1055"/>
      <c r="KQJ3" s="1055"/>
      <c r="KQK3" s="1055"/>
      <c r="KQL3" s="1055"/>
      <c r="KQM3" s="1055"/>
      <c r="KQN3" s="1055"/>
      <c r="KQO3" s="1055"/>
      <c r="KQP3" s="1055"/>
      <c r="KQQ3" s="1055"/>
      <c r="KQR3" s="1055"/>
      <c r="KQS3" s="1055"/>
      <c r="KQT3" s="1055"/>
      <c r="KQU3" s="1055"/>
      <c r="KQV3" s="1055"/>
      <c r="KQW3" s="1055"/>
      <c r="KQX3" s="1055"/>
      <c r="KQY3" s="1055"/>
      <c r="KQZ3" s="1055"/>
      <c r="KRA3" s="1055"/>
      <c r="KRB3" s="1055"/>
      <c r="KRC3" s="1055"/>
      <c r="KRD3" s="1055"/>
      <c r="KRE3" s="1055"/>
      <c r="KRF3" s="1055"/>
      <c r="KRG3" s="1055"/>
      <c r="KRH3" s="1055"/>
      <c r="KRI3" s="1055"/>
      <c r="KRJ3" s="1055"/>
      <c r="KRK3" s="1055"/>
      <c r="KRL3" s="1055"/>
      <c r="KRM3" s="1055"/>
      <c r="KRN3" s="1055"/>
      <c r="KRO3" s="1055"/>
      <c r="KRP3" s="1055"/>
      <c r="KRQ3" s="1055"/>
      <c r="KRR3" s="1055"/>
      <c r="KRS3" s="1055"/>
      <c r="KRT3" s="1055"/>
      <c r="KRU3" s="1055"/>
      <c r="KRV3" s="1055"/>
      <c r="KRW3" s="1055"/>
      <c r="KRX3" s="1055"/>
      <c r="KRY3" s="1055"/>
      <c r="KRZ3" s="1055"/>
      <c r="KSA3" s="1055"/>
      <c r="KSB3" s="1055"/>
      <c r="KSC3" s="1055"/>
      <c r="KSD3" s="1055"/>
      <c r="KSE3" s="1055"/>
      <c r="KSF3" s="1055"/>
      <c r="KSG3" s="1055"/>
      <c r="KSH3" s="1055"/>
      <c r="KSI3" s="1055"/>
      <c r="KSJ3" s="1055"/>
      <c r="KSK3" s="1055"/>
      <c r="KSL3" s="1055"/>
      <c r="KSM3" s="1055"/>
      <c r="KSN3" s="1055"/>
      <c r="KSO3" s="1055"/>
      <c r="KSP3" s="1055"/>
      <c r="KSQ3" s="1055"/>
      <c r="KSR3" s="1055"/>
      <c r="KSS3" s="1055"/>
      <c r="KST3" s="1055"/>
      <c r="KSU3" s="1055"/>
      <c r="KSV3" s="1055"/>
      <c r="KSW3" s="1055"/>
      <c r="KSX3" s="1055"/>
      <c r="KSY3" s="1055"/>
      <c r="KSZ3" s="1055"/>
      <c r="KTA3" s="1055"/>
      <c r="KTB3" s="1055"/>
      <c r="KTC3" s="1055"/>
      <c r="KTD3" s="1055"/>
      <c r="KTE3" s="1055"/>
      <c r="KTF3" s="1055"/>
      <c r="KTG3" s="1055"/>
      <c r="KTH3" s="1055"/>
      <c r="KTI3" s="1055"/>
      <c r="KTJ3" s="1055"/>
      <c r="KTK3" s="1055"/>
      <c r="KTL3" s="1055"/>
      <c r="KTM3" s="1055"/>
      <c r="KTN3" s="1055"/>
      <c r="KTO3" s="1055"/>
      <c r="KTP3" s="1055"/>
      <c r="KTQ3" s="1055"/>
      <c r="KTR3" s="1055"/>
      <c r="KTS3" s="1055"/>
      <c r="KTT3" s="1055"/>
      <c r="KTU3" s="1055"/>
      <c r="KTV3" s="1055"/>
      <c r="KTW3" s="1055"/>
      <c r="KTX3" s="1055"/>
      <c r="KTY3" s="1055"/>
      <c r="KTZ3" s="1055"/>
      <c r="KUA3" s="1055"/>
      <c r="KUB3" s="1055"/>
      <c r="KUC3" s="1055"/>
      <c r="KUD3" s="1055"/>
      <c r="KUE3" s="1055"/>
      <c r="KUF3" s="1055"/>
      <c r="KUG3" s="1055"/>
      <c r="KUH3" s="1055"/>
      <c r="KUI3" s="1055"/>
      <c r="KUJ3" s="1055"/>
      <c r="KUK3" s="1055"/>
      <c r="KUL3" s="1055"/>
      <c r="KUM3" s="1055"/>
      <c r="KUN3" s="1055"/>
      <c r="KUO3" s="1055"/>
      <c r="KUP3" s="1055"/>
      <c r="KUQ3" s="1055"/>
      <c r="KUR3" s="1055"/>
      <c r="KUS3" s="1055"/>
      <c r="KUT3" s="1055"/>
      <c r="KUU3" s="1055"/>
      <c r="KUV3" s="1055"/>
      <c r="KUW3" s="1055"/>
      <c r="KUX3" s="1055"/>
      <c r="KUY3" s="1055"/>
      <c r="KUZ3" s="1055"/>
      <c r="KVA3" s="1055"/>
      <c r="KVB3" s="1055"/>
      <c r="KVC3" s="1055"/>
      <c r="KVD3" s="1055"/>
      <c r="KVE3" s="1055"/>
      <c r="KVF3" s="1055"/>
      <c r="KVG3" s="1055"/>
      <c r="KVH3" s="1055"/>
      <c r="KVI3" s="1055"/>
      <c r="KVJ3" s="1055"/>
      <c r="KVK3" s="1055"/>
      <c r="KVL3" s="1055"/>
      <c r="KVM3" s="1055"/>
      <c r="KVN3" s="1055"/>
      <c r="KVO3" s="1055"/>
      <c r="KVP3" s="1055"/>
      <c r="KVQ3" s="1055"/>
      <c r="KVR3" s="1055"/>
      <c r="KVS3" s="1055"/>
      <c r="KVT3" s="1055"/>
      <c r="KVU3" s="1055"/>
      <c r="KVV3" s="1055"/>
      <c r="KVW3" s="1055"/>
      <c r="KVX3" s="1055"/>
      <c r="KVY3" s="1055"/>
      <c r="KVZ3" s="1055"/>
      <c r="KWA3" s="1055"/>
      <c r="KWB3" s="1055"/>
      <c r="KWC3" s="1055"/>
      <c r="KWD3" s="1055"/>
      <c r="KWE3" s="1055"/>
      <c r="KWF3" s="1055"/>
      <c r="KWG3" s="1055"/>
      <c r="KWH3" s="1055"/>
      <c r="KWI3" s="1055"/>
      <c r="KWJ3" s="1055"/>
      <c r="KWK3" s="1055"/>
      <c r="KWL3" s="1055"/>
      <c r="KWM3" s="1055"/>
      <c r="KWN3" s="1055"/>
      <c r="KWO3" s="1055"/>
      <c r="KWP3" s="1055"/>
      <c r="KWQ3" s="1055"/>
      <c r="KWR3" s="1055"/>
      <c r="KWS3" s="1055"/>
      <c r="KWT3" s="1055"/>
      <c r="KWU3" s="1055"/>
      <c r="KWV3" s="1055"/>
      <c r="KWW3" s="1055"/>
      <c r="KWX3" s="1055"/>
      <c r="KWY3" s="1055"/>
      <c r="KWZ3" s="1055"/>
      <c r="KXA3" s="1055"/>
      <c r="KXB3" s="1055"/>
      <c r="KXC3" s="1055"/>
      <c r="KXD3" s="1055"/>
      <c r="KXE3" s="1055"/>
      <c r="KXF3" s="1055"/>
      <c r="KXG3" s="1055"/>
      <c r="KXH3" s="1055"/>
      <c r="KXI3" s="1055"/>
      <c r="KXJ3" s="1055"/>
      <c r="KXK3" s="1055"/>
      <c r="KXL3" s="1055"/>
      <c r="KXM3" s="1055"/>
      <c r="KXN3" s="1055"/>
      <c r="KXO3" s="1055"/>
      <c r="KXP3" s="1055"/>
      <c r="KXQ3" s="1055"/>
      <c r="KXR3" s="1055"/>
      <c r="KXS3" s="1055"/>
      <c r="KXT3" s="1055"/>
      <c r="KXU3" s="1055"/>
      <c r="KXV3" s="1055"/>
      <c r="KXW3" s="1055"/>
      <c r="KXX3" s="1055"/>
      <c r="KXY3" s="1055"/>
      <c r="KXZ3" s="1055"/>
      <c r="KYA3" s="1055"/>
      <c r="KYB3" s="1055"/>
      <c r="KYC3" s="1055"/>
      <c r="KYD3" s="1055"/>
      <c r="KYE3" s="1055"/>
      <c r="KYF3" s="1055"/>
      <c r="KYG3" s="1055"/>
      <c r="KYH3" s="1055"/>
      <c r="KYI3" s="1055"/>
      <c r="KYJ3" s="1055"/>
      <c r="KYK3" s="1055"/>
      <c r="KYL3" s="1055"/>
      <c r="KYM3" s="1055"/>
      <c r="KYN3" s="1055"/>
      <c r="KYO3" s="1055"/>
      <c r="KYP3" s="1055"/>
      <c r="KYQ3" s="1055"/>
      <c r="KYR3" s="1055"/>
      <c r="KYS3" s="1055"/>
      <c r="KYT3" s="1055"/>
      <c r="KYU3" s="1055"/>
      <c r="KYV3" s="1055"/>
      <c r="KYW3" s="1055"/>
      <c r="KYX3" s="1055"/>
      <c r="KYY3" s="1055"/>
      <c r="KYZ3" s="1055"/>
      <c r="KZA3" s="1055"/>
      <c r="KZB3" s="1055"/>
      <c r="KZC3" s="1055"/>
      <c r="KZD3" s="1055"/>
      <c r="KZE3" s="1055"/>
      <c r="KZF3" s="1055"/>
      <c r="KZG3" s="1055"/>
      <c r="KZH3" s="1055"/>
      <c r="KZI3" s="1055"/>
      <c r="KZJ3" s="1055"/>
      <c r="KZK3" s="1055"/>
      <c r="KZL3" s="1055"/>
      <c r="KZM3" s="1055"/>
      <c r="KZN3" s="1055"/>
      <c r="KZO3" s="1055"/>
      <c r="KZP3" s="1055"/>
      <c r="KZQ3" s="1055"/>
      <c r="KZR3" s="1055"/>
      <c r="KZS3" s="1055"/>
      <c r="KZT3" s="1055"/>
      <c r="KZU3" s="1055"/>
      <c r="KZV3" s="1055"/>
      <c r="KZW3" s="1055"/>
      <c r="KZX3" s="1055"/>
      <c r="KZY3" s="1055"/>
      <c r="KZZ3" s="1055"/>
      <c r="LAA3" s="1055"/>
      <c r="LAB3" s="1055"/>
      <c r="LAC3" s="1055"/>
      <c r="LAD3" s="1055"/>
      <c r="LAE3" s="1055"/>
      <c r="LAF3" s="1055"/>
      <c r="LAG3" s="1055"/>
      <c r="LAH3" s="1055"/>
      <c r="LAI3" s="1055"/>
      <c r="LAJ3" s="1055"/>
      <c r="LAK3" s="1055"/>
      <c r="LAL3" s="1055"/>
      <c r="LAM3" s="1055"/>
      <c r="LAN3" s="1055"/>
      <c r="LAO3" s="1055"/>
      <c r="LAP3" s="1055"/>
      <c r="LAQ3" s="1055"/>
      <c r="LAR3" s="1055"/>
      <c r="LAS3" s="1055"/>
      <c r="LAT3" s="1055"/>
      <c r="LAU3" s="1055"/>
      <c r="LAV3" s="1055"/>
      <c r="LAW3" s="1055"/>
      <c r="LAX3" s="1055"/>
      <c r="LAY3" s="1055"/>
      <c r="LAZ3" s="1055"/>
      <c r="LBA3" s="1055"/>
      <c r="LBB3" s="1055"/>
      <c r="LBC3" s="1055"/>
      <c r="LBD3" s="1055"/>
      <c r="LBE3" s="1055"/>
      <c r="LBF3" s="1055"/>
      <c r="LBG3" s="1055"/>
      <c r="LBH3" s="1055"/>
      <c r="LBI3" s="1055"/>
      <c r="LBJ3" s="1055"/>
      <c r="LBK3" s="1055"/>
      <c r="LBL3" s="1055"/>
      <c r="LBM3" s="1055"/>
      <c r="LBN3" s="1055"/>
      <c r="LBO3" s="1055"/>
      <c r="LBP3" s="1055"/>
      <c r="LBQ3" s="1055"/>
      <c r="LBR3" s="1055"/>
      <c r="LBS3" s="1055"/>
      <c r="LBT3" s="1055"/>
      <c r="LBU3" s="1055"/>
      <c r="LBV3" s="1055"/>
      <c r="LBW3" s="1055"/>
      <c r="LBX3" s="1055"/>
      <c r="LBY3" s="1055"/>
      <c r="LBZ3" s="1055"/>
      <c r="LCA3" s="1055"/>
      <c r="LCB3" s="1055"/>
      <c r="LCC3" s="1055"/>
      <c r="LCD3" s="1055"/>
      <c r="LCE3" s="1055"/>
      <c r="LCF3" s="1055"/>
      <c r="LCG3" s="1055"/>
      <c r="LCH3" s="1055"/>
      <c r="LCI3" s="1055"/>
      <c r="LCJ3" s="1055"/>
      <c r="LCK3" s="1055"/>
      <c r="LCL3" s="1055"/>
      <c r="LCM3" s="1055"/>
      <c r="LCN3" s="1055"/>
      <c r="LCO3" s="1055"/>
      <c r="LCP3" s="1055"/>
      <c r="LCQ3" s="1055"/>
      <c r="LCR3" s="1055"/>
      <c r="LCS3" s="1055"/>
      <c r="LCT3" s="1055"/>
      <c r="LCU3" s="1055"/>
      <c r="LCV3" s="1055"/>
      <c r="LCW3" s="1055"/>
      <c r="LCX3" s="1055"/>
      <c r="LCY3" s="1055"/>
      <c r="LCZ3" s="1055"/>
      <c r="LDA3" s="1055"/>
      <c r="LDB3" s="1055"/>
      <c r="LDC3" s="1055"/>
      <c r="LDD3" s="1055"/>
      <c r="LDE3" s="1055"/>
      <c r="LDF3" s="1055"/>
      <c r="LDG3" s="1055"/>
      <c r="LDH3" s="1055"/>
      <c r="LDI3" s="1055"/>
      <c r="LDJ3" s="1055"/>
      <c r="LDK3" s="1055"/>
      <c r="LDL3" s="1055"/>
      <c r="LDM3" s="1055"/>
      <c r="LDN3" s="1055"/>
      <c r="LDO3" s="1055"/>
      <c r="LDP3" s="1055"/>
      <c r="LDQ3" s="1055"/>
      <c r="LDR3" s="1055"/>
      <c r="LDS3" s="1055"/>
      <c r="LDT3" s="1055"/>
      <c r="LDU3" s="1055"/>
      <c r="LDV3" s="1055"/>
      <c r="LDW3" s="1055"/>
      <c r="LDX3" s="1055"/>
      <c r="LDY3" s="1055"/>
      <c r="LDZ3" s="1055"/>
      <c r="LEA3" s="1055"/>
      <c r="LEB3" s="1055"/>
      <c r="LEC3" s="1055"/>
      <c r="LED3" s="1055"/>
      <c r="LEE3" s="1055"/>
      <c r="LEF3" s="1055"/>
      <c r="LEG3" s="1055"/>
      <c r="LEH3" s="1055"/>
      <c r="LEI3" s="1055"/>
      <c r="LEJ3" s="1055"/>
      <c r="LEK3" s="1055"/>
      <c r="LEL3" s="1055"/>
      <c r="LEM3" s="1055"/>
      <c r="LEN3" s="1055"/>
      <c r="LEO3" s="1055"/>
      <c r="LEP3" s="1055"/>
      <c r="LEQ3" s="1055"/>
      <c r="LER3" s="1055"/>
      <c r="LES3" s="1055"/>
      <c r="LET3" s="1055"/>
      <c r="LEU3" s="1055"/>
      <c r="LEV3" s="1055"/>
      <c r="LEW3" s="1055"/>
      <c r="LEX3" s="1055"/>
      <c r="LEY3" s="1055"/>
      <c r="LEZ3" s="1055"/>
      <c r="LFA3" s="1055"/>
      <c r="LFB3" s="1055"/>
      <c r="LFC3" s="1055"/>
      <c r="LFD3" s="1055"/>
      <c r="LFE3" s="1055"/>
      <c r="LFF3" s="1055"/>
      <c r="LFG3" s="1055"/>
      <c r="LFH3" s="1055"/>
      <c r="LFI3" s="1055"/>
      <c r="LFJ3" s="1055"/>
      <c r="LFK3" s="1055"/>
      <c r="LFL3" s="1055"/>
      <c r="LFM3" s="1055"/>
      <c r="LFN3" s="1055"/>
      <c r="LFO3" s="1055"/>
      <c r="LFP3" s="1055"/>
      <c r="LFQ3" s="1055"/>
      <c r="LFR3" s="1055"/>
      <c r="LFS3" s="1055"/>
      <c r="LFT3" s="1055"/>
      <c r="LFU3" s="1055"/>
      <c r="LFV3" s="1055"/>
      <c r="LFW3" s="1055"/>
      <c r="LFX3" s="1055"/>
      <c r="LFY3" s="1055"/>
      <c r="LFZ3" s="1055"/>
      <c r="LGA3" s="1055"/>
      <c r="LGB3" s="1055"/>
      <c r="LGC3" s="1055"/>
      <c r="LGD3" s="1055"/>
      <c r="LGE3" s="1055"/>
      <c r="LGF3" s="1055"/>
      <c r="LGG3" s="1055"/>
      <c r="LGH3" s="1055"/>
      <c r="LGI3" s="1055"/>
      <c r="LGJ3" s="1055"/>
      <c r="LGK3" s="1055"/>
      <c r="LGL3" s="1055"/>
      <c r="LGM3" s="1055"/>
      <c r="LGN3" s="1055"/>
      <c r="LGO3" s="1055"/>
      <c r="LGP3" s="1055"/>
      <c r="LGQ3" s="1055"/>
      <c r="LGR3" s="1055"/>
      <c r="LGS3" s="1055"/>
      <c r="LGT3" s="1055"/>
      <c r="LGU3" s="1055"/>
      <c r="LGV3" s="1055"/>
      <c r="LGW3" s="1055"/>
      <c r="LGX3" s="1055"/>
      <c r="LGY3" s="1055"/>
      <c r="LGZ3" s="1055"/>
      <c r="LHA3" s="1055"/>
      <c r="LHB3" s="1055"/>
      <c r="LHC3" s="1055"/>
      <c r="LHD3" s="1055"/>
      <c r="LHE3" s="1055"/>
      <c r="LHF3" s="1055"/>
      <c r="LHG3" s="1055"/>
      <c r="LHH3" s="1055"/>
      <c r="LHI3" s="1055"/>
      <c r="LHJ3" s="1055"/>
      <c r="LHK3" s="1055"/>
      <c r="LHL3" s="1055"/>
      <c r="LHM3" s="1055"/>
      <c r="LHN3" s="1055"/>
      <c r="LHO3" s="1055"/>
      <c r="LHP3" s="1055"/>
      <c r="LHQ3" s="1055"/>
      <c r="LHR3" s="1055"/>
      <c r="LHS3" s="1055"/>
      <c r="LHT3" s="1055"/>
      <c r="LHU3" s="1055"/>
      <c r="LHV3" s="1055"/>
      <c r="LHW3" s="1055"/>
      <c r="LHX3" s="1055"/>
      <c r="LHY3" s="1055"/>
      <c r="LHZ3" s="1055"/>
      <c r="LIA3" s="1055"/>
      <c r="LIB3" s="1055"/>
      <c r="LIC3" s="1055"/>
      <c r="LID3" s="1055"/>
      <c r="LIE3" s="1055"/>
      <c r="LIF3" s="1055"/>
      <c r="LIG3" s="1055"/>
      <c r="LIH3" s="1055"/>
      <c r="LII3" s="1055"/>
      <c r="LIJ3" s="1055"/>
      <c r="LIK3" s="1055"/>
      <c r="LIL3" s="1055"/>
      <c r="LIM3" s="1055"/>
      <c r="LIN3" s="1055"/>
      <c r="LIO3" s="1055"/>
      <c r="LIP3" s="1055"/>
      <c r="LIQ3" s="1055"/>
      <c r="LIR3" s="1055"/>
      <c r="LIS3" s="1055"/>
      <c r="LIT3" s="1055"/>
      <c r="LIU3" s="1055"/>
      <c r="LIV3" s="1055"/>
      <c r="LIW3" s="1055"/>
      <c r="LIX3" s="1055"/>
      <c r="LIY3" s="1055"/>
      <c r="LIZ3" s="1055"/>
      <c r="LJA3" s="1055"/>
      <c r="LJB3" s="1055"/>
      <c r="LJC3" s="1055"/>
      <c r="LJD3" s="1055"/>
      <c r="LJE3" s="1055"/>
      <c r="LJF3" s="1055"/>
      <c r="LJG3" s="1055"/>
      <c r="LJH3" s="1055"/>
      <c r="LJI3" s="1055"/>
      <c r="LJJ3" s="1055"/>
      <c r="LJK3" s="1055"/>
      <c r="LJL3" s="1055"/>
      <c r="LJM3" s="1055"/>
      <c r="LJN3" s="1055"/>
      <c r="LJO3" s="1055"/>
      <c r="LJP3" s="1055"/>
      <c r="LJQ3" s="1055"/>
      <c r="LJR3" s="1055"/>
      <c r="LJS3" s="1055"/>
      <c r="LJT3" s="1055"/>
      <c r="LJU3" s="1055"/>
      <c r="LJV3" s="1055"/>
      <c r="LJW3" s="1055"/>
      <c r="LJX3" s="1055"/>
      <c r="LJY3" s="1055"/>
      <c r="LJZ3" s="1055"/>
      <c r="LKA3" s="1055"/>
      <c r="LKB3" s="1055"/>
      <c r="LKC3" s="1055"/>
      <c r="LKD3" s="1055"/>
      <c r="LKE3" s="1055"/>
      <c r="LKF3" s="1055"/>
      <c r="LKG3" s="1055"/>
      <c r="LKH3" s="1055"/>
      <c r="LKI3" s="1055"/>
      <c r="LKJ3" s="1055"/>
      <c r="LKK3" s="1055"/>
      <c r="LKL3" s="1055"/>
      <c r="LKM3" s="1055"/>
      <c r="LKN3" s="1055"/>
      <c r="LKO3" s="1055"/>
      <c r="LKP3" s="1055"/>
      <c r="LKQ3" s="1055"/>
      <c r="LKR3" s="1055"/>
      <c r="LKS3" s="1055"/>
      <c r="LKT3" s="1055"/>
      <c r="LKU3" s="1055"/>
      <c r="LKV3" s="1055"/>
      <c r="LKW3" s="1055"/>
      <c r="LKX3" s="1055"/>
      <c r="LKY3" s="1055"/>
      <c r="LKZ3" s="1055"/>
      <c r="LLA3" s="1055"/>
      <c r="LLB3" s="1055"/>
      <c r="LLC3" s="1055"/>
      <c r="LLD3" s="1055"/>
      <c r="LLE3" s="1055"/>
      <c r="LLF3" s="1055"/>
      <c r="LLG3" s="1055"/>
      <c r="LLH3" s="1055"/>
      <c r="LLI3" s="1055"/>
      <c r="LLJ3" s="1055"/>
      <c r="LLK3" s="1055"/>
      <c r="LLL3" s="1055"/>
      <c r="LLM3" s="1055"/>
      <c r="LLN3" s="1055"/>
      <c r="LLO3" s="1055"/>
      <c r="LLP3" s="1055"/>
      <c r="LLQ3" s="1055"/>
      <c r="LLR3" s="1055"/>
      <c r="LLS3" s="1055"/>
      <c r="LLT3" s="1055"/>
      <c r="LLU3" s="1055"/>
      <c r="LLV3" s="1055"/>
      <c r="LLW3" s="1055"/>
      <c r="LLX3" s="1055"/>
      <c r="LLY3" s="1055"/>
      <c r="LLZ3" s="1055"/>
      <c r="LMA3" s="1055"/>
      <c r="LMB3" s="1055"/>
      <c r="LMC3" s="1055"/>
      <c r="LMD3" s="1055"/>
      <c r="LME3" s="1055"/>
      <c r="LMF3" s="1055"/>
      <c r="LMG3" s="1055"/>
      <c r="LMH3" s="1055"/>
      <c r="LMI3" s="1055"/>
      <c r="LMJ3" s="1055"/>
      <c r="LMK3" s="1055"/>
      <c r="LML3" s="1055"/>
      <c r="LMM3" s="1055"/>
      <c r="LMN3" s="1055"/>
      <c r="LMO3" s="1055"/>
      <c r="LMP3" s="1055"/>
      <c r="LMQ3" s="1055"/>
      <c r="LMR3" s="1055"/>
      <c r="LMS3" s="1055"/>
      <c r="LMT3" s="1055"/>
      <c r="LMU3" s="1055"/>
      <c r="LMV3" s="1055"/>
      <c r="LMW3" s="1055"/>
      <c r="LMX3" s="1055"/>
      <c r="LMY3" s="1055"/>
      <c r="LMZ3" s="1055"/>
      <c r="LNA3" s="1055"/>
      <c r="LNB3" s="1055"/>
      <c r="LNC3" s="1055"/>
      <c r="LND3" s="1055"/>
      <c r="LNE3" s="1055"/>
      <c r="LNF3" s="1055"/>
      <c r="LNG3" s="1055"/>
      <c r="LNH3" s="1055"/>
      <c r="LNI3" s="1055"/>
      <c r="LNJ3" s="1055"/>
      <c r="LNK3" s="1055"/>
      <c r="LNL3" s="1055"/>
      <c r="LNM3" s="1055"/>
      <c r="LNN3" s="1055"/>
      <c r="LNO3" s="1055"/>
      <c r="LNP3" s="1055"/>
      <c r="LNQ3" s="1055"/>
      <c r="LNR3" s="1055"/>
      <c r="LNS3" s="1055"/>
      <c r="LNT3" s="1055"/>
      <c r="LNU3" s="1055"/>
      <c r="LNV3" s="1055"/>
      <c r="LNW3" s="1055"/>
      <c r="LNX3" s="1055"/>
      <c r="LNY3" s="1055"/>
      <c r="LNZ3" s="1055"/>
      <c r="LOA3" s="1055"/>
      <c r="LOB3" s="1055"/>
      <c r="LOC3" s="1055"/>
      <c r="LOD3" s="1055"/>
      <c r="LOE3" s="1055"/>
      <c r="LOF3" s="1055"/>
      <c r="LOG3" s="1055"/>
      <c r="LOH3" s="1055"/>
      <c r="LOI3" s="1055"/>
      <c r="LOJ3" s="1055"/>
      <c r="LOK3" s="1055"/>
      <c r="LOL3" s="1055"/>
      <c r="LOM3" s="1055"/>
      <c r="LON3" s="1055"/>
      <c r="LOO3" s="1055"/>
      <c r="LOP3" s="1055"/>
      <c r="LOQ3" s="1055"/>
      <c r="LOR3" s="1055"/>
      <c r="LOS3" s="1055"/>
      <c r="LOT3" s="1055"/>
      <c r="LOU3" s="1055"/>
      <c r="LOV3" s="1055"/>
      <c r="LOW3" s="1055"/>
      <c r="LOX3" s="1055"/>
      <c r="LOY3" s="1055"/>
      <c r="LOZ3" s="1055"/>
      <c r="LPA3" s="1055"/>
      <c r="LPB3" s="1055"/>
      <c r="LPC3" s="1055"/>
      <c r="LPD3" s="1055"/>
      <c r="LPE3" s="1055"/>
      <c r="LPF3" s="1055"/>
      <c r="LPG3" s="1055"/>
      <c r="LPH3" s="1055"/>
      <c r="LPI3" s="1055"/>
      <c r="LPJ3" s="1055"/>
      <c r="LPK3" s="1055"/>
      <c r="LPL3" s="1055"/>
      <c r="LPM3" s="1055"/>
      <c r="LPN3" s="1055"/>
      <c r="LPO3" s="1055"/>
      <c r="LPP3" s="1055"/>
      <c r="LPQ3" s="1055"/>
      <c r="LPR3" s="1055"/>
      <c r="LPS3" s="1055"/>
      <c r="LPT3" s="1055"/>
      <c r="LPU3" s="1055"/>
      <c r="LPV3" s="1055"/>
      <c r="LPW3" s="1055"/>
      <c r="LPX3" s="1055"/>
      <c r="LPY3" s="1055"/>
      <c r="LPZ3" s="1055"/>
      <c r="LQA3" s="1055"/>
      <c r="LQB3" s="1055"/>
      <c r="LQC3" s="1055"/>
      <c r="LQD3" s="1055"/>
      <c r="LQE3" s="1055"/>
      <c r="LQF3" s="1055"/>
      <c r="LQG3" s="1055"/>
      <c r="LQH3" s="1055"/>
      <c r="LQI3" s="1055"/>
      <c r="LQJ3" s="1055"/>
      <c r="LQK3" s="1055"/>
      <c r="LQL3" s="1055"/>
      <c r="LQM3" s="1055"/>
      <c r="LQN3" s="1055"/>
      <c r="LQO3" s="1055"/>
      <c r="LQP3" s="1055"/>
      <c r="LQQ3" s="1055"/>
      <c r="LQR3" s="1055"/>
      <c r="LQS3" s="1055"/>
      <c r="LQT3" s="1055"/>
      <c r="LQU3" s="1055"/>
      <c r="LQV3" s="1055"/>
      <c r="LQW3" s="1055"/>
      <c r="LQX3" s="1055"/>
      <c r="LQY3" s="1055"/>
      <c r="LQZ3" s="1055"/>
      <c r="LRA3" s="1055"/>
      <c r="LRB3" s="1055"/>
      <c r="LRC3" s="1055"/>
      <c r="LRD3" s="1055"/>
      <c r="LRE3" s="1055"/>
      <c r="LRF3" s="1055"/>
      <c r="LRG3" s="1055"/>
      <c r="LRH3" s="1055"/>
      <c r="LRI3" s="1055"/>
      <c r="LRJ3" s="1055"/>
      <c r="LRK3" s="1055"/>
      <c r="LRL3" s="1055"/>
      <c r="LRM3" s="1055"/>
      <c r="LRN3" s="1055"/>
      <c r="LRO3" s="1055"/>
      <c r="LRP3" s="1055"/>
      <c r="LRQ3" s="1055"/>
      <c r="LRR3" s="1055"/>
      <c r="LRS3" s="1055"/>
      <c r="LRT3" s="1055"/>
      <c r="LRU3" s="1055"/>
      <c r="LRV3" s="1055"/>
      <c r="LRW3" s="1055"/>
      <c r="LRX3" s="1055"/>
      <c r="LRY3" s="1055"/>
      <c r="LRZ3" s="1055"/>
      <c r="LSA3" s="1055"/>
      <c r="LSB3" s="1055"/>
      <c r="LSC3" s="1055"/>
      <c r="LSD3" s="1055"/>
      <c r="LSE3" s="1055"/>
      <c r="LSF3" s="1055"/>
      <c r="LSG3" s="1055"/>
      <c r="LSH3" s="1055"/>
      <c r="LSI3" s="1055"/>
      <c r="LSJ3" s="1055"/>
      <c r="LSK3" s="1055"/>
      <c r="LSL3" s="1055"/>
      <c r="LSM3" s="1055"/>
      <c r="LSN3" s="1055"/>
      <c r="LSO3" s="1055"/>
      <c r="LSP3" s="1055"/>
      <c r="LSQ3" s="1055"/>
      <c r="LSR3" s="1055"/>
      <c r="LSS3" s="1055"/>
      <c r="LST3" s="1055"/>
      <c r="LSU3" s="1055"/>
      <c r="LSV3" s="1055"/>
      <c r="LSW3" s="1055"/>
      <c r="LSX3" s="1055"/>
      <c r="LSY3" s="1055"/>
      <c r="LSZ3" s="1055"/>
      <c r="LTA3" s="1055"/>
      <c r="LTB3" s="1055"/>
      <c r="LTC3" s="1055"/>
      <c r="LTD3" s="1055"/>
      <c r="LTE3" s="1055"/>
      <c r="LTF3" s="1055"/>
      <c r="LTG3" s="1055"/>
      <c r="LTH3" s="1055"/>
      <c r="LTI3" s="1055"/>
      <c r="LTJ3" s="1055"/>
      <c r="LTK3" s="1055"/>
      <c r="LTL3" s="1055"/>
      <c r="LTM3" s="1055"/>
      <c r="LTN3" s="1055"/>
      <c r="LTO3" s="1055"/>
      <c r="LTP3" s="1055"/>
      <c r="LTQ3" s="1055"/>
      <c r="LTR3" s="1055"/>
      <c r="LTS3" s="1055"/>
      <c r="LTT3" s="1055"/>
      <c r="LTU3" s="1055"/>
      <c r="LTV3" s="1055"/>
      <c r="LTW3" s="1055"/>
      <c r="LTX3" s="1055"/>
      <c r="LTY3" s="1055"/>
      <c r="LTZ3" s="1055"/>
      <c r="LUA3" s="1055"/>
      <c r="LUB3" s="1055"/>
      <c r="LUC3" s="1055"/>
      <c r="LUD3" s="1055"/>
      <c r="LUE3" s="1055"/>
      <c r="LUF3" s="1055"/>
      <c r="LUG3" s="1055"/>
      <c r="LUH3" s="1055"/>
      <c r="LUI3" s="1055"/>
      <c r="LUJ3" s="1055"/>
      <c r="LUK3" s="1055"/>
      <c r="LUL3" s="1055"/>
      <c r="LUM3" s="1055"/>
      <c r="LUN3" s="1055"/>
      <c r="LUO3" s="1055"/>
      <c r="LUP3" s="1055"/>
      <c r="LUQ3" s="1055"/>
      <c r="LUR3" s="1055"/>
      <c r="LUS3" s="1055"/>
      <c r="LUT3" s="1055"/>
      <c r="LUU3" s="1055"/>
      <c r="LUV3" s="1055"/>
      <c r="LUW3" s="1055"/>
      <c r="LUX3" s="1055"/>
      <c r="LUY3" s="1055"/>
      <c r="LUZ3" s="1055"/>
      <c r="LVA3" s="1055"/>
      <c r="LVB3" s="1055"/>
      <c r="LVC3" s="1055"/>
      <c r="LVD3" s="1055"/>
      <c r="LVE3" s="1055"/>
      <c r="LVF3" s="1055"/>
      <c r="LVG3" s="1055"/>
      <c r="LVH3" s="1055"/>
      <c r="LVI3" s="1055"/>
      <c r="LVJ3" s="1055"/>
      <c r="LVK3" s="1055"/>
      <c r="LVL3" s="1055"/>
      <c r="LVM3" s="1055"/>
      <c r="LVN3" s="1055"/>
      <c r="LVO3" s="1055"/>
      <c r="LVP3" s="1055"/>
      <c r="LVQ3" s="1055"/>
      <c r="LVR3" s="1055"/>
      <c r="LVS3" s="1055"/>
      <c r="LVT3" s="1055"/>
      <c r="LVU3" s="1055"/>
      <c r="LVV3" s="1055"/>
      <c r="LVW3" s="1055"/>
      <c r="LVX3" s="1055"/>
      <c r="LVY3" s="1055"/>
      <c r="LVZ3" s="1055"/>
      <c r="LWA3" s="1055"/>
      <c r="LWB3" s="1055"/>
      <c r="LWC3" s="1055"/>
      <c r="LWD3" s="1055"/>
      <c r="LWE3" s="1055"/>
      <c r="LWF3" s="1055"/>
      <c r="LWG3" s="1055"/>
      <c r="LWH3" s="1055"/>
      <c r="LWI3" s="1055"/>
      <c r="LWJ3" s="1055"/>
      <c r="LWK3" s="1055"/>
      <c r="LWL3" s="1055"/>
      <c r="LWM3" s="1055"/>
      <c r="LWN3" s="1055"/>
      <c r="LWO3" s="1055"/>
      <c r="LWP3" s="1055"/>
      <c r="LWQ3" s="1055"/>
      <c r="LWR3" s="1055"/>
      <c r="LWS3" s="1055"/>
      <c r="LWT3" s="1055"/>
      <c r="LWU3" s="1055"/>
      <c r="LWV3" s="1055"/>
      <c r="LWW3" s="1055"/>
      <c r="LWX3" s="1055"/>
      <c r="LWY3" s="1055"/>
      <c r="LWZ3" s="1055"/>
      <c r="LXA3" s="1055"/>
      <c r="LXB3" s="1055"/>
      <c r="LXC3" s="1055"/>
      <c r="LXD3" s="1055"/>
      <c r="LXE3" s="1055"/>
      <c r="LXF3" s="1055"/>
      <c r="LXG3" s="1055"/>
      <c r="LXH3" s="1055"/>
      <c r="LXI3" s="1055"/>
      <c r="LXJ3" s="1055"/>
      <c r="LXK3" s="1055"/>
      <c r="LXL3" s="1055"/>
      <c r="LXM3" s="1055"/>
      <c r="LXN3" s="1055"/>
      <c r="LXO3" s="1055"/>
      <c r="LXP3" s="1055"/>
      <c r="LXQ3" s="1055"/>
      <c r="LXR3" s="1055"/>
      <c r="LXS3" s="1055"/>
      <c r="LXT3" s="1055"/>
      <c r="LXU3" s="1055"/>
      <c r="LXV3" s="1055"/>
      <c r="LXW3" s="1055"/>
      <c r="LXX3" s="1055"/>
      <c r="LXY3" s="1055"/>
      <c r="LXZ3" s="1055"/>
      <c r="LYA3" s="1055"/>
      <c r="LYB3" s="1055"/>
      <c r="LYC3" s="1055"/>
      <c r="LYD3" s="1055"/>
      <c r="LYE3" s="1055"/>
      <c r="LYF3" s="1055"/>
      <c r="LYG3" s="1055"/>
      <c r="LYH3" s="1055"/>
      <c r="LYI3" s="1055"/>
      <c r="LYJ3" s="1055"/>
      <c r="LYK3" s="1055"/>
      <c r="LYL3" s="1055"/>
      <c r="LYM3" s="1055"/>
      <c r="LYN3" s="1055"/>
      <c r="LYO3" s="1055"/>
      <c r="LYP3" s="1055"/>
      <c r="LYQ3" s="1055"/>
      <c r="LYR3" s="1055"/>
      <c r="LYS3" s="1055"/>
      <c r="LYT3" s="1055"/>
      <c r="LYU3" s="1055"/>
      <c r="LYV3" s="1055"/>
      <c r="LYW3" s="1055"/>
      <c r="LYX3" s="1055"/>
      <c r="LYY3" s="1055"/>
      <c r="LYZ3" s="1055"/>
      <c r="LZA3" s="1055"/>
      <c r="LZB3" s="1055"/>
      <c r="LZC3" s="1055"/>
      <c r="LZD3" s="1055"/>
      <c r="LZE3" s="1055"/>
      <c r="LZF3" s="1055"/>
      <c r="LZG3" s="1055"/>
      <c r="LZH3" s="1055"/>
      <c r="LZI3" s="1055"/>
      <c r="LZJ3" s="1055"/>
      <c r="LZK3" s="1055"/>
      <c r="LZL3" s="1055"/>
      <c r="LZM3" s="1055"/>
      <c r="LZN3" s="1055"/>
      <c r="LZO3" s="1055"/>
      <c r="LZP3" s="1055"/>
      <c r="LZQ3" s="1055"/>
      <c r="LZR3" s="1055"/>
      <c r="LZS3" s="1055"/>
      <c r="LZT3" s="1055"/>
      <c r="LZU3" s="1055"/>
      <c r="LZV3" s="1055"/>
      <c r="LZW3" s="1055"/>
      <c r="LZX3" s="1055"/>
      <c r="LZY3" s="1055"/>
      <c r="LZZ3" s="1055"/>
      <c r="MAA3" s="1055"/>
      <c r="MAB3" s="1055"/>
      <c r="MAC3" s="1055"/>
      <c r="MAD3" s="1055"/>
      <c r="MAE3" s="1055"/>
      <c r="MAF3" s="1055"/>
      <c r="MAG3" s="1055"/>
      <c r="MAH3" s="1055"/>
      <c r="MAI3" s="1055"/>
      <c r="MAJ3" s="1055"/>
      <c r="MAK3" s="1055"/>
      <c r="MAL3" s="1055"/>
      <c r="MAM3" s="1055"/>
      <c r="MAN3" s="1055"/>
      <c r="MAO3" s="1055"/>
      <c r="MAP3" s="1055"/>
      <c r="MAQ3" s="1055"/>
      <c r="MAR3" s="1055"/>
      <c r="MAS3" s="1055"/>
      <c r="MAT3" s="1055"/>
      <c r="MAU3" s="1055"/>
      <c r="MAV3" s="1055"/>
      <c r="MAW3" s="1055"/>
      <c r="MAX3" s="1055"/>
      <c r="MAY3" s="1055"/>
      <c r="MAZ3" s="1055"/>
      <c r="MBA3" s="1055"/>
      <c r="MBB3" s="1055"/>
      <c r="MBC3" s="1055"/>
      <c r="MBD3" s="1055"/>
      <c r="MBE3" s="1055"/>
      <c r="MBF3" s="1055"/>
      <c r="MBG3" s="1055"/>
      <c r="MBH3" s="1055"/>
      <c r="MBI3" s="1055"/>
      <c r="MBJ3" s="1055"/>
      <c r="MBK3" s="1055"/>
      <c r="MBL3" s="1055"/>
      <c r="MBM3" s="1055"/>
      <c r="MBN3" s="1055"/>
      <c r="MBO3" s="1055"/>
      <c r="MBP3" s="1055"/>
      <c r="MBQ3" s="1055"/>
      <c r="MBR3" s="1055"/>
      <c r="MBS3" s="1055"/>
      <c r="MBT3" s="1055"/>
      <c r="MBU3" s="1055"/>
      <c r="MBV3" s="1055"/>
      <c r="MBW3" s="1055"/>
      <c r="MBX3" s="1055"/>
      <c r="MBY3" s="1055"/>
      <c r="MBZ3" s="1055"/>
      <c r="MCA3" s="1055"/>
      <c r="MCB3" s="1055"/>
      <c r="MCC3" s="1055"/>
      <c r="MCD3" s="1055"/>
      <c r="MCE3" s="1055"/>
      <c r="MCF3" s="1055"/>
      <c r="MCG3" s="1055"/>
      <c r="MCH3" s="1055"/>
      <c r="MCI3" s="1055"/>
      <c r="MCJ3" s="1055"/>
      <c r="MCK3" s="1055"/>
      <c r="MCL3" s="1055"/>
      <c r="MCM3" s="1055"/>
      <c r="MCN3" s="1055"/>
      <c r="MCO3" s="1055"/>
      <c r="MCP3" s="1055"/>
      <c r="MCQ3" s="1055"/>
      <c r="MCR3" s="1055"/>
      <c r="MCS3" s="1055"/>
      <c r="MCT3" s="1055"/>
      <c r="MCU3" s="1055"/>
      <c r="MCV3" s="1055"/>
      <c r="MCW3" s="1055"/>
      <c r="MCX3" s="1055"/>
      <c r="MCY3" s="1055"/>
      <c r="MCZ3" s="1055"/>
      <c r="MDA3" s="1055"/>
      <c r="MDB3" s="1055"/>
      <c r="MDC3" s="1055"/>
      <c r="MDD3" s="1055"/>
      <c r="MDE3" s="1055"/>
      <c r="MDF3" s="1055"/>
      <c r="MDG3" s="1055"/>
      <c r="MDH3" s="1055"/>
      <c r="MDI3" s="1055"/>
      <c r="MDJ3" s="1055"/>
      <c r="MDK3" s="1055"/>
      <c r="MDL3" s="1055"/>
      <c r="MDM3" s="1055"/>
      <c r="MDN3" s="1055"/>
      <c r="MDO3" s="1055"/>
      <c r="MDP3" s="1055"/>
      <c r="MDQ3" s="1055"/>
      <c r="MDR3" s="1055"/>
      <c r="MDS3" s="1055"/>
      <c r="MDT3" s="1055"/>
      <c r="MDU3" s="1055"/>
      <c r="MDV3" s="1055"/>
      <c r="MDW3" s="1055"/>
      <c r="MDX3" s="1055"/>
      <c r="MDY3" s="1055"/>
      <c r="MDZ3" s="1055"/>
      <c r="MEA3" s="1055"/>
      <c r="MEB3" s="1055"/>
      <c r="MEC3" s="1055"/>
      <c r="MED3" s="1055"/>
      <c r="MEE3" s="1055"/>
      <c r="MEF3" s="1055"/>
      <c r="MEG3" s="1055"/>
      <c r="MEH3" s="1055"/>
      <c r="MEI3" s="1055"/>
      <c r="MEJ3" s="1055"/>
      <c r="MEK3" s="1055"/>
      <c r="MEL3" s="1055"/>
      <c r="MEM3" s="1055"/>
      <c r="MEN3" s="1055"/>
      <c r="MEO3" s="1055"/>
      <c r="MEP3" s="1055"/>
      <c r="MEQ3" s="1055"/>
      <c r="MER3" s="1055"/>
      <c r="MES3" s="1055"/>
      <c r="MET3" s="1055"/>
      <c r="MEU3" s="1055"/>
      <c r="MEV3" s="1055"/>
      <c r="MEW3" s="1055"/>
      <c r="MEX3" s="1055"/>
      <c r="MEY3" s="1055"/>
      <c r="MEZ3" s="1055"/>
      <c r="MFA3" s="1055"/>
      <c r="MFB3" s="1055"/>
      <c r="MFC3" s="1055"/>
      <c r="MFD3" s="1055"/>
      <c r="MFE3" s="1055"/>
      <c r="MFF3" s="1055"/>
      <c r="MFG3" s="1055"/>
      <c r="MFH3" s="1055"/>
      <c r="MFI3" s="1055"/>
      <c r="MFJ3" s="1055"/>
      <c r="MFK3" s="1055"/>
      <c r="MFL3" s="1055"/>
      <c r="MFM3" s="1055"/>
      <c r="MFN3" s="1055"/>
      <c r="MFO3" s="1055"/>
      <c r="MFP3" s="1055"/>
      <c r="MFQ3" s="1055"/>
      <c r="MFR3" s="1055"/>
      <c r="MFS3" s="1055"/>
      <c r="MFT3" s="1055"/>
      <c r="MFU3" s="1055"/>
      <c r="MFV3" s="1055"/>
      <c r="MFW3" s="1055"/>
      <c r="MFX3" s="1055"/>
      <c r="MFY3" s="1055"/>
      <c r="MFZ3" s="1055"/>
      <c r="MGA3" s="1055"/>
      <c r="MGB3" s="1055"/>
      <c r="MGC3" s="1055"/>
      <c r="MGD3" s="1055"/>
      <c r="MGE3" s="1055"/>
      <c r="MGF3" s="1055"/>
      <c r="MGG3" s="1055"/>
      <c r="MGH3" s="1055"/>
      <c r="MGI3" s="1055"/>
      <c r="MGJ3" s="1055"/>
      <c r="MGK3" s="1055"/>
      <c r="MGL3" s="1055"/>
      <c r="MGM3" s="1055"/>
      <c r="MGN3" s="1055"/>
      <c r="MGO3" s="1055"/>
      <c r="MGP3" s="1055"/>
      <c r="MGQ3" s="1055"/>
      <c r="MGR3" s="1055"/>
      <c r="MGS3" s="1055"/>
      <c r="MGT3" s="1055"/>
      <c r="MGU3" s="1055"/>
      <c r="MGV3" s="1055"/>
      <c r="MGW3" s="1055"/>
      <c r="MGX3" s="1055"/>
      <c r="MGY3" s="1055"/>
      <c r="MGZ3" s="1055"/>
      <c r="MHA3" s="1055"/>
      <c r="MHB3" s="1055"/>
      <c r="MHC3" s="1055"/>
      <c r="MHD3" s="1055"/>
      <c r="MHE3" s="1055"/>
      <c r="MHF3" s="1055"/>
      <c r="MHG3" s="1055"/>
      <c r="MHH3" s="1055"/>
      <c r="MHI3" s="1055"/>
      <c r="MHJ3" s="1055"/>
      <c r="MHK3" s="1055"/>
      <c r="MHL3" s="1055"/>
      <c r="MHM3" s="1055"/>
      <c r="MHN3" s="1055"/>
      <c r="MHO3" s="1055"/>
      <c r="MHP3" s="1055"/>
      <c r="MHQ3" s="1055"/>
      <c r="MHR3" s="1055"/>
      <c r="MHS3" s="1055"/>
      <c r="MHT3" s="1055"/>
      <c r="MHU3" s="1055"/>
      <c r="MHV3" s="1055"/>
      <c r="MHW3" s="1055"/>
      <c r="MHX3" s="1055"/>
      <c r="MHY3" s="1055"/>
      <c r="MHZ3" s="1055"/>
      <c r="MIA3" s="1055"/>
      <c r="MIB3" s="1055"/>
      <c r="MIC3" s="1055"/>
      <c r="MID3" s="1055"/>
      <c r="MIE3" s="1055"/>
      <c r="MIF3" s="1055"/>
      <c r="MIG3" s="1055"/>
      <c r="MIH3" s="1055"/>
      <c r="MII3" s="1055"/>
      <c r="MIJ3" s="1055"/>
      <c r="MIK3" s="1055"/>
      <c r="MIL3" s="1055"/>
      <c r="MIM3" s="1055"/>
      <c r="MIN3" s="1055"/>
      <c r="MIO3" s="1055"/>
      <c r="MIP3" s="1055"/>
      <c r="MIQ3" s="1055"/>
      <c r="MIR3" s="1055"/>
      <c r="MIS3" s="1055"/>
      <c r="MIT3" s="1055"/>
      <c r="MIU3" s="1055"/>
      <c r="MIV3" s="1055"/>
      <c r="MIW3" s="1055"/>
      <c r="MIX3" s="1055"/>
      <c r="MIY3" s="1055"/>
      <c r="MIZ3" s="1055"/>
      <c r="MJA3" s="1055"/>
      <c r="MJB3" s="1055"/>
      <c r="MJC3" s="1055"/>
      <c r="MJD3" s="1055"/>
      <c r="MJE3" s="1055"/>
      <c r="MJF3" s="1055"/>
      <c r="MJG3" s="1055"/>
      <c r="MJH3" s="1055"/>
      <c r="MJI3" s="1055"/>
      <c r="MJJ3" s="1055"/>
      <c r="MJK3" s="1055"/>
      <c r="MJL3" s="1055"/>
      <c r="MJM3" s="1055"/>
      <c r="MJN3" s="1055"/>
      <c r="MJO3" s="1055"/>
      <c r="MJP3" s="1055"/>
      <c r="MJQ3" s="1055"/>
      <c r="MJR3" s="1055"/>
      <c r="MJS3" s="1055"/>
      <c r="MJT3" s="1055"/>
      <c r="MJU3" s="1055"/>
      <c r="MJV3" s="1055"/>
      <c r="MJW3" s="1055"/>
      <c r="MJX3" s="1055"/>
      <c r="MJY3" s="1055"/>
      <c r="MJZ3" s="1055"/>
      <c r="MKA3" s="1055"/>
      <c r="MKB3" s="1055"/>
      <c r="MKC3" s="1055"/>
      <c r="MKD3" s="1055"/>
      <c r="MKE3" s="1055"/>
      <c r="MKF3" s="1055"/>
      <c r="MKG3" s="1055"/>
      <c r="MKH3" s="1055"/>
      <c r="MKI3" s="1055"/>
      <c r="MKJ3" s="1055"/>
      <c r="MKK3" s="1055"/>
      <c r="MKL3" s="1055"/>
      <c r="MKM3" s="1055"/>
      <c r="MKN3" s="1055"/>
      <c r="MKO3" s="1055"/>
      <c r="MKP3" s="1055"/>
      <c r="MKQ3" s="1055"/>
      <c r="MKR3" s="1055"/>
      <c r="MKS3" s="1055"/>
      <c r="MKT3" s="1055"/>
      <c r="MKU3" s="1055"/>
      <c r="MKV3" s="1055"/>
      <c r="MKW3" s="1055"/>
      <c r="MKX3" s="1055"/>
      <c r="MKY3" s="1055"/>
      <c r="MKZ3" s="1055"/>
      <c r="MLA3" s="1055"/>
      <c r="MLB3" s="1055"/>
      <c r="MLC3" s="1055"/>
      <c r="MLD3" s="1055"/>
      <c r="MLE3" s="1055"/>
      <c r="MLF3" s="1055"/>
      <c r="MLG3" s="1055"/>
      <c r="MLH3" s="1055"/>
      <c r="MLI3" s="1055"/>
      <c r="MLJ3" s="1055"/>
      <c r="MLK3" s="1055"/>
      <c r="MLL3" s="1055"/>
      <c r="MLM3" s="1055"/>
      <c r="MLN3" s="1055"/>
      <c r="MLO3" s="1055"/>
      <c r="MLP3" s="1055"/>
      <c r="MLQ3" s="1055"/>
      <c r="MLR3" s="1055"/>
      <c r="MLS3" s="1055"/>
      <c r="MLT3" s="1055"/>
      <c r="MLU3" s="1055"/>
      <c r="MLV3" s="1055"/>
      <c r="MLW3" s="1055"/>
      <c r="MLX3" s="1055"/>
      <c r="MLY3" s="1055"/>
      <c r="MLZ3" s="1055"/>
      <c r="MMA3" s="1055"/>
      <c r="MMB3" s="1055"/>
      <c r="MMC3" s="1055"/>
      <c r="MMD3" s="1055"/>
      <c r="MME3" s="1055"/>
      <c r="MMF3" s="1055"/>
      <c r="MMG3" s="1055"/>
      <c r="MMH3" s="1055"/>
      <c r="MMI3" s="1055"/>
      <c r="MMJ3" s="1055"/>
      <c r="MMK3" s="1055"/>
      <c r="MML3" s="1055"/>
      <c r="MMM3" s="1055"/>
      <c r="MMN3" s="1055"/>
      <c r="MMO3" s="1055"/>
      <c r="MMP3" s="1055"/>
      <c r="MMQ3" s="1055"/>
      <c r="MMR3" s="1055"/>
      <c r="MMS3" s="1055"/>
      <c r="MMT3" s="1055"/>
      <c r="MMU3" s="1055"/>
      <c r="MMV3" s="1055"/>
      <c r="MMW3" s="1055"/>
      <c r="MMX3" s="1055"/>
      <c r="MMY3" s="1055"/>
      <c r="MMZ3" s="1055"/>
      <c r="MNA3" s="1055"/>
      <c r="MNB3" s="1055"/>
      <c r="MNC3" s="1055"/>
      <c r="MND3" s="1055"/>
      <c r="MNE3" s="1055"/>
      <c r="MNF3" s="1055"/>
      <c r="MNG3" s="1055"/>
      <c r="MNH3" s="1055"/>
      <c r="MNI3" s="1055"/>
      <c r="MNJ3" s="1055"/>
      <c r="MNK3" s="1055"/>
      <c r="MNL3" s="1055"/>
      <c r="MNM3" s="1055"/>
      <c r="MNN3" s="1055"/>
      <c r="MNO3" s="1055"/>
      <c r="MNP3" s="1055"/>
      <c r="MNQ3" s="1055"/>
      <c r="MNR3" s="1055"/>
      <c r="MNS3" s="1055"/>
      <c r="MNT3" s="1055"/>
      <c r="MNU3" s="1055"/>
      <c r="MNV3" s="1055"/>
      <c r="MNW3" s="1055"/>
      <c r="MNX3" s="1055"/>
      <c r="MNY3" s="1055"/>
      <c r="MNZ3" s="1055"/>
      <c r="MOA3" s="1055"/>
      <c r="MOB3" s="1055"/>
      <c r="MOC3" s="1055"/>
      <c r="MOD3" s="1055"/>
      <c r="MOE3" s="1055"/>
      <c r="MOF3" s="1055"/>
      <c r="MOG3" s="1055"/>
      <c r="MOH3" s="1055"/>
      <c r="MOI3" s="1055"/>
      <c r="MOJ3" s="1055"/>
      <c r="MOK3" s="1055"/>
      <c r="MOL3" s="1055"/>
      <c r="MOM3" s="1055"/>
      <c r="MON3" s="1055"/>
      <c r="MOO3" s="1055"/>
      <c r="MOP3" s="1055"/>
      <c r="MOQ3" s="1055"/>
      <c r="MOR3" s="1055"/>
      <c r="MOS3" s="1055"/>
      <c r="MOT3" s="1055"/>
      <c r="MOU3" s="1055"/>
      <c r="MOV3" s="1055"/>
      <c r="MOW3" s="1055"/>
      <c r="MOX3" s="1055"/>
      <c r="MOY3" s="1055"/>
      <c r="MOZ3" s="1055"/>
      <c r="MPA3" s="1055"/>
      <c r="MPB3" s="1055"/>
      <c r="MPC3" s="1055"/>
      <c r="MPD3" s="1055"/>
      <c r="MPE3" s="1055"/>
      <c r="MPF3" s="1055"/>
      <c r="MPG3" s="1055"/>
      <c r="MPH3" s="1055"/>
      <c r="MPI3" s="1055"/>
      <c r="MPJ3" s="1055"/>
      <c r="MPK3" s="1055"/>
      <c r="MPL3" s="1055"/>
      <c r="MPM3" s="1055"/>
      <c r="MPN3" s="1055"/>
      <c r="MPO3" s="1055"/>
      <c r="MPP3" s="1055"/>
      <c r="MPQ3" s="1055"/>
      <c r="MPR3" s="1055"/>
      <c r="MPS3" s="1055"/>
      <c r="MPT3" s="1055"/>
      <c r="MPU3" s="1055"/>
      <c r="MPV3" s="1055"/>
      <c r="MPW3" s="1055"/>
      <c r="MPX3" s="1055"/>
      <c r="MPY3" s="1055"/>
      <c r="MPZ3" s="1055"/>
      <c r="MQA3" s="1055"/>
      <c r="MQB3" s="1055"/>
      <c r="MQC3" s="1055"/>
      <c r="MQD3" s="1055"/>
      <c r="MQE3" s="1055"/>
      <c r="MQF3" s="1055"/>
      <c r="MQG3" s="1055"/>
      <c r="MQH3" s="1055"/>
      <c r="MQI3" s="1055"/>
      <c r="MQJ3" s="1055"/>
      <c r="MQK3" s="1055"/>
      <c r="MQL3" s="1055"/>
      <c r="MQM3" s="1055"/>
      <c r="MQN3" s="1055"/>
      <c r="MQO3" s="1055"/>
      <c r="MQP3" s="1055"/>
      <c r="MQQ3" s="1055"/>
      <c r="MQR3" s="1055"/>
      <c r="MQS3" s="1055"/>
      <c r="MQT3" s="1055"/>
      <c r="MQU3" s="1055"/>
      <c r="MQV3" s="1055"/>
      <c r="MQW3" s="1055"/>
      <c r="MQX3" s="1055"/>
      <c r="MQY3" s="1055"/>
      <c r="MQZ3" s="1055"/>
      <c r="MRA3" s="1055"/>
      <c r="MRB3" s="1055"/>
      <c r="MRC3" s="1055"/>
      <c r="MRD3" s="1055"/>
      <c r="MRE3" s="1055"/>
      <c r="MRF3" s="1055"/>
      <c r="MRG3" s="1055"/>
      <c r="MRH3" s="1055"/>
      <c r="MRI3" s="1055"/>
      <c r="MRJ3" s="1055"/>
      <c r="MRK3" s="1055"/>
      <c r="MRL3" s="1055"/>
      <c r="MRM3" s="1055"/>
      <c r="MRN3" s="1055"/>
      <c r="MRO3" s="1055"/>
      <c r="MRP3" s="1055"/>
      <c r="MRQ3" s="1055"/>
      <c r="MRR3" s="1055"/>
      <c r="MRS3" s="1055"/>
      <c r="MRT3" s="1055"/>
      <c r="MRU3" s="1055"/>
      <c r="MRV3" s="1055"/>
      <c r="MRW3" s="1055"/>
      <c r="MRX3" s="1055"/>
      <c r="MRY3" s="1055"/>
      <c r="MRZ3" s="1055"/>
      <c r="MSA3" s="1055"/>
      <c r="MSB3" s="1055"/>
      <c r="MSC3" s="1055"/>
      <c r="MSD3" s="1055"/>
      <c r="MSE3" s="1055"/>
      <c r="MSF3" s="1055"/>
      <c r="MSG3" s="1055"/>
      <c r="MSH3" s="1055"/>
      <c r="MSI3" s="1055"/>
      <c r="MSJ3" s="1055"/>
      <c r="MSK3" s="1055"/>
      <c r="MSL3" s="1055"/>
      <c r="MSM3" s="1055"/>
      <c r="MSN3" s="1055"/>
      <c r="MSO3" s="1055"/>
      <c r="MSP3" s="1055"/>
      <c r="MSQ3" s="1055"/>
      <c r="MSR3" s="1055"/>
      <c r="MSS3" s="1055"/>
      <c r="MST3" s="1055"/>
      <c r="MSU3" s="1055"/>
      <c r="MSV3" s="1055"/>
      <c r="MSW3" s="1055"/>
      <c r="MSX3" s="1055"/>
      <c r="MSY3" s="1055"/>
      <c r="MSZ3" s="1055"/>
      <c r="MTA3" s="1055"/>
      <c r="MTB3" s="1055"/>
      <c r="MTC3" s="1055"/>
      <c r="MTD3" s="1055"/>
      <c r="MTE3" s="1055"/>
      <c r="MTF3" s="1055"/>
      <c r="MTG3" s="1055"/>
      <c r="MTH3" s="1055"/>
      <c r="MTI3" s="1055"/>
      <c r="MTJ3" s="1055"/>
      <c r="MTK3" s="1055"/>
      <c r="MTL3" s="1055"/>
      <c r="MTM3" s="1055"/>
      <c r="MTN3" s="1055"/>
      <c r="MTO3" s="1055"/>
      <c r="MTP3" s="1055"/>
      <c r="MTQ3" s="1055"/>
      <c r="MTR3" s="1055"/>
      <c r="MTS3" s="1055"/>
      <c r="MTT3" s="1055"/>
      <c r="MTU3" s="1055"/>
      <c r="MTV3" s="1055"/>
      <c r="MTW3" s="1055"/>
      <c r="MTX3" s="1055"/>
      <c r="MTY3" s="1055"/>
      <c r="MTZ3" s="1055"/>
      <c r="MUA3" s="1055"/>
      <c r="MUB3" s="1055"/>
      <c r="MUC3" s="1055"/>
      <c r="MUD3" s="1055"/>
      <c r="MUE3" s="1055"/>
      <c r="MUF3" s="1055"/>
      <c r="MUG3" s="1055"/>
      <c r="MUH3" s="1055"/>
      <c r="MUI3" s="1055"/>
      <c r="MUJ3" s="1055"/>
      <c r="MUK3" s="1055"/>
      <c r="MUL3" s="1055"/>
      <c r="MUM3" s="1055"/>
      <c r="MUN3" s="1055"/>
      <c r="MUO3" s="1055"/>
      <c r="MUP3" s="1055"/>
      <c r="MUQ3" s="1055"/>
      <c r="MUR3" s="1055"/>
      <c r="MUS3" s="1055"/>
      <c r="MUT3" s="1055"/>
      <c r="MUU3" s="1055"/>
      <c r="MUV3" s="1055"/>
      <c r="MUW3" s="1055"/>
      <c r="MUX3" s="1055"/>
      <c r="MUY3" s="1055"/>
      <c r="MUZ3" s="1055"/>
      <c r="MVA3" s="1055"/>
      <c r="MVB3" s="1055"/>
      <c r="MVC3" s="1055"/>
      <c r="MVD3" s="1055"/>
      <c r="MVE3" s="1055"/>
      <c r="MVF3" s="1055"/>
      <c r="MVG3" s="1055"/>
      <c r="MVH3" s="1055"/>
      <c r="MVI3" s="1055"/>
      <c r="MVJ3" s="1055"/>
      <c r="MVK3" s="1055"/>
      <c r="MVL3" s="1055"/>
      <c r="MVM3" s="1055"/>
      <c r="MVN3" s="1055"/>
      <c r="MVO3" s="1055"/>
      <c r="MVP3" s="1055"/>
      <c r="MVQ3" s="1055"/>
      <c r="MVR3" s="1055"/>
      <c r="MVS3" s="1055"/>
      <c r="MVT3" s="1055"/>
      <c r="MVU3" s="1055"/>
      <c r="MVV3" s="1055"/>
      <c r="MVW3" s="1055"/>
      <c r="MVX3" s="1055"/>
      <c r="MVY3" s="1055"/>
      <c r="MVZ3" s="1055"/>
      <c r="MWA3" s="1055"/>
      <c r="MWB3" s="1055"/>
      <c r="MWC3" s="1055"/>
      <c r="MWD3" s="1055"/>
      <c r="MWE3" s="1055"/>
      <c r="MWF3" s="1055"/>
      <c r="MWG3" s="1055"/>
      <c r="MWH3" s="1055"/>
      <c r="MWI3" s="1055"/>
      <c r="MWJ3" s="1055"/>
      <c r="MWK3" s="1055"/>
      <c r="MWL3" s="1055"/>
      <c r="MWM3" s="1055"/>
      <c r="MWN3" s="1055"/>
      <c r="MWO3" s="1055"/>
      <c r="MWP3" s="1055"/>
      <c r="MWQ3" s="1055"/>
      <c r="MWR3" s="1055"/>
      <c r="MWS3" s="1055"/>
      <c r="MWT3" s="1055"/>
      <c r="MWU3" s="1055"/>
      <c r="MWV3" s="1055"/>
      <c r="MWW3" s="1055"/>
      <c r="MWX3" s="1055"/>
      <c r="MWY3" s="1055"/>
      <c r="MWZ3" s="1055"/>
      <c r="MXA3" s="1055"/>
      <c r="MXB3" s="1055"/>
      <c r="MXC3" s="1055"/>
      <c r="MXD3" s="1055"/>
      <c r="MXE3" s="1055"/>
      <c r="MXF3" s="1055"/>
      <c r="MXG3" s="1055"/>
      <c r="MXH3" s="1055"/>
      <c r="MXI3" s="1055"/>
      <c r="MXJ3" s="1055"/>
      <c r="MXK3" s="1055"/>
      <c r="MXL3" s="1055"/>
      <c r="MXM3" s="1055"/>
      <c r="MXN3" s="1055"/>
      <c r="MXO3" s="1055"/>
      <c r="MXP3" s="1055"/>
      <c r="MXQ3" s="1055"/>
      <c r="MXR3" s="1055"/>
      <c r="MXS3" s="1055"/>
      <c r="MXT3" s="1055"/>
      <c r="MXU3" s="1055"/>
      <c r="MXV3" s="1055"/>
      <c r="MXW3" s="1055"/>
      <c r="MXX3" s="1055"/>
      <c r="MXY3" s="1055"/>
      <c r="MXZ3" s="1055"/>
      <c r="MYA3" s="1055"/>
      <c r="MYB3" s="1055"/>
      <c r="MYC3" s="1055"/>
      <c r="MYD3" s="1055"/>
      <c r="MYE3" s="1055"/>
      <c r="MYF3" s="1055"/>
      <c r="MYG3" s="1055"/>
      <c r="MYH3" s="1055"/>
      <c r="MYI3" s="1055"/>
      <c r="MYJ3" s="1055"/>
      <c r="MYK3" s="1055"/>
      <c r="MYL3" s="1055"/>
      <c r="MYM3" s="1055"/>
      <c r="MYN3" s="1055"/>
      <c r="MYO3" s="1055"/>
      <c r="MYP3" s="1055"/>
      <c r="MYQ3" s="1055"/>
      <c r="MYR3" s="1055"/>
      <c r="MYS3" s="1055"/>
      <c r="MYT3" s="1055"/>
      <c r="MYU3" s="1055"/>
      <c r="MYV3" s="1055"/>
      <c r="MYW3" s="1055"/>
      <c r="MYX3" s="1055"/>
      <c r="MYY3" s="1055"/>
      <c r="MYZ3" s="1055"/>
      <c r="MZA3" s="1055"/>
      <c r="MZB3" s="1055"/>
      <c r="MZC3" s="1055"/>
      <c r="MZD3" s="1055"/>
      <c r="MZE3" s="1055"/>
      <c r="MZF3" s="1055"/>
      <c r="MZG3" s="1055"/>
      <c r="MZH3" s="1055"/>
      <c r="MZI3" s="1055"/>
      <c r="MZJ3" s="1055"/>
      <c r="MZK3" s="1055"/>
      <c r="MZL3" s="1055"/>
      <c r="MZM3" s="1055"/>
      <c r="MZN3" s="1055"/>
      <c r="MZO3" s="1055"/>
      <c r="MZP3" s="1055"/>
      <c r="MZQ3" s="1055"/>
      <c r="MZR3" s="1055"/>
      <c r="MZS3" s="1055"/>
      <c r="MZT3" s="1055"/>
      <c r="MZU3" s="1055"/>
      <c r="MZV3" s="1055"/>
      <c r="MZW3" s="1055"/>
      <c r="MZX3" s="1055"/>
      <c r="MZY3" s="1055"/>
      <c r="MZZ3" s="1055"/>
      <c r="NAA3" s="1055"/>
      <c r="NAB3" s="1055"/>
      <c r="NAC3" s="1055"/>
      <c r="NAD3" s="1055"/>
      <c r="NAE3" s="1055"/>
      <c r="NAF3" s="1055"/>
      <c r="NAG3" s="1055"/>
      <c r="NAH3" s="1055"/>
      <c r="NAI3" s="1055"/>
      <c r="NAJ3" s="1055"/>
      <c r="NAK3" s="1055"/>
      <c r="NAL3" s="1055"/>
      <c r="NAM3" s="1055"/>
      <c r="NAN3" s="1055"/>
      <c r="NAO3" s="1055"/>
      <c r="NAP3" s="1055"/>
      <c r="NAQ3" s="1055"/>
      <c r="NAR3" s="1055"/>
      <c r="NAS3" s="1055"/>
      <c r="NAT3" s="1055"/>
      <c r="NAU3" s="1055"/>
      <c r="NAV3" s="1055"/>
      <c r="NAW3" s="1055"/>
      <c r="NAX3" s="1055"/>
      <c r="NAY3" s="1055"/>
      <c r="NAZ3" s="1055"/>
      <c r="NBA3" s="1055"/>
      <c r="NBB3" s="1055"/>
      <c r="NBC3" s="1055"/>
      <c r="NBD3" s="1055"/>
      <c r="NBE3" s="1055"/>
      <c r="NBF3" s="1055"/>
      <c r="NBG3" s="1055"/>
      <c r="NBH3" s="1055"/>
      <c r="NBI3" s="1055"/>
      <c r="NBJ3" s="1055"/>
      <c r="NBK3" s="1055"/>
      <c r="NBL3" s="1055"/>
      <c r="NBM3" s="1055"/>
      <c r="NBN3" s="1055"/>
      <c r="NBO3" s="1055"/>
      <c r="NBP3" s="1055"/>
      <c r="NBQ3" s="1055"/>
      <c r="NBR3" s="1055"/>
      <c r="NBS3" s="1055"/>
      <c r="NBT3" s="1055"/>
      <c r="NBU3" s="1055"/>
      <c r="NBV3" s="1055"/>
      <c r="NBW3" s="1055"/>
      <c r="NBX3" s="1055"/>
      <c r="NBY3" s="1055"/>
      <c r="NBZ3" s="1055"/>
      <c r="NCA3" s="1055"/>
      <c r="NCB3" s="1055"/>
      <c r="NCC3" s="1055"/>
      <c r="NCD3" s="1055"/>
      <c r="NCE3" s="1055"/>
      <c r="NCF3" s="1055"/>
      <c r="NCG3" s="1055"/>
      <c r="NCH3" s="1055"/>
      <c r="NCI3" s="1055"/>
      <c r="NCJ3" s="1055"/>
      <c r="NCK3" s="1055"/>
      <c r="NCL3" s="1055"/>
      <c r="NCM3" s="1055"/>
      <c r="NCN3" s="1055"/>
      <c r="NCO3" s="1055"/>
      <c r="NCP3" s="1055"/>
      <c r="NCQ3" s="1055"/>
      <c r="NCR3" s="1055"/>
      <c r="NCS3" s="1055"/>
      <c r="NCT3" s="1055"/>
      <c r="NCU3" s="1055"/>
      <c r="NCV3" s="1055"/>
      <c r="NCW3" s="1055"/>
      <c r="NCX3" s="1055"/>
      <c r="NCY3" s="1055"/>
      <c r="NCZ3" s="1055"/>
      <c r="NDA3" s="1055"/>
      <c r="NDB3" s="1055"/>
      <c r="NDC3" s="1055"/>
      <c r="NDD3" s="1055"/>
      <c r="NDE3" s="1055"/>
      <c r="NDF3" s="1055"/>
      <c r="NDG3" s="1055"/>
      <c r="NDH3" s="1055"/>
      <c r="NDI3" s="1055"/>
      <c r="NDJ3" s="1055"/>
      <c r="NDK3" s="1055"/>
      <c r="NDL3" s="1055"/>
      <c r="NDM3" s="1055"/>
      <c r="NDN3" s="1055"/>
      <c r="NDO3" s="1055"/>
      <c r="NDP3" s="1055"/>
      <c r="NDQ3" s="1055"/>
      <c r="NDR3" s="1055"/>
      <c r="NDS3" s="1055"/>
      <c r="NDT3" s="1055"/>
      <c r="NDU3" s="1055"/>
      <c r="NDV3" s="1055"/>
      <c r="NDW3" s="1055"/>
      <c r="NDX3" s="1055"/>
      <c r="NDY3" s="1055"/>
      <c r="NDZ3" s="1055"/>
      <c r="NEA3" s="1055"/>
      <c r="NEB3" s="1055"/>
      <c r="NEC3" s="1055"/>
      <c r="NED3" s="1055"/>
      <c r="NEE3" s="1055"/>
      <c r="NEF3" s="1055"/>
      <c r="NEG3" s="1055"/>
      <c r="NEH3" s="1055"/>
      <c r="NEI3" s="1055"/>
      <c r="NEJ3" s="1055"/>
      <c r="NEK3" s="1055"/>
      <c r="NEL3" s="1055"/>
      <c r="NEM3" s="1055"/>
      <c r="NEN3" s="1055"/>
      <c r="NEO3" s="1055"/>
      <c r="NEP3" s="1055"/>
      <c r="NEQ3" s="1055"/>
      <c r="NER3" s="1055"/>
      <c r="NES3" s="1055"/>
      <c r="NET3" s="1055"/>
      <c r="NEU3" s="1055"/>
      <c r="NEV3" s="1055"/>
      <c r="NEW3" s="1055"/>
      <c r="NEX3" s="1055"/>
      <c r="NEY3" s="1055"/>
      <c r="NEZ3" s="1055"/>
      <c r="NFA3" s="1055"/>
      <c r="NFB3" s="1055"/>
      <c r="NFC3" s="1055"/>
      <c r="NFD3" s="1055"/>
      <c r="NFE3" s="1055"/>
      <c r="NFF3" s="1055"/>
      <c r="NFG3" s="1055"/>
      <c r="NFH3" s="1055"/>
      <c r="NFI3" s="1055"/>
      <c r="NFJ3" s="1055"/>
      <c r="NFK3" s="1055"/>
      <c r="NFL3" s="1055"/>
      <c r="NFM3" s="1055"/>
      <c r="NFN3" s="1055"/>
      <c r="NFO3" s="1055"/>
      <c r="NFP3" s="1055"/>
      <c r="NFQ3" s="1055"/>
      <c r="NFR3" s="1055"/>
      <c r="NFS3" s="1055"/>
      <c r="NFT3" s="1055"/>
      <c r="NFU3" s="1055"/>
      <c r="NFV3" s="1055"/>
      <c r="NFW3" s="1055"/>
      <c r="NFX3" s="1055"/>
      <c r="NFY3" s="1055"/>
      <c r="NFZ3" s="1055"/>
      <c r="NGA3" s="1055"/>
      <c r="NGB3" s="1055"/>
      <c r="NGC3" s="1055"/>
      <c r="NGD3" s="1055"/>
      <c r="NGE3" s="1055"/>
      <c r="NGF3" s="1055"/>
      <c r="NGG3" s="1055"/>
      <c r="NGH3" s="1055"/>
      <c r="NGI3" s="1055"/>
      <c r="NGJ3" s="1055"/>
      <c r="NGK3" s="1055"/>
      <c r="NGL3" s="1055"/>
      <c r="NGM3" s="1055"/>
      <c r="NGN3" s="1055"/>
      <c r="NGO3" s="1055"/>
      <c r="NGP3" s="1055"/>
      <c r="NGQ3" s="1055"/>
      <c r="NGR3" s="1055"/>
      <c r="NGS3" s="1055"/>
      <c r="NGT3" s="1055"/>
      <c r="NGU3" s="1055"/>
      <c r="NGV3" s="1055"/>
      <c r="NGW3" s="1055"/>
      <c r="NGX3" s="1055"/>
      <c r="NGY3" s="1055"/>
      <c r="NGZ3" s="1055"/>
      <c r="NHA3" s="1055"/>
      <c r="NHB3" s="1055"/>
      <c r="NHC3" s="1055"/>
      <c r="NHD3" s="1055"/>
      <c r="NHE3" s="1055"/>
      <c r="NHF3" s="1055"/>
      <c r="NHG3" s="1055"/>
      <c r="NHH3" s="1055"/>
      <c r="NHI3" s="1055"/>
      <c r="NHJ3" s="1055"/>
      <c r="NHK3" s="1055"/>
      <c r="NHL3" s="1055"/>
      <c r="NHM3" s="1055"/>
      <c r="NHN3" s="1055"/>
      <c r="NHO3" s="1055"/>
      <c r="NHP3" s="1055"/>
      <c r="NHQ3" s="1055"/>
      <c r="NHR3" s="1055"/>
      <c r="NHS3" s="1055"/>
      <c r="NHT3" s="1055"/>
      <c r="NHU3" s="1055"/>
      <c r="NHV3" s="1055"/>
      <c r="NHW3" s="1055"/>
      <c r="NHX3" s="1055"/>
      <c r="NHY3" s="1055"/>
      <c r="NHZ3" s="1055"/>
      <c r="NIA3" s="1055"/>
      <c r="NIB3" s="1055"/>
      <c r="NIC3" s="1055"/>
      <c r="NID3" s="1055"/>
      <c r="NIE3" s="1055"/>
      <c r="NIF3" s="1055"/>
      <c r="NIG3" s="1055"/>
      <c r="NIH3" s="1055"/>
      <c r="NII3" s="1055"/>
      <c r="NIJ3" s="1055"/>
      <c r="NIK3" s="1055"/>
      <c r="NIL3" s="1055"/>
      <c r="NIM3" s="1055"/>
      <c r="NIN3" s="1055"/>
      <c r="NIO3" s="1055"/>
      <c r="NIP3" s="1055"/>
      <c r="NIQ3" s="1055"/>
      <c r="NIR3" s="1055"/>
      <c r="NIS3" s="1055"/>
      <c r="NIT3" s="1055"/>
      <c r="NIU3" s="1055"/>
      <c r="NIV3" s="1055"/>
      <c r="NIW3" s="1055"/>
      <c r="NIX3" s="1055"/>
      <c r="NIY3" s="1055"/>
      <c r="NIZ3" s="1055"/>
      <c r="NJA3" s="1055"/>
      <c r="NJB3" s="1055"/>
      <c r="NJC3" s="1055"/>
      <c r="NJD3" s="1055"/>
      <c r="NJE3" s="1055"/>
      <c r="NJF3" s="1055"/>
      <c r="NJG3" s="1055"/>
      <c r="NJH3" s="1055"/>
      <c r="NJI3" s="1055"/>
      <c r="NJJ3" s="1055"/>
      <c r="NJK3" s="1055"/>
      <c r="NJL3" s="1055"/>
      <c r="NJM3" s="1055"/>
      <c r="NJN3" s="1055"/>
      <c r="NJO3" s="1055"/>
      <c r="NJP3" s="1055"/>
      <c r="NJQ3" s="1055"/>
      <c r="NJR3" s="1055"/>
      <c r="NJS3" s="1055"/>
      <c r="NJT3" s="1055"/>
      <c r="NJU3" s="1055"/>
      <c r="NJV3" s="1055"/>
      <c r="NJW3" s="1055"/>
      <c r="NJX3" s="1055"/>
      <c r="NJY3" s="1055"/>
      <c r="NJZ3" s="1055"/>
      <c r="NKA3" s="1055"/>
      <c r="NKB3" s="1055"/>
      <c r="NKC3" s="1055"/>
      <c r="NKD3" s="1055"/>
      <c r="NKE3" s="1055"/>
      <c r="NKF3" s="1055"/>
      <c r="NKG3" s="1055"/>
      <c r="NKH3" s="1055"/>
      <c r="NKI3" s="1055"/>
      <c r="NKJ3" s="1055"/>
      <c r="NKK3" s="1055"/>
      <c r="NKL3" s="1055"/>
      <c r="NKM3" s="1055"/>
      <c r="NKN3" s="1055"/>
      <c r="NKO3" s="1055"/>
      <c r="NKP3" s="1055"/>
      <c r="NKQ3" s="1055"/>
      <c r="NKR3" s="1055"/>
      <c r="NKS3" s="1055"/>
      <c r="NKT3" s="1055"/>
      <c r="NKU3" s="1055"/>
      <c r="NKV3" s="1055"/>
      <c r="NKW3" s="1055"/>
      <c r="NKX3" s="1055"/>
      <c r="NKY3" s="1055"/>
      <c r="NKZ3" s="1055"/>
      <c r="NLA3" s="1055"/>
      <c r="NLB3" s="1055"/>
      <c r="NLC3" s="1055"/>
      <c r="NLD3" s="1055"/>
      <c r="NLE3" s="1055"/>
      <c r="NLF3" s="1055"/>
      <c r="NLG3" s="1055"/>
      <c r="NLH3" s="1055"/>
      <c r="NLI3" s="1055"/>
      <c r="NLJ3" s="1055"/>
      <c r="NLK3" s="1055"/>
      <c r="NLL3" s="1055"/>
      <c r="NLM3" s="1055"/>
      <c r="NLN3" s="1055"/>
      <c r="NLO3" s="1055"/>
      <c r="NLP3" s="1055"/>
      <c r="NLQ3" s="1055"/>
      <c r="NLR3" s="1055"/>
      <c r="NLS3" s="1055"/>
      <c r="NLT3" s="1055"/>
      <c r="NLU3" s="1055"/>
      <c r="NLV3" s="1055"/>
      <c r="NLW3" s="1055"/>
      <c r="NLX3" s="1055"/>
      <c r="NLY3" s="1055"/>
      <c r="NLZ3" s="1055"/>
      <c r="NMA3" s="1055"/>
      <c r="NMB3" s="1055"/>
      <c r="NMC3" s="1055"/>
      <c r="NMD3" s="1055"/>
      <c r="NME3" s="1055"/>
      <c r="NMF3" s="1055"/>
      <c r="NMG3" s="1055"/>
      <c r="NMH3" s="1055"/>
      <c r="NMI3" s="1055"/>
      <c r="NMJ3" s="1055"/>
      <c r="NMK3" s="1055"/>
      <c r="NML3" s="1055"/>
      <c r="NMM3" s="1055"/>
      <c r="NMN3" s="1055"/>
      <c r="NMO3" s="1055"/>
      <c r="NMP3" s="1055"/>
      <c r="NMQ3" s="1055"/>
      <c r="NMR3" s="1055"/>
      <c r="NMS3" s="1055"/>
      <c r="NMT3" s="1055"/>
      <c r="NMU3" s="1055"/>
      <c r="NMV3" s="1055"/>
      <c r="NMW3" s="1055"/>
      <c r="NMX3" s="1055"/>
      <c r="NMY3" s="1055"/>
      <c r="NMZ3" s="1055"/>
      <c r="NNA3" s="1055"/>
      <c r="NNB3" s="1055"/>
      <c r="NNC3" s="1055"/>
      <c r="NND3" s="1055"/>
      <c r="NNE3" s="1055"/>
      <c r="NNF3" s="1055"/>
      <c r="NNG3" s="1055"/>
      <c r="NNH3" s="1055"/>
      <c r="NNI3" s="1055"/>
      <c r="NNJ3" s="1055"/>
      <c r="NNK3" s="1055"/>
      <c r="NNL3" s="1055"/>
      <c r="NNM3" s="1055"/>
      <c r="NNN3" s="1055"/>
      <c r="NNO3" s="1055"/>
      <c r="NNP3" s="1055"/>
      <c r="NNQ3" s="1055"/>
      <c r="NNR3" s="1055"/>
      <c r="NNS3" s="1055"/>
      <c r="NNT3" s="1055"/>
      <c r="NNU3" s="1055"/>
      <c r="NNV3" s="1055"/>
      <c r="NNW3" s="1055"/>
      <c r="NNX3" s="1055"/>
      <c r="NNY3" s="1055"/>
      <c r="NNZ3" s="1055"/>
      <c r="NOA3" s="1055"/>
      <c r="NOB3" s="1055"/>
      <c r="NOC3" s="1055"/>
      <c r="NOD3" s="1055"/>
      <c r="NOE3" s="1055"/>
      <c r="NOF3" s="1055"/>
      <c r="NOG3" s="1055"/>
      <c r="NOH3" s="1055"/>
      <c r="NOI3" s="1055"/>
      <c r="NOJ3" s="1055"/>
      <c r="NOK3" s="1055"/>
      <c r="NOL3" s="1055"/>
      <c r="NOM3" s="1055"/>
      <c r="NON3" s="1055"/>
      <c r="NOO3" s="1055"/>
      <c r="NOP3" s="1055"/>
      <c r="NOQ3" s="1055"/>
      <c r="NOR3" s="1055"/>
      <c r="NOS3" s="1055"/>
      <c r="NOT3" s="1055"/>
      <c r="NOU3" s="1055"/>
      <c r="NOV3" s="1055"/>
      <c r="NOW3" s="1055"/>
      <c r="NOX3" s="1055"/>
      <c r="NOY3" s="1055"/>
      <c r="NOZ3" s="1055"/>
      <c r="NPA3" s="1055"/>
      <c r="NPB3" s="1055"/>
      <c r="NPC3" s="1055"/>
      <c r="NPD3" s="1055"/>
      <c r="NPE3" s="1055"/>
      <c r="NPF3" s="1055"/>
      <c r="NPG3" s="1055"/>
      <c r="NPH3" s="1055"/>
      <c r="NPI3" s="1055"/>
      <c r="NPJ3" s="1055"/>
      <c r="NPK3" s="1055"/>
      <c r="NPL3" s="1055"/>
      <c r="NPM3" s="1055"/>
      <c r="NPN3" s="1055"/>
      <c r="NPO3" s="1055"/>
      <c r="NPP3" s="1055"/>
      <c r="NPQ3" s="1055"/>
      <c r="NPR3" s="1055"/>
      <c r="NPS3" s="1055"/>
      <c r="NPT3" s="1055"/>
      <c r="NPU3" s="1055"/>
      <c r="NPV3" s="1055"/>
      <c r="NPW3" s="1055"/>
      <c r="NPX3" s="1055"/>
      <c r="NPY3" s="1055"/>
      <c r="NPZ3" s="1055"/>
      <c r="NQA3" s="1055"/>
      <c r="NQB3" s="1055"/>
      <c r="NQC3" s="1055"/>
      <c r="NQD3" s="1055"/>
      <c r="NQE3" s="1055"/>
      <c r="NQF3" s="1055"/>
      <c r="NQG3" s="1055"/>
      <c r="NQH3" s="1055"/>
      <c r="NQI3" s="1055"/>
      <c r="NQJ3" s="1055"/>
      <c r="NQK3" s="1055"/>
      <c r="NQL3" s="1055"/>
      <c r="NQM3" s="1055"/>
      <c r="NQN3" s="1055"/>
      <c r="NQO3" s="1055"/>
      <c r="NQP3" s="1055"/>
      <c r="NQQ3" s="1055"/>
      <c r="NQR3" s="1055"/>
      <c r="NQS3" s="1055"/>
      <c r="NQT3" s="1055"/>
      <c r="NQU3" s="1055"/>
      <c r="NQV3" s="1055"/>
      <c r="NQW3" s="1055"/>
      <c r="NQX3" s="1055"/>
      <c r="NQY3" s="1055"/>
      <c r="NQZ3" s="1055"/>
      <c r="NRA3" s="1055"/>
      <c r="NRB3" s="1055"/>
      <c r="NRC3" s="1055"/>
      <c r="NRD3" s="1055"/>
      <c r="NRE3" s="1055"/>
      <c r="NRF3" s="1055"/>
      <c r="NRG3" s="1055"/>
      <c r="NRH3" s="1055"/>
      <c r="NRI3" s="1055"/>
      <c r="NRJ3" s="1055"/>
      <c r="NRK3" s="1055"/>
      <c r="NRL3" s="1055"/>
      <c r="NRM3" s="1055"/>
      <c r="NRN3" s="1055"/>
      <c r="NRO3" s="1055"/>
      <c r="NRP3" s="1055"/>
      <c r="NRQ3" s="1055"/>
      <c r="NRR3" s="1055"/>
      <c r="NRS3" s="1055"/>
      <c r="NRT3" s="1055"/>
      <c r="NRU3" s="1055"/>
      <c r="NRV3" s="1055"/>
      <c r="NRW3" s="1055"/>
      <c r="NRX3" s="1055"/>
      <c r="NRY3" s="1055"/>
      <c r="NRZ3" s="1055"/>
      <c r="NSA3" s="1055"/>
      <c r="NSB3" s="1055"/>
      <c r="NSC3" s="1055"/>
      <c r="NSD3" s="1055"/>
      <c r="NSE3" s="1055"/>
      <c r="NSF3" s="1055"/>
      <c r="NSG3" s="1055"/>
      <c r="NSH3" s="1055"/>
      <c r="NSI3" s="1055"/>
      <c r="NSJ3" s="1055"/>
      <c r="NSK3" s="1055"/>
      <c r="NSL3" s="1055"/>
      <c r="NSM3" s="1055"/>
      <c r="NSN3" s="1055"/>
      <c r="NSO3" s="1055"/>
      <c r="NSP3" s="1055"/>
      <c r="NSQ3" s="1055"/>
      <c r="NSR3" s="1055"/>
      <c r="NSS3" s="1055"/>
      <c r="NST3" s="1055"/>
      <c r="NSU3" s="1055"/>
      <c r="NSV3" s="1055"/>
      <c r="NSW3" s="1055"/>
      <c r="NSX3" s="1055"/>
      <c r="NSY3" s="1055"/>
      <c r="NSZ3" s="1055"/>
      <c r="NTA3" s="1055"/>
      <c r="NTB3" s="1055"/>
      <c r="NTC3" s="1055"/>
      <c r="NTD3" s="1055"/>
      <c r="NTE3" s="1055"/>
      <c r="NTF3" s="1055"/>
      <c r="NTG3" s="1055"/>
      <c r="NTH3" s="1055"/>
      <c r="NTI3" s="1055"/>
      <c r="NTJ3" s="1055"/>
      <c r="NTK3" s="1055"/>
      <c r="NTL3" s="1055"/>
      <c r="NTM3" s="1055"/>
      <c r="NTN3" s="1055"/>
      <c r="NTO3" s="1055"/>
      <c r="NTP3" s="1055"/>
      <c r="NTQ3" s="1055"/>
      <c r="NTR3" s="1055"/>
      <c r="NTS3" s="1055"/>
      <c r="NTT3" s="1055"/>
      <c r="NTU3" s="1055"/>
      <c r="NTV3" s="1055"/>
      <c r="NTW3" s="1055"/>
      <c r="NTX3" s="1055"/>
      <c r="NTY3" s="1055"/>
      <c r="NTZ3" s="1055"/>
      <c r="NUA3" s="1055"/>
      <c r="NUB3" s="1055"/>
      <c r="NUC3" s="1055"/>
      <c r="NUD3" s="1055"/>
      <c r="NUE3" s="1055"/>
      <c r="NUF3" s="1055"/>
      <c r="NUG3" s="1055"/>
      <c r="NUH3" s="1055"/>
      <c r="NUI3" s="1055"/>
      <c r="NUJ3" s="1055"/>
      <c r="NUK3" s="1055"/>
      <c r="NUL3" s="1055"/>
      <c r="NUM3" s="1055"/>
      <c r="NUN3" s="1055"/>
      <c r="NUO3" s="1055"/>
      <c r="NUP3" s="1055"/>
      <c r="NUQ3" s="1055"/>
      <c r="NUR3" s="1055"/>
      <c r="NUS3" s="1055"/>
      <c r="NUT3" s="1055"/>
      <c r="NUU3" s="1055"/>
      <c r="NUV3" s="1055"/>
      <c r="NUW3" s="1055"/>
      <c r="NUX3" s="1055"/>
      <c r="NUY3" s="1055"/>
      <c r="NUZ3" s="1055"/>
      <c r="NVA3" s="1055"/>
      <c r="NVB3" s="1055"/>
      <c r="NVC3" s="1055"/>
      <c r="NVD3" s="1055"/>
      <c r="NVE3" s="1055"/>
      <c r="NVF3" s="1055"/>
      <c r="NVG3" s="1055"/>
      <c r="NVH3" s="1055"/>
      <c r="NVI3" s="1055"/>
      <c r="NVJ3" s="1055"/>
      <c r="NVK3" s="1055"/>
      <c r="NVL3" s="1055"/>
      <c r="NVM3" s="1055"/>
      <c r="NVN3" s="1055"/>
      <c r="NVO3" s="1055"/>
      <c r="NVP3" s="1055"/>
      <c r="NVQ3" s="1055"/>
      <c r="NVR3" s="1055"/>
      <c r="NVS3" s="1055"/>
      <c r="NVT3" s="1055"/>
      <c r="NVU3" s="1055"/>
      <c r="NVV3" s="1055"/>
      <c r="NVW3" s="1055"/>
      <c r="NVX3" s="1055"/>
      <c r="NVY3" s="1055"/>
      <c r="NVZ3" s="1055"/>
      <c r="NWA3" s="1055"/>
      <c r="NWB3" s="1055"/>
      <c r="NWC3" s="1055"/>
      <c r="NWD3" s="1055"/>
      <c r="NWE3" s="1055"/>
      <c r="NWF3" s="1055"/>
      <c r="NWG3" s="1055"/>
      <c r="NWH3" s="1055"/>
      <c r="NWI3" s="1055"/>
      <c r="NWJ3" s="1055"/>
      <c r="NWK3" s="1055"/>
      <c r="NWL3" s="1055"/>
      <c r="NWM3" s="1055"/>
      <c r="NWN3" s="1055"/>
      <c r="NWO3" s="1055"/>
      <c r="NWP3" s="1055"/>
      <c r="NWQ3" s="1055"/>
      <c r="NWR3" s="1055"/>
      <c r="NWS3" s="1055"/>
      <c r="NWT3" s="1055"/>
      <c r="NWU3" s="1055"/>
      <c r="NWV3" s="1055"/>
      <c r="NWW3" s="1055"/>
      <c r="NWX3" s="1055"/>
      <c r="NWY3" s="1055"/>
      <c r="NWZ3" s="1055"/>
      <c r="NXA3" s="1055"/>
      <c r="NXB3" s="1055"/>
      <c r="NXC3" s="1055"/>
      <c r="NXD3" s="1055"/>
      <c r="NXE3" s="1055"/>
      <c r="NXF3" s="1055"/>
      <c r="NXG3" s="1055"/>
      <c r="NXH3" s="1055"/>
      <c r="NXI3" s="1055"/>
      <c r="NXJ3" s="1055"/>
      <c r="NXK3" s="1055"/>
      <c r="NXL3" s="1055"/>
      <c r="NXM3" s="1055"/>
      <c r="NXN3" s="1055"/>
      <c r="NXO3" s="1055"/>
      <c r="NXP3" s="1055"/>
      <c r="NXQ3" s="1055"/>
      <c r="NXR3" s="1055"/>
      <c r="NXS3" s="1055"/>
      <c r="NXT3" s="1055"/>
      <c r="NXU3" s="1055"/>
      <c r="NXV3" s="1055"/>
      <c r="NXW3" s="1055"/>
      <c r="NXX3" s="1055"/>
      <c r="NXY3" s="1055"/>
      <c r="NXZ3" s="1055"/>
      <c r="NYA3" s="1055"/>
      <c r="NYB3" s="1055"/>
      <c r="NYC3" s="1055"/>
      <c r="NYD3" s="1055"/>
      <c r="NYE3" s="1055"/>
      <c r="NYF3" s="1055"/>
      <c r="NYG3" s="1055"/>
      <c r="NYH3" s="1055"/>
      <c r="NYI3" s="1055"/>
      <c r="NYJ3" s="1055"/>
      <c r="NYK3" s="1055"/>
      <c r="NYL3" s="1055"/>
      <c r="NYM3" s="1055"/>
      <c r="NYN3" s="1055"/>
      <c r="NYO3" s="1055"/>
      <c r="NYP3" s="1055"/>
      <c r="NYQ3" s="1055"/>
      <c r="NYR3" s="1055"/>
      <c r="NYS3" s="1055"/>
      <c r="NYT3" s="1055"/>
      <c r="NYU3" s="1055"/>
      <c r="NYV3" s="1055"/>
      <c r="NYW3" s="1055"/>
      <c r="NYX3" s="1055"/>
      <c r="NYY3" s="1055"/>
      <c r="NYZ3" s="1055"/>
      <c r="NZA3" s="1055"/>
      <c r="NZB3" s="1055"/>
      <c r="NZC3" s="1055"/>
      <c r="NZD3" s="1055"/>
      <c r="NZE3" s="1055"/>
      <c r="NZF3" s="1055"/>
      <c r="NZG3" s="1055"/>
      <c r="NZH3" s="1055"/>
      <c r="NZI3" s="1055"/>
      <c r="NZJ3" s="1055"/>
      <c r="NZK3" s="1055"/>
      <c r="NZL3" s="1055"/>
      <c r="NZM3" s="1055"/>
      <c r="NZN3" s="1055"/>
      <c r="NZO3" s="1055"/>
      <c r="NZP3" s="1055"/>
      <c r="NZQ3" s="1055"/>
      <c r="NZR3" s="1055"/>
      <c r="NZS3" s="1055"/>
      <c r="NZT3" s="1055"/>
      <c r="NZU3" s="1055"/>
      <c r="NZV3" s="1055"/>
      <c r="NZW3" s="1055"/>
      <c r="NZX3" s="1055"/>
      <c r="NZY3" s="1055"/>
      <c r="NZZ3" s="1055"/>
      <c r="OAA3" s="1055"/>
      <c r="OAB3" s="1055"/>
      <c r="OAC3" s="1055"/>
      <c r="OAD3" s="1055"/>
      <c r="OAE3" s="1055"/>
      <c r="OAF3" s="1055"/>
      <c r="OAG3" s="1055"/>
      <c r="OAH3" s="1055"/>
      <c r="OAI3" s="1055"/>
      <c r="OAJ3" s="1055"/>
      <c r="OAK3" s="1055"/>
      <c r="OAL3" s="1055"/>
      <c r="OAM3" s="1055"/>
      <c r="OAN3" s="1055"/>
      <c r="OAO3" s="1055"/>
      <c r="OAP3" s="1055"/>
      <c r="OAQ3" s="1055"/>
      <c r="OAR3" s="1055"/>
      <c r="OAS3" s="1055"/>
      <c r="OAT3" s="1055"/>
      <c r="OAU3" s="1055"/>
      <c r="OAV3" s="1055"/>
      <c r="OAW3" s="1055"/>
      <c r="OAX3" s="1055"/>
      <c r="OAY3" s="1055"/>
      <c r="OAZ3" s="1055"/>
      <c r="OBA3" s="1055"/>
      <c r="OBB3" s="1055"/>
      <c r="OBC3" s="1055"/>
      <c r="OBD3" s="1055"/>
      <c r="OBE3" s="1055"/>
      <c r="OBF3" s="1055"/>
      <c r="OBG3" s="1055"/>
      <c r="OBH3" s="1055"/>
      <c r="OBI3" s="1055"/>
      <c r="OBJ3" s="1055"/>
      <c r="OBK3" s="1055"/>
      <c r="OBL3" s="1055"/>
      <c r="OBM3" s="1055"/>
      <c r="OBN3" s="1055"/>
      <c r="OBO3" s="1055"/>
      <c r="OBP3" s="1055"/>
      <c r="OBQ3" s="1055"/>
      <c r="OBR3" s="1055"/>
      <c r="OBS3" s="1055"/>
      <c r="OBT3" s="1055"/>
      <c r="OBU3" s="1055"/>
      <c r="OBV3" s="1055"/>
      <c r="OBW3" s="1055"/>
      <c r="OBX3" s="1055"/>
      <c r="OBY3" s="1055"/>
      <c r="OBZ3" s="1055"/>
      <c r="OCA3" s="1055"/>
      <c r="OCB3" s="1055"/>
      <c r="OCC3" s="1055"/>
      <c r="OCD3" s="1055"/>
      <c r="OCE3" s="1055"/>
      <c r="OCF3" s="1055"/>
      <c r="OCG3" s="1055"/>
      <c r="OCH3" s="1055"/>
      <c r="OCI3" s="1055"/>
      <c r="OCJ3" s="1055"/>
      <c r="OCK3" s="1055"/>
      <c r="OCL3" s="1055"/>
      <c r="OCM3" s="1055"/>
      <c r="OCN3" s="1055"/>
      <c r="OCO3" s="1055"/>
      <c r="OCP3" s="1055"/>
      <c r="OCQ3" s="1055"/>
      <c r="OCR3" s="1055"/>
      <c r="OCS3" s="1055"/>
      <c r="OCT3" s="1055"/>
      <c r="OCU3" s="1055"/>
      <c r="OCV3" s="1055"/>
      <c r="OCW3" s="1055"/>
      <c r="OCX3" s="1055"/>
      <c r="OCY3" s="1055"/>
      <c r="OCZ3" s="1055"/>
      <c r="ODA3" s="1055"/>
      <c r="ODB3" s="1055"/>
      <c r="ODC3" s="1055"/>
      <c r="ODD3" s="1055"/>
      <c r="ODE3" s="1055"/>
      <c r="ODF3" s="1055"/>
      <c r="ODG3" s="1055"/>
      <c r="ODH3" s="1055"/>
      <c r="ODI3" s="1055"/>
      <c r="ODJ3" s="1055"/>
      <c r="ODK3" s="1055"/>
      <c r="ODL3" s="1055"/>
      <c r="ODM3" s="1055"/>
      <c r="ODN3" s="1055"/>
      <c r="ODO3" s="1055"/>
      <c r="ODP3" s="1055"/>
      <c r="ODQ3" s="1055"/>
      <c r="ODR3" s="1055"/>
      <c r="ODS3" s="1055"/>
      <c r="ODT3" s="1055"/>
      <c r="ODU3" s="1055"/>
      <c r="ODV3" s="1055"/>
      <c r="ODW3" s="1055"/>
      <c r="ODX3" s="1055"/>
      <c r="ODY3" s="1055"/>
      <c r="ODZ3" s="1055"/>
      <c r="OEA3" s="1055"/>
      <c r="OEB3" s="1055"/>
      <c r="OEC3" s="1055"/>
      <c r="OED3" s="1055"/>
      <c r="OEE3" s="1055"/>
      <c r="OEF3" s="1055"/>
      <c r="OEG3" s="1055"/>
      <c r="OEH3" s="1055"/>
      <c r="OEI3" s="1055"/>
      <c r="OEJ3" s="1055"/>
      <c r="OEK3" s="1055"/>
      <c r="OEL3" s="1055"/>
      <c r="OEM3" s="1055"/>
      <c r="OEN3" s="1055"/>
      <c r="OEO3" s="1055"/>
      <c r="OEP3" s="1055"/>
      <c r="OEQ3" s="1055"/>
      <c r="OER3" s="1055"/>
      <c r="OES3" s="1055"/>
      <c r="OET3" s="1055"/>
      <c r="OEU3" s="1055"/>
      <c r="OEV3" s="1055"/>
      <c r="OEW3" s="1055"/>
      <c r="OEX3" s="1055"/>
      <c r="OEY3" s="1055"/>
      <c r="OEZ3" s="1055"/>
      <c r="OFA3" s="1055"/>
      <c r="OFB3" s="1055"/>
      <c r="OFC3" s="1055"/>
      <c r="OFD3" s="1055"/>
      <c r="OFE3" s="1055"/>
      <c r="OFF3" s="1055"/>
      <c r="OFG3" s="1055"/>
      <c r="OFH3" s="1055"/>
      <c r="OFI3" s="1055"/>
      <c r="OFJ3" s="1055"/>
      <c r="OFK3" s="1055"/>
      <c r="OFL3" s="1055"/>
      <c r="OFM3" s="1055"/>
      <c r="OFN3" s="1055"/>
      <c r="OFO3" s="1055"/>
      <c r="OFP3" s="1055"/>
      <c r="OFQ3" s="1055"/>
      <c r="OFR3" s="1055"/>
      <c r="OFS3" s="1055"/>
      <c r="OFT3" s="1055"/>
      <c r="OFU3" s="1055"/>
      <c r="OFV3" s="1055"/>
      <c r="OFW3" s="1055"/>
      <c r="OFX3" s="1055"/>
      <c r="OFY3" s="1055"/>
      <c r="OFZ3" s="1055"/>
      <c r="OGA3" s="1055"/>
      <c r="OGB3" s="1055"/>
      <c r="OGC3" s="1055"/>
      <c r="OGD3" s="1055"/>
      <c r="OGE3" s="1055"/>
      <c r="OGF3" s="1055"/>
      <c r="OGG3" s="1055"/>
      <c r="OGH3" s="1055"/>
      <c r="OGI3" s="1055"/>
      <c r="OGJ3" s="1055"/>
      <c r="OGK3" s="1055"/>
      <c r="OGL3" s="1055"/>
      <c r="OGM3" s="1055"/>
      <c r="OGN3" s="1055"/>
      <c r="OGO3" s="1055"/>
      <c r="OGP3" s="1055"/>
      <c r="OGQ3" s="1055"/>
      <c r="OGR3" s="1055"/>
      <c r="OGS3" s="1055"/>
      <c r="OGT3" s="1055"/>
      <c r="OGU3" s="1055"/>
      <c r="OGV3" s="1055"/>
      <c r="OGW3" s="1055"/>
      <c r="OGX3" s="1055"/>
      <c r="OGY3" s="1055"/>
      <c r="OGZ3" s="1055"/>
      <c r="OHA3" s="1055"/>
      <c r="OHB3" s="1055"/>
      <c r="OHC3" s="1055"/>
      <c r="OHD3" s="1055"/>
      <c r="OHE3" s="1055"/>
      <c r="OHF3" s="1055"/>
      <c r="OHG3" s="1055"/>
      <c r="OHH3" s="1055"/>
      <c r="OHI3" s="1055"/>
      <c r="OHJ3" s="1055"/>
      <c r="OHK3" s="1055"/>
      <c r="OHL3" s="1055"/>
      <c r="OHM3" s="1055"/>
      <c r="OHN3" s="1055"/>
      <c r="OHO3" s="1055"/>
      <c r="OHP3" s="1055"/>
      <c r="OHQ3" s="1055"/>
      <c r="OHR3" s="1055"/>
      <c r="OHS3" s="1055"/>
      <c r="OHT3" s="1055"/>
      <c r="OHU3" s="1055"/>
      <c r="OHV3" s="1055"/>
      <c r="OHW3" s="1055"/>
      <c r="OHX3" s="1055"/>
      <c r="OHY3" s="1055"/>
      <c r="OHZ3" s="1055"/>
      <c r="OIA3" s="1055"/>
      <c r="OIB3" s="1055"/>
      <c r="OIC3" s="1055"/>
      <c r="OID3" s="1055"/>
      <c r="OIE3" s="1055"/>
      <c r="OIF3" s="1055"/>
      <c r="OIG3" s="1055"/>
      <c r="OIH3" s="1055"/>
      <c r="OII3" s="1055"/>
      <c r="OIJ3" s="1055"/>
      <c r="OIK3" s="1055"/>
      <c r="OIL3" s="1055"/>
      <c r="OIM3" s="1055"/>
      <c r="OIN3" s="1055"/>
      <c r="OIO3" s="1055"/>
      <c r="OIP3" s="1055"/>
      <c r="OIQ3" s="1055"/>
      <c r="OIR3" s="1055"/>
      <c r="OIS3" s="1055"/>
      <c r="OIT3" s="1055"/>
      <c r="OIU3" s="1055"/>
      <c r="OIV3" s="1055"/>
      <c r="OIW3" s="1055"/>
      <c r="OIX3" s="1055"/>
      <c r="OIY3" s="1055"/>
      <c r="OIZ3" s="1055"/>
      <c r="OJA3" s="1055"/>
      <c r="OJB3" s="1055"/>
      <c r="OJC3" s="1055"/>
      <c r="OJD3" s="1055"/>
      <c r="OJE3" s="1055"/>
      <c r="OJF3" s="1055"/>
      <c r="OJG3" s="1055"/>
      <c r="OJH3" s="1055"/>
      <c r="OJI3" s="1055"/>
      <c r="OJJ3" s="1055"/>
      <c r="OJK3" s="1055"/>
      <c r="OJL3" s="1055"/>
      <c r="OJM3" s="1055"/>
      <c r="OJN3" s="1055"/>
      <c r="OJO3" s="1055"/>
      <c r="OJP3" s="1055"/>
      <c r="OJQ3" s="1055"/>
      <c r="OJR3" s="1055"/>
      <c r="OJS3" s="1055"/>
      <c r="OJT3" s="1055"/>
      <c r="OJU3" s="1055"/>
      <c r="OJV3" s="1055"/>
      <c r="OJW3" s="1055"/>
      <c r="OJX3" s="1055"/>
      <c r="OJY3" s="1055"/>
      <c r="OJZ3" s="1055"/>
      <c r="OKA3" s="1055"/>
      <c r="OKB3" s="1055"/>
      <c r="OKC3" s="1055"/>
      <c r="OKD3" s="1055"/>
      <c r="OKE3" s="1055"/>
      <c r="OKF3" s="1055"/>
      <c r="OKG3" s="1055"/>
      <c r="OKH3" s="1055"/>
      <c r="OKI3" s="1055"/>
      <c r="OKJ3" s="1055"/>
      <c r="OKK3" s="1055"/>
      <c r="OKL3" s="1055"/>
      <c r="OKM3" s="1055"/>
      <c r="OKN3" s="1055"/>
      <c r="OKO3" s="1055"/>
      <c r="OKP3" s="1055"/>
      <c r="OKQ3" s="1055"/>
      <c r="OKR3" s="1055"/>
      <c r="OKS3" s="1055"/>
      <c r="OKT3" s="1055"/>
      <c r="OKU3" s="1055"/>
      <c r="OKV3" s="1055"/>
      <c r="OKW3" s="1055"/>
      <c r="OKX3" s="1055"/>
      <c r="OKY3" s="1055"/>
      <c r="OKZ3" s="1055"/>
      <c r="OLA3" s="1055"/>
      <c r="OLB3" s="1055"/>
      <c r="OLC3" s="1055"/>
      <c r="OLD3" s="1055"/>
      <c r="OLE3" s="1055"/>
      <c r="OLF3" s="1055"/>
      <c r="OLG3" s="1055"/>
      <c r="OLH3" s="1055"/>
      <c r="OLI3" s="1055"/>
      <c r="OLJ3" s="1055"/>
      <c r="OLK3" s="1055"/>
      <c r="OLL3" s="1055"/>
      <c r="OLM3" s="1055"/>
      <c r="OLN3" s="1055"/>
      <c r="OLO3" s="1055"/>
      <c r="OLP3" s="1055"/>
      <c r="OLQ3" s="1055"/>
      <c r="OLR3" s="1055"/>
      <c r="OLS3" s="1055"/>
      <c r="OLT3" s="1055"/>
      <c r="OLU3" s="1055"/>
      <c r="OLV3" s="1055"/>
      <c r="OLW3" s="1055"/>
      <c r="OLX3" s="1055"/>
      <c r="OLY3" s="1055"/>
      <c r="OLZ3" s="1055"/>
      <c r="OMA3" s="1055"/>
      <c r="OMB3" s="1055"/>
      <c r="OMC3" s="1055"/>
      <c r="OMD3" s="1055"/>
      <c r="OME3" s="1055"/>
      <c r="OMF3" s="1055"/>
      <c r="OMG3" s="1055"/>
      <c r="OMH3" s="1055"/>
      <c r="OMI3" s="1055"/>
      <c r="OMJ3" s="1055"/>
      <c r="OMK3" s="1055"/>
      <c r="OML3" s="1055"/>
      <c r="OMM3" s="1055"/>
      <c r="OMN3" s="1055"/>
      <c r="OMO3" s="1055"/>
      <c r="OMP3" s="1055"/>
      <c r="OMQ3" s="1055"/>
      <c r="OMR3" s="1055"/>
      <c r="OMS3" s="1055"/>
      <c r="OMT3" s="1055"/>
      <c r="OMU3" s="1055"/>
      <c r="OMV3" s="1055"/>
      <c r="OMW3" s="1055"/>
      <c r="OMX3" s="1055"/>
      <c r="OMY3" s="1055"/>
      <c r="OMZ3" s="1055"/>
      <c r="ONA3" s="1055"/>
      <c r="ONB3" s="1055"/>
      <c r="ONC3" s="1055"/>
      <c r="OND3" s="1055"/>
      <c r="ONE3" s="1055"/>
      <c r="ONF3" s="1055"/>
      <c r="ONG3" s="1055"/>
      <c r="ONH3" s="1055"/>
      <c r="ONI3" s="1055"/>
      <c r="ONJ3" s="1055"/>
      <c r="ONK3" s="1055"/>
      <c r="ONL3" s="1055"/>
      <c r="ONM3" s="1055"/>
      <c r="ONN3" s="1055"/>
      <c r="ONO3" s="1055"/>
      <c r="ONP3" s="1055"/>
      <c r="ONQ3" s="1055"/>
      <c r="ONR3" s="1055"/>
      <c r="ONS3" s="1055"/>
      <c r="ONT3" s="1055"/>
      <c r="ONU3" s="1055"/>
      <c r="ONV3" s="1055"/>
      <c r="ONW3" s="1055"/>
      <c r="ONX3" s="1055"/>
      <c r="ONY3" s="1055"/>
      <c r="ONZ3" s="1055"/>
      <c r="OOA3" s="1055"/>
      <c r="OOB3" s="1055"/>
      <c r="OOC3" s="1055"/>
      <c r="OOD3" s="1055"/>
      <c r="OOE3" s="1055"/>
      <c r="OOF3" s="1055"/>
      <c r="OOG3" s="1055"/>
      <c r="OOH3" s="1055"/>
      <c r="OOI3" s="1055"/>
      <c r="OOJ3" s="1055"/>
      <c r="OOK3" s="1055"/>
      <c r="OOL3" s="1055"/>
      <c r="OOM3" s="1055"/>
      <c r="OON3" s="1055"/>
      <c r="OOO3" s="1055"/>
      <c r="OOP3" s="1055"/>
      <c r="OOQ3" s="1055"/>
      <c r="OOR3" s="1055"/>
      <c r="OOS3" s="1055"/>
      <c r="OOT3" s="1055"/>
      <c r="OOU3" s="1055"/>
      <c r="OOV3" s="1055"/>
      <c r="OOW3" s="1055"/>
      <c r="OOX3" s="1055"/>
      <c r="OOY3" s="1055"/>
      <c r="OOZ3" s="1055"/>
      <c r="OPA3" s="1055"/>
      <c r="OPB3" s="1055"/>
      <c r="OPC3" s="1055"/>
      <c r="OPD3" s="1055"/>
      <c r="OPE3" s="1055"/>
      <c r="OPF3" s="1055"/>
      <c r="OPG3" s="1055"/>
      <c r="OPH3" s="1055"/>
      <c r="OPI3" s="1055"/>
      <c r="OPJ3" s="1055"/>
      <c r="OPK3" s="1055"/>
      <c r="OPL3" s="1055"/>
      <c r="OPM3" s="1055"/>
      <c r="OPN3" s="1055"/>
      <c r="OPO3" s="1055"/>
      <c r="OPP3" s="1055"/>
      <c r="OPQ3" s="1055"/>
      <c r="OPR3" s="1055"/>
      <c r="OPS3" s="1055"/>
      <c r="OPT3" s="1055"/>
      <c r="OPU3" s="1055"/>
      <c r="OPV3" s="1055"/>
      <c r="OPW3" s="1055"/>
      <c r="OPX3" s="1055"/>
      <c r="OPY3" s="1055"/>
      <c r="OPZ3" s="1055"/>
      <c r="OQA3" s="1055"/>
      <c r="OQB3" s="1055"/>
      <c r="OQC3" s="1055"/>
      <c r="OQD3" s="1055"/>
      <c r="OQE3" s="1055"/>
      <c r="OQF3" s="1055"/>
      <c r="OQG3" s="1055"/>
      <c r="OQH3" s="1055"/>
      <c r="OQI3" s="1055"/>
      <c r="OQJ3" s="1055"/>
      <c r="OQK3" s="1055"/>
      <c r="OQL3" s="1055"/>
      <c r="OQM3" s="1055"/>
      <c r="OQN3" s="1055"/>
      <c r="OQO3" s="1055"/>
      <c r="OQP3" s="1055"/>
      <c r="OQQ3" s="1055"/>
      <c r="OQR3" s="1055"/>
      <c r="OQS3" s="1055"/>
      <c r="OQT3" s="1055"/>
      <c r="OQU3" s="1055"/>
      <c r="OQV3" s="1055"/>
      <c r="OQW3" s="1055"/>
      <c r="OQX3" s="1055"/>
      <c r="OQY3" s="1055"/>
      <c r="OQZ3" s="1055"/>
      <c r="ORA3" s="1055"/>
      <c r="ORB3" s="1055"/>
      <c r="ORC3" s="1055"/>
      <c r="ORD3" s="1055"/>
      <c r="ORE3" s="1055"/>
      <c r="ORF3" s="1055"/>
      <c r="ORG3" s="1055"/>
      <c r="ORH3" s="1055"/>
      <c r="ORI3" s="1055"/>
      <c r="ORJ3" s="1055"/>
      <c r="ORK3" s="1055"/>
      <c r="ORL3" s="1055"/>
      <c r="ORM3" s="1055"/>
      <c r="ORN3" s="1055"/>
      <c r="ORO3" s="1055"/>
      <c r="ORP3" s="1055"/>
      <c r="ORQ3" s="1055"/>
      <c r="ORR3" s="1055"/>
      <c r="ORS3" s="1055"/>
      <c r="ORT3" s="1055"/>
      <c r="ORU3" s="1055"/>
      <c r="ORV3" s="1055"/>
      <c r="ORW3" s="1055"/>
      <c r="ORX3" s="1055"/>
      <c r="ORY3" s="1055"/>
      <c r="ORZ3" s="1055"/>
      <c r="OSA3" s="1055"/>
      <c r="OSB3" s="1055"/>
      <c r="OSC3" s="1055"/>
      <c r="OSD3" s="1055"/>
      <c r="OSE3" s="1055"/>
      <c r="OSF3" s="1055"/>
      <c r="OSG3" s="1055"/>
      <c r="OSH3" s="1055"/>
      <c r="OSI3" s="1055"/>
      <c r="OSJ3" s="1055"/>
      <c r="OSK3" s="1055"/>
      <c r="OSL3" s="1055"/>
      <c r="OSM3" s="1055"/>
      <c r="OSN3" s="1055"/>
      <c r="OSO3" s="1055"/>
      <c r="OSP3" s="1055"/>
      <c r="OSQ3" s="1055"/>
      <c r="OSR3" s="1055"/>
      <c r="OSS3" s="1055"/>
      <c r="OST3" s="1055"/>
      <c r="OSU3" s="1055"/>
      <c r="OSV3" s="1055"/>
      <c r="OSW3" s="1055"/>
      <c r="OSX3" s="1055"/>
      <c r="OSY3" s="1055"/>
      <c r="OSZ3" s="1055"/>
      <c r="OTA3" s="1055"/>
      <c r="OTB3" s="1055"/>
      <c r="OTC3" s="1055"/>
      <c r="OTD3" s="1055"/>
      <c r="OTE3" s="1055"/>
      <c r="OTF3" s="1055"/>
      <c r="OTG3" s="1055"/>
      <c r="OTH3" s="1055"/>
      <c r="OTI3" s="1055"/>
      <c r="OTJ3" s="1055"/>
      <c r="OTK3" s="1055"/>
      <c r="OTL3" s="1055"/>
      <c r="OTM3" s="1055"/>
      <c r="OTN3" s="1055"/>
      <c r="OTO3" s="1055"/>
      <c r="OTP3" s="1055"/>
      <c r="OTQ3" s="1055"/>
      <c r="OTR3" s="1055"/>
      <c r="OTS3" s="1055"/>
      <c r="OTT3" s="1055"/>
      <c r="OTU3" s="1055"/>
      <c r="OTV3" s="1055"/>
      <c r="OTW3" s="1055"/>
      <c r="OTX3" s="1055"/>
      <c r="OTY3" s="1055"/>
      <c r="OTZ3" s="1055"/>
      <c r="OUA3" s="1055"/>
      <c r="OUB3" s="1055"/>
      <c r="OUC3" s="1055"/>
      <c r="OUD3" s="1055"/>
      <c r="OUE3" s="1055"/>
      <c r="OUF3" s="1055"/>
      <c r="OUG3" s="1055"/>
      <c r="OUH3" s="1055"/>
      <c r="OUI3" s="1055"/>
      <c r="OUJ3" s="1055"/>
      <c r="OUK3" s="1055"/>
      <c r="OUL3" s="1055"/>
      <c r="OUM3" s="1055"/>
      <c r="OUN3" s="1055"/>
      <c r="OUO3" s="1055"/>
      <c r="OUP3" s="1055"/>
      <c r="OUQ3" s="1055"/>
      <c r="OUR3" s="1055"/>
      <c r="OUS3" s="1055"/>
      <c r="OUT3" s="1055"/>
      <c r="OUU3" s="1055"/>
      <c r="OUV3" s="1055"/>
      <c r="OUW3" s="1055"/>
      <c r="OUX3" s="1055"/>
      <c r="OUY3" s="1055"/>
      <c r="OUZ3" s="1055"/>
      <c r="OVA3" s="1055"/>
      <c r="OVB3" s="1055"/>
      <c r="OVC3" s="1055"/>
      <c r="OVD3" s="1055"/>
      <c r="OVE3" s="1055"/>
      <c r="OVF3" s="1055"/>
      <c r="OVG3" s="1055"/>
      <c r="OVH3" s="1055"/>
      <c r="OVI3" s="1055"/>
      <c r="OVJ3" s="1055"/>
      <c r="OVK3" s="1055"/>
      <c r="OVL3" s="1055"/>
      <c r="OVM3" s="1055"/>
      <c r="OVN3" s="1055"/>
      <c r="OVO3" s="1055"/>
      <c r="OVP3" s="1055"/>
      <c r="OVQ3" s="1055"/>
      <c r="OVR3" s="1055"/>
      <c r="OVS3" s="1055"/>
      <c r="OVT3" s="1055"/>
      <c r="OVU3" s="1055"/>
      <c r="OVV3" s="1055"/>
      <c r="OVW3" s="1055"/>
      <c r="OVX3" s="1055"/>
      <c r="OVY3" s="1055"/>
      <c r="OVZ3" s="1055"/>
      <c r="OWA3" s="1055"/>
      <c r="OWB3" s="1055"/>
      <c r="OWC3" s="1055"/>
      <c r="OWD3" s="1055"/>
      <c r="OWE3" s="1055"/>
      <c r="OWF3" s="1055"/>
      <c r="OWG3" s="1055"/>
      <c r="OWH3" s="1055"/>
      <c r="OWI3" s="1055"/>
      <c r="OWJ3" s="1055"/>
      <c r="OWK3" s="1055"/>
      <c r="OWL3" s="1055"/>
      <c r="OWM3" s="1055"/>
      <c r="OWN3" s="1055"/>
      <c r="OWO3" s="1055"/>
      <c r="OWP3" s="1055"/>
      <c r="OWQ3" s="1055"/>
      <c r="OWR3" s="1055"/>
      <c r="OWS3" s="1055"/>
      <c r="OWT3" s="1055"/>
      <c r="OWU3" s="1055"/>
      <c r="OWV3" s="1055"/>
      <c r="OWW3" s="1055"/>
      <c r="OWX3" s="1055"/>
      <c r="OWY3" s="1055"/>
      <c r="OWZ3" s="1055"/>
      <c r="OXA3" s="1055"/>
      <c r="OXB3" s="1055"/>
      <c r="OXC3" s="1055"/>
      <c r="OXD3" s="1055"/>
      <c r="OXE3" s="1055"/>
      <c r="OXF3" s="1055"/>
      <c r="OXG3" s="1055"/>
      <c r="OXH3" s="1055"/>
      <c r="OXI3" s="1055"/>
      <c r="OXJ3" s="1055"/>
      <c r="OXK3" s="1055"/>
      <c r="OXL3" s="1055"/>
      <c r="OXM3" s="1055"/>
      <c r="OXN3" s="1055"/>
      <c r="OXO3" s="1055"/>
      <c r="OXP3" s="1055"/>
      <c r="OXQ3" s="1055"/>
      <c r="OXR3" s="1055"/>
      <c r="OXS3" s="1055"/>
      <c r="OXT3" s="1055"/>
      <c r="OXU3" s="1055"/>
      <c r="OXV3" s="1055"/>
      <c r="OXW3" s="1055"/>
      <c r="OXX3" s="1055"/>
      <c r="OXY3" s="1055"/>
      <c r="OXZ3" s="1055"/>
      <c r="OYA3" s="1055"/>
      <c r="OYB3" s="1055"/>
      <c r="OYC3" s="1055"/>
      <c r="OYD3" s="1055"/>
      <c r="OYE3" s="1055"/>
      <c r="OYF3" s="1055"/>
      <c r="OYG3" s="1055"/>
      <c r="OYH3" s="1055"/>
      <c r="OYI3" s="1055"/>
      <c r="OYJ3" s="1055"/>
      <c r="OYK3" s="1055"/>
      <c r="OYL3" s="1055"/>
      <c r="OYM3" s="1055"/>
      <c r="OYN3" s="1055"/>
      <c r="OYO3" s="1055"/>
      <c r="OYP3" s="1055"/>
      <c r="OYQ3" s="1055"/>
      <c r="OYR3" s="1055"/>
      <c r="OYS3" s="1055"/>
      <c r="OYT3" s="1055"/>
      <c r="OYU3" s="1055"/>
      <c r="OYV3" s="1055"/>
      <c r="OYW3" s="1055"/>
      <c r="OYX3" s="1055"/>
      <c r="OYY3" s="1055"/>
      <c r="OYZ3" s="1055"/>
      <c r="OZA3" s="1055"/>
      <c r="OZB3" s="1055"/>
      <c r="OZC3" s="1055"/>
      <c r="OZD3" s="1055"/>
      <c r="OZE3" s="1055"/>
      <c r="OZF3" s="1055"/>
      <c r="OZG3" s="1055"/>
      <c r="OZH3" s="1055"/>
      <c r="OZI3" s="1055"/>
      <c r="OZJ3" s="1055"/>
      <c r="OZK3" s="1055"/>
      <c r="OZL3" s="1055"/>
      <c r="OZM3" s="1055"/>
      <c r="OZN3" s="1055"/>
      <c r="OZO3" s="1055"/>
      <c r="OZP3" s="1055"/>
      <c r="OZQ3" s="1055"/>
      <c r="OZR3" s="1055"/>
      <c r="OZS3" s="1055"/>
      <c r="OZT3" s="1055"/>
      <c r="OZU3" s="1055"/>
      <c r="OZV3" s="1055"/>
      <c r="OZW3" s="1055"/>
      <c r="OZX3" s="1055"/>
      <c r="OZY3" s="1055"/>
      <c r="OZZ3" s="1055"/>
      <c r="PAA3" s="1055"/>
      <c r="PAB3" s="1055"/>
      <c r="PAC3" s="1055"/>
      <c r="PAD3" s="1055"/>
      <c r="PAE3" s="1055"/>
      <c r="PAF3" s="1055"/>
      <c r="PAG3" s="1055"/>
      <c r="PAH3" s="1055"/>
      <c r="PAI3" s="1055"/>
      <c r="PAJ3" s="1055"/>
      <c r="PAK3" s="1055"/>
      <c r="PAL3" s="1055"/>
      <c r="PAM3" s="1055"/>
      <c r="PAN3" s="1055"/>
      <c r="PAO3" s="1055"/>
      <c r="PAP3" s="1055"/>
      <c r="PAQ3" s="1055"/>
      <c r="PAR3" s="1055"/>
      <c r="PAS3" s="1055"/>
      <c r="PAT3" s="1055"/>
      <c r="PAU3" s="1055"/>
      <c r="PAV3" s="1055"/>
      <c r="PAW3" s="1055"/>
      <c r="PAX3" s="1055"/>
      <c r="PAY3" s="1055"/>
      <c r="PAZ3" s="1055"/>
      <c r="PBA3" s="1055"/>
      <c r="PBB3" s="1055"/>
      <c r="PBC3" s="1055"/>
      <c r="PBD3" s="1055"/>
      <c r="PBE3" s="1055"/>
      <c r="PBF3" s="1055"/>
      <c r="PBG3" s="1055"/>
      <c r="PBH3" s="1055"/>
      <c r="PBI3" s="1055"/>
      <c r="PBJ3" s="1055"/>
      <c r="PBK3" s="1055"/>
      <c r="PBL3" s="1055"/>
      <c r="PBM3" s="1055"/>
      <c r="PBN3" s="1055"/>
      <c r="PBO3" s="1055"/>
      <c r="PBP3" s="1055"/>
      <c r="PBQ3" s="1055"/>
      <c r="PBR3" s="1055"/>
      <c r="PBS3" s="1055"/>
      <c r="PBT3" s="1055"/>
      <c r="PBU3" s="1055"/>
      <c r="PBV3" s="1055"/>
      <c r="PBW3" s="1055"/>
      <c r="PBX3" s="1055"/>
      <c r="PBY3" s="1055"/>
      <c r="PBZ3" s="1055"/>
      <c r="PCA3" s="1055"/>
      <c r="PCB3" s="1055"/>
      <c r="PCC3" s="1055"/>
      <c r="PCD3" s="1055"/>
      <c r="PCE3" s="1055"/>
      <c r="PCF3" s="1055"/>
      <c r="PCG3" s="1055"/>
      <c r="PCH3" s="1055"/>
      <c r="PCI3" s="1055"/>
      <c r="PCJ3" s="1055"/>
      <c r="PCK3" s="1055"/>
      <c r="PCL3" s="1055"/>
      <c r="PCM3" s="1055"/>
      <c r="PCN3" s="1055"/>
      <c r="PCO3" s="1055"/>
      <c r="PCP3" s="1055"/>
      <c r="PCQ3" s="1055"/>
      <c r="PCR3" s="1055"/>
      <c r="PCS3" s="1055"/>
      <c r="PCT3" s="1055"/>
      <c r="PCU3" s="1055"/>
      <c r="PCV3" s="1055"/>
      <c r="PCW3" s="1055"/>
      <c r="PCX3" s="1055"/>
      <c r="PCY3" s="1055"/>
      <c r="PCZ3" s="1055"/>
      <c r="PDA3" s="1055"/>
      <c r="PDB3" s="1055"/>
      <c r="PDC3" s="1055"/>
      <c r="PDD3" s="1055"/>
      <c r="PDE3" s="1055"/>
      <c r="PDF3" s="1055"/>
      <c r="PDG3" s="1055"/>
      <c r="PDH3" s="1055"/>
      <c r="PDI3" s="1055"/>
      <c r="PDJ3" s="1055"/>
      <c r="PDK3" s="1055"/>
      <c r="PDL3" s="1055"/>
      <c r="PDM3" s="1055"/>
      <c r="PDN3" s="1055"/>
      <c r="PDO3" s="1055"/>
      <c r="PDP3" s="1055"/>
      <c r="PDQ3" s="1055"/>
      <c r="PDR3" s="1055"/>
      <c r="PDS3" s="1055"/>
      <c r="PDT3" s="1055"/>
      <c r="PDU3" s="1055"/>
      <c r="PDV3" s="1055"/>
      <c r="PDW3" s="1055"/>
      <c r="PDX3" s="1055"/>
      <c r="PDY3" s="1055"/>
      <c r="PDZ3" s="1055"/>
      <c r="PEA3" s="1055"/>
      <c r="PEB3" s="1055"/>
      <c r="PEC3" s="1055"/>
      <c r="PED3" s="1055"/>
      <c r="PEE3" s="1055"/>
      <c r="PEF3" s="1055"/>
      <c r="PEG3" s="1055"/>
      <c r="PEH3" s="1055"/>
      <c r="PEI3" s="1055"/>
      <c r="PEJ3" s="1055"/>
      <c r="PEK3" s="1055"/>
      <c r="PEL3" s="1055"/>
      <c r="PEM3" s="1055"/>
      <c r="PEN3" s="1055"/>
      <c r="PEO3" s="1055"/>
      <c r="PEP3" s="1055"/>
      <c r="PEQ3" s="1055"/>
      <c r="PER3" s="1055"/>
      <c r="PES3" s="1055"/>
      <c r="PET3" s="1055"/>
      <c r="PEU3" s="1055"/>
      <c r="PEV3" s="1055"/>
      <c r="PEW3" s="1055"/>
      <c r="PEX3" s="1055"/>
      <c r="PEY3" s="1055"/>
      <c r="PEZ3" s="1055"/>
      <c r="PFA3" s="1055"/>
      <c r="PFB3" s="1055"/>
      <c r="PFC3" s="1055"/>
      <c r="PFD3" s="1055"/>
      <c r="PFE3" s="1055"/>
      <c r="PFF3" s="1055"/>
      <c r="PFG3" s="1055"/>
      <c r="PFH3" s="1055"/>
      <c r="PFI3" s="1055"/>
      <c r="PFJ3" s="1055"/>
      <c r="PFK3" s="1055"/>
      <c r="PFL3" s="1055"/>
      <c r="PFM3" s="1055"/>
      <c r="PFN3" s="1055"/>
      <c r="PFO3" s="1055"/>
      <c r="PFP3" s="1055"/>
      <c r="PFQ3" s="1055"/>
      <c r="PFR3" s="1055"/>
      <c r="PFS3" s="1055"/>
      <c r="PFT3" s="1055"/>
      <c r="PFU3" s="1055"/>
      <c r="PFV3" s="1055"/>
      <c r="PFW3" s="1055"/>
      <c r="PFX3" s="1055"/>
      <c r="PFY3" s="1055"/>
      <c r="PFZ3" s="1055"/>
      <c r="PGA3" s="1055"/>
      <c r="PGB3" s="1055"/>
      <c r="PGC3" s="1055"/>
      <c r="PGD3" s="1055"/>
      <c r="PGE3" s="1055"/>
      <c r="PGF3" s="1055"/>
      <c r="PGG3" s="1055"/>
      <c r="PGH3" s="1055"/>
      <c r="PGI3" s="1055"/>
      <c r="PGJ3" s="1055"/>
      <c r="PGK3" s="1055"/>
      <c r="PGL3" s="1055"/>
      <c r="PGM3" s="1055"/>
      <c r="PGN3" s="1055"/>
      <c r="PGO3" s="1055"/>
      <c r="PGP3" s="1055"/>
      <c r="PGQ3" s="1055"/>
      <c r="PGR3" s="1055"/>
      <c r="PGS3" s="1055"/>
      <c r="PGT3" s="1055"/>
      <c r="PGU3" s="1055"/>
      <c r="PGV3" s="1055"/>
      <c r="PGW3" s="1055"/>
      <c r="PGX3" s="1055"/>
      <c r="PGY3" s="1055"/>
      <c r="PGZ3" s="1055"/>
      <c r="PHA3" s="1055"/>
      <c r="PHB3" s="1055"/>
      <c r="PHC3" s="1055"/>
      <c r="PHD3" s="1055"/>
      <c r="PHE3" s="1055"/>
      <c r="PHF3" s="1055"/>
      <c r="PHG3" s="1055"/>
      <c r="PHH3" s="1055"/>
      <c r="PHI3" s="1055"/>
      <c r="PHJ3" s="1055"/>
      <c r="PHK3" s="1055"/>
      <c r="PHL3" s="1055"/>
      <c r="PHM3" s="1055"/>
      <c r="PHN3" s="1055"/>
      <c r="PHO3" s="1055"/>
      <c r="PHP3" s="1055"/>
      <c r="PHQ3" s="1055"/>
      <c r="PHR3" s="1055"/>
      <c r="PHS3" s="1055"/>
      <c r="PHT3" s="1055"/>
      <c r="PHU3" s="1055"/>
      <c r="PHV3" s="1055"/>
      <c r="PHW3" s="1055"/>
      <c r="PHX3" s="1055"/>
      <c r="PHY3" s="1055"/>
      <c r="PHZ3" s="1055"/>
      <c r="PIA3" s="1055"/>
      <c r="PIB3" s="1055"/>
      <c r="PIC3" s="1055"/>
      <c r="PID3" s="1055"/>
      <c r="PIE3" s="1055"/>
      <c r="PIF3" s="1055"/>
      <c r="PIG3" s="1055"/>
      <c r="PIH3" s="1055"/>
      <c r="PII3" s="1055"/>
      <c r="PIJ3" s="1055"/>
      <c r="PIK3" s="1055"/>
      <c r="PIL3" s="1055"/>
      <c r="PIM3" s="1055"/>
      <c r="PIN3" s="1055"/>
      <c r="PIO3" s="1055"/>
      <c r="PIP3" s="1055"/>
      <c r="PIQ3" s="1055"/>
      <c r="PIR3" s="1055"/>
      <c r="PIS3" s="1055"/>
      <c r="PIT3" s="1055"/>
      <c r="PIU3" s="1055"/>
      <c r="PIV3" s="1055"/>
      <c r="PIW3" s="1055"/>
      <c r="PIX3" s="1055"/>
      <c r="PIY3" s="1055"/>
      <c r="PIZ3" s="1055"/>
      <c r="PJA3" s="1055"/>
      <c r="PJB3" s="1055"/>
      <c r="PJC3" s="1055"/>
      <c r="PJD3" s="1055"/>
      <c r="PJE3" s="1055"/>
      <c r="PJF3" s="1055"/>
      <c r="PJG3" s="1055"/>
      <c r="PJH3" s="1055"/>
      <c r="PJI3" s="1055"/>
      <c r="PJJ3" s="1055"/>
      <c r="PJK3" s="1055"/>
      <c r="PJL3" s="1055"/>
      <c r="PJM3" s="1055"/>
      <c r="PJN3" s="1055"/>
      <c r="PJO3" s="1055"/>
      <c r="PJP3" s="1055"/>
      <c r="PJQ3" s="1055"/>
      <c r="PJR3" s="1055"/>
      <c r="PJS3" s="1055"/>
      <c r="PJT3" s="1055"/>
      <c r="PJU3" s="1055"/>
      <c r="PJV3" s="1055"/>
      <c r="PJW3" s="1055"/>
      <c r="PJX3" s="1055"/>
      <c r="PJY3" s="1055"/>
      <c r="PJZ3" s="1055"/>
      <c r="PKA3" s="1055"/>
      <c r="PKB3" s="1055"/>
      <c r="PKC3" s="1055"/>
      <c r="PKD3" s="1055"/>
      <c r="PKE3" s="1055"/>
      <c r="PKF3" s="1055"/>
      <c r="PKG3" s="1055"/>
      <c r="PKH3" s="1055"/>
      <c r="PKI3" s="1055"/>
      <c r="PKJ3" s="1055"/>
      <c r="PKK3" s="1055"/>
      <c r="PKL3" s="1055"/>
      <c r="PKM3" s="1055"/>
      <c r="PKN3" s="1055"/>
      <c r="PKO3" s="1055"/>
      <c r="PKP3" s="1055"/>
      <c r="PKQ3" s="1055"/>
      <c r="PKR3" s="1055"/>
      <c r="PKS3" s="1055"/>
      <c r="PKT3" s="1055"/>
      <c r="PKU3" s="1055"/>
      <c r="PKV3" s="1055"/>
      <c r="PKW3" s="1055"/>
      <c r="PKX3" s="1055"/>
      <c r="PKY3" s="1055"/>
      <c r="PKZ3" s="1055"/>
      <c r="PLA3" s="1055"/>
      <c r="PLB3" s="1055"/>
      <c r="PLC3" s="1055"/>
      <c r="PLD3" s="1055"/>
      <c r="PLE3" s="1055"/>
      <c r="PLF3" s="1055"/>
      <c r="PLG3" s="1055"/>
      <c r="PLH3" s="1055"/>
      <c r="PLI3" s="1055"/>
      <c r="PLJ3" s="1055"/>
      <c r="PLK3" s="1055"/>
      <c r="PLL3" s="1055"/>
      <c r="PLM3" s="1055"/>
      <c r="PLN3" s="1055"/>
      <c r="PLO3" s="1055"/>
      <c r="PLP3" s="1055"/>
      <c r="PLQ3" s="1055"/>
      <c r="PLR3" s="1055"/>
      <c r="PLS3" s="1055"/>
      <c r="PLT3" s="1055"/>
      <c r="PLU3" s="1055"/>
      <c r="PLV3" s="1055"/>
      <c r="PLW3" s="1055"/>
      <c r="PLX3" s="1055"/>
      <c r="PLY3" s="1055"/>
      <c r="PLZ3" s="1055"/>
      <c r="PMA3" s="1055"/>
      <c r="PMB3" s="1055"/>
      <c r="PMC3" s="1055"/>
      <c r="PMD3" s="1055"/>
      <c r="PME3" s="1055"/>
      <c r="PMF3" s="1055"/>
      <c r="PMG3" s="1055"/>
      <c r="PMH3" s="1055"/>
      <c r="PMI3" s="1055"/>
      <c r="PMJ3" s="1055"/>
      <c r="PMK3" s="1055"/>
      <c r="PML3" s="1055"/>
      <c r="PMM3" s="1055"/>
      <c r="PMN3" s="1055"/>
      <c r="PMO3" s="1055"/>
      <c r="PMP3" s="1055"/>
      <c r="PMQ3" s="1055"/>
      <c r="PMR3" s="1055"/>
      <c r="PMS3" s="1055"/>
      <c r="PMT3" s="1055"/>
      <c r="PMU3" s="1055"/>
      <c r="PMV3" s="1055"/>
      <c r="PMW3" s="1055"/>
      <c r="PMX3" s="1055"/>
      <c r="PMY3" s="1055"/>
      <c r="PMZ3" s="1055"/>
      <c r="PNA3" s="1055"/>
      <c r="PNB3" s="1055"/>
      <c r="PNC3" s="1055"/>
      <c r="PND3" s="1055"/>
      <c r="PNE3" s="1055"/>
      <c r="PNF3" s="1055"/>
      <c r="PNG3" s="1055"/>
      <c r="PNH3" s="1055"/>
      <c r="PNI3" s="1055"/>
      <c r="PNJ3" s="1055"/>
      <c r="PNK3" s="1055"/>
      <c r="PNL3" s="1055"/>
      <c r="PNM3" s="1055"/>
      <c r="PNN3" s="1055"/>
      <c r="PNO3" s="1055"/>
      <c r="PNP3" s="1055"/>
      <c r="PNQ3" s="1055"/>
      <c r="PNR3" s="1055"/>
      <c r="PNS3" s="1055"/>
      <c r="PNT3" s="1055"/>
      <c r="PNU3" s="1055"/>
      <c r="PNV3" s="1055"/>
      <c r="PNW3" s="1055"/>
      <c r="PNX3" s="1055"/>
      <c r="PNY3" s="1055"/>
      <c r="PNZ3" s="1055"/>
      <c r="POA3" s="1055"/>
      <c r="POB3" s="1055"/>
      <c r="POC3" s="1055"/>
      <c r="POD3" s="1055"/>
      <c r="POE3" s="1055"/>
      <c r="POF3" s="1055"/>
      <c r="POG3" s="1055"/>
      <c r="POH3" s="1055"/>
      <c r="POI3" s="1055"/>
      <c r="POJ3" s="1055"/>
      <c r="POK3" s="1055"/>
      <c r="POL3" s="1055"/>
      <c r="POM3" s="1055"/>
      <c r="PON3" s="1055"/>
      <c r="POO3" s="1055"/>
      <c r="POP3" s="1055"/>
      <c r="POQ3" s="1055"/>
      <c r="POR3" s="1055"/>
      <c r="POS3" s="1055"/>
      <c r="POT3" s="1055"/>
      <c r="POU3" s="1055"/>
      <c r="POV3" s="1055"/>
      <c r="POW3" s="1055"/>
      <c r="POX3" s="1055"/>
      <c r="POY3" s="1055"/>
      <c r="POZ3" s="1055"/>
      <c r="PPA3" s="1055"/>
      <c r="PPB3" s="1055"/>
      <c r="PPC3" s="1055"/>
      <c r="PPD3" s="1055"/>
      <c r="PPE3" s="1055"/>
      <c r="PPF3" s="1055"/>
      <c r="PPG3" s="1055"/>
      <c r="PPH3" s="1055"/>
      <c r="PPI3" s="1055"/>
      <c r="PPJ3" s="1055"/>
      <c r="PPK3" s="1055"/>
      <c r="PPL3" s="1055"/>
      <c r="PPM3" s="1055"/>
      <c r="PPN3" s="1055"/>
      <c r="PPO3" s="1055"/>
      <c r="PPP3" s="1055"/>
      <c r="PPQ3" s="1055"/>
      <c r="PPR3" s="1055"/>
      <c r="PPS3" s="1055"/>
      <c r="PPT3" s="1055"/>
      <c r="PPU3" s="1055"/>
      <c r="PPV3" s="1055"/>
      <c r="PPW3" s="1055"/>
      <c r="PPX3" s="1055"/>
      <c r="PPY3" s="1055"/>
      <c r="PPZ3" s="1055"/>
      <c r="PQA3" s="1055"/>
      <c r="PQB3" s="1055"/>
      <c r="PQC3" s="1055"/>
      <c r="PQD3" s="1055"/>
      <c r="PQE3" s="1055"/>
      <c r="PQF3" s="1055"/>
      <c r="PQG3" s="1055"/>
      <c r="PQH3" s="1055"/>
      <c r="PQI3" s="1055"/>
      <c r="PQJ3" s="1055"/>
      <c r="PQK3" s="1055"/>
      <c r="PQL3" s="1055"/>
      <c r="PQM3" s="1055"/>
      <c r="PQN3" s="1055"/>
      <c r="PQO3" s="1055"/>
      <c r="PQP3" s="1055"/>
      <c r="PQQ3" s="1055"/>
      <c r="PQR3" s="1055"/>
      <c r="PQS3" s="1055"/>
      <c r="PQT3" s="1055"/>
      <c r="PQU3" s="1055"/>
      <c r="PQV3" s="1055"/>
      <c r="PQW3" s="1055"/>
      <c r="PQX3" s="1055"/>
      <c r="PQY3" s="1055"/>
      <c r="PQZ3" s="1055"/>
      <c r="PRA3" s="1055"/>
      <c r="PRB3" s="1055"/>
      <c r="PRC3" s="1055"/>
      <c r="PRD3" s="1055"/>
      <c r="PRE3" s="1055"/>
      <c r="PRF3" s="1055"/>
      <c r="PRG3" s="1055"/>
      <c r="PRH3" s="1055"/>
      <c r="PRI3" s="1055"/>
      <c r="PRJ3" s="1055"/>
      <c r="PRK3" s="1055"/>
      <c r="PRL3" s="1055"/>
      <c r="PRM3" s="1055"/>
      <c r="PRN3" s="1055"/>
      <c r="PRO3" s="1055"/>
      <c r="PRP3" s="1055"/>
      <c r="PRQ3" s="1055"/>
      <c r="PRR3" s="1055"/>
      <c r="PRS3" s="1055"/>
      <c r="PRT3" s="1055"/>
      <c r="PRU3" s="1055"/>
      <c r="PRV3" s="1055"/>
      <c r="PRW3" s="1055"/>
      <c r="PRX3" s="1055"/>
      <c r="PRY3" s="1055"/>
      <c r="PRZ3" s="1055"/>
      <c r="PSA3" s="1055"/>
      <c r="PSB3" s="1055"/>
      <c r="PSC3" s="1055"/>
      <c r="PSD3" s="1055"/>
      <c r="PSE3" s="1055"/>
      <c r="PSF3" s="1055"/>
      <c r="PSG3" s="1055"/>
      <c r="PSH3" s="1055"/>
      <c r="PSI3" s="1055"/>
      <c r="PSJ3" s="1055"/>
      <c r="PSK3" s="1055"/>
      <c r="PSL3" s="1055"/>
      <c r="PSM3" s="1055"/>
      <c r="PSN3" s="1055"/>
      <c r="PSO3" s="1055"/>
      <c r="PSP3" s="1055"/>
      <c r="PSQ3" s="1055"/>
      <c r="PSR3" s="1055"/>
      <c r="PSS3" s="1055"/>
      <c r="PST3" s="1055"/>
      <c r="PSU3" s="1055"/>
      <c r="PSV3" s="1055"/>
      <c r="PSW3" s="1055"/>
      <c r="PSX3" s="1055"/>
      <c r="PSY3" s="1055"/>
      <c r="PSZ3" s="1055"/>
      <c r="PTA3" s="1055"/>
      <c r="PTB3" s="1055"/>
      <c r="PTC3" s="1055"/>
      <c r="PTD3" s="1055"/>
      <c r="PTE3" s="1055"/>
      <c r="PTF3" s="1055"/>
      <c r="PTG3" s="1055"/>
      <c r="PTH3" s="1055"/>
      <c r="PTI3" s="1055"/>
      <c r="PTJ3" s="1055"/>
      <c r="PTK3" s="1055"/>
      <c r="PTL3" s="1055"/>
      <c r="PTM3" s="1055"/>
      <c r="PTN3" s="1055"/>
      <c r="PTO3" s="1055"/>
      <c r="PTP3" s="1055"/>
      <c r="PTQ3" s="1055"/>
      <c r="PTR3" s="1055"/>
      <c r="PTS3" s="1055"/>
      <c r="PTT3" s="1055"/>
      <c r="PTU3" s="1055"/>
      <c r="PTV3" s="1055"/>
      <c r="PTW3" s="1055"/>
      <c r="PTX3" s="1055"/>
      <c r="PTY3" s="1055"/>
      <c r="PTZ3" s="1055"/>
      <c r="PUA3" s="1055"/>
      <c r="PUB3" s="1055"/>
      <c r="PUC3" s="1055"/>
      <c r="PUD3" s="1055"/>
      <c r="PUE3" s="1055"/>
      <c r="PUF3" s="1055"/>
      <c r="PUG3" s="1055"/>
      <c r="PUH3" s="1055"/>
      <c r="PUI3" s="1055"/>
      <c r="PUJ3" s="1055"/>
      <c r="PUK3" s="1055"/>
      <c r="PUL3" s="1055"/>
      <c r="PUM3" s="1055"/>
      <c r="PUN3" s="1055"/>
      <c r="PUO3" s="1055"/>
      <c r="PUP3" s="1055"/>
      <c r="PUQ3" s="1055"/>
      <c r="PUR3" s="1055"/>
      <c r="PUS3" s="1055"/>
      <c r="PUT3" s="1055"/>
      <c r="PUU3" s="1055"/>
      <c r="PUV3" s="1055"/>
      <c r="PUW3" s="1055"/>
      <c r="PUX3" s="1055"/>
      <c r="PUY3" s="1055"/>
      <c r="PUZ3" s="1055"/>
      <c r="PVA3" s="1055"/>
      <c r="PVB3" s="1055"/>
      <c r="PVC3" s="1055"/>
      <c r="PVD3" s="1055"/>
      <c r="PVE3" s="1055"/>
      <c r="PVF3" s="1055"/>
      <c r="PVG3" s="1055"/>
      <c r="PVH3" s="1055"/>
      <c r="PVI3" s="1055"/>
      <c r="PVJ3" s="1055"/>
      <c r="PVK3" s="1055"/>
      <c r="PVL3" s="1055"/>
      <c r="PVM3" s="1055"/>
      <c r="PVN3" s="1055"/>
      <c r="PVO3" s="1055"/>
      <c r="PVP3" s="1055"/>
      <c r="PVQ3" s="1055"/>
      <c r="PVR3" s="1055"/>
      <c r="PVS3" s="1055"/>
      <c r="PVT3" s="1055"/>
      <c r="PVU3" s="1055"/>
      <c r="PVV3" s="1055"/>
      <c r="PVW3" s="1055"/>
      <c r="PVX3" s="1055"/>
      <c r="PVY3" s="1055"/>
      <c r="PVZ3" s="1055"/>
      <c r="PWA3" s="1055"/>
      <c r="PWB3" s="1055"/>
      <c r="PWC3" s="1055"/>
      <c r="PWD3" s="1055"/>
      <c r="PWE3" s="1055"/>
      <c r="PWF3" s="1055"/>
      <c r="PWG3" s="1055"/>
      <c r="PWH3" s="1055"/>
      <c r="PWI3" s="1055"/>
      <c r="PWJ3" s="1055"/>
      <c r="PWK3" s="1055"/>
      <c r="PWL3" s="1055"/>
      <c r="PWM3" s="1055"/>
      <c r="PWN3" s="1055"/>
      <c r="PWO3" s="1055"/>
      <c r="PWP3" s="1055"/>
      <c r="PWQ3" s="1055"/>
      <c r="PWR3" s="1055"/>
      <c r="PWS3" s="1055"/>
      <c r="PWT3" s="1055"/>
      <c r="PWU3" s="1055"/>
      <c r="PWV3" s="1055"/>
      <c r="PWW3" s="1055"/>
      <c r="PWX3" s="1055"/>
      <c r="PWY3" s="1055"/>
      <c r="PWZ3" s="1055"/>
      <c r="PXA3" s="1055"/>
      <c r="PXB3" s="1055"/>
      <c r="PXC3" s="1055"/>
      <c r="PXD3" s="1055"/>
      <c r="PXE3" s="1055"/>
      <c r="PXF3" s="1055"/>
      <c r="PXG3" s="1055"/>
      <c r="PXH3" s="1055"/>
      <c r="PXI3" s="1055"/>
      <c r="PXJ3" s="1055"/>
      <c r="PXK3" s="1055"/>
      <c r="PXL3" s="1055"/>
      <c r="PXM3" s="1055"/>
      <c r="PXN3" s="1055"/>
      <c r="PXO3" s="1055"/>
      <c r="PXP3" s="1055"/>
      <c r="PXQ3" s="1055"/>
      <c r="PXR3" s="1055"/>
      <c r="PXS3" s="1055"/>
      <c r="PXT3" s="1055"/>
      <c r="PXU3" s="1055"/>
      <c r="PXV3" s="1055"/>
      <c r="PXW3" s="1055"/>
      <c r="PXX3" s="1055"/>
      <c r="PXY3" s="1055"/>
      <c r="PXZ3" s="1055"/>
      <c r="PYA3" s="1055"/>
      <c r="PYB3" s="1055"/>
      <c r="PYC3" s="1055"/>
      <c r="PYD3" s="1055"/>
      <c r="PYE3" s="1055"/>
      <c r="PYF3" s="1055"/>
      <c r="PYG3" s="1055"/>
      <c r="PYH3" s="1055"/>
      <c r="PYI3" s="1055"/>
      <c r="PYJ3" s="1055"/>
      <c r="PYK3" s="1055"/>
      <c r="PYL3" s="1055"/>
      <c r="PYM3" s="1055"/>
      <c r="PYN3" s="1055"/>
      <c r="PYO3" s="1055"/>
      <c r="PYP3" s="1055"/>
      <c r="PYQ3" s="1055"/>
      <c r="PYR3" s="1055"/>
      <c r="PYS3" s="1055"/>
      <c r="PYT3" s="1055"/>
      <c r="PYU3" s="1055"/>
      <c r="PYV3" s="1055"/>
      <c r="PYW3" s="1055"/>
      <c r="PYX3" s="1055"/>
      <c r="PYY3" s="1055"/>
      <c r="PYZ3" s="1055"/>
      <c r="PZA3" s="1055"/>
      <c r="PZB3" s="1055"/>
      <c r="PZC3" s="1055"/>
      <c r="PZD3" s="1055"/>
      <c r="PZE3" s="1055"/>
      <c r="PZF3" s="1055"/>
      <c r="PZG3" s="1055"/>
      <c r="PZH3" s="1055"/>
      <c r="PZI3" s="1055"/>
      <c r="PZJ3" s="1055"/>
      <c r="PZK3" s="1055"/>
      <c r="PZL3" s="1055"/>
      <c r="PZM3" s="1055"/>
      <c r="PZN3" s="1055"/>
      <c r="PZO3" s="1055"/>
      <c r="PZP3" s="1055"/>
      <c r="PZQ3" s="1055"/>
      <c r="PZR3" s="1055"/>
      <c r="PZS3" s="1055"/>
      <c r="PZT3" s="1055"/>
      <c r="PZU3" s="1055"/>
      <c r="PZV3" s="1055"/>
      <c r="PZW3" s="1055"/>
      <c r="PZX3" s="1055"/>
      <c r="PZY3" s="1055"/>
      <c r="PZZ3" s="1055"/>
      <c r="QAA3" s="1055"/>
      <c r="QAB3" s="1055"/>
      <c r="QAC3" s="1055"/>
      <c r="QAD3" s="1055"/>
      <c r="QAE3" s="1055"/>
      <c r="QAF3" s="1055"/>
      <c r="QAG3" s="1055"/>
      <c r="QAH3" s="1055"/>
      <c r="QAI3" s="1055"/>
      <c r="QAJ3" s="1055"/>
      <c r="QAK3" s="1055"/>
      <c r="QAL3" s="1055"/>
      <c r="QAM3" s="1055"/>
      <c r="QAN3" s="1055"/>
      <c r="QAO3" s="1055"/>
      <c r="QAP3" s="1055"/>
      <c r="QAQ3" s="1055"/>
      <c r="QAR3" s="1055"/>
      <c r="QAS3" s="1055"/>
      <c r="QAT3" s="1055"/>
      <c r="QAU3" s="1055"/>
      <c r="QAV3" s="1055"/>
      <c r="QAW3" s="1055"/>
      <c r="QAX3" s="1055"/>
      <c r="QAY3" s="1055"/>
      <c r="QAZ3" s="1055"/>
      <c r="QBA3" s="1055"/>
      <c r="QBB3" s="1055"/>
      <c r="QBC3" s="1055"/>
      <c r="QBD3" s="1055"/>
      <c r="QBE3" s="1055"/>
      <c r="QBF3" s="1055"/>
      <c r="QBG3" s="1055"/>
      <c r="QBH3" s="1055"/>
      <c r="QBI3" s="1055"/>
      <c r="QBJ3" s="1055"/>
      <c r="QBK3" s="1055"/>
      <c r="QBL3" s="1055"/>
      <c r="QBM3" s="1055"/>
      <c r="QBN3" s="1055"/>
      <c r="QBO3" s="1055"/>
      <c r="QBP3" s="1055"/>
      <c r="QBQ3" s="1055"/>
      <c r="QBR3" s="1055"/>
      <c r="QBS3" s="1055"/>
      <c r="QBT3" s="1055"/>
      <c r="QBU3" s="1055"/>
      <c r="QBV3" s="1055"/>
      <c r="QBW3" s="1055"/>
      <c r="QBX3" s="1055"/>
      <c r="QBY3" s="1055"/>
      <c r="QBZ3" s="1055"/>
      <c r="QCA3" s="1055"/>
      <c r="QCB3" s="1055"/>
      <c r="QCC3" s="1055"/>
      <c r="QCD3" s="1055"/>
      <c r="QCE3" s="1055"/>
      <c r="QCF3" s="1055"/>
      <c r="QCG3" s="1055"/>
      <c r="QCH3" s="1055"/>
      <c r="QCI3" s="1055"/>
      <c r="QCJ3" s="1055"/>
      <c r="QCK3" s="1055"/>
      <c r="QCL3" s="1055"/>
      <c r="QCM3" s="1055"/>
      <c r="QCN3" s="1055"/>
      <c r="QCO3" s="1055"/>
      <c r="QCP3" s="1055"/>
      <c r="QCQ3" s="1055"/>
      <c r="QCR3" s="1055"/>
      <c r="QCS3" s="1055"/>
      <c r="QCT3" s="1055"/>
      <c r="QCU3" s="1055"/>
      <c r="QCV3" s="1055"/>
      <c r="QCW3" s="1055"/>
      <c r="QCX3" s="1055"/>
      <c r="QCY3" s="1055"/>
      <c r="QCZ3" s="1055"/>
      <c r="QDA3" s="1055"/>
      <c r="QDB3" s="1055"/>
      <c r="QDC3" s="1055"/>
      <c r="QDD3" s="1055"/>
      <c r="QDE3" s="1055"/>
      <c r="QDF3" s="1055"/>
      <c r="QDG3" s="1055"/>
      <c r="QDH3" s="1055"/>
      <c r="QDI3" s="1055"/>
      <c r="QDJ3" s="1055"/>
      <c r="QDK3" s="1055"/>
      <c r="QDL3" s="1055"/>
      <c r="QDM3" s="1055"/>
      <c r="QDN3" s="1055"/>
      <c r="QDO3" s="1055"/>
      <c r="QDP3" s="1055"/>
      <c r="QDQ3" s="1055"/>
      <c r="QDR3" s="1055"/>
      <c r="QDS3" s="1055"/>
      <c r="QDT3" s="1055"/>
      <c r="QDU3" s="1055"/>
      <c r="QDV3" s="1055"/>
      <c r="QDW3" s="1055"/>
      <c r="QDX3" s="1055"/>
      <c r="QDY3" s="1055"/>
      <c r="QDZ3" s="1055"/>
      <c r="QEA3" s="1055"/>
      <c r="QEB3" s="1055"/>
      <c r="QEC3" s="1055"/>
      <c r="QED3" s="1055"/>
      <c r="QEE3" s="1055"/>
      <c r="QEF3" s="1055"/>
      <c r="QEG3" s="1055"/>
      <c r="QEH3" s="1055"/>
      <c r="QEI3" s="1055"/>
      <c r="QEJ3" s="1055"/>
      <c r="QEK3" s="1055"/>
      <c r="QEL3" s="1055"/>
      <c r="QEM3" s="1055"/>
      <c r="QEN3" s="1055"/>
      <c r="QEO3" s="1055"/>
      <c r="QEP3" s="1055"/>
      <c r="QEQ3" s="1055"/>
      <c r="QER3" s="1055"/>
      <c r="QES3" s="1055"/>
      <c r="QET3" s="1055"/>
      <c r="QEU3" s="1055"/>
      <c r="QEV3" s="1055"/>
      <c r="QEW3" s="1055"/>
      <c r="QEX3" s="1055"/>
      <c r="QEY3" s="1055"/>
      <c r="QEZ3" s="1055"/>
      <c r="QFA3" s="1055"/>
      <c r="QFB3" s="1055"/>
      <c r="QFC3" s="1055"/>
      <c r="QFD3" s="1055"/>
      <c r="QFE3" s="1055"/>
      <c r="QFF3" s="1055"/>
      <c r="QFG3" s="1055"/>
      <c r="QFH3" s="1055"/>
      <c r="QFI3" s="1055"/>
      <c r="QFJ3" s="1055"/>
      <c r="QFK3" s="1055"/>
      <c r="QFL3" s="1055"/>
      <c r="QFM3" s="1055"/>
      <c r="QFN3" s="1055"/>
      <c r="QFO3" s="1055"/>
      <c r="QFP3" s="1055"/>
      <c r="QFQ3" s="1055"/>
      <c r="QFR3" s="1055"/>
      <c r="QFS3" s="1055"/>
      <c r="QFT3" s="1055"/>
      <c r="QFU3" s="1055"/>
      <c r="QFV3" s="1055"/>
      <c r="QFW3" s="1055"/>
      <c r="QFX3" s="1055"/>
      <c r="QFY3" s="1055"/>
      <c r="QFZ3" s="1055"/>
      <c r="QGA3" s="1055"/>
      <c r="QGB3" s="1055"/>
      <c r="QGC3" s="1055"/>
      <c r="QGD3" s="1055"/>
      <c r="QGE3" s="1055"/>
      <c r="QGF3" s="1055"/>
      <c r="QGG3" s="1055"/>
      <c r="QGH3" s="1055"/>
      <c r="QGI3" s="1055"/>
      <c r="QGJ3" s="1055"/>
      <c r="QGK3" s="1055"/>
      <c r="QGL3" s="1055"/>
      <c r="QGM3" s="1055"/>
      <c r="QGN3" s="1055"/>
      <c r="QGO3" s="1055"/>
      <c r="QGP3" s="1055"/>
      <c r="QGQ3" s="1055"/>
      <c r="QGR3" s="1055"/>
      <c r="QGS3" s="1055"/>
      <c r="QGT3" s="1055"/>
      <c r="QGU3" s="1055"/>
      <c r="QGV3" s="1055"/>
      <c r="QGW3" s="1055"/>
      <c r="QGX3" s="1055"/>
      <c r="QGY3" s="1055"/>
      <c r="QGZ3" s="1055"/>
      <c r="QHA3" s="1055"/>
      <c r="QHB3" s="1055"/>
      <c r="QHC3" s="1055"/>
      <c r="QHD3" s="1055"/>
      <c r="QHE3" s="1055"/>
      <c r="QHF3" s="1055"/>
      <c r="QHG3" s="1055"/>
      <c r="QHH3" s="1055"/>
      <c r="QHI3" s="1055"/>
      <c r="QHJ3" s="1055"/>
      <c r="QHK3" s="1055"/>
      <c r="QHL3" s="1055"/>
      <c r="QHM3" s="1055"/>
      <c r="QHN3" s="1055"/>
      <c r="QHO3" s="1055"/>
      <c r="QHP3" s="1055"/>
      <c r="QHQ3" s="1055"/>
      <c r="QHR3" s="1055"/>
      <c r="QHS3" s="1055"/>
      <c r="QHT3" s="1055"/>
      <c r="QHU3" s="1055"/>
      <c r="QHV3" s="1055"/>
      <c r="QHW3" s="1055"/>
      <c r="QHX3" s="1055"/>
      <c r="QHY3" s="1055"/>
      <c r="QHZ3" s="1055"/>
      <c r="QIA3" s="1055"/>
      <c r="QIB3" s="1055"/>
      <c r="QIC3" s="1055"/>
      <c r="QID3" s="1055"/>
      <c r="QIE3" s="1055"/>
      <c r="QIF3" s="1055"/>
      <c r="QIG3" s="1055"/>
      <c r="QIH3" s="1055"/>
      <c r="QII3" s="1055"/>
      <c r="QIJ3" s="1055"/>
      <c r="QIK3" s="1055"/>
      <c r="QIL3" s="1055"/>
      <c r="QIM3" s="1055"/>
      <c r="QIN3" s="1055"/>
      <c r="QIO3" s="1055"/>
      <c r="QIP3" s="1055"/>
      <c r="QIQ3" s="1055"/>
      <c r="QIR3" s="1055"/>
      <c r="QIS3" s="1055"/>
      <c r="QIT3" s="1055"/>
      <c r="QIU3" s="1055"/>
      <c r="QIV3" s="1055"/>
      <c r="QIW3" s="1055"/>
      <c r="QIX3" s="1055"/>
      <c r="QIY3" s="1055"/>
      <c r="QIZ3" s="1055"/>
      <c r="QJA3" s="1055"/>
      <c r="QJB3" s="1055"/>
      <c r="QJC3" s="1055"/>
      <c r="QJD3" s="1055"/>
      <c r="QJE3" s="1055"/>
      <c r="QJF3" s="1055"/>
      <c r="QJG3" s="1055"/>
      <c r="QJH3" s="1055"/>
      <c r="QJI3" s="1055"/>
      <c r="QJJ3" s="1055"/>
      <c r="QJK3" s="1055"/>
      <c r="QJL3" s="1055"/>
      <c r="QJM3" s="1055"/>
      <c r="QJN3" s="1055"/>
      <c r="QJO3" s="1055"/>
      <c r="QJP3" s="1055"/>
      <c r="QJQ3" s="1055"/>
      <c r="QJR3" s="1055"/>
      <c r="QJS3" s="1055"/>
      <c r="QJT3" s="1055"/>
      <c r="QJU3" s="1055"/>
      <c r="QJV3" s="1055"/>
      <c r="QJW3" s="1055"/>
      <c r="QJX3" s="1055"/>
      <c r="QJY3" s="1055"/>
      <c r="QJZ3" s="1055"/>
      <c r="QKA3" s="1055"/>
      <c r="QKB3" s="1055"/>
      <c r="QKC3" s="1055"/>
      <c r="QKD3" s="1055"/>
      <c r="QKE3" s="1055"/>
      <c r="QKF3" s="1055"/>
      <c r="QKG3" s="1055"/>
      <c r="QKH3" s="1055"/>
      <c r="QKI3" s="1055"/>
      <c r="QKJ3" s="1055"/>
      <c r="QKK3" s="1055"/>
      <c r="QKL3" s="1055"/>
      <c r="QKM3" s="1055"/>
      <c r="QKN3" s="1055"/>
      <c r="QKO3" s="1055"/>
      <c r="QKP3" s="1055"/>
      <c r="QKQ3" s="1055"/>
      <c r="QKR3" s="1055"/>
      <c r="QKS3" s="1055"/>
      <c r="QKT3" s="1055"/>
      <c r="QKU3" s="1055"/>
      <c r="QKV3" s="1055"/>
      <c r="QKW3" s="1055"/>
      <c r="QKX3" s="1055"/>
      <c r="QKY3" s="1055"/>
      <c r="QKZ3" s="1055"/>
      <c r="QLA3" s="1055"/>
      <c r="QLB3" s="1055"/>
      <c r="QLC3" s="1055"/>
      <c r="QLD3" s="1055"/>
      <c r="QLE3" s="1055"/>
      <c r="QLF3" s="1055"/>
      <c r="QLG3" s="1055"/>
      <c r="QLH3" s="1055"/>
      <c r="QLI3" s="1055"/>
      <c r="QLJ3" s="1055"/>
      <c r="QLK3" s="1055"/>
      <c r="QLL3" s="1055"/>
      <c r="QLM3" s="1055"/>
      <c r="QLN3" s="1055"/>
      <c r="QLO3" s="1055"/>
      <c r="QLP3" s="1055"/>
      <c r="QLQ3" s="1055"/>
      <c r="QLR3" s="1055"/>
      <c r="QLS3" s="1055"/>
      <c r="QLT3" s="1055"/>
      <c r="QLU3" s="1055"/>
      <c r="QLV3" s="1055"/>
      <c r="QLW3" s="1055"/>
      <c r="QLX3" s="1055"/>
      <c r="QLY3" s="1055"/>
      <c r="QLZ3" s="1055"/>
      <c r="QMA3" s="1055"/>
      <c r="QMB3" s="1055"/>
      <c r="QMC3" s="1055"/>
      <c r="QMD3" s="1055"/>
      <c r="QME3" s="1055"/>
      <c r="QMF3" s="1055"/>
      <c r="QMG3" s="1055"/>
      <c r="QMH3" s="1055"/>
      <c r="QMI3" s="1055"/>
      <c r="QMJ3" s="1055"/>
      <c r="QMK3" s="1055"/>
      <c r="QML3" s="1055"/>
      <c r="QMM3" s="1055"/>
      <c r="QMN3" s="1055"/>
      <c r="QMO3" s="1055"/>
      <c r="QMP3" s="1055"/>
      <c r="QMQ3" s="1055"/>
      <c r="QMR3" s="1055"/>
      <c r="QMS3" s="1055"/>
      <c r="QMT3" s="1055"/>
      <c r="QMU3" s="1055"/>
      <c r="QMV3" s="1055"/>
      <c r="QMW3" s="1055"/>
      <c r="QMX3" s="1055"/>
      <c r="QMY3" s="1055"/>
      <c r="QMZ3" s="1055"/>
      <c r="QNA3" s="1055"/>
      <c r="QNB3" s="1055"/>
      <c r="QNC3" s="1055"/>
      <c r="QND3" s="1055"/>
      <c r="QNE3" s="1055"/>
      <c r="QNF3" s="1055"/>
      <c r="QNG3" s="1055"/>
      <c r="QNH3" s="1055"/>
      <c r="QNI3" s="1055"/>
      <c r="QNJ3" s="1055"/>
      <c r="QNK3" s="1055"/>
      <c r="QNL3" s="1055"/>
      <c r="QNM3" s="1055"/>
      <c r="QNN3" s="1055"/>
      <c r="QNO3" s="1055"/>
      <c r="QNP3" s="1055"/>
      <c r="QNQ3" s="1055"/>
      <c r="QNR3" s="1055"/>
      <c r="QNS3" s="1055"/>
      <c r="QNT3" s="1055"/>
      <c r="QNU3" s="1055"/>
      <c r="QNV3" s="1055"/>
      <c r="QNW3" s="1055"/>
      <c r="QNX3" s="1055"/>
      <c r="QNY3" s="1055"/>
      <c r="QNZ3" s="1055"/>
      <c r="QOA3" s="1055"/>
      <c r="QOB3" s="1055"/>
      <c r="QOC3" s="1055"/>
      <c r="QOD3" s="1055"/>
      <c r="QOE3" s="1055"/>
      <c r="QOF3" s="1055"/>
      <c r="QOG3" s="1055"/>
      <c r="QOH3" s="1055"/>
      <c r="QOI3" s="1055"/>
      <c r="QOJ3" s="1055"/>
      <c r="QOK3" s="1055"/>
      <c r="QOL3" s="1055"/>
      <c r="QOM3" s="1055"/>
      <c r="QON3" s="1055"/>
      <c r="QOO3" s="1055"/>
      <c r="QOP3" s="1055"/>
      <c r="QOQ3" s="1055"/>
      <c r="QOR3" s="1055"/>
      <c r="QOS3" s="1055"/>
      <c r="QOT3" s="1055"/>
      <c r="QOU3" s="1055"/>
      <c r="QOV3" s="1055"/>
      <c r="QOW3" s="1055"/>
      <c r="QOX3" s="1055"/>
      <c r="QOY3" s="1055"/>
      <c r="QOZ3" s="1055"/>
      <c r="QPA3" s="1055"/>
      <c r="QPB3" s="1055"/>
      <c r="QPC3" s="1055"/>
      <c r="QPD3" s="1055"/>
      <c r="QPE3" s="1055"/>
      <c r="QPF3" s="1055"/>
      <c r="QPG3" s="1055"/>
      <c r="QPH3" s="1055"/>
      <c r="QPI3" s="1055"/>
      <c r="QPJ3" s="1055"/>
      <c r="QPK3" s="1055"/>
      <c r="QPL3" s="1055"/>
      <c r="QPM3" s="1055"/>
      <c r="QPN3" s="1055"/>
      <c r="QPO3" s="1055"/>
      <c r="QPP3" s="1055"/>
      <c r="QPQ3" s="1055"/>
      <c r="QPR3" s="1055"/>
      <c r="QPS3" s="1055"/>
      <c r="QPT3" s="1055"/>
      <c r="QPU3" s="1055"/>
      <c r="QPV3" s="1055"/>
      <c r="QPW3" s="1055"/>
      <c r="QPX3" s="1055"/>
      <c r="QPY3" s="1055"/>
      <c r="QPZ3" s="1055"/>
      <c r="QQA3" s="1055"/>
      <c r="QQB3" s="1055"/>
      <c r="QQC3" s="1055"/>
      <c r="QQD3" s="1055"/>
      <c r="QQE3" s="1055"/>
      <c r="QQF3" s="1055"/>
      <c r="QQG3" s="1055"/>
      <c r="QQH3" s="1055"/>
      <c r="QQI3" s="1055"/>
      <c r="QQJ3" s="1055"/>
      <c r="QQK3" s="1055"/>
      <c r="QQL3" s="1055"/>
      <c r="QQM3" s="1055"/>
      <c r="QQN3" s="1055"/>
      <c r="QQO3" s="1055"/>
      <c r="QQP3" s="1055"/>
      <c r="QQQ3" s="1055"/>
      <c r="QQR3" s="1055"/>
      <c r="QQS3" s="1055"/>
      <c r="QQT3" s="1055"/>
      <c r="QQU3" s="1055"/>
      <c r="QQV3" s="1055"/>
      <c r="QQW3" s="1055"/>
      <c r="QQX3" s="1055"/>
      <c r="QQY3" s="1055"/>
      <c r="QQZ3" s="1055"/>
      <c r="QRA3" s="1055"/>
      <c r="QRB3" s="1055"/>
      <c r="QRC3" s="1055"/>
      <c r="QRD3" s="1055"/>
      <c r="QRE3" s="1055"/>
      <c r="QRF3" s="1055"/>
      <c r="QRG3" s="1055"/>
      <c r="QRH3" s="1055"/>
      <c r="QRI3" s="1055"/>
      <c r="QRJ3" s="1055"/>
      <c r="QRK3" s="1055"/>
      <c r="QRL3" s="1055"/>
      <c r="QRM3" s="1055"/>
      <c r="QRN3" s="1055"/>
      <c r="QRO3" s="1055"/>
      <c r="QRP3" s="1055"/>
      <c r="QRQ3" s="1055"/>
      <c r="QRR3" s="1055"/>
      <c r="QRS3" s="1055"/>
      <c r="QRT3" s="1055"/>
      <c r="QRU3" s="1055"/>
      <c r="QRV3" s="1055"/>
      <c r="QRW3" s="1055"/>
      <c r="QRX3" s="1055"/>
      <c r="QRY3" s="1055"/>
      <c r="QRZ3" s="1055"/>
      <c r="QSA3" s="1055"/>
      <c r="QSB3" s="1055"/>
      <c r="QSC3" s="1055"/>
      <c r="QSD3" s="1055"/>
      <c r="QSE3" s="1055"/>
      <c r="QSF3" s="1055"/>
      <c r="QSG3" s="1055"/>
      <c r="QSH3" s="1055"/>
      <c r="QSI3" s="1055"/>
      <c r="QSJ3" s="1055"/>
      <c r="QSK3" s="1055"/>
      <c r="QSL3" s="1055"/>
      <c r="QSM3" s="1055"/>
      <c r="QSN3" s="1055"/>
      <c r="QSO3" s="1055"/>
      <c r="QSP3" s="1055"/>
      <c r="QSQ3" s="1055"/>
      <c r="QSR3" s="1055"/>
      <c r="QSS3" s="1055"/>
      <c r="QST3" s="1055"/>
      <c r="QSU3" s="1055"/>
      <c r="QSV3" s="1055"/>
      <c r="QSW3" s="1055"/>
      <c r="QSX3" s="1055"/>
      <c r="QSY3" s="1055"/>
      <c r="QSZ3" s="1055"/>
      <c r="QTA3" s="1055"/>
      <c r="QTB3" s="1055"/>
      <c r="QTC3" s="1055"/>
      <c r="QTD3" s="1055"/>
      <c r="QTE3" s="1055"/>
      <c r="QTF3" s="1055"/>
      <c r="QTG3" s="1055"/>
      <c r="QTH3" s="1055"/>
      <c r="QTI3" s="1055"/>
      <c r="QTJ3" s="1055"/>
      <c r="QTK3" s="1055"/>
      <c r="QTL3" s="1055"/>
      <c r="QTM3" s="1055"/>
      <c r="QTN3" s="1055"/>
      <c r="QTO3" s="1055"/>
      <c r="QTP3" s="1055"/>
      <c r="QTQ3" s="1055"/>
      <c r="QTR3" s="1055"/>
      <c r="QTS3" s="1055"/>
      <c r="QTT3" s="1055"/>
      <c r="QTU3" s="1055"/>
      <c r="QTV3" s="1055"/>
      <c r="QTW3" s="1055"/>
      <c r="QTX3" s="1055"/>
      <c r="QTY3" s="1055"/>
      <c r="QTZ3" s="1055"/>
      <c r="QUA3" s="1055"/>
      <c r="QUB3" s="1055"/>
      <c r="QUC3" s="1055"/>
      <c r="QUD3" s="1055"/>
      <c r="QUE3" s="1055"/>
      <c r="QUF3" s="1055"/>
      <c r="QUG3" s="1055"/>
      <c r="QUH3" s="1055"/>
      <c r="QUI3" s="1055"/>
      <c r="QUJ3" s="1055"/>
      <c r="QUK3" s="1055"/>
      <c r="QUL3" s="1055"/>
      <c r="QUM3" s="1055"/>
      <c r="QUN3" s="1055"/>
      <c r="QUO3" s="1055"/>
      <c r="QUP3" s="1055"/>
      <c r="QUQ3" s="1055"/>
      <c r="QUR3" s="1055"/>
      <c r="QUS3" s="1055"/>
      <c r="QUT3" s="1055"/>
      <c r="QUU3" s="1055"/>
      <c r="QUV3" s="1055"/>
      <c r="QUW3" s="1055"/>
      <c r="QUX3" s="1055"/>
      <c r="QUY3" s="1055"/>
      <c r="QUZ3" s="1055"/>
      <c r="QVA3" s="1055"/>
      <c r="QVB3" s="1055"/>
      <c r="QVC3" s="1055"/>
      <c r="QVD3" s="1055"/>
      <c r="QVE3" s="1055"/>
      <c r="QVF3" s="1055"/>
      <c r="QVG3" s="1055"/>
      <c r="QVH3" s="1055"/>
      <c r="QVI3" s="1055"/>
      <c r="QVJ3" s="1055"/>
      <c r="QVK3" s="1055"/>
      <c r="QVL3" s="1055"/>
      <c r="QVM3" s="1055"/>
      <c r="QVN3" s="1055"/>
      <c r="QVO3" s="1055"/>
      <c r="QVP3" s="1055"/>
      <c r="QVQ3" s="1055"/>
      <c r="QVR3" s="1055"/>
      <c r="QVS3" s="1055"/>
      <c r="QVT3" s="1055"/>
      <c r="QVU3" s="1055"/>
      <c r="QVV3" s="1055"/>
      <c r="QVW3" s="1055"/>
      <c r="QVX3" s="1055"/>
      <c r="QVY3" s="1055"/>
      <c r="QVZ3" s="1055"/>
      <c r="QWA3" s="1055"/>
      <c r="QWB3" s="1055"/>
      <c r="QWC3" s="1055"/>
      <c r="QWD3" s="1055"/>
      <c r="QWE3" s="1055"/>
      <c r="QWF3" s="1055"/>
      <c r="QWG3" s="1055"/>
      <c r="QWH3" s="1055"/>
      <c r="QWI3" s="1055"/>
      <c r="QWJ3" s="1055"/>
      <c r="QWK3" s="1055"/>
      <c r="QWL3" s="1055"/>
      <c r="QWM3" s="1055"/>
      <c r="QWN3" s="1055"/>
      <c r="QWO3" s="1055"/>
      <c r="QWP3" s="1055"/>
      <c r="QWQ3" s="1055"/>
      <c r="QWR3" s="1055"/>
      <c r="QWS3" s="1055"/>
      <c r="QWT3" s="1055"/>
      <c r="QWU3" s="1055"/>
      <c r="QWV3" s="1055"/>
      <c r="QWW3" s="1055"/>
      <c r="QWX3" s="1055"/>
      <c r="QWY3" s="1055"/>
      <c r="QWZ3" s="1055"/>
      <c r="QXA3" s="1055"/>
      <c r="QXB3" s="1055"/>
      <c r="QXC3" s="1055"/>
      <c r="QXD3" s="1055"/>
      <c r="QXE3" s="1055"/>
      <c r="QXF3" s="1055"/>
      <c r="QXG3" s="1055"/>
      <c r="QXH3" s="1055"/>
      <c r="QXI3" s="1055"/>
      <c r="QXJ3" s="1055"/>
      <c r="QXK3" s="1055"/>
      <c r="QXL3" s="1055"/>
      <c r="QXM3" s="1055"/>
      <c r="QXN3" s="1055"/>
      <c r="QXO3" s="1055"/>
      <c r="QXP3" s="1055"/>
      <c r="QXQ3" s="1055"/>
      <c r="QXR3" s="1055"/>
      <c r="QXS3" s="1055"/>
      <c r="QXT3" s="1055"/>
      <c r="QXU3" s="1055"/>
      <c r="QXV3" s="1055"/>
      <c r="QXW3" s="1055"/>
      <c r="QXX3" s="1055"/>
      <c r="QXY3" s="1055"/>
      <c r="QXZ3" s="1055"/>
      <c r="QYA3" s="1055"/>
      <c r="QYB3" s="1055"/>
      <c r="QYC3" s="1055"/>
      <c r="QYD3" s="1055"/>
      <c r="QYE3" s="1055"/>
      <c r="QYF3" s="1055"/>
      <c r="QYG3" s="1055"/>
      <c r="QYH3" s="1055"/>
      <c r="QYI3" s="1055"/>
      <c r="QYJ3" s="1055"/>
      <c r="QYK3" s="1055"/>
      <c r="QYL3" s="1055"/>
      <c r="QYM3" s="1055"/>
      <c r="QYN3" s="1055"/>
      <c r="QYO3" s="1055"/>
      <c r="QYP3" s="1055"/>
      <c r="QYQ3" s="1055"/>
      <c r="QYR3" s="1055"/>
      <c r="QYS3" s="1055"/>
      <c r="QYT3" s="1055"/>
      <c r="QYU3" s="1055"/>
      <c r="QYV3" s="1055"/>
      <c r="QYW3" s="1055"/>
      <c r="QYX3" s="1055"/>
      <c r="QYY3" s="1055"/>
      <c r="QYZ3" s="1055"/>
      <c r="QZA3" s="1055"/>
      <c r="QZB3" s="1055"/>
      <c r="QZC3" s="1055"/>
      <c r="QZD3" s="1055"/>
      <c r="QZE3" s="1055"/>
      <c r="QZF3" s="1055"/>
      <c r="QZG3" s="1055"/>
      <c r="QZH3" s="1055"/>
      <c r="QZI3" s="1055"/>
      <c r="QZJ3" s="1055"/>
      <c r="QZK3" s="1055"/>
      <c r="QZL3" s="1055"/>
      <c r="QZM3" s="1055"/>
      <c r="QZN3" s="1055"/>
      <c r="QZO3" s="1055"/>
      <c r="QZP3" s="1055"/>
      <c r="QZQ3" s="1055"/>
      <c r="QZR3" s="1055"/>
      <c r="QZS3" s="1055"/>
      <c r="QZT3" s="1055"/>
      <c r="QZU3" s="1055"/>
      <c r="QZV3" s="1055"/>
      <c r="QZW3" s="1055"/>
      <c r="QZX3" s="1055"/>
      <c r="QZY3" s="1055"/>
      <c r="QZZ3" s="1055"/>
      <c r="RAA3" s="1055"/>
      <c r="RAB3" s="1055"/>
      <c r="RAC3" s="1055"/>
      <c r="RAD3" s="1055"/>
      <c r="RAE3" s="1055"/>
      <c r="RAF3" s="1055"/>
      <c r="RAG3" s="1055"/>
      <c r="RAH3" s="1055"/>
      <c r="RAI3" s="1055"/>
      <c r="RAJ3" s="1055"/>
      <c r="RAK3" s="1055"/>
      <c r="RAL3" s="1055"/>
      <c r="RAM3" s="1055"/>
      <c r="RAN3" s="1055"/>
      <c r="RAO3" s="1055"/>
      <c r="RAP3" s="1055"/>
      <c r="RAQ3" s="1055"/>
      <c r="RAR3" s="1055"/>
      <c r="RAS3" s="1055"/>
      <c r="RAT3" s="1055"/>
      <c r="RAU3" s="1055"/>
      <c r="RAV3" s="1055"/>
      <c r="RAW3" s="1055"/>
      <c r="RAX3" s="1055"/>
      <c r="RAY3" s="1055"/>
      <c r="RAZ3" s="1055"/>
      <c r="RBA3" s="1055"/>
      <c r="RBB3" s="1055"/>
      <c r="RBC3" s="1055"/>
      <c r="RBD3" s="1055"/>
      <c r="RBE3" s="1055"/>
      <c r="RBF3" s="1055"/>
      <c r="RBG3" s="1055"/>
      <c r="RBH3" s="1055"/>
      <c r="RBI3" s="1055"/>
      <c r="RBJ3" s="1055"/>
      <c r="RBK3" s="1055"/>
      <c r="RBL3" s="1055"/>
      <c r="RBM3" s="1055"/>
      <c r="RBN3" s="1055"/>
      <c r="RBO3" s="1055"/>
      <c r="RBP3" s="1055"/>
      <c r="RBQ3" s="1055"/>
      <c r="RBR3" s="1055"/>
      <c r="RBS3" s="1055"/>
      <c r="RBT3" s="1055"/>
      <c r="RBU3" s="1055"/>
      <c r="RBV3" s="1055"/>
      <c r="RBW3" s="1055"/>
      <c r="RBX3" s="1055"/>
      <c r="RBY3" s="1055"/>
      <c r="RBZ3" s="1055"/>
      <c r="RCA3" s="1055"/>
      <c r="RCB3" s="1055"/>
      <c r="RCC3" s="1055"/>
      <c r="RCD3" s="1055"/>
      <c r="RCE3" s="1055"/>
      <c r="RCF3" s="1055"/>
      <c r="RCG3" s="1055"/>
      <c r="RCH3" s="1055"/>
      <c r="RCI3" s="1055"/>
      <c r="RCJ3" s="1055"/>
      <c r="RCK3" s="1055"/>
      <c r="RCL3" s="1055"/>
      <c r="RCM3" s="1055"/>
      <c r="RCN3" s="1055"/>
      <c r="RCO3" s="1055"/>
      <c r="RCP3" s="1055"/>
      <c r="RCQ3" s="1055"/>
      <c r="RCR3" s="1055"/>
      <c r="RCS3" s="1055"/>
      <c r="RCT3" s="1055"/>
      <c r="RCU3" s="1055"/>
      <c r="RCV3" s="1055"/>
      <c r="RCW3" s="1055"/>
      <c r="RCX3" s="1055"/>
      <c r="RCY3" s="1055"/>
      <c r="RCZ3" s="1055"/>
      <c r="RDA3" s="1055"/>
      <c r="RDB3" s="1055"/>
      <c r="RDC3" s="1055"/>
      <c r="RDD3" s="1055"/>
      <c r="RDE3" s="1055"/>
      <c r="RDF3" s="1055"/>
      <c r="RDG3" s="1055"/>
      <c r="RDH3" s="1055"/>
      <c r="RDI3" s="1055"/>
      <c r="RDJ3" s="1055"/>
      <c r="RDK3" s="1055"/>
      <c r="RDL3" s="1055"/>
      <c r="RDM3" s="1055"/>
      <c r="RDN3" s="1055"/>
      <c r="RDO3" s="1055"/>
      <c r="RDP3" s="1055"/>
      <c r="RDQ3" s="1055"/>
      <c r="RDR3" s="1055"/>
      <c r="RDS3" s="1055"/>
      <c r="RDT3" s="1055"/>
      <c r="RDU3" s="1055"/>
      <c r="RDV3" s="1055"/>
      <c r="RDW3" s="1055"/>
      <c r="RDX3" s="1055"/>
      <c r="RDY3" s="1055"/>
      <c r="RDZ3" s="1055"/>
      <c r="REA3" s="1055"/>
      <c r="REB3" s="1055"/>
      <c r="REC3" s="1055"/>
      <c r="RED3" s="1055"/>
      <c r="REE3" s="1055"/>
      <c r="REF3" s="1055"/>
      <c r="REG3" s="1055"/>
      <c r="REH3" s="1055"/>
      <c r="REI3" s="1055"/>
      <c r="REJ3" s="1055"/>
      <c r="REK3" s="1055"/>
      <c r="REL3" s="1055"/>
      <c r="REM3" s="1055"/>
      <c r="REN3" s="1055"/>
      <c r="REO3" s="1055"/>
      <c r="REP3" s="1055"/>
      <c r="REQ3" s="1055"/>
      <c r="RER3" s="1055"/>
      <c r="RES3" s="1055"/>
      <c r="RET3" s="1055"/>
      <c r="REU3" s="1055"/>
      <c r="REV3" s="1055"/>
      <c r="REW3" s="1055"/>
      <c r="REX3" s="1055"/>
      <c r="REY3" s="1055"/>
      <c r="REZ3" s="1055"/>
      <c r="RFA3" s="1055"/>
      <c r="RFB3" s="1055"/>
      <c r="RFC3" s="1055"/>
      <c r="RFD3" s="1055"/>
      <c r="RFE3" s="1055"/>
      <c r="RFF3" s="1055"/>
      <c r="RFG3" s="1055"/>
      <c r="RFH3" s="1055"/>
      <c r="RFI3" s="1055"/>
      <c r="RFJ3" s="1055"/>
      <c r="RFK3" s="1055"/>
      <c r="RFL3" s="1055"/>
      <c r="RFM3" s="1055"/>
      <c r="RFN3" s="1055"/>
      <c r="RFO3" s="1055"/>
      <c r="RFP3" s="1055"/>
      <c r="RFQ3" s="1055"/>
      <c r="RFR3" s="1055"/>
      <c r="RFS3" s="1055"/>
      <c r="RFT3" s="1055"/>
      <c r="RFU3" s="1055"/>
      <c r="RFV3" s="1055"/>
      <c r="RFW3" s="1055"/>
      <c r="RFX3" s="1055"/>
      <c r="RFY3" s="1055"/>
      <c r="RFZ3" s="1055"/>
      <c r="RGA3" s="1055"/>
      <c r="RGB3" s="1055"/>
      <c r="RGC3" s="1055"/>
      <c r="RGD3" s="1055"/>
      <c r="RGE3" s="1055"/>
      <c r="RGF3" s="1055"/>
      <c r="RGG3" s="1055"/>
      <c r="RGH3" s="1055"/>
      <c r="RGI3" s="1055"/>
      <c r="RGJ3" s="1055"/>
      <c r="RGK3" s="1055"/>
      <c r="RGL3" s="1055"/>
      <c r="RGM3" s="1055"/>
      <c r="RGN3" s="1055"/>
      <c r="RGO3" s="1055"/>
      <c r="RGP3" s="1055"/>
      <c r="RGQ3" s="1055"/>
      <c r="RGR3" s="1055"/>
      <c r="RGS3" s="1055"/>
      <c r="RGT3" s="1055"/>
      <c r="RGU3" s="1055"/>
      <c r="RGV3" s="1055"/>
      <c r="RGW3" s="1055"/>
      <c r="RGX3" s="1055"/>
      <c r="RGY3" s="1055"/>
      <c r="RGZ3" s="1055"/>
      <c r="RHA3" s="1055"/>
      <c r="RHB3" s="1055"/>
      <c r="RHC3" s="1055"/>
      <c r="RHD3" s="1055"/>
      <c r="RHE3" s="1055"/>
      <c r="RHF3" s="1055"/>
      <c r="RHG3" s="1055"/>
      <c r="RHH3" s="1055"/>
      <c r="RHI3" s="1055"/>
      <c r="RHJ3" s="1055"/>
      <c r="RHK3" s="1055"/>
      <c r="RHL3" s="1055"/>
      <c r="RHM3" s="1055"/>
      <c r="RHN3" s="1055"/>
      <c r="RHO3" s="1055"/>
      <c r="RHP3" s="1055"/>
      <c r="RHQ3" s="1055"/>
      <c r="RHR3" s="1055"/>
      <c r="RHS3" s="1055"/>
      <c r="RHT3" s="1055"/>
      <c r="RHU3" s="1055"/>
      <c r="RHV3" s="1055"/>
      <c r="RHW3" s="1055"/>
      <c r="RHX3" s="1055"/>
      <c r="RHY3" s="1055"/>
      <c r="RHZ3" s="1055"/>
      <c r="RIA3" s="1055"/>
      <c r="RIB3" s="1055"/>
      <c r="RIC3" s="1055"/>
      <c r="RID3" s="1055"/>
      <c r="RIE3" s="1055"/>
      <c r="RIF3" s="1055"/>
      <c r="RIG3" s="1055"/>
      <c r="RIH3" s="1055"/>
      <c r="RII3" s="1055"/>
      <c r="RIJ3" s="1055"/>
      <c r="RIK3" s="1055"/>
      <c r="RIL3" s="1055"/>
      <c r="RIM3" s="1055"/>
      <c r="RIN3" s="1055"/>
      <c r="RIO3" s="1055"/>
      <c r="RIP3" s="1055"/>
      <c r="RIQ3" s="1055"/>
      <c r="RIR3" s="1055"/>
      <c r="RIS3" s="1055"/>
      <c r="RIT3" s="1055"/>
      <c r="RIU3" s="1055"/>
      <c r="RIV3" s="1055"/>
      <c r="RIW3" s="1055"/>
      <c r="RIX3" s="1055"/>
      <c r="RIY3" s="1055"/>
      <c r="RIZ3" s="1055"/>
      <c r="RJA3" s="1055"/>
      <c r="RJB3" s="1055"/>
      <c r="RJC3" s="1055"/>
      <c r="RJD3" s="1055"/>
      <c r="RJE3" s="1055"/>
      <c r="RJF3" s="1055"/>
      <c r="RJG3" s="1055"/>
      <c r="RJH3" s="1055"/>
      <c r="RJI3" s="1055"/>
      <c r="RJJ3" s="1055"/>
      <c r="RJK3" s="1055"/>
      <c r="RJL3" s="1055"/>
      <c r="RJM3" s="1055"/>
      <c r="RJN3" s="1055"/>
      <c r="RJO3" s="1055"/>
      <c r="RJP3" s="1055"/>
      <c r="RJQ3" s="1055"/>
      <c r="RJR3" s="1055"/>
      <c r="RJS3" s="1055"/>
      <c r="RJT3" s="1055"/>
      <c r="RJU3" s="1055"/>
      <c r="RJV3" s="1055"/>
      <c r="RJW3" s="1055"/>
      <c r="RJX3" s="1055"/>
      <c r="RJY3" s="1055"/>
      <c r="RJZ3" s="1055"/>
      <c r="RKA3" s="1055"/>
      <c r="RKB3" s="1055"/>
      <c r="RKC3" s="1055"/>
      <c r="RKD3" s="1055"/>
      <c r="RKE3" s="1055"/>
      <c r="RKF3" s="1055"/>
      <c r="RKG3" s="1055"/>
      <c r="RKH3" s="1055"/>
      <c r="RKI3" s="1055"/>
      <c r="RKJ3" s="1055"/>
      <c r="RKK3" s="1055"/>
      <c r="RKL3" s="1055"/>
      <c r="RKM3" s="1055"/>
      <c r="RKN3" s="1055"/>
      <c r="RKO3" s="1055"/>
      <c r="RKP3" s="1055"/>
      <c r="RKQ3" s="1055"/>
      <c r="RKR3" s="1055"/>
      <c r="RKS3" s="1055"/>
      <c r="RKT3" s="1055"/>
      <c r="RKU3" s="1055"/>
      <c r="RKV3" s="1055"/>
      <c r="RKW3" s="1055"/>
      <c r="RKX3" s="1055"/>
      <c r="RKY3" s="1055"/>
      <c r="RKZ3" s="1055"/>
      <c r="RLA3" s="1055"/>
      <c r="RLB3" s="1055"/>
      <c r="RLC3" s="1055"/>
      <c r="RLD3" s="1055"/>
      <c r="RLE3" s="1055"/>
      <c r="RLF3" s="1055"/>
      <c r="RLG3" s="1055"/>
      <c r="RLH3" s="1055"/>
      <c r="RLI3" s="1055"/>
      <c r="RLJ3" s="1055"/>
      <c r="RLK3" s="1055"/>
      <c r="RLL3" s="1055"/>
      <c r="RLM3" s="1055"/>
      <c r="RLN3" s="1055"/>
      <c r="RLO3" s="1055"/>
      <c r="RLP3" s="1055"/>
      <c r="RLQ3" s="1055"/>
      <c r="RLR3" s="1055"/>
      <c r="RLS3" s="1055"/>
      <c r="RLT3" s="1055"/>
      <c r="RLU3" s="1055"/>
      <c r="RLV3" s="1055"/>
      <c r="RLW3" s="1055"/>
      <c r="RLX3" s="1055"/>
      <c r="RLY3" s="1055"/>
      <c r="RLZ3" s="1055"/>
      <c r="RMA3" s="1055"/>
      <c r="RMB3" s="1055"/>
      <c r="RMC3" s="1055"/>
      <c r="RMD3" s="1055"/>
      <c r="RME3" s="1055"/>
      <c r="RMF3" s="1055"/>
      <c r="RMG3" s="1055"/>
      <c r="RMH3" s="1055"/>
      <c r="RMI3" s="1055"/>
      <c r="RMJ3" s="1055"/>
      <c r="RMK3" s="1055"/>
      <c r="RML3" s="1055"/>
      <c r="RMM3" s="1055"/>
      <c r="RMN3" s="1055"/>
      <c r="RMO3" s="1055"/>
      <c r="RMP3" s="1055"/>
      <c r="RMQ3" s="1055"/>
      <c r="RMR3" s="1055"/>
      <c r="RMS3" s="1055"/>
      <c r="RMT3" s="1055"/>
      <c r="RMU3" s="1055"/>
      <c r="RMV3" s="1055"/>
      <c r="RMW3" s="1055"/>
      <c r="RMX3" s="1055"/>
      <c r="RMY3" s="1055"/>
      <c r="RMZ3" s="1055"/>
      <c r="RNA3" s="1055"/>
      <c r="RNB3" s="1055"/>
      <c r="RNC3" s="1055"/>
      <c r="RND3" s="1055"/>
      <c r="RNE3" s="1055"/>
      <c r="RNF3" s="1055"/>
      <c r="RNG3" s="1055"/>
      <c r="RNH3" s="1055"/>
      <c r="RNI3" s="1055"/>
      <c r="RNJ3" s="1055"/>
      <c r="RNK3" s="1055"/>
      <c r="RNL3" s="1055"/>
      <c r="RNM3" s="1055"/>
      <c r="RNN3" s="1055"/>
      <c r="RNO3" s="1055"/>
      <c r="RNP3" s="1055"/>
      <c r="RNQ3" s="1055"/>
      <c r="RNR3" s="1055"/>
      <c r="RNS3" s="1055"/>
      <c r="RNT3" s="1055"/>
      <c r="RNU3" s="1055"/>
      <c r="RNV3" s="1055"/>
      <c r="RNW3" s="1055"/>
      <c r="RNX3" s="1055"/>
      <c r="RNY3" s="1055"/>
      <c r="RNZ3" s="1055"/>
      <c r="ROA3" s="1055"/>
      <c r="ROB3" s="1055"/>
      <c r="ROC3" s="1055"/>
      <c r="ROD3" s="1055"/>
      <c r="ROE3" s="1055"/>
      <c r="ROF3" s="1055"/>
      <c r="ROG3" s="1055"/>
      <c r="ROH3" s="1055"/>
      <c r="ROI3" s="1055"/>
      <c r="ROJ3" s="1055"/>
      <c r="ROK3" s="1055"/>
      <c r="ROL3" s="1055"/>
      <c r="ROM3" s="1055"/>
      <c r="RON3" s="1055"/>
      <c r="ROO3" s="1055"/>
      <c r="ROP3" s="1055"/>
      <c r="ROQ3" s="1055"/>
      <c r="ROR3" s="1055"/>
      <c r="ROS3" s="1055"/>
      <c r="ROT3" s="1055"/>
      <c r="ROU3" s="1055"/>
      <c r="ROV3" s="1055"/>
      <c r="ROW3" s="1055"/>
      <c r="ROX3" s="1055"/>
      <c r="ROY3" s="1055"/>
      <c r="ROZ3" s="1055"/>
      <c r="RPA3" s="1055"/>
      <c r="RPB3" s="1055"/>
      <c r="RPC3" s="1055"/>
      <c r="RPD3" s="1055"/>
      <c r="RPE3" s="1055"/>
      <c r="RPF3" s="1055"/>
      <c r="RPG3" s="1055"/>
      <c r="RPH3" s="1055"/>
      <c r="RPI3" s="1055"/>
      <c r="RPJ3" s="1055"/>
      <c r="RPK3" s="1055"/>
      <c r="RPL3" s="1055"/>
      <c r="RPM3" s="1055"/>
      <c r="RPN3" s="1055"/>
      <c r="RPO3" s="1055"/>
      <c r="RPP3" s="1055"/>
      <c r="RPQ3" s="1055"/>
      <c r="RPR3" s="1055"/>
      <c r="RPS3" s="1055"/>
      <c r="RPT3" s="1055"/>
      <c r="RPU3" s="1055"/>
      <c r="RPV3" s="1055"/>
      <c r="RPW3" s="1055"/>
      <c r="RPX3" s="1055"/>
      <c r="RPY3" s="1055"/>
      <c r="RPZ3" s="1055"/>
      <c r="RQA3" s="1055"/>
      <c r="RQB3" s="1055"/>
      <c r="RQC3" s="1055"/>
      <c r="RQD3" s="1055"/>
      <c r="RQE3" s="1055"/>
      <c r="RQF3" s="1055"/>
      <c r="RQG3" s="1055"/>
      <c r="RQH3" s="1055"/>
      <c r="RQI3" s="1055"/>
      <c r="RQJ3" s="1055"/>
      <c r="RQK3" s="1055"/>
      <c r="RQL3" s="1055"/>
      <c r="RQM3" s="1055"/>
      <c r="RQN3" s="1055"/>
      <c r="RQO3" s="1055"/>
      <c r="RQP3" s="1055"/>
      <c r="RQQ3" s="1055"/>
      <c r="RQR3" s="1055"/>
      <c r="RQS3" s="1055"/>
      <c r="RQT3" s="1055"/>
      <c r="RQU3" s="1055"/>
      <c r="RQV3" s="1055"/>
      <c r="RQW3" s="1055"/>
      <c r="RQX3" s="1055"/>
      <c r="RQY3" s="1055"/>
      <c r="RQZ3" s="1055"/>
      <c r="RRA3" s="1055"/>
      <c r="RRB3" s="1055"/>
      <c r="RRC3" s="1055"/>
      <c r="RRD3" s="1055"/>
      <c r="RRE3" s="1055"/>
      <c r="RRF3" s="1055"/>
      <c r="RRG3" s="1055"/>
      <c r="RRH3" s="1055"/>
      <c r="RRI3" s="1055"/>
      <c r="RRJ3" s="1055"/>
      <c r="RRK3" s="1055"/>
      <c r="RRL3" s="1055"/>
      <c r="RRM3" s="1055"/>
      <c r="RRN3" s="1055"/>
      <c r="RRO3" s="1055"/>
      <c r="RRP3" s="1055"/>
      <c r="RRQ3" s="1055"/>
      <c r="RRR3" s="1055"/>
      <c r="RRS3" s="1055"/>
      <c r="RRT3" s="1055"/>
      <c r="RRU3" s="1055"/>
      <c r="RRV3" s="1055"/>
      <c r="RRW3" s="1055"/>
      <c r="RRX3" s="1055"/>
      <c r="RRY3" s="1055"/>
      <c r="RRZ3" s="1055"/>
      <c r="RSA3" s="1055"/>
      <c r="RSB3" s="1055"/>
      <c r="RSC3" s="1055"/>
      <c r="RSD3" s="1055"/>
      <c r="RSE3" s="1055"/>
      <c r="RSF3" s="1055"/>
      <c r="RSG3" s="1055"/>
      <c r="RSH3" s="1055"/>
      <c r="RSI3" s="1055"/>
      <c r="RSJ3" s="1055"/>
      <c r="RSK3" s="1055"/>
      <c r="RSL3" s="1055"/>
      <c r="RSM3" s="1055"/>
      <c r="RSN3" s="1055"/>
      <c r="RSO3" s="1055"/>
      <c r="RSP3" s="1055"/>
      <c r="RSQ3" s="1055"/>
      <c r="RSR3" s="1055"/>
      <c r="RSS3" s="1055"/>
      <c r="RST3" s="1055"/>
      <c r="RSU3" s="1055"/>
      <c r="RSV3" s="1055"/>
      <c r="RSW3" s="1055"/>
      <c r="RSX3" s="1055"/>
      <c r="RSY3" s="1055"/>
      <c r="RSZ3" s="1055"/>
      <c r="RTA3" s="1055"/>
      <c r="RTB3" s="1055"/>
      <c r="RTC3" s="1055"/>
      <c r="RTD3" s="1055"/>
      <c r="RTE3" s="1055"/>
      <c r="RTF3" s="1055"/>
      <c r="RTG3" s="1055"/>
      <c r="RTH3" s="1055"/>
      <c r="RTI3" s="1055"/>
      <c r="RTJ3" s="1055"/>
      <c r="RTK3" s="1055"/>
      <c r="RTL3" s="1055"/>
      <c r="RTM3" s="1055"/>
      <c r="RTN3" s="1055"/>
      <c r="RTO3" s="1055"/>
      <c r="RTP3" s="1055"/>
      <c r="RTQ3" s="1055"/>
      <c r="RTR3" s="1055"/>
      <c r="RTS3" s="1055"/>
      <c r="RTT3" s="1055"/>
      <c r="RTU3" s="1055"/>
      <c r="RTV3" s="1055"/>
      <c r="RTW3" s="1055"/>
      <c r="RTX3" s="1055"/>
      <c r="RTY3" s="1055"/>
      <c r="RTZ3" s="1055"/>
      <c r="RUA3" s="1055"/>
      <c r="RUB3" s="1055"/>
      <c r="RUC3" s="1055"/>
      <c r="RUD3" s="1055"/>
      <c r="RUE3" s="1055"/>
      <c r="RUF3" s="1055"/>
      <c r="RUG3" s="1055"/>
      <c r="RUH3" s="1055"/>
      <c r="RUI3" s="1055"/>
      <c r="RUJ3" s="1055"/>
      <c r="RUK3" s="1055"/>
      <c r="RUL3" s="1055"/>
      <c r="RUM3" s="1055"/>
      <c r="RUN3" s="1055"/>
      <c r="RUO3" s="1055"/>
      <c r="RUP3" s="1055"/>
      <c r="RUQ3" s="1055"/>
      <c r="RUR3" s="1055"/>
      <c r="RUS3" s="1055"/>
      <c r="RUT3" s="1055"/>
      <c r="RUU3" s="1055"/>
      <c r="RUV3" s="1055"/>
      <c r="RUW3" s="1055"/>
      <c r="RUX3" s="1055"/>
      <c r="RUY3" s="1055"/>
      <c r="RUZ3" s="1055"/>
      <c r="RVA3" s="1055"/>
      <c r="RVB3" s="1055"/>
      <c r="RVC3" s="1055"/>
      <c r="RVD3" s="1055"/>
      <c r="RVE3" s="1055"/>
      <c r="RVF3" s="1055"/>
      <c r="RVG3" s="1055"/>
      <c r="RVH3" s="1055"/>
      <c r="RVI3" s="1055"/>
      <c r="RVJ3" s="1055"/>
      <c r="RVK3" s="1055"/>
      <c r="RVL3" s="1055"/>
      <c r="RVM3" s="1055"/>
      <c r="RVN3" s="1055"/>
      <c r="RVO3" s="1055"/>
      <c r="RVP3" s="1055"/>
      <c r="RVQ3" s="1055"/>
      <c r="RVR3" s="1055"/>
      <c r="RVS3" s="1055"/>
      <c r="RVT3" s="1055"/>
      <c r="RVU3" s="1055"/>
      <c r="RVV3" s="1055"/>
      <c r="RVW3" s="1055"/>
      <c r="RVX3" s="1055"/>
      <c r="RVY3" s="1055"/>
      <c r="RVZ3" s="1055"/>
      <c r="RWA3" s="1055"/>
      <c r="RWB3" s="1055"/>
      <c r="RWC3" s="1055"/>
      <c r="RWD3" s="1055"/>
      <c r="RWE3" s="1055"/>
      <c r="RWF3" s="1055"/>
      <c r="RWG3" s="1055"/>
      <c r="RWH3" s="1055"/>
      <c r="RWI3" s="1055"/>
      <c r="RWJ3" s="1055"/>
      <c r="RWK3" s="1055"/>
      <c r="RWL3" s="1055"/>
      <c r="RWM3" s="1055"/>
      <c r="RWN3" s="1055"/>
      <c r="RWO3" s="1055"/>
      <c r="RWP3" s="1055"/>
      <c r="RWQ3" s="1055"/>
      <c r="RWR3" s="1055"/>
      <c r="RWS3" s="1055"/>
      <c r="RWT3" s="1055"/>
      <c r="RWU3" s="1055"/>
      <c r="RWV3" s="1055"/>
      <c r="RWW3" s="1055"/>
      <c r="RWX3" s="1055"/>
      <c r="RWY3" s="1055"/>
      <c r="RWZ3" s="1055"/>
      <c r="RXA3" s="1055"/>
      <c r="RXB3" s="1055"/>
      <c r="RXC3" s="1055"/>
      <c r="RXD3" s="1055"/>
      <c r="RXE3" s="1055"/>
      <c r="RXF3" s="1055"/>
      <c r="RXG3" s="1055"/>
      <c r="RXH3" s="1055"/>
      <c r="RXI3" s="1055"/>
      <c r="RXJ3" s="1055"/>
      <c r="RXK3" s="1055"/>
      <c r="RXL3" s="1055"/>
      <c r="RXM3" s="1055"/>
      <c r="RXN3" s="1055"/>
      <c r="RXO3" s="1055"/>
      <c r="RXP3" s="1055"/>
      <c r="RXQ3" s="1055"/>
      <c r="RXR3" s="1055"/>
      <c r="RXS3" s="1055"/>
      <c r="RXT3" s="1055"/>
      <c r="RXU3" s="1055"/>
      <c r="RXV3" s="1055"/>
      <c r="RXW3" s="1055"/>
      <c r="RXX3" s="1055"/>
      <c r="RXY3" s="1055"/>
      <c r="RXZ3" s="1055"/>
      <c r="RYA3" s="1055"/>
      <c r="RYB3" s="1055"/>
      <c r="RYC3" s="1055"/>
      <c r="RYD3" s="1055"/>
      <c r="RYE3" s="1055"/>
      <c r="RYF3" s="1055"/>
      <c r="RYG3" s="1055"/>
      <c r="RYH3" s="1055"/>
      <c r="RYI3" s="1055"/>
      <c r="RYJ3" s="1055"/>
      <c r="RYK3" s="1055"/>
      <c r="RYL3" s="1055"/>
      <c r="RYM3" s="1055"/>
      <c r="RYN3" s="1055"/>
      <c r="RYO3" s="1055"/>
      <c r="RYP3" s="1055"/>
      <c r="RYQ3" s="1055"/>
      <c r="RYR3" s="1055"/>
      <c r="RYS3" s="1055"/>
      <c r="RYT3" s="1055"/>
      <c r="RYU3" s="1055"/>
      <c r="RYV3" s="1055"/>
      <c r="RYW3" s="1055"/>
      <c r="RYX3" s="1055"/>
      <c r="RYY3" s="1055"/>
      <c r="RYZ3" s="1055"/>
      <c r="RZA3" s="1055"/>
      <c r="RZB3" s="1055"/>
      <c r="RZC3" s="1055"/>
      <c r="RZD3" s="1055"/>
      <c r="RZE3" s="1055"/>
      <c r="RZF3" s="1055"/>
      <c r="RZG3" s="1055"/>
      <c r="RZH3" s="1055"/>
      <c r="RZI3" s="1055"/>
      <c r="RZJ3" s="1055"/>
      <c r="RZK3" s="1055"/>
      <c r="RZL3" s="1055"/>
      <c r="RZM3" s="1055"/>
      <c r="RZN3" s="1055"/>
      <c r="RZO3" s="1055"/>
      <c r="RZP3" s="1055"/>
      <c r="RZQ3" s="1055"/>
      <c r="RZR3" s="1055"/>
      <c r="RZS3" s="1055"/>
      <c r="RZT3" s="1055"/>
      <c r="RZU3" s="1055"/>
      <c r="RZV3" s="1055"/>
      <c r="RZW3" s="1055"/>
      <c r="RZX3" s="1055"/>
      <c r="RZY3" s="1055"/>
      <c r="RZZ3" s="1055"/>
      <c r="SAA3" s="1055"/>
      <c r="SAB3" s="1055"/>
      <c r="SAC3" s="1055"/>
      <c r="SAD3" s="1055"/>
      <c r="SAE3" s="1055"/>
      <c r="SAF3" s="1055"/>
      <c r="SAG3" s="1055"/>
      <c r="SAH3" s="1055"/>
      <c r="SAI3" s="1055"/>
      <c r="SAJ3" s="1055"/>
      <c r="SAK3" s="1055"/>
      <c r="SAL3" s="1055"/>
      <c r="SAM3" s="1055"/>
      <c r="SAN3" s="1055"/>
      <c r="SAO3" s="1055"/>
      <c r="SAP3" s="1055"/>
      <c r="SAQ3" s="1055"/>
      <c r="SAR3" s="1055"/>
      <c r="SAS3" s="1055"/>
      <c r="SAT3" s="1055"/>
      <c r="SAU3" s="1055"/>
      <c r="SAV3" s="1055"/>
      <c r="SAW3" s="1055"/>
      <c r="SAX3" s="1055"/>
      <c r="SAY3" s="1055"/>
      <c r="SAZ3" s="1055"/>
      <c r="SBA3" s="1055"/>
      <c r="SBB3" s="1055"/>
      <c r="SBC3" s="1055"/>
      <c r="SBD3" s="1055"/>
      <c r="SBE3" s="1055"/>
      <c r="SBF3" s="1055"/>
      <c r="SBG3" s="1055"/>
      <c r="SBH3" s="1055"/>
      <c r="SBI3" s="1055"/>
      <c r="SBJ3" s="1055"/>
      <c r="SBK3" s="1055"/>
      <c r="SBL3" s="1055"/>
      <c r="SBM3" s="1055"/>
      <c r="SBN3" s="1055"/>
      <c r="SBO3" s="1055"/>
      <c r="SBP3" s="1055"/>
      <c r="SBQ3" s="1055"/>
      <c r="SBR3" s="1055"/>
      <c r="SBS3" s="1055"/>
      <c r="SBT3" s="1055"/>
      <c r="SBU3" s="1055"/>
      <c r="SBV3" s="1055"/>
      <c r="SBW3" s="1055"/>
      <c r="SBX3" s="1055"/>
      <c r="SBY3" s="1055"/>
      <c r="SBZ3" s="1055"/>
      <c r="SCA3" s="1055"/>
      <c r="SCB3" s="1055"/>
      <c r="SCC3" s="1055"/>
      <c r="SCD3" s="1055"/>
      <c r="SCE3" s="1055"/>
      <c r="SCF3" s="1055"/>
      <c r="SCG3" s="1055"/>
      <c r="SCH3" s="1055"/>
      <c r="SCI3" s="1055"/>
      <c r="SCJ3" s="1055"/>
      <c r="SCK3" s="1055"/>
      <c r="SCL3" s="1055"/>
      <c r="SCM3" s="1055"/>
      <c r="SCN3" s="1055"/>
      <c r="SCO3" s="1055"/>
      <c r="SCP3" s="1055"/>
      <c r="SCQ3" s="1055"/>
      <c r="SCR3" s="1055"/>
      <c r="SCS3" s="1055"/>
      <c r="SCT3" s="1055"/>
      <c r="SCU3" s="1055"/>
      <c r="SCV3" s="1055"/>
      <c r="SCW3" s="1055"/>
      <c r="SCX3" s="1055"/>
      <c r="SCY3" s="1055"/>
      <c r="SCZ3" s="1055"/>
      <c r="SDA3" s="1055"/>
      <c r="SDB3" s="1055"/>
      <c r="SDC3" s="1055"/>
      <c r="SDD3" s="1055"/>
      <c r="SDE3" s="1055"/>
      <c r="SDF3" s="1055"/>
      <c r="SDG3" s="1055"/>
      <c r="SDH3" s="1055"/>
      <c r="SDI3" s="1055"/>
      <c r="SDJ3" s="1055"/>
      <c r="SDK3" s="1055"/>
      <c r="SDL3" s="1055"/>
      <c r="SDM3" s="1055"/>
      <c r="SDN3" s="1055"/>
      <c r="SDO3" s="1055"/>
      <c r="SDP3" s="1055"/>
      <c r="SDQ3" s="1055"/>
      <c r="SDR3" s="1055"/>
      <c r="SDS3" s="1055"/>
      <c r="SDT3" s="1055"/>
      <c r="SDU3" s="1055"/>
      <c r="SDV3" s="1055"/>
      <c r="SDW3" s="1055"/>
      <c r="SDX3" s="1055"/>
      <c r="SDY3" s="1055"/>
      <c r="SDZ3" s="1055"/>
      <c r="SEA3" s="1055"/>
      <c r="SEB3" s="1055"/>
      <c r="SEC3" s="1055"/>
      <c r="SED3" s="1055"/>
      <c r="SEE3" s="1055"/>
      <c r="SEF3" s="1055"/>
      <c r="SEG3" s="1055"/>
      <c r="SEH3" s="1055"/>
      <c r="SEI3" s="1055"/>
      <c r="SEJ3" s="1055"/>
      <c r="SEK3" s="1055"/>
      <c r="SEL3" s="1055"/>
      <c r="SEM3" s="1055"/>
      <c r="SEN3" s="1055"/>
      <c r="SEO3" s="1055"/>
      <c r="SEP3" s="1055"/>
      <c r="SEQ3" s="1055"/>
      <c r="SER3" s="1055"/>
      <c r="SES3" s="1055"/>
      <c r="SET3" s="1055"/>
      <c r="SEU3" s="1055"/>
      <c r="SEV3" s="1055"/>
      <c r="SEW3" s="1055"/>
      <c r="SEX3" s="1055"/>
      <c r="SEY3" s="1055"/>
      <c r="SEZ3" s="1055"/>
      <c r="SFA3" s="1055"/>
      <c r="SFB3" s="1055"/>
      <c r="SFC3" s="1055"/>
      <c r="SFD3" s="1055"/>
      <c r="SFE3" s="1055"/>
      <c r="SFF3" s="1055"/>
      <c r="SFG3" s="1055"/>
      <c r="SFH3" s="1055"/>
      <c r="SFI3" s="1055"/>
      <c r="SFJ3" s="1055"/>
      <c r="SFK3" s="1055"/>
      <c r="SFL3" s="1055"/>
      <c r="SFM3" s="1055"/>
      <c r="SFN3" s="1055"/>
      <c r="SFO3" s="1055"/>
      <c r="SFP3" s="1055"/>
      <c r="SFQ3" s="1055"/>
      <c r="SFR3" s="1055"/>
      <c r="SFS3" s="1055"/>
      <c r="SFT3" s="1055"/>
      <c r="SFU3" s="1055"/>
      <c r="SFV3" s="1055"/>
      <c r="SFW3" s="1055"/>
      <c r="SFX3" s="1055"/>
      <c r="SFY3" s="1055"/>
      <c r="SFZ3" s="1055"/>
      <c r="SGA3" s="1055"/>
      <c r="SGB3" s="1055"/>
      <c r="SGC3" s="1055"/>
      <c r="SGD3" s="1055"/>
      <c r="SGE3" s="1055"/>
      <c r="SGF3" s="1055"/>
      <c r="SGG3" s="1055"/>
      <c r="SGH3" s="1055"/>
      <c r="SGI3" s="1055"/>
      <c r="SGJ3" s="1055"/>
      <c r="SGK3" s="1055"/>
      <c r="SGL3" s="1055"/>
      <c r="SGM3" s="1055"/>
      <c r="SGN3" s="1055"/>
      <c r="SGO3" s="1055"/>
      <c r="SGP3" s="1055"/>
      <c r="SGQ3" s="1055"/>
      <c r="SGR3" s="1055"/>
      <c r="SGS3" s="1055"/>
      <c r="SGT3" s="1055"/>
      <c r="SGU3" s="1055"/>
      <c r="SGV3" s="1055"/>
      <c r="SGW3" s="1055"/>
      <c r="SGX3" s="1055"/>
      <c r="SGY3" s="1055"/>
      <c r="SGZ3" s="1055"/>
      <c r="SHA3" s="1055"/>
      <c r="SHB3" s="1055"/>
      <c r="SHC3" s="1055"/>
      <c r="SHD3" s="1055"/>
      <c r="SHE3" s="1055"/>
      <c r="SHF3" s="1055"/>
      <c r="SHG3" s="1055"/>
      <c r="SHH3" s="1055"/>
      <c r="SHI3" s="1055"/>
      <c r="SHJ3" s="1055"/>
      <c r="SHK3" s="1055"/>
      <c r="SHL3" s="1055"/>
      <c r="SHM3" s="1055"/>
      <c r="SHN3" s="1055"/>
      <c r="SHO3" s="1055"/>
      <c r="SHP3" s="1055"/>
      <c r="SHQ3" s="1055"/>
      <c r="SHR3" s="1055"/>
      <c r="SHS3" s="1055"/>
      <c r="SHT3" s="1055"/>
      <c r="SHU3" s="1055"/>
      <c r="SHV3" s="1055"/>
      <c r="SHW3" s="1055"/>
      <c r="SHX3" s="1055"/>
      <c r="SHY3" s="1055"/>
      <c r="SHZ3" s="1055"/>
      <c r="SIA3" s="1055"/>
      <c r="SIB3" s="1055"/>
      <c r="SIC3" s="1055"/>
      <c r="SID3" s="1055"/>
      <c r="SIE3" s="1055"/>
      <c r="SIF3" s="1055"/>
      <c r="SIG3" s="1055"/>
      <c r="SIH3" s="1055"/>
      <c r="SII3" s="1055"/>
      <c r="SIJ3" s="1055"/>
      <c r="SIK3" s="1055"/>
      <c r="SIL3" s="1055"/>
      <c r="SIM3" s="1055"/>
      <c r="SIN3" s="1055"/>
      <c r="SIO3" s="1055"/>
      <c r="SIP3" s="1055"/>
      <c r="SIQ3" s="1055"/>
      <c r="SIR3" s="1055"/>
      <c r="SIS3" s="1055"/>
      <c r="SIT3" s="1055"/>
      <c r="SIU3" s="1055"/>
      <c r="SIV3" s="1055"/>
      <c r="SIW3" s="1055"/>
      <c r="SIX3" s="1055"/>
      <c r="SIY3" s="1055"/>
      <c r="SIZ3" s="1055"/>
      <c r="SJA3" s="1055"/>
      <c r="SJB3" s="1055"/>
      <c r="SJC3" s="1055"/>
      <c r="SJD3" s="1055"/>
      <c r="SJE3" s="1055"/>
      <c r="SJF3" s="1055"/>
      <c r="SJG3" s="1055"/>
      <c r="SJH3" s="1055"/>
      <c r="SJI3" s="1055"/>
      <c r="SJJ3" s="1055"/>
      <c r="SJK3" s="1055"/>
      <c r="SJL3" s="1055"/>
      <c r="SJM3" s="1055"/>
      <c r="SJN3" s="1055"/>
      <c r="SJO3" s="1055"/>
      <c r="SJP3" s="1055"/>
      <c r="SJQ3" s="1055"/>
      <c r="SJR3" s="1055"/>
      <c r="SJS3" s="1055"/>
      <c r="SJT3" s="1055"/>
      <c r="SJU3" s="1055"/>
      <c r="SJV3" s="1055"/>
      <c r="SJW3" s="1055"/>
      <c r="SJX3" s="1055"/>
      <c r="SJY3" s="1055"/>
      <c r="SJZ3" s="1055"/>
      <c r="SKA3" s="1055"/>
      <c r="SKB3" s="1055"/>
      <c r="SKC3" s="1055"/>
      <c r="SKD3" s="1055"/>
      <c r="SKE3" s="1055"/>
      <c r="SKF3" s="1055"/>
      <c r="SKG3" s="1055"/>
      <c r="SKH3" s="1055"/>
      <c r="SKI3" s="1055"/>
      <c r="SKJ3" s="1055"/>
      <c r="SKK3" s="1055"/>
      <c r="SKL3" s="1055"/>
      <c r="SKM3" s="1055"/>
      <c r="SKN3" s="1055"/>
      <c r="SKO3" s="1055"/>
      <c r="SKP3" s="1055"/>
      <c r="SKQ3" s="1055"/>
      <c r="SKR3" s="1055"/>
      <c r="SKS3" s="1055"/>
      <c r="SKT3" s="1055"/>
      <c r="SKU3" s="1055"/>
      <c r="SKV3" s="1055"/>
      <c r="SKW3" s="1055"/>
      <c r="SKX3" s="1055"/>
      <c r="SKY3" s="1055"/>
      <c r="SKZ3" s="1055"/>
      <c r="SLA3" s="1055"/>
      <c r="SLB3" s="1055"/>
      <c r="SLC3" s="1055"/>
      <c r="SLD3" s="1055"/>
      <c r="SLE3" s="1055"/>
      <c r="SLF3" s="1055"/>
      <c r="SLG3" s="1055"/>
      <c r="SLH3" s="1055"/>
      <c r="SLI3" s="1055"/>
      <c r="SLJ3" s="1055"/>
      <c r="SLK3" s="1055"/>
      <c r="SLL3" s="1055"/>
      <c r="SLM3" s="1055"/>
      <c r="SLN3" s="1055"/>
      <c r="SLO3" s="1055"/>
      <c r="SLP3" s="1055"/>
      <c r="SLQ3" s="1055"/>
      <c r="SLR3" s="1055"/>
      <c r="SLS3" s="1055"/>
      <c r="SLT3" s="1055"/>
      <c r="SLU3" s="1055"/>
      <c r="SLV3" s="1055"/>
      <c r="SLW3" s="1055"/>
      <c r="SLX3" s="1055"/>
      <c r="SLY3" s="1055"/>
      <c r="SLZ3" s="1055"/>
      <c r="SMA3" s="1055"/>
      <c r="SMB3" s="1055"/>
      <c r="SMC3" s="1055"/>
      <c r="SMD3" s="1055"/>
      <c r="SME3" s="1055"/>
      <c r="SMF3" s="1055"/>
      <c r="SMG3" s="1055"/>
      <c r="SMH3" s="1055"/>
      <c r="SMI3" s="1055"/>
      <c r="SMJ3" s="1055"/>
      <c r="SMK3" s="1055"/>
      <c r="SML3" s="1055"/>
      <c r="SMM3" s="1055"/>
      <c r="SMN3" s="1055"/>
      <c r="SMO3" s="1055"/>
      <c r="SMP3" s="1055"/>
      <c r="SMQ3" s="1055"/>
      <c r="SMR3" s="1055"/>
      <c r="SMS3" s="1055"/>
      <c r="SMT3" s="1055"/>
      <c r="SMU3" s="1055"/>
      <c r="SMV3" s="1055"/>
      <c r="SMW3" s="1055"/>
      <c r="SMX3" s="1055"/>
      <c r="SMY3" s="1055"/>
      <c r="SMZ3" s="1055"/>
      <c r="SNA3" s="1055"/>
      <c r="SNB3" s="1055"/>
      <c r="SNC3" s="1055"/>
      <c r="SND3" s="1055"/>
      <c r="SNE3" s="1055"/>
      <c r="SNF3" s="1055"/>
      <c r="SNG3" s="1055"/>
      <c r="SNH3" s="1055"/>
      <c r="SNI3" s="1055"/>
      <c r="SNJ3" s="1055"/>
      <c r="SNK3" s="1055"/>
      <c r="SNL3" s="1055"/>
      <c r="SNM3" s="1055"/>
      <c r="SNN3" s="1055"/>
      <c r="SNO3" s="1055"/>
      <c r="SNP3" s="1055"/>
      <c r="SNQ3" s="1055"/>
      <c r="SNR3" s="1055"/>
      <c r="SNS3" s="1055"/>
      <c r="SNT3" s="1055"/>
      <c r="SNU3" s="1055"/>
      <c r="SNV3" s="1055"/>
      <c r="SNW3" s="1055"/>
      <c r="SNX3" s="1055"/>
      <c r="SNY3" s="1055"/>
      <c r="SNZ3" s="1055"/>
      <c r="SOA3" s="1055"/>
      <c r="SOB3" s="1055"/>
      <c r="SOC3" s="1055"/>
      <c r="SOD3" s="1055"/>
      <c r="SOE3" s="1055"/>
      <c r="SOF3" s="1055"/>
      <c r="SOG3" s="1055"/>
      <c r="SOH3" s="1055"/>
      <c r="SOI3" s="1055"/>
      <c r="SOJ3" s="1055"/>
      <c r="SOK3" s="1055"/>
      <c r="SOL3" s="1055"/>
      <c r="SOM3" s="1055"/>
      <c r="SON3" s="1055"/>
      <c r="SOO3" s="1055"/>
      <c r="SOP3" s="1055"/>
      <c r="SOQ3" s="1055"/>
      <c r="SOR3" s="1055"/>
      <c r="SOS3" s="1055"/>
      <c r="SOT3" s="1055"/>
      <c r="SOU3" s="1055"/>
      <c r="SOV3" s="1055"/>
      <c r="SOW3" s="1055"/>
      <c r="SOX3" s="1055"/>
      <c r="SOY3" s="1055"/>
      <c r="SOZ3" s="1055"/>
      <c r="SPA3" s="1055"/>
      <c r="SPB3" s="1055"/>
      <c r="SPC3" s="1055"/>
      <c r="SPD3" s="1055"/>
      <c r="SPE3" s="1055"/>
      <c r="SPF3" s="1055"/>
      <c r="SPG3" s="1055"/>
      <c r="SPH3" s="1055"/>
      <c r="SPI3" s="1055"/>
      <c r="SPJ3" s="1055"/>
      <c r="SPK3" s="1055"/>
      <c r="SPL3" s="1055"/>
      <c r="SPM3" s="1055"/>
      <c r="SPN3" s="1055"/>
      <c r="SPO3" s="1055"/>
      <c r="SPP3" s="1055"/>
      <c r="SPQ3" s="1055"/>
      <c r="SPR3" s="1055"/>
      <c r="SPS3" s="1055"/>
      <c r="SPT3" s="1055"/>
      <c r="SPU3" s="1055"/>
      <c r="SPV3" s="1055"/>
      <c r="SPW3" s="1055"/>
      <c r="SPX3" s="1055"/>
      <c r="SPY3" s="1055"/>
      <c r="SPZ3" s="1055"/>
      <c r="SQA3" s="1055"/>
      <c r="SQB3" s="1055"/>
      <c r="SQC3" s="1055"/>
      <c r="SQD3" s="1055"/>
      <c r="SQE3" s="1055"/>
      <c r="SQF3" s="1055"/>
      <c r="SQG3" s="1055"/>
      <c r="SQH3" s="1055"/>
      <c r="SQI3" s="1055"/>
      <c r="SQJ3" s="1055"/>
      <c r="SQK3" s="1055"/>
      <c r="SQL3" s="1055"/>
      <c r="SQM3" s="1055"/>
      <c r="SQN3" s="1055"/>
      <c r="SQO3" s="1055"/>
      <c r="SQP3" s="1055"/>
      <c r="SQQ3" s="1055"/>
      <c r="SQR3" s="1055"/>
      <c r="SQS3" s="1055"/>
      <c r="SQT3" s="1055"/>
      <c r="SQU3" s="1055"/>
      <c r="SQV3" s="1055"/>
      <c r="SQW3" s="1055"/>
      <c r="SQX3" s="1055"/>
      <c r="SQY3" s="1055"/>
      <c r="SQZ3" s="1055"/>
      <c r="SRA3" s="1055"/>
      <c r="SRB3" s="1055"/>
      <c r="SRC3" s="1055"/>
      <c r="SRD3" s="1055"/>
      <c r="SRE3" s="1055"/>
      <c r="SRF3" s="1055"/>
      <c r="SRG3" s="1055"/>
      <c r="SRH3" s="1055"/>
      <c r="SRI3" s="1055"/>
      <c r="SRJ3" s="1055"/>
      <c r="SRK3" s="1055"/>
      <c r="SRL3" s="1055"/>
      <c r="SRM3" s="1055"/>
      <c r="SRN3" s="1055"/>
      <c r="SRO3" s="1055"/>
      <c r="SRP3" s="1055"/>
      <c r="SRQ3" s="1055"/>
      <c r="SRR3" s="1055"/>
      <c r="SRS3" s="1055"/>
      <c r="SRT3" s="1055"/>
      <c r="SRU3" s="1055"/>
      <c r="SRV3" s="1055"/>
      <c r="SRW3" s="1055"/>
      <c r="SRX3" s="1055"/>
      <c r="SRY3" s="1055"/>
      <c r="SRZ3" s="1055"/>
      <c r="SSA3" s="1055"/>
      <c r="SSB3" s="1055"/>
      <c r="SSC3" s="1055"/>
      <c r="SSD3" s="1055"/>
      <c r="SSE3" s="1055"/>
      <c r="SSF3" s="1055"/>
      <c r="SSG3" s="1055"/>
      <c r="SSH3" s="1055"/>
      <c r="SSI3" s="1055"/>
      <c r="SSJ3" s="1055"/>
      <c r="SSK3" s="1055"/>
      <c r="SSL3" s="1055"/>
      <c r="SSM3" s="1055"/>
      <c r="SSN3" s="1055"/>
      <c r="SSO3" s="1055"/>
      <c r="SSP3" s="1055"/>
      <c r="SSQ3" s="1055"/>
      <c r="SSR3" s="1055"/>
      <c r="SSS3" s="1055"/>
      <c r="SST3" s="1055"/>
      <c r="SSU3" s="1055"/>
      <c r="SSV3" s="1055"/>
      <c r="SSW3" s="1055"/>
      <c r="SSX3" s="1055"/>
      <c r="SSY3" s="1055"/>
      <c r="SSZ3" s="1055"/>
      <c r="STA3" s="1055"/>
      <c r="STB3" s="1055"/>
      <c r="STC3" s="1055"/>
      <c r="STD3" s="1055"/>
      <c r="STE3" s="1055"/>
      <c r="STF3" s="1055"/>
      <c r="STG3" s="1055"/>
      <c r="STH3" s="1055"/>
      <c r="STI3" s="1055"/>
      <c r="STJ3" s="1055"/>
      <c r="STK3" s="1055"/>
      <c r="STL3" s="1055"/>
      <c r="STM3" s="1055"/>
      <c r="STN3" s="1055"/>
      <c r="STO3" s="1055"/>
      <c r="STP3" s="1055"/>
      <c r="STQ3" s="1055"/>
      <c r="STR3" s="1055"/>
      <c r="STS3" s="1055"/>
      <c r="STT3" s="1055"/>
      <c r="STU3" s="1055"/>
      <c r="STV3" s="1055"/>
      <c r="STW3" s="1055"/>
      <c r="STX3" s="1055"/>
      <c r="STY3" s="1055"/>
      <c r="STZ3" s="1055"/>
      <c r="SUA3" s="1055"/>
      <c r="SUB3" s="1055"/>
      <c r="SUC3" s="1055"/>
      <c r="SUD3" s="1055"/>
      <c r="SUE3" s="1055"/>
      <c r="SUF3" s="1055"/>
      <c r="SUG3" s="1055"/>
      <c r="SUH3" s="1055"/>
      <c r="SUI3" s="1055"/>
      <c r="SUJ3" s="1055"/>
      <c r="SUK3" s="1055"/>
      <c r="SUL3" s="1055"/>
      <c r="SUM3" s="1055"/>
      <c r="SUN3" s="1055"/>
      <c r="SUO3" s="1055"/>
      <c r="SUP3" s="1055"/>
      <c r="SUQ3" s="1055"/>
      <c r="SUR3" s="1055"/>
      <c r="SUS3" s="1055"/>
      <c r="SUT3" s="1055"/>
      <c r="SUU3" s="1055"/>
      <c r="SUV3" s="1055"/>
      <c r="SUW3" s="1055"/>
      <c r="SUX3" s="1055"/>
      <c r="SUY3" s="1055"/>
      <c r="SUZ3" s="1055"/>
      <c r="SVA3" s="1055"/>
      <c r="SVB3" s="1055"/>
      <c r="SVC3" s="1055"/>
      <c r="SVD3" s="1055"/>
      <c r="SVE3" s="1055"/>
      <c r="SVF3" s="1055"/>
      <c r="SVG3" s="1055"/>
      <c r="SVH3" s="1055"/>
      <c r="SVI3" s="1055"/>
      <c r="SVJ3" s="1055"/>
      <c r="SVK3" s="1055"/>
      <c r="SVL3" s="1055"/>
      <c r="SVM3" s="1055"/>
      <c r="SVN3" s="1055"/>
      <c r="SVO3" s="1055"/>
      <c r="SVP3" s="1055"/>
      <c r="SVQ3" s="1055"/>
      <c r="SVR3" s="1055"/>
      <c r="SVS3" s="1055"/>
      <c r="SVT3" s="1055"/>
      <c r="SVU3" s="1055"/>
      <c r="SVV3" s="1055"/>
      <c r="SVW3" s="1055"/>
      <c r="SVX3" s="1055"/>
      <c r="SVY3" s="1055"/>
      <c r="SVZ3" s="1055"/>
      <c r="SWA3" s="1055"/>
      <c r="SWB3" s="1055"/>
      <c r="SWC3" s="1055"/>
      <c r="SWD3" s="1055"/>
      <c r="SWE3" s="1055"/>
      <c r="SWF3" s="1055"/>
      <c r="SWG3" s="1055"/>
      <c r="SWH3" s="1055"/>
      <c r="SWI3" s="1055"/>
      <c r="SWJ3" s="1055"/>
      <c r="SWK3" s="1055"/>
      <c r="SWL3" s="1055"/>
      <c r="SWM3" s="1055"/>
      <c r="SWN3" s="1055"/>
      <c r="SWO3" s="1055"/>
      <c r="SWP3" s="1055"/>
      <c r="SWQ3" s="1055"/>
      <c r="SWR3" s="1055"/>
      <c r="SWS3" s="1055"/>
      <c r="SWT3" s="1055"/>
      <c r="SWU3" s="1055"/>
      <c r="SWV3" s="1055"/>
      <c r="SWW3" s="1055"/>
      <c r="SWX3" s="1055"/>
      <c r="SWY3" s="1055"/>
      <c r="SWZ3" s="1055"/>
      <c r="SXA3" s="1055"/>
      <c r="SXB3" s="1055"/>
      <c r="SXC3" s="1055"/>
      <c r="SXD3" s="1055"/>
      <c r="SXE3" s="1055"/>
      <c r="SXF3" s="1055"/>
      <c r="SXG3" s="1055"/>
      <c r="SXH3" s="1055"/>
      <c r="SXI3" s="1055"/>
      <c r="SXJ3" s="1055"/>
      <c r="SXK3" s="1055"/>
      <c r="SXL3" s="1055"/>
      <c r="SXM3" s="1055"/>
      <c r="SXN3" s="1055"/>
      <c r="SXO3" s="1055"/>
      <c r="SXP3" s="1055"/>
      <c r="SXQ3" s="1055"/>
      <c r="SXR3" s="1055"/>
      <c r="SXS3" s="1055"/>
      <c r="SXT3" s="1055"/>
      <c r="SXU3" s="1055"/>
      <c r="SXV3" s="1055"/>
      <c r="SXW3" s="1055"/>
      <c r="SXX3" s="1055"/>
      <c r="SXY3" s="1055"/>
      <c r="SXZ3" s="1055"/>
      <c r="SYA3" s="1055"/>
      <c r="SYB3" s="1055"/>
      <c r="SYC3" s="1055"/>
      <c r="SYD3" s="1055"/>
      <c r="SYE3" s="1055"/>
      <c r="SYF3" s="1055"/>
      <c r="SYG3" s="1055"/>
      <c r="SYH3" s="1055"/>
      <c r="SYI3" s="1055"/>
      <c r="SYJ3" s="1055"/>
      <c r="SYK3" s="1055"/>
      <c r="SYL3" s="1055"/>
      <c r="SYM3" s="1055"/>
      <c r="SYN3" s="1055"/>
      <c r="SYO3" s="1055"/>
      <c r="SYP3" s="1055"/>
      <c r="SYQ3" s="1055"/>
      <c r="SYR3" s="1055"/>
      <c r="SYS3" s="1055"/>
      <c r="SYT3" s="1055"/>
      <c r="SYU3" s="1055"/>
      <c r="SYV3" s="1055"/>
      <c r="SYW3" s="1055"/>
      <c r="SYX3" s="1055"/>
      <c r="SYY3" s="1055"/>
      <c r="SYZ3" s="1055"/>
      <c r="SZA3" s="1055"/>
      <c r="SZB3" s="1055"/>
      <c r="SZC3" s="1055"/>
      <c r="SZD3" s="1055"/>
      <c r="SZE3" s="1055"/>
      <c r="SZF3" s="1055"/>
      <c r="SZG3" s="1055"/>
      <c r="SZH3" s="1055"/>
      <c r="SZI3" s="1055"/>
      <c r="SZJ3" s="1055"/>
      <c r="SZK3" s="1055"/>
      <c r="SZL3" s="1055"/>
      <c r="SZM3" s="1055"/>
      <c r="SZN3" s="1055"/>
      <c r="SZO3" s="1055"/>
      <c r="SZP3" s="1055"/>
      <c r="SZQ3" s="1055"/>
      <c r="SZR3" s="1055"/>
      <c r="SZS3" s="1055"/>
      <c r="SZT3" s="1055"/>
      <c r="SZU3" s="1055"/>
      <c r="SZV3" s="1055"/>
      <c r="SZW3" s="1055"/>
      <c r="SZX3" s="1055"/>
      <c r="SZY3" s="1055"/>
      <c r="SZZ3" s="1055"/>
      <c r="TAA3" s="1055"/>
      <c r="TAB3" s="1055"/>
      <c r="TAC3" s="1055"/>
      <c r="TAD3" s="1055"/>
      <c r="TAE3" s="1055"/>
      <c r="TAF3" s="1055"/>
      <c r="TAG3" s="1055"/>
      <c r="TAH3" s="1055"/>
      <c r="TAI3" s="1055"/>
      <c r="TAJ3" s="1055"/>
      <c r="TAK3" s="1055"/>
      <c r="TAL3" s="1055"/>
      <c r="TAM3" s="1055"/>
      <c r="TAN3" s="1055"/>
      <c r="TAO3" s="1055"/>
      <c r="TAP3" s="1055"/>
      <c r="TAQ3" s="1055"/>
      <c r="TAR3" s="1055"/>
      <c r="TAS3" s="1055"/>
      <c r="TAT3" s="1055"/>
      <c r="TAU3" s="1055"/>
      <c r="TAV3" s="1055"/>
      <c r="TAW3" s="1055"/>
      <c r="TAX3" s="1055"/>
      <c r="TAY3" s="1055"/>
      <c r="TAZ3" s="1055"/>
      <c r="TBA3" s="1055"/>
      <c r="TBB3" s="1055"/>
      <c r="TBC3" s="1055"/>
      <c r="TBD3" s="1055"/>
      <c r="TBE3" s="1055"/>
      <c r="TBF3" s="1055"/>
      <c r="TBG3" s="1055"/>
      <c r="TBH3" s="1055"/>
      <c r="TBI3" s="1055"/>
      <c r="TBJ3" s="1055"/>
      <c r="TBK3" s="1055"/>
      <c r="TBL3" s="1055"/>
      <c r="TBM3" s="1055"/>
      <c r="TBN3" s="1055"/>
      <c r="TBO3" s="1055"/>
      <c r="TBP3" s="1055"/>
      <c r="TBQ3" s="1055"/>
      <c r="TBR3" s="1055"/>
      <c r="TBS3" s="1055"/>
      <c r="TBT3" s="1055"/>
      <c r="TBU3" s="1055"/>
      <c r="TBV3" s="1055"/>
      <c r="TBW3" s="1055"/>
      <c r="TBX3" s="1055"/>
      <c r="TBY3" s="1055"/>
      <c r="TBZ3" s="1055"/>
      <c r="TCA3" s="1055"/>
      <c r="TCB3" s="1055"/>
      <c r="TCC3" s="1055"/>
      <c r="TCD3" s="1055"/>
      <c r="TCE3" s="1055"/>
      <c r="TCF3" s="1055"/>
      <c r="TCG3" s="1055"/>
      <c r="TCH3" s="1055"/>
      <c r="TCI3" s="1055"/>
      <c r="TCJ3" s="1055"/>
      <c r="TCK3" s="1055"/>
      <c r="TCL3" s="1055"/>
      <c r="TCM3" s="1055"/>
      <c r="TCN3" s="1055"/>
      <c r="TCO3" s="1055"/>
      <c r="TCP3" s="1055"/>
      <c r="TCQ3" s="1055"/>
      <c r="TCR3" s="1055"/>
      <c r="TCS3" s="1055"/>
      <c r="TCT3" s="1055"/>
      <c r="TCU3" s="1055"/>
      <c r="TCV3" s="1055"/>
      <c r="TCW3" s="1055"/>
      <c r="TCX3" s="1055"/>
      <c r="TCY3" s="1055"/>
      <c r="TCZ3" s="1055"/>
      <c r="TDA3" s="1055"/>
      <c r="TDB3" s="1055"/>
      <c r="TDC3" s="1055"/>
      <c r="TDD3" s="1055"/>
      <c r="TDE3" s="1055"/>
      <c r="TDF3" s="1055"/>
      <c r="TDG3" s="1055"/>
      <c r="TDH3" s="1055"/>
      <c r="TDI3" s="1055"/>
      <c r="TDJ3" s="1055"/>
      <c r="TDK3" s="1055"/>
      <c r="TDL3" s="1055"/>
      <c r="TDM3" s="1055"/>
      <c r="TDN3" s="1055"/>
      <c r="TDO3" s="1055"/>
      <c r="TDP3" s="1055"/>
      <c r="TDQ3" s="1055"/>
      <c r="TDR3" s="1055"/>
      <c r="TDS3" s="1055"/>
      <c r="TDT3" s="1055"/>
      <c r="TDU3" s="1055"/>
      <c r="TDV3" s="1055"/>
      <c r="TDW3" s="1055"/>
      <c r="TDX3" s="1055"/>
      <c r="TDY3" s="1055"/>
      <c r="TDZ3" s="1055"/>
      <c r="TEA3" s="1055"/>
      <c r="TEB3" s="1055"/>
      <c r="TEC3" s="1055"/>
      <c r="TED3" s="1055"/>
      <c r="TEE3" s="1055"/>
      <c r="TEF3" s="1055"/>
      <c r="TEG3" s="1055"/>
      <c r="TEH3" s="1055"/>
      <c r="TEI3" s="1055"/>
      <c r="TEJ3" s="1055"/>
      <c r="TEK3" s="1055"/>
      <c r="TEL3" s="1055"/>
      <c r="TEM3" s="1055"/>
      <c r="TEN3" s="1055"/>
      <c r="TEO3" s="1055"/>
      <c r="TEP3" s="1055"/>
      <c r="TEQ3" s="1055"/>
      <c r="TER3" s="1055"/>
      <c r="TES3" s="1055"/>
      <c r="TET3" s="1055"/>
      <c r="TEU3" s="1055"/>
      <c r="TEV3" s="1055"/>
      <c r="TEW3" s="1055"/>
      <c r="TEX3" s="1055"/>
      <c r="TEY3" s="1055"/>
      <c r="TEZ3" s="1055"/>
      <c r="TFA3" s="1055"/>
      <c r="TFB3" s="1055"/>
      <c r="TFC3" s="1055"/>
      <c r="TFD3" s="1055"/>
      <c r="TFE3" s="1055"/>
      <c r="TFF3" s="1055"/>
      <c r="TFG3" s="1055"/>
      <c r="TFH3" s="1055"/>
      <c r="TFI3" s="1055"/>
      <c r="TFJ3" s="1055"/>
      <c r="TFK3" s="1055"/>
      <c r="TFL3" s="1055"/>
      <c r="TFM3" s="1055"/>
      <c r="TFN3" s="1055"/>
      <c r="TFO3" s="1055"/>
      <c r="TFP3" s="1055"/>
      <c r="TFQ3" s="1055"/>
      <c r="TFR3" s="1055"/>
      <c r="TFS3" s="1055"/>
      <c r="TFT3" s="1055"/>
      <c r="TFU3" s="1055"/>
      <c r="TFV3" s="1055"/>
      <c r="TFW3" s="1055"/>
      <c r="TFX3" s="1055"/>
      <c r="TFY3" s="1055"/>
      <c r="TFZ3" s="1055"/>
      <c r="TGA3" s="1055"/>
      <c r="TGB3" s="1055"/>
      <c r="TGC3" s="1055"/>
      <c r="TGD3" s="1055"/>
      <c r="TGE3" s="1055"/>
      <c r="TGF3" s="1055"/>
      <c r="TGG3" s="1055"/>
      <c r="TGH3" s="1055"/>
      <c r="TGI3" s="1055"/>
      <c r="TGJ3" s="1055"/>
      <c r="TGK3" s="1055"/>
      <c r="TGL3" s="1055"/>
      <c r="TGM3" s="1055"/>
      <c r="TGN3" s="1055"/>
      <c r="TGO3" s="1055"/>
      <c r="TGP3" s="1055"/>
      <c r="TGQ3" s="1055"/>
      <c r="TGR3" s="1055"/>
      <c r="TGS3" s="1055"/>
      <c r="TGT3" s="1055"/>
      <c r="TGU3" s="1055"/>
      <c r="TGV3" s="1055"/>
      <c r="TGW3" s="1055"/>
      <c r="TGX3" s="1055"/>
      <c r="TGY3" s="1055"/>
      <c r="TGZ3" s="1055"/>
      <c r="THA3" s="1055"/>
      <c r="THB3" s="1055"/>
      <c r="THC3" s="1055"/>
      <c r="THD3" s="1055"/>
      <c r="THE3" s="1055"/>
      <c r="THF3" s="1055"/>
      <c r="THG3" s="1055"/>
      <c r="THH3" s="1055"/>
      <c r="THI3" s="1055"/>
      <c r="THJ3" s="1055"/>
      <c r="THK3" s="1055"/>
      <c r="THL3" s="1055"/>
      <c r="THM3" s="1055"/>
      <c r="THN3" s="1055"/>
      <c r="THO3" s="1055"/>
      <c r="THP3" s="1055"/>
      <c r="THQ3" s="1055"/>
      <c r="THR3" s="1055"/>
      <c r="THS3" s="1055"/>
      <c r="THT3" s="1055"/>
      <c r="THU3" s="1055"/>
      <c r="THV3" s="1055"/>
      <c r="THW3" s="1055"/>
      <c r="THX3" s="1055"/>
      <c r="THY3" s="1055"/>
      <c r="THZ3" s="1055"/>
      <c r="TIA3" s="1055"/>
      <c r="TIB3" s="1055"/>
      <c r="TIC3" s="1055"/>
      <c r="TID3" s="1055"/>
      <c r="TIE3" s="1055"/>
      <c r="TIF3" s="1055"/>
      <c r="TIG3" s="1055"/>
      <c r="TIH3" s="1055"/>
      <c r="TII3" s="1055"/>
      <c r="TIJ3" s="1055"/>
      <c r="TIK3" s="1055"/>
      <c r="TIL3" s="1055"/>
      <c r="TIM3" s="1055"/>
      <c r="TIN3" s="1055"/>
      <c r="TIO3" s="1055"/>
      <c r="TIP3" s="1055"/>
      <c r="TIQ3" s="1055"/>
      <c r="TIR3" s="1055"/>
      <c r="TIS3" s="1055"/>
      <c r="TIT3" s="1055"/>
      <c r="TIU3" s="1055"/>
      <c r="TIV3" s="1055"/>
      <c r="TIW3" s="1055"/>
      <c r="TIX3" s="1055"/>
      <c r="TIY3" s="1055"/>
      <c r="TIZ3" s="1055"/>
      <c r="TJA3" s="1055"/>
      <c r="TJB3" s="1055"/>
      <c r="TJC3" s="1055"/>
      <c r="TJD3" s="1055"/>
      <c r="TJE3" s="1055"/>
      <c r="TJF3" s="1055"/>
      <c r="TJG3" s="1055"/>
      <c r="TJH3" s="1055"/>
      <c r="TJI3" s="1055"/>
      <c r="TJJ3" s="1055"/>
      <c r="TJK3" s="1055"/>
      <c r="TJL3" s="1055"/>
      <c r="TJM3" s="1055"/>
      <c r="TJN3" s="1055"/>
      <c r="TJO3" s="1055"/>
      <c r="TJP3" s="1055"/>
      <c r="TJQ3" s="1055"/>
      <c r="TJR3" s="1055"/>
      <c r="TJS3" s="1055"/>
      <c r="TJT3" s="1055"/>
      <c r="TJU3" s="1055"/>
      <c r="TJV3" s="1055"/>
      <c r="TJW3" s="1055"/>
      <c r="TJX3" s="1055"/>
      <c r="TJY3" s="1055"/>
      <c r="TJZ3" s="1055"/>
      <c r="TKA3" s="1055"/>
      <c r="TKB3" s="1055"/>
      <c r="TKC3" s="1055"/>
      <c r="TKD3" s="1055"/>
      <c r="TKE3" s="1055"/>
      <c r="TKF3" s="1055"/>
      <c r="TKG3" s="1055"/>
      <c r="TKH3" s="1055"/>
      <c r="TKI3" s="1055"/>
      <c r="TKJ3" s="1055"/>
      <c r="TKK3" s="1055"/>
      <c r="TKL3" s="1055"/>
      <c r="TKM3" s="1055"/>
      <c r="TKN3" s="1055"/>
      <c r="TKO3" s="1055"/>
      <c r="TKP3" s="1055"/>
      <c r="TKQ3" s="1055"/>
      <c r="TKR3" s="1055"/>
      <c r="TKS3" s="1055"/>
      <c r="TKT3" s="1055"/>
      <c r="TKU3" s="1055"/>
      <c r="TKV3" s="1055"/>
      <c r="TKW3" s="1055"/>
      <c r="TKX3" s="1055"/>
      <c r="TKY3" s="1055"/>
      <c r="TKZ3" s="1055"/>
      <c r="TLA3" s="1055"/>
      <c r="TLB3" s="1055"/>
      <c r="TLC3" s="1055"/>
      <c r="TLD3" s="1055"/>
      <c r="TLE3" s="1055"/>
      <c r="TLF3" s="1055"/>
      <c r="TLG3" s="1055"/>
      <c r="TLH3" s="1055"/>
      <c r="TLI3" s="1055"/>
      <c r="TLJ3" s="1055"/>
      <c r="TLK3" s="1055"/>
      <c r="TLL3" s="1055"/>
      <c r="TLM3" s="1055"/>
      <c r="TLN3" s="1055"/>
      <c r="TLO3" s="1055"/>
      <c r="TLP3" s="1055"/>
      <c r="TLQ3" s="1055"/>
      <c r="TLR3" s="1055"/>
      <c r="TLS3" s="1055"/>
      <c r="TLT3" s="1055"/>
      <c r="TLU3" s="1055"/>
      <c r="TLV3" s="1055"/>
      <c r="TLW3" s="1055"/>
      <c r="TLX3" s="1055"/>
      <c r="TLY3" s="1055"/>
      <c r="TLZ3" s="1055"/>
      <c r="TMA3" s="1055"/>
      <c r="TMB3" s="1055"/>
      <c r="TMC3" s="1055"/>
      <c r="TMD3" s="1055"/>
      <c r="TME3" s="1055"/>
      <c r="TMF3" s="1055"/>
      <c r="TMG3" s="1055"/>
      <c r="TMH3" s="1055"/>
      <c r="TMI3" s="1055"/>
      <c r="TMJ3" s="1055"/>
      <c r="TMK3" s="1055"/>
      <c r="TML3" s="1055"/>
      <c r="TMM3" s="1055"/>
      <c r="TMN3" s="1055"/>
      <c r="TMO3" s="1055"/>
      <c r="TMP3" s="1055"/>
      <c r="TMQ3" s="1055"/>
      <c r="TMR3" s="1055"/>
      <c r="TMS3" s="1055"/>
      <c r="TMT3" s="1055"/>
      <c r="TMU3" s="1055"/>
      <c r="TMV3" s="1055"/>
      <c r="TMW3" s="1055"/>
      <c r="TMX3" s="1055"/>
      <c r="TMY3" s="1055"/>
      <c r="TMZ3" s="1055"/>
      <c r="TNA3" s="1055"/>
      <c r="TNB3" s="1055"/>
      <c r="TNC3" s="1055"/>
      <c r="TND3" s="1055"/>
      <c r="TNE3" s="1055"/>
      <c r="TNF3" s="1055"/>
      <c r="TNG3" s="1055"/>
      <c r="TNH3" s="1055"/>
      <c r="TNI3" s="1055"/>
      <c r="TNJ3" s="1055"/>
      <c r="TNK3" s="1055"/>
      <c r="TNL3" s="1055"/>
      <c r="TNM3" s="1055"/>
      <c r="TNN3" s="1055"/>
      <c r="TNO3" s="1055"/>
      <c r="TNP3" s="1055"/>
      <c r="TNQ3" s="1055"/>
      <c r="TNR3" s="1055"/>
      <c r="TNS3" s="1055"/>
      <c r="TNT3" s="1055"/>
      <c r="TNU3" s="1055"/>
      <c r="TNV3" s="1055"/>
      <c r="TNW3" s="1055"/>
      <c r="TNX3" s="1055"/>
      <c r="TNY3" s="1055"/>
      <c r="TNZ3" s="1055"/>
      <c r="TOA3" s="1055"/>
      <c r="TOB3" s="1055"/>
      <c r="TOC3" s="1055"/>
      <c r="TOD3" s="1055"/>
      <c r="TOE3" s="1055"/>
      <c r="TOF3" s="1055"/>
      <c r="TOG3" s="1055"/>
      <c r="TOH3" s="1055"/>
      <c r="TOI3" s="1055"/>
      <c r="TOJ3" s="1055"/>
      <c r="TOK3" s="1055"/>
      <c r="TOL3" s="1055"/>
      <c r="TOM3" s="1055"/>
      <c r="TON3" s="1055"/>
      <c r="TOO3" s="1055"/>
      <c r="TOP3" s="1055"/>
      <c r="TOQ3" s="1055"/>
      <c r="TOR3" s="1055"/>
      <c r="TOS3" s="1055"/>
      <c r="TOT3" s="1055"/>
      <c r="TOU3" s="1055"/>
      <c r="TOV3" s="1055"/>
      <c r="TOW3" s="1055"/>
      <c r="TOX3" s="1055"/>
      <c r="TOY3" s="1055"/>
      <c r="TOZ3" s="1055"/>
      <c r="TPA3" s="1055"/>
      <c r="TPB3" s="1055"/>
      <c r="TPC3" s="1055"/>
      <c r="TPD3" s="1055"/>
      <c r="TPE3" s="1055"/>
      <c r="TPF3" s="1055"/>
      <c r="TPG3" s="1055"/>
      <c r="TPH3" s="1055"/>
      <c r="TPI3" s="1055"/>
      <c r="TPJ3" s="1055"/>
      <c r="TPK3" s="1055"/>
      <c r="TPL3" s="1055"/>
      <c r="TPM3" s="1055"/>
      <c r="TPN3" s="1055"/>
      <c r="TPO3" s="1055"/>
      <c r="TPP3" s="1055"/>
      <c r="TPQ3" s="1055"/>
      <c r="TPR3" s="1055"/>
      <c r="TPS3" s="1055"/>
      <c r="TPT3" s="1055"/>
      <c r="TPU3" s="1055"/>
      <c r="TPV3" s="1055"/>
      <c r="TPW3" s="1055"/>
      <c r="TPX3" s="1055"/>
      <c r="TPY3" s="1055"/>
      <c r="TPZ3" s="1055"/>
      <c r="TQA3" s="1055"/>
      <c r="TQB3" s="1055"/>
      <c r="TQC3" s="1055"/>
      <c r="TQD3" s="1055"/>
      <c r="TQE3" s="1055"/>
      <c r="TQF3" s="1055"/>
      <c r="TQG3" s="1055"/>
      <c r="TQH3" s="1055"/>
      <c r="TQI3" s="1055"/>
      <c r="TQJ3" s="1055"/>
      <c r="TQK3" s="1055"/>
      <c r="TQL3" s="1055"/>
      <c r="TQM3" s="1055"/>
      <c r="TQN3" s="1055"/>
      <c r="TQO3" s="1055"/>
      <c r="TQP3" s="1055"/>
      <c r="TQQ3" s="1055"/>
      <c r="TQR3" s="1055"/>
      <c r="TQS3" s="1055"/>
      <c r="TQT3" s="1055"/>
      <c r="TQU3" s="1055"/>
      <c r="TQV3" s="1055"/>
      <c r="TQW3" s="1055"/>
      <c r="TQX3" s="1055"/>
      <c r="TQY3" s="1055"/>
      <c r="TQZ3" s="1055"/>
      <c r="TRA3" s="1055"/>
      <c r="TRB3" s="1055"/>
      <c r="TRC3" s="1055"/>
      <c r="TRD3" s="1055"/>
      <c r="TRE3" s="1055"/>
      <c r="TRF3" s="1055"/>
      <c r="TRG3" s="1055"/>
      <c r="TRH3" s="1055"/>
      <c r="TRI3" s="1055"/>
      <c r="TRJ3" s="1055"/>
      <c r="TRK3" s="1055"/>
      <c r="TRL3" s="1055"/>
      <c r="TRM3" s="1055"/>
      <c r="TRN3" s="1055"/>
      <c r="TRO3" s="1055"/>
      <c r="TRP3" s="1055"/>
      <c r="TRQ3" s="1055"/>
      <c r="TRR3" s="1055"/>
      <c r="TRS3" s="1055"/>
      <c r="TRT3" s="1055"/>
      <c r="TRU3" s="1055"/>
      <c r="TRV3" s="1055"/>
      <c r="TRW3" s="1055"/>
      <c r="TRX3" s="1055"/>
      <c r="TRY3" s="1055"/>
      <c r="TRZ3" s="1055"/>
      <c r="TSA3" s="1055"/>
      <c r="TSB3" s="1055"/>
      <c r="TSC3" s="1055"/>
      <c r="TSD3" s="1055"/>
      <c r="TSE3" s="1055"/>
      <c r="TSF3" s="1055"/>
      <c r="TSG3" s="1055"/>
      <c r="TSH3" s="1055"/>
      <c r="TSI3" s="1055"/>
      <c r="TSJ3" s="1055"/>
      <c r="TSK3" s="1055"/>
      <c r="TSL3" s="1055"/>
      <c r="TSM3" s="1055"/>
      <c r="TSN3" s="1055"/>
      <c r="TSO3" s="1055"/>
      <c r="TSP3" s="1055"/>
      <c r="TSQ3" s="1055"/>
      <c r="TSR3" s="1055"/>
      <c r="TSS3" s="1055"/>
      <c r="TST3" s="1055"/>
      <c r="TSU3" s="1055"/>
      <c r="TSV3" s="1055"/>
      <c r="TSW3" s="1055"/>
      <c r="TSX3" s="1055"/>
      <c r="TSY3" s="1055"/>
      <c r="TSZ3" s="1055"/>
      <c r="TTA3" s="1055"/>
      <c r="TTB3" s="1055"/>
      <c r="TTC3" s="1055"/>
      <c r="TTD3" s="1055"/>
      <c r="TTE3" s="1055"/>
      <c r="TTF3" s="1055"/>
      <c r="TTG3" s="1055"/>
      <c r="TTH3" s="1055"/>
      <c r="TTI3" s="1055"/>
      <c r="TTJ3" s="1055"/>
      <c r="TTK3" s="1055"/>
      <c r="TTL3" s="1055"/>
      <c r="TTM3" s="1055"/>
      <c r="TTN3" s="1055"/>
      <c r="TTO3" s="1055"/>
      <c r="TTP3" s="1055"/>
      <c r="TTQ3" s="1055"/>
      <c r="TTR3" s="1055"/>
      <c r="TTS3" s="1055"/>
      <c r="TTT3" s="1055"/>
      <c r="TTU3" s="1055"/>
      <c r="TTV3" s="1055"/>
      <c r="TTW3" s="1055"/>
      <c r="TTX3" s="1055"/>
      <c r="TTY3" s="1055"/>
      <c r="TTZ3" s="1055"/>
      <c r="TUA3" s="1055"/>
      <c r="TUB3" s="1055"/>
      <c r="TUC3" s="1055"/>
      <c r="TUD3" s="1055"/>
      <c r="TUE3" s="1055"/>
      <c r="TUF3" s="1055"/>
      <c r="TUG3" s="1055"/>
      <c r="TUH3" s="1055"/>
      <c r="TUI3" s="1055"/>
      <c r="TUJ3" s="1055"/>
      <c r="TUK3" s="1055"/>
      <c r="TUL3" s="1055"/>
      <c r="TUM3" s="1055"/>
      <c r="TUN3" s="1055"/>
      <c r="TUO3" s="1055"/>
      <c r="TUP3" s="1055"/>
      <c r="TUQ3" s="1055"/>
      <c r="TUR3" s="1055"/>
      <c r="TUS3" s="1055"/>
      <c r="TUT3" s="1055"/>
      <c r="TUU3" s="1055"/>
      <c r="TUV3" s="1055"/>
      <c r="TUW3" s="1055"/>
      <c r="TUX3" s="1055"/>
      <c r="TUY3" s="1055"/>
      <c r="TUZ3" s="1055"/>
      <c r="TVA3" s="1055"/>
      <c r="TVB3" s="1055"/>
      <c r="TVC3" s="1055"/>
      <c r="TVD3" s="1055"/>
      <c r="TVE3" s="1055"/>
      <c r="TVF3" s="1055"/>
      <c r="TVG3" s="1055"/>
      <c r="TVH3" s="1055"/>
      <c r="TVI3" s="1055"/>
      <c r="TVJ3" s="1055"/>
      <c r="TVK3" s="1055"/>
      <c r="TVL3" s="1055"/>
      <c r="TVM3" s="1055"/>
      <c r="TVN3" s="1055"/>
      <c r="TVO3" s="1055"/>
      <c r="TVP3" s="1055"/>
      <c r="TVQ3" s="1055"/>
      <c r="TVR3" s="1055"/>
      <c r="TVS3" s="1055"/>
      <c r="TVT3" s="1055"/>
      <c r="TVU3" s="1055"/>
      <c r="TVV3" s="1055"/>
      <c r="TVW3" s="1055"/>
      <c r="TVX3" s="1055"/>
      <c r="TVY3" s="1055"/>
      <c r="TVZ3" s="1055"/>
      <c r="TWA3" s="1055"/>
      <c r="TWB3" s="1055"/>
      <c r="TWC3" s="1055"/>
      <c r="TWD3" s="1055"/>
      <c r="TWE3" s="1055"/>
      <c r="TWF3" s="1055"/>
      <c r="TWG3" s="1055"/>
      <c r="TWH3" s="1055"/>
      <c r="TWI3" s="1055"/>
      <c r="TWJ3" s="1055"/>
      <c r="TWK3" s="1055"/>
      <c r="TWL3" s="1055"/>
      <c r="TWM3" s="1055"/>
      <c r="TWN3" s="1055"/>
      <c r="TWO3" s="1055"/>
      <c r="TWP3" s="1055"/>
      <c r="TWQ3" s="1055"/>
      <c r="TWR3" s="1055"/>
      <c r="TWS3" s="1055"/>
      <c r="TWT3" s="1055"/>
      <c r="TWU3" s="1055"/>
      <c r="TWV3" s="1055"/>
      <c r="TWW3" s="1055"/>
      <c r="TWX3" s="1055"/>
      <c r="TWY3" s="1055"/>
      <c r="TWZ3" s="1055"/>
      <c r="TXA3" s="1055"/>
      <c r="TXB3" s="1055"/>
      <c r="TXC3" s="1055"/>
      <c r="TXD3" s="1055"/>
      <c r="TXE3" s="1055"/>
      <c r="TXF3" s="1055"/>
      <c r="TXG3" s="1055"/>
      <c r="TXH3" s="1055"/>
      <c r="TXI3" s="1055"/>
      <c r="TXJ3" s="1055"/>
      <c r="TXK3" s="1055"/>
      <c r="TXL3" s="1055"/>
      <c r="TXM3" s="1055"/>
      <c r="TXN3" s="1055"/>
      <c r="TXO3" s="1055"/>
      <c r="TXP3" s="1055"/>
      <c r="TXQ3" s="1055"/>
      <c r="TXR3" s="1055"/>
      <c r="TXS3" s="1055"/>
      <c r="TXT3" s="1055"/>
      <c r="TXU3" s="1055"/>
      <c r="TXV3" s="1055"/>
      <c r="TXW3" s="1055"/>
      <c r="TXX3" s="1055"/>
      <c r="TXY3" s="1055"/>
      <c r="TXZ3" s="1055"/>
      <c r="TYA3" s="1055"/>
      <c r="TYB3" s="1055"/>
      <c r="TYC3" s="1055"/>
      <c r="TYD3" s="1055"/>
      <c r="TYE3" s="1055"/>
      <c r="TYF3" s="1055"/>
      <c r="TYG3" s="1055"/>
      <c r="TYH3" s="1055"/>
      <c r="TYI3" s="1055"/>
      <c r="TYJ3" s="1055"/>
      <c r="TYK3" s="1055"/>
      <c r="TYL3" s="1055"/>
      <c r="TYM3" s="1055"/>
      <c r="TYN3" s="1055"/>
      <c r="TYO3" s="1055"/>
      <c r="TYP3" s="1055"/>
      <c r="TYQ3" s="1055"/>
      <c r="TYR3" s="1055"/>
      <c r="TYS3" s="1055"/>
      <c r="TYT3" s="1055"/>
      <c r="TYU3" s="1055"/>
      <c r="TYV3" s="1055"/>
      <c r="TYW3" s="1055"/>
      <c r="TYX3" s="1055"/>
      <c r="TYY3" s="1055"/>
      <c r="TYZ3" s="1055"/>
      <c r="TZA3" s="1055"/>
      <c r="TZB3" s="1055"/>
      <c r="TZC3" s="1055"/>
      <c r="TZD3" s="1055"/>
      <c r="TZE3" s="1055"/>
      <c r="TZF3" s="1055"/>
      <c r="TZG3" s="1055"/>
      <c r="TZH3" s="1055"/>
      <c r="TZI3" s="1055"/>
      <c r="TZJ3" s="1055"/>
      <c r="TZK3" s="1055"/>
      <c r="TZL3" s="1055"/>
      <c r="TZM3" s="1055"/>
      <c r="TZN3" s="1055"/>
      <c r="TZO3" s="1055"/>
      <c r="TZP3" s="1055"/>
      <c r="TZQ3" s="1055"/>
      <c r="TZR3" s="1055"/>
      <c r="TZS3" s="1055"/>
      <c r="TZT3" s="1055"/>
      <c r="TZU3" s="1055"/>
      <c r="TZV3" s="1055"/>
      <c r="TZW3" s="1055"/>
      <c r="TZX3" s="1055"/>
      <c r="TZY3" s="1055"/>
      <c r="TZZ3" s="1055"/>
      <c r="UAA3" s="1055"/>
      <c r="UAB3" s="1055"/>
      <c r="UAC3" s="1055"/>
      <c r="UAD3" s="1055"/>
      <c r="UAE3" s="1055"/>
      <c r="UAF3" s="1055"/>
      <c r="UAG3" s="1055"/>
      <c r="UAH3" s="1055"/>
      <c r="UAI3" s="1055"/>
      <c r="UAJ3" s="1055"/>
      <c r="UAK3" s="1055"/>
      <c r="UAL3" s="1055"/>
      <c r="UAM3" s="1055"/>
      <c r="UAN3" s="1055"/>
      <c r="UAO3" s="1055"/>
      <c r="UAP3" s="1055"/>
      <c r="UAQ3" s="1055"/>
      <c r="UAR3" s="1055"/>
      <c r="UAS3" s="1055"/>
      <c r="UAT3" s="1055"/>
      <c r="UAU3" s="1055"/>
      <c r="UAV3" s="1055"/>
      <c r="UAW3" s="1055"/>
      <c r="UAX3" s="1055"/>
      <c r="UAY3" s="1055"/>
      <c r="UAZ3" s="1055"/>
      <c r="UBA3" s="1055"/>
      <c r="UBB3" s="1055"/>
      <c r="UBC3" s="1055"/>
      <c r="UBD3" s="1055"/>
      <c r="UBE3" s="1055"/>
      <c r="UBF3" s="1055"/>
      <c r="UBG3" s="1055"/>
      <c r="UBH3" s="1055"/>
      <c r="UBI3" s="1055"/>
      <c r="UBJ3" s="1055"/>
      <c r="UBK3" s="1055"/>
      <c r="UBL3" s="1055"/>
      <c r="UBM3" s="1055"/>
      <c r="UBN3" s="1055"/>
      <c r="UBO3" s="1055"/>
      <c r="UBP3" s="1055"/>
      <c r="UBQ3" s="1055"/>
      <c r="UBR3" s="1055"/>
      <c r="UBS3" s="1055"/>
      <c r="UBT3" s="1055"/>
      <c r="UBU3" s="1055"/>
      <c r="UBV3" s="1055"/>
      <c r="UBW3" s="1055"/>
      <c r="UBX3" s="1055"/>
      <c r="UBY3" s="1055"/>
      <c r="UBZ3" s="1055"/>
      <c r="UCA3" s="1055"/>
      <c r="UCB3" s="1055"/>
      <c r="UCC3" s="1055"/>
      <c r="UCD3" s="1055"/>
      <c r="UCE3" s="1055"/>
      <c r="UCF3" s="1055"/>
      <c r="UCG3" s="1055"/>
      <c r="UCH3" s="1055"/>
      <c r="UCI3" s="1055"/>
      <c r="UCJ3" s="1055"/>
      <c r="UCK3" s="1055"/>
      <c r="UCL3" s="1055"/>
      <c r="UCM3" s="1055"/>
      <c r="UCN3" s="1055"/>
      <c r="UCO3" s="1055"/>
      <c r="UCP3" s="1055"/>
      <c r="UCQ3" s="1055"/>
      <c r="UCR3" s="1055"/>
      <c r="UCS3" s="1055"/>
      <c r="UCT3" s="1055"/>
      <c r="UCU3" s="1055"/>
      <c r="UCV3" s="1055"/>
      <c r="UCW3" s="1055"/>
      <c r="UCX3" s="1055"/>
      <c r="UCY3" s="1055"/>
      <c r="UCZ3" s="1055"/>
      <c r="UDA3" s="1055"/>
      <c r="UDB3" s="1055"/>
      <c r="UDC3" s="1055"/>
      <c r="UDD3" s="1055"/>
      <c r="UDE3" s="1055"/>
      <c r="UDF3" s="1055"/>
      <c r="UDG3" s="1055"/>
      <c r="UDH3" s="1055"/>
      <c r="UDI3" s="1055"/>
      <c r="UDJ3" s="1055"/>
      <c r="UDK3" s="1055"/>
      <c r="UDL3" s="1055"/>
      <c r="UDM3" s="1055"/>
      <c r="UDN3" s="1055"/>
      <c r="UDO3" s="1055"/>
      <c r="UDP3" s="1055"/>
      <c r="UDQ3" s="1055"/>
      <c r="UDR3" s="1055"/>
      <c r="UDS3" s="1055"/>
      <c r="UDT3" s="1055"/>
      <c r="UDU3" s="1055"/>
      <c r="UDV3" s="1055"/>
      <c r="UDW3" s="1055"/>
      <c r="UDX3" s="1055"/>
      <c r="UDY3" s="1055"/>
      <c r="UDZ3" s="1055"/>
      <c r="UEA3" s="1055"/>
      <c r="UEB3" s="1055"/>
      <c r="UEC3" s="1055"/>
      <c r="UED3" s="1055"/>
      <c r="UEE3" s="1055"/>
      <c r="UEF3" s="1055"/>
      <c r="UEG3" s="1055"/>
      <c r="UEH3" s="1055"/>
      <c r="UEI3" s="1055"/>
      <c r="UEJ3" s="1055"/>
      <c r="UEK3" s="1055"/>
      <c r="UEL3" s="1055"/>
      <c r="UEM3" s="1055"/>
      <c r="UEN3" s="1055"/>
      <c r="UEO3" s="1055"/>
      <c r="UEP3" s="1055"/>
      <c r="UEQ3" s="1055"/>
      <c r="UER3" s="1055"/>
      <c r="UES3" s="1055"/>
      <c r="UET3" s="1055"/>
      <c r="UEU3" s="1055"/>
      <c r="UEV3" s="1055"/>
      <c r="UEW3" s="1055"/>
      <c r="UEX3" s="1055"/>
      <c r="UEY3" s="1055"/>
      <c r="UEZ3" s="1055"/>
      <c r="UFA3" s="1055"/>
      <c r="UFB3" s="1055"/>
      <c r="UFC3" s="1055"/>
      <c r="UFD3" s="1055"/>
      <c r="UFE3" s="1055"/>
      <c r="UFF3" s="1055"/>
      <c r="UFG3" s="1055"/>
      <c r="UFH3" s="1055"/>
      <c r="UFI3" s="1055"/>
      <c r="UFJ3" s="1055"/>
      <c r="UFK3" s="1055"/>
      <c r="UFL3" s="1055"/>
      <c r="UFM3" s="1055"/>
      <c r="UFN3" s="1055"/>
      <c r="UFO3" s="1055"/>
      <c r="UFP3" s="1055"/>
      <c r="UFQ3" s="1055"/>
      <c r="UFR3" s="1055"/>
      <c r="UFS3" s="1055"/>
      <c r="UFT3" s="1055"/>
      <c r="UFU3" s="1055"/>
      <c r="UFV3" s="1055"/>
      <c r="UFW3" s="1055"/>
      <c r="UFX3" s="1055"/>
      <c r="UFY3" s="1055"/>
      <c r="UFZ3" s="1055"/>
      <c r="UGA3" s="1055"/>
      <c r="UGB3" s="1055"/>
      <c r="UGC3" s="1055"/>
      <c r="UGD3" s="1055"/>
      <c r="UGE3" s="1055"/>
      <c r="UGF3" s="1055"/>
      <c r="UGG3" s="1055"/>
      <c r="UGH3" s="1055"/>
      <c r="UGI3" s="1055"/>
      <c r="UGJ3" s="1055"/>
      <c r="UGK3" s="1055"/>
      <c r="UGL3" s="1055"/>
      <c r="UGM3" s="1055"/>
      <c r="UGN3" s="1055"/>
      <c r="UGO3" s="1055"/>
      <c r="UGP3" s="1055"/>
      <c r="UGQ3" s="1055"/>
      <c r="UGR3" s="1055"/>
      <c r="UGS3" s="1055"/>
      <c r="UGT3" s="1055"/>
      <c r="UGU3" s="1055"/>
      <c r="UGV3" s="1055"/>
      <c r="UGW3" s="1055"/>
      <c r="UGX3" s="1055"/>
      <c r="UGY3" s="1055"/>
      <c r="UGZ3" s="1055"/>
      <c r="UHA3" s="1055"/>
      <c r="UHB3" s="1055"/>
      <c r="UHC3" s="1055"/>
      <c r="UHD3" s="1055"/>
      <c r="UHE3" s="1055"/>
      <c r="UHF3" s="1055"/>
      <c r="UHG3" s="1055"/>
      <c r="UHH3" s="1055"/>
      <c r="UHI3" s="1055"/>
      <c r="UHJ3" s="1055"/>
      <c r="UHK3" s="1055"/>
      <c r="UHL3" s="1055"/>
      <c r="UHM3" s="1055"/>
      <c r="UHN3" s="1055"/>
      <c r="UHO3" s="1055"/>
      <c r="UHP3" s="1055"/>
      <c r="UHQ3" s="1055"/>
      <c r="UHR3" s="1055"/>
      <c r="UHS3" s="1055"/>
      <c r="UHT3" s="1055"/>
      <c r="UHU3" s="1055"/>
      <c r="UHV3" s="1055"/>
      <c r="UHW3" s="1055"/>
      <c r="UHX3" s="1055"/>
      <c r="UHY3" s="1055"/>
      <c r="UHZ3" s="1055"/>
      <c r="UIA3" s="1055"/>
      <c r="UIB3" s="1055"/>
      <c r="UIC3" s="1055"/>
      <c r="UID3" s="1055"/>
      <c r="UIE3" s="1055"/>
      <c r="UIF3" s="1055"/>
      <c r="UIG3" s="1055"/>
      <c r="UIH3" s="1055"/>
      <c r="UII3" s="1055"/>
      <c r="UIJ3" s="1055"/>
      <c r="UIK3" s="1055"/>
      <c r="UIL3" s="1055"/>
      <c r="UIM3" s="1055"/>
      <c r="UIN3" s="1055"/>
      <c r="UIO3" s="1055"/>
      <c r="UIP3" s="1055"/>
      <c r="UIQ3" s="1055"/>
      <c r="UIR3" s="1055"/>
      <c r="UIS3" s="1055"/>
      <c r="UIT3" s="1055"/>
      <c r="UIU3" s="1055"/>
      <c r="UIV3" s="1055"/>
      <c r="UIW3" s="1055"/>
      <c r="UIX3" s="1055"/>
      <c r="UIY3" s="1055"/>
      <c r="UIZ3" s="1055"/>
      <c r="UJA3" s="1055"/>
      <c r="UJB3" s="1055"/>
      <c r="UJC3" s="1055"/>
      <c r="UJD3" s="1055"/>
      <c r="UJE3" s="1055"/>
      <c r="UJF3" s="1055"/>
      <c r="UJG3" s="1055"/>
      <c r="UJH3" s="1055"/>
      <c r="UJI3" s="1055"/>
      <c r="UJJ3" s="1055"/>
      <c r="UJK3" s="1055"/>
      <c r="UJL3" s="1055"/>
      <c r="UJM3" s="1055"/>
      <c r="UJN3" s="1055"/>
      <c r="UJO3" s="1055"/>
      <c r="UJP3" s="1055"/>
      <c r="UJQ3" s="1055"/>
      <c r="UJR3" s="1055"/>
      <c r="UJS3" s="1055"/>
      <c r="UJT3" s="1055"/>
      <c r="UJU3" s="1055"/>
      <c r="UJV3" s="1055"/>
      <c r="UJW3" s="1055"/>
      <c r="UJX3" s="1055"/>
      <c r="UJY3" s="1055"/>
      <c r="UJZ3" s="1055"/>
      <c r="UKA3" s="1055"/>
      <c r="UKB3" s="1055"/>
      <c r="UKC3" s="1055"/>
      <c r="UKD3" s="1055"/>
      <c r="UKE3" s="1055"/>
      <c r="UKF3" s="1055"/>
      <c r="UKG3" s="1055"/>
      <c r="UKH3" s="1055"/>
      <c r="UKI3" s="1055"/>
      <c r="UKJ3" s="1055"/>
      <c r="UKK3" s="1055"/>
      <c r="UKL3" s="1055"/>
      <c r="UKM3" s="1055"/>
      <c r="UKN3" s="1055"/>
      <c r="UKO3" s="1055"/>
      <c r="UKP3" s="1055"/>
      <c r="UKQ3" s="1055"/>
      <c r="UKR3" s="1055"/>
      <c r="UKS3" s="1055"/>
      <c r="UKT3" s="1055"/>
      <c r="UKU3" s="1055"/>
      <c r="UKV3" s="1055"/>
      <c r="UKW3" s="1055"/>
      <c r="UKX3" s="1055"/>
      <c r="UKY3" s="1055"/>
      <c r="UKZ3" s="1055"/>
      <c r="ULA3" s="1055"/>
      <c r="ULB3" s="1055"/>
      <c r="ULC3" s="1055"/>
      <c r="ULD3" s="1055"/>
      <c r="ULE3" s="1055"/>
      <c r="ULF3" s="1055"/>
      <c r="ULG3" s="1055"/>
      <c r="ULH3" s="1055"/>
      <c r="ULI3" s="1055"/>
      <c r="ULJ3" s="1055"/>
      <c r="ULK3" s="1055"/>
      <c r="ULL3" s="1055"/>
      <c r="ULM3" s="1055"/>
      <c r="ULN3" s="1055"/>
      <c r="ULO3" s="1055"/>
      <c r="ULP3" s="1055"/>
      <c r="ULQ3" s="1055"/>
      <c r="ULR3" s="1055"/>
      <c r="ULS3" s="1055"/>
      <c r="ULT3" s="1055"/>
      <c r="ULU3" s="1055"/>
      <c r="ULV3" s="1055"/>
      <c r="ULW3" s="1055"/>
      <c r="ULX3" s="1055"/>
      <c r="ULY3" s="1055"/>
      <c r="ULZ3" s="1055"/>
      <c r="UMA3" s="1055"/>
      <c r="UMB3" s="1055"/>
      <c r="UMC3" s="1055"/>
      <c r="UMD3" s="1055"/>
      <c r="UME3" s="1055"/>
      <c r="UMF3" s="1055"/>
      <c r="UMG3" s="1055"/>
      <c r="UMH3" s="1055"/>
      <c r="UMI3" s="1055"/>
      <c r="UMJ3" s="1055"/>
      <c r="UMK3" s="1055"/>
      <c r="UML3" s="1055"/>
      <c r="UMM3" s="1055"/>
      <c r="UMN3" s="1055"/>
      <c r="UMO3" s="1055"/>
      <c r="UMP3" s="1055"/>
      <c r="UMQ3" s="1055"/>
      <c r="UMR3" s="1055"/>
      <c r="UMS3" s="1055"/>
      <c r="UMT3" s="1055"/>
      <c r="UMU3" s="1055"/>
      <c r="UMV3" s="1055"/>
      <c r="UMW3" s="1055"/>
      <c r="UMX3" s="1055"/>
      <c r="UMY3" s="1055"/>
      <c r="UMZ3" s="1055"/>
      <c r="UNA3" s="1055"/>
      <c r="UNB3" s="1055"/>
      <c r="UNC3" s="1055"/>
      <c r="UND3" s="1055"/>
      <c r="UNE3" s="1055"/>
      <c r="UNF3" s="1055"/>
      <c r="UNG3" s="1055"/>
      <c r="UNH3" s="1055"/>
      <c r="UNI3" s="1055"/>
      <c r="UNJ3" s="1055"/>
      <c r="UNK3" s="1055"/>
      <c r="UNL3" s="1055"/>
      <c r="UNM3" s="1055"/>
      <c r="UNN3" s="1055"/>
      <c r="UNO3" s="1055"/>
      <c r="UNP3" s="1055"/>
      <c r="UNQ3" s="1055"/>
      <c r="UNR3" s="1055"/>
      <c r="UNS3" s="1055"/>
      <c r="UNT3" s="1055"/>
      <c r="UNU3" s="1055"/>
      <c r="UNV3" s="1055"/>
      <c r="UNW3" s="1055"/>
      <c r="UNX3" s="1055"/>
      <c r="UNY3" s="1055"/>
      <c r="UNZ3" s="1055"/>
      <c r="UOA3" s="1055"/>
      <c r="UOB3" s="1055"/>
      <c r="UOC3" s="1055"/>
      <c r="UOD3" s="1055"/>
      <c r="UOE3" s="1055"/>
      <c r="UOF3" s="1055"/>
      <c r="UOG3" s="1055"/>
      <c r="UOH3" s="1055"/>
      <c r="UOI3" s="1055"/>
      <c r="UOJ3" s="1055"/>
      <c r="UOK3" s="1055"/>
      <c r="UOL3" s="1055"/>
      <c r="UOM3" s="1055"/>
      <c r="UON3" s="1055"/>
      <c r="UOO3" s="1055"/>
      <c r="UOP3" s="1055"/>
      <c r="UOQ3" s="1055"/>
      <c r="UOR3" s="1055"/>
      <c r="UOS3" s="1055"/>
      <c r="UOT3" s="1055"/>
      <c r="UOU3" s="1055"/>
      <c r="UOV3" s="1055"/>
      <c r="UOW3" s="1055"/>
      <c r="UOX3" s="1055"/>
      <c r="UOY3" s="1055"/>
      <c r="UOZ3" s="1055"/>
      <c r="UPA3" s="1055"/>
      <c r="UPB3" s="1055"/>
      <c r="UPC3" s="1055"/>
      <c r="UPD3" s="1055"/>
      <c r="UPE3" s="1055"/>
      <c r="UPF3" s="1055"/>
      <c r="UPG3" s="1055"/>
      <c r="UPH3" s="1055"/>
      <c r="UPI3" s="1055"/>
      <c r="UPJ3" s="1055"/>
      <c r="UPK3" s="1055"/>
      <c r="UPL3" s="1055"/>
      <c r="UPM3" s="1055"/>
      <c r="UPN3" s="1055"/>
      <c r="UPO3" s="1055"/>
      <c r="UPP3" s="1055"/>
      <c r="UPQ3" s="1055"/>
      <c r="UPR3" s="1055"/>
      <c r="UPS3" s="1055"/>
      <c r="UPT3" s="1055"/>
      <c r="UPU3" s="1055"/>
      <c r="UPV3" s="1055"/>
      <c r="UPW3" s="1055"/>
      <c r="UPX3" s="1055"/>
      <c r="UPY3" s="1055"/>
      <c r="UPZ3" s="1055"/>
      <c r="UQA3" s="1055"/>
      <c r="UQB3" s="1055"/>
      <c r="UQC3" s="1055"/>
      <c r="UQD3" s="1055"/>
      <c r="UQE3" s="1055"/>
      <c r="UQF3" s="1055"/>
      <c r="UQG3" s="1055"/>
      <c r="UQH3" s="1055"/>
      <c r="UQI3" s="1055"/>
      <c r="UQJ3" s="1055"/>
      <c r="UQK3" s="1055"/>
      <c r="UQL3" s="1055"/>
      <c r="UQM3" s="1055"/>
      <c r="UQN3" s="1055"/>
      <c r="UQO3" s="1055"/>
      <c r="UQP3" s="1055"/>
      <c r="UQQ3" s="1055"/>
      <c r="UQR3" s="1055"/>
      <c r="UQS3" s="1055"/>
      <c r="UQT3" s="1055"/>
      <c r="UQU3" s="1055"/>
      <c r="UQV3" s="1055"/>
      <c r="UQW3" s="1055"/>
      <c r="UQX3" s="1055"/>
      <c r="UQY3" s="1055"/>
      <c r="UQZ3" s="1055"/>
      <c r="URA3" s="1055"/>
      <c r="URB3" s="1055"/>
      <c r="URC3" s="1055"/>
      <c r="URD3" s="1055"/>
      <c r="URE3" s="1055"/>
      <c r="URF3" s="1055"/>
      <c r="URG3" s="1055"/>
      <c r="URH3" s="1055"/>
      <c r="URI3" s="1055"/>
      <c r="URJ3" s="1055"/>
      <c r="URK3" s="1055"/>
      <c r="URL3" s="1055"/>
      <c r="URM3" s="1055"/>
      <c r="URN3" s="1055"/>
      <c r="URO3" s="1055"/>
      <c r="URP3" s="1055"/>
      <c r="URQ3" s="1055"/>
      <c r="URR3" s="1055"/>
      <c r="URS3" s="1055"/>
      <c r="URT3" s="1055"/>
      <c r="URU3" s="1055"/>
      <c r="URV3" s="1055"/>
      <c r="URW3" s="1055"/>
      <c r="URX3" s="1055"/>
      <c r="URY3" s="1055"/>
      <c r="URZ3" s="1055"/>
      <c r="USA3" s="1055"/>
      <c r="USB3" s="1055"/>
      <c r="USC3" s="1055"/>
      <c r="USD3" s="1055"/>
      <c r="USE3" s="1055"/>
      <c r="USF3" s="1055"/>
      <c r="USG3" s="1055"/>
      <c r="USH3" s="1055"/>
      <c r="USI3" s="1055"/>
      <c r="USJ3" s="1055"/>
      <c r="USK3" s="1055"/>
      <c r="USL3" s="1055"/>
      <c r="USM3" s="1055"/>
      <c r="USN3" s="1055"/>
      <c r="USO3" s="1055"/>
      <c r="USP3" s="1055"/>
      <c r="USQ3" s="1055"/>
      <c r="USR3" s="1055"/>
      <c r="USS3" s="1055"/>
      <c r="UST3" s="1055"/>
      <c r="USU3" s="1055"/>
      <c r="USV3" s="1055"/>
      <c r="USW3" s="1055"/>
      <c r="USX3" s="1055"/>
      <c r="USY3" s="1055"/>
      <c r="USZ3" s="1055"/>
      <c r="UTA3" s="1055"/>
      <c r="UTB3" s="1055"/>
      <c r="UTC3" s="1055"/>
      <c r="UTD3" s="1055"/>
      <c r="UTE3" s="1055"/>
      <c r="UTF3" s="1055"/>
      <c r="UTG3" s="1055"/>
      <c r="UTH3" s="1055"/>
      <c r="UTI3" s="1055"/>
      <c r="UTJ3" s="1055"/>
      <c r="UTK3" s="1055"/>
      <c r="UTL3" s="1055"/>
      <c r="UTM3" s="1055"/>
      <c r="UTN3" s="1055"/>
      <c r="UTO3" s="1055"/>
      <c r="UTP3" s="1055"/>
      <c r="UTQ3" s="1055"/>
      <c r="UTR3" s="1055"/>
      <c r="UTS3" s="1055"/>
      <c r="UTT3" s="1055"/>
      <c r="UTU3" s="1055"/>
      <c r="UTV3" s="1055"/>
      <c r="UTW3" s="1055"/>
      <c r="UTX3" s="1055"/>
      <c r="UTY3" s="1055"/>
      <c r="UTZ3" s="1055"/>
      <c r="UUA3" s="1055"/>
      <c r="UUB3" s="1055"/>
      <c r="UUC3" s="1055"/>
      <c r="UUD3" s="1055"/>
      <c r="UUE3" s="1055"/>
      <c r="UUF3" s="1055"/>
      <c r="UUG3" s="1055"/>
      <c r="UUH3" s="1055"/>
      <c r="UUI3" s="1055"/>
      <c r="UUJ3" s="1055"/>
      <c r="UUK3" s="1055"/>
      <c r="UUL3" s="1055"/>
      <c r="UUM3" s="1055"/>
      <c r="UUN3" s="1055"/>
      <c r="UUO3" s="1055"/>
      <c r="UUP3" s="1055"/>
      <c r="UUQ3" s="1055"/>
      <c r="UUR3" s="1055"/>
      <c r="UUS3" s="1055"/>
      <c r="UUT3" s="1055"/>
      <c r="UUU3" s="1055"/>
      <c r="UUV3" s="1055"/>
      <c r="UUW3" s="1055"/>
      <c r="UUX3" s="1055"/>
      <c r="UUY3" s="1055"/>
      <c r="UUZ3" s="1055"/>
      <c r="UVA3" s="1055"/>
      <c r="UVB3" s="1055"/>
      <c r="UVC3" s="1055"/>
      <c r="UVD3" s="1055"/>
      <c r="UVE3" s="1055"/>
      <c r="UVF3" s="1055"/>
      <c r="UVG3" s="1055"/>
      <c r="UVH3" s="1055"/>
      <c r="UVI3" s="1055"/>
      <c r="UVJ3" s="1055"/>
      <c r="UVK3" s="1055"/>
      <c r="UVL3" s="1055"/>
      <c r="UVM3" s="1055"/>
      <c r="UVN3" s="1055"/>
      <c r="UVO3" s="1055"/>
      <c r="UVP3" s="1055"/>
      <c r="UVQ3" s="1055"/>
      <c r="UVR3" s="1055"/>
      <c r="UVS3" s="1055"/>
      <c r="UVT3" s="1055"/>
      <c r="UVU3" s="1055"/>
      <c r="UVV3" s="1055"/>
      <c r="UVW3" s="1055"/>
      <c r="UVX3" s="1055"/>
      <c r="UVY3" s="1055"/>
      <c r="UVZ3" s="1055"/>
      <c r="UWA3" s="1055"/>
      <c r="UWB3" s="1055"/>
      <c r="UWC3" s="1055"/>
      <c r="UWD3" s="1055"/>
      <c r="UWE3" s="1055"/>
      <c r="UWF3" s="1055"/>
      <c r="UWG3" s="1055"/>
      <c r="UWH3" s="1055"/>
      <c r="UWI3" s="1055"/>
      <c r="UWJ3" s="1055"/>
      <c r="UWK3" s="1055"/>
      <c r="UWL3" s="1055"/>
      <c r="UWM3" s="1055"/>
      <c r="UWN3" s="1055"/>
      <c r="UWO3" s="1055"/>
      <c r="UWP3" s="1055"/>
      <c r="UWQ3" s="1055"/>
      <c r="UWR3" s="1055"/>
      <c r="UWS3" s="1055"/>
      <c r="UWT3" s="1055"/>
      <c r="UWU3" s="1055"/>
      <c r="UWV3" s="1055"/>
      <c r="UWW3" s="1055"/>
      <c r="UWX3" s="1055"/>
      <c r="UWY3" s="1055"/>
      <c r="UWZ3" s="1055"/>
      <c r="UXA3" s="1055"/>
      <c r="UXB3" s="1055"/>
      <c r="UXC3" s="1055"/>
      <c r="UXD3" s="1055"/>
      <c r="UXE3" s="1055"/>
      <c r="UXF3" s="1055"/>
      <c r="UXG3" s="1055"/>
      <c r="UXH3" s="1055"/>
      <c r="UXI3" s="1055"/>
      <c r="UXJ3" s="1055"/>
      <c r="UXK3" s="1055"/>
      <c r="UXL3" s="1055"/>
      <c r="UXM3" s="1055"/>
      <c r="UXN3" s="1055"/>
      <c r="UXO3" s="1055"/>
      <c r="UXP3" s="1055"/>
      <c r="UXQ3" s="1055"/>
      <c r="UXR3" s="1055"/>
      <c r="UXS3" s="1055"/>
      <c r="UXT3" s="1055"/>
      <c r="UXU3" s="1055"/>
      <c r="UXV3" s="1055"/>
      <c r="UXW3" s="1055"/>
      <c r="UXX3" s="1055"/>
      <c r="UXY3" s="1055"/>
      <c r="UXZ3" s="1055"/>
      <c r="UYA3" s="1055"/>
      <c r="UYB3" s="1055"/>
      <c r="UYC3" s="1055"/>
      <c r="UYD3" s="1055"/>
      <c r="UYE3" s="1055"/>
      <c r="UYF3" s="1055"/>
      <c r="UYG3" s="1055"/>
      <c r="UYH3" s="1055"/>
      <c r="UYI3" s="1055"/>
      <c r="UYJ3" s="1055"/>
      <c r="UYK3" s="1055"/>
      <c r="UYL3" s="1055"/>
      <c r="UYM3" s="1055"/>
      <c r="UYN3" s="1055"/>
      <c r="UYO3" s="1055"/>
      <c r="UYP3" s="1055"/>
      <c r="UYQ3" s="1055"/>
      <c r="UYR3" s="1055"/>
      <c r="UYS3" s="1055"/>
      <c r="UYT3" s="1055"/>
      <c r="UYU3" s="1055"/>
      <c r="UYV3" s="1055"/>
      <c r="UYW3" s="1055"/>
      <c r="UYX3" s="1055"/>
      <c r="UYY3" s="1055"/>
      <c r="UYZ3" s="1055"/>
      <c r="UZA3" s="1055"/>
      <c r="UZB3" s="1055"/>
      <c r="UZC3" s="1055"/>
      <c r="UZD3" s="1055"/>
      <c r="UZE3" s="1055"/>
      <c r="UZF3" s="1055"/>
      <c r="UZG3" s="1055"/>
      <c r="UZH3" s="1055"/>
      <c r="UZI3" s="1055"/>
      <c r="UZJ3" s="1055"/>
      <c r="UZK3" s="1055"/>
      <c r="UZL3" s="1055"/>
      <c r="UZM3" s="1055"/>
      <c r="UZN3" s="1055"/>
      <c r="UZO3" s="1055"/>
      <c r="UZP3" s="1055"/>
      <c r="UZQ3" s="1055"/>
      <c r="UZR3" s="1055"/>
      <c r="UZS3" s="1055"/>
      <c r="UZT3" s="1055"/>
      <c r="UZU3" s="1055"/>
      <c r="UZV3" s="1055"/>
      <c r="UZW3" s="1055"/>
      <c r="UZX3" s="1055"/>
      <c r="UZY3" s="1055"/>
      <c r="UZZ3" s="1055"/>
      <c r="VAA3" s="1055"/>
      <c r="VAB3" s="1055"/>
      <c r="VAC3" s="1055"/>
      <c r="VAD3" s="1055"/>
      <c r="VAE3" s="1055"/>
      <c r="VAF3" s="1055"/>
      <c r="VAG3" s="1055"/>
      <c r="VAH3" s="1055"/>
      <c r="VAI3" s="1055"/>
      <c r="VAJ3" s="1055"/>
      <c r="VAK3" s="1055"/>
      <c r="VAL3" s="1055"/>
      <c r="VAM3" s="1055"/>
      <c r="VAN3" s="1055"/>
      <c r="VAO3" s="1055"/>
      <c r="VAP3" s="1055"/>
      <c r="VAQ3" s="1055"/>
      <c r="VAR3" s="1055"/>
      <c r="VAS3" s="1055"/>
      <c r="VAT3" s="1055"/>
      <c r="VAU3" s="1055"/>
      <c r="VAV3" s="1055"/>
      <c r="VAW3" s="1055"/>
      <c r="VAX3" s="1055"/>
      <c r="VAY3" s="1055"/>
      <c r="VAZ3" s="1055"/>
      <c r="VBA3" s="1055"/>
      <c r="VBB3" s="1055"/>
      <c r="VBC3" s="1055"/>
      <c r="VBD3" s="1055"/>
      <c r="VBE3" s="1055"/>
      <c r="VBF3" s="1055"/>
      <c r="VBG3" s="1055"/>
      <c r="VBH3" s="1055"/>
      <c r="VBI3" s="1055"/>
      <c r="VBJ3" s="1055"/>
      <c r="VBK3" s="1055"/>
      <c r="VBL3" s="1055"/>
      <c r="VBM3" s="1055"/>
      <c r="VBN3" s="1055"/>
      <c r="VBO3" s="1055"/>
      <c r="VBP3" s="1055"/>
      <c r="VBQ3" s="1055"/>
      <c r="VBR3" s="1055"/>
      <c r="VBS3" s="1055"/>
      <c r="VBT3" s="1055"/>
      <c r="VBU3" s="1055"/>
      <c r="VBV3" s="1055"/>
      <c r="VBW3" s="1055"/>
      <c r="VBX3" s="1055"/>
      <c r="VBY3" s="1055"/>
      <c r="VBZ3" s="1055"/>
      <c r="VCA3" s="1055"/>
      <c r="VCB3" s="1055"/>
      <c r="VCC3" s="1055"/>
      <c r="VCD3" s="1055"/>
      <c r="VCE3" s="1055"/>
      <c r="VCF3" s="1055"/>
      <c r="VCG3" s="1055"/>
      <c r="VCH3" s="1055"/>
      <c r="VCI3" s="1055"/>
      <c r="VCJ3" s="1055"/>
      <c r="VCK3" s="1055"/>
      <c r="VCL3" s="1055"/>
      <c r="VCM3" s="1055"/>
      <c r="VCN3" s="1055"/>
      <c r="VCO3" s="1055"/>
      <c r="VCP3" s="1055"/>
      <c r="VCQ3" s="1055"/>
      <c r="VCR3" s="1055"/>
      <c r="VCS3" s="1055"/>
      <c r="VCT3" s="1055"/>
      <c r="VCU3" s="1055"/>
      <c r="VCV3" s="1055"/>
      <c r="VCW3" s="1055"/>
      <c r="VCX3" s="1055"/>
      <c r="VCY3" s="1055"/>
      <c r="VCZ3" s="1055"/>
      <c r="VDA3" s="1055"/>
      <c r="VDB3" s="1055"/>
      <c r="VDC3" s="1055"/>
      <c r="VDD3" s="1055"/>
      <c r="VDE3" s="1055"/>
      <c r="VDF3" s="1055"/>
      <c r="VDG3" s="1055"/>
      <c r="VDH3" s="1055"/>
      <c r="VDI3" s="1055"/>
      <c r="VDJ3" s="1055"/>
      <c r="VDK3" s="1055"/>
      <c r="VDL3" s="1055"/>
      <c r="VDM3" s="1055"/>
      <c r="VDN3" s="1055"/>
      <c r="VDO3" s="1055"/>
      <c r="VDP3" s="1055"/>
      <c r="VDQ3" s="1055"/>
      <c r="VDR3" s="1055"/>
      <c r="VDS3" s="1055"/>
      <c r="VDT3" s="1055"/>
      <c r="VDU3" s="1055"/>
      <c r="VDV3" s="1055"/>
      <c r="VDW3" s="1055"/>
      <c r="VDX3" s="1055"/>
      <c r="VDY3" s="1055"/>
      <c r="VDZ3" s="1055"/>
      <c r="VEA3" s="1055"/>
      <c r="VEB3" s="1055"/>
      <c r="VEC3" s="1055"/>
      <c r="VED3" s="1055"/>
      <c r="VEE3" s="1055"/>
      <c r="VEF3" s="1055"/>
      <c r="VEG3" s="1055"/>
      <c r="VEH3" s="1055"/>
      <c r="VEI3" s="1055"/>
      <c r="VEJ3" s="1055"/>
      <c r="VEK3" s="1055"/>
      <c r="VEL3" s="1055"/>
      <c r="VEM3" s="1055"/>
      <c r="VEN3" s="1055"/>
      <c r="VEO3" s="1055"/>
      <c r="VEP3" s="1055"/>
      <c r="VEQ3" s="1055"/>
      <c r="VER3" s="1055"/>
      <c r="VES3" s="1055"/>
      <c r="VET3" s="1055"/>
      <c r="VEU3" s="1055"/>
      <c r="VEV3" s="1055"/>
      <c r="VEW3" s="1055"/>
      <c r="VEX3" s="1055"/>
      <c r="VEY3" s="1055"/>
      <c r="VEZ3" s="1055"/>
      <c r="VFA3" s="1055"/>
      <c r="VFB3" s="1055"/>
      <c r="VFC3" s="1055"/>
      <c r="VFD3" s="1055"/>
      <c r="VFE3" s="1055"/>
      <c r="VFF3" s="1055"/>
      <c r="VFG3" s="1055"/>
      <c r="VFH3" s="1055"/>
      <c r="VFI3" s="1055"/>
      <c r="VFJ3" s="1055"/>
      <c r="VFK3" s="1055"/>
      <c r="VFL3" s="1055"/>
      <c r="VFM3" s="1055"/>
      <c r="VFN3" s="1055"/>
      <c r="VFO3" s="1055"/>
      <c r="VFP3" s="1055"/>
      <c r="VFQ3" s="1055"/>
      <c r="VFR3" s="1055"/>
      <c r="VFS3" s="1055"/>
      <c r="VFT3" s="1055"/>
      <c r="VFU3" s="1055"/>
      <c r="VFV3" s="1055"/>
      <c r="VFW3" s="1055"/>
      <c r="VFX3" s="1055"/>
      <c r="VFY3" s="1055"/>
      <c r="VFZ3" s="1055"/>
      <c r="VGA3" s="1055"/>
      <c r="VGB3" s="1055"/>
      <c r="VGC3" s="1055"/>
      <c r="VGD3" s="1055"/>
      <c r="VGE3" s="1055"/>
      <c r="VGF3" s="1055"/>
      <c r="VGG3" s="1055"/>
      <c r="VGH3" s="1055"/>
      <c r="VGI3" s="1055"/>
      <c r="VGJ3" s="1055"/>
      <c r="VGK3" s="1055"/>
      <c r="VGL3" s="1055"/>
      <c r="VGM3" s="1055"/>
      <c r="VGN3" s="1055"/>
      <c r="VGO3" s="1055"/>
      <c r="VGP3" s="1055"/>
      <c r="VGQ3" s="1055"/>
      <c r="VGR3" s="1055"/>
      <c r="VGS3" s="1055"/>
      <c r="VGT3" s="1055"/>
      <c r="VGU3" s="1055"/>
      <c r="VGV3" s="1055"/>
      <c r="VGW3" s="1055"/>
      <c r="VGX3" s="1055"/>
      <c r="VGY3" s="1055"/>
      <c r="VGZ3" s="1055"/>
      <c r="VHA3" s="1055"/>
      <c r="VHB3" s="1055"/>
      <c r="VHC3" s="1055"/>
      <c r="VHD3" s="1055"/>
      <c r="VHE3" s="1055"/>
      <c r="VHF3" s="1055"/>
      <c r="VHG3" s="1055"/>
      <c r="VHH3" s="1055"/>
      <c r="VHI3" s="1055"/>
      <c r="VHJ3" s="1055"/>
      <c r="VHK3" s="1055"/>
      <c r="VHL3" s="1055"/>
      <c r="VHM3" s="1055"/>
      <c r="VHN3" s="1055"/>
      <c r="VHO3" s="1055"/>
      <c r="VHP3" s="1055"/>
      <c r="VHQ3" s="1055"/>
      <c r="VHR3" s="1055"/>
      <c r="VHS3" s="1055"/>
      <c r="VHT3" s="1055"/>
      <c r="VHU3" s="1055"/>
      <c r="VHV3" s="1055"/>
      <c r="VHW3" s="1055"/>
      <c r="VHX3" s="1055"/>
      <c r="VHY3" s="1055"/>
      <c r="VHZ3" s="1055"/>
      <c r="VIA3" s="1055"/>
      <c r="VIB3" s="1055"/>
      <c r="VIC3" s="1055"/>
      <c r="VID3" s="1055"/>
      <c r="VIE3" s="1055"/>
      <c r="VIF3" s="1055"/>
      <c r="VIG3" s="1055"/>
      <c r="VIH3" s="1055"/>
      <c r="VII3" s="1055"/>
      <c r="VIJ3" s="1055"/>
      <c r="VIK3" s="1055"/>
      <c r="VIL3" s="1055"/>
      <c r="VIM3" s="1055"/>
      <c r="VIN3" s="1055"/>
      <c r="VIO3" s="1055"/>
      <c r="VIP3" s="1055"/>
      <c r="VIQ3" s="1055"/>
      <c r="VIR3" s="1055"/>
      <c r="VIS3" s="1055"/>
      <c r="VIT3" s="1055"/>
      <c r="VIU3" s="1055"/>
      <c r="VIV3" s="1055"/>
      <c r="VIW3" s="1055"/>
      <c r="VIX3" s="1055"/>
      <c r="VIY3" s="1055"/>
      <c r="VIZ3" s="1055"/>
      <c r="VJA3" s="1055"/>
      <c r="VJB3" s="1055"/>
      <c r="VJC3" s="1055"/>
      <c r="VJD3" s="1055"/>
      <c r="VJE3" s="1055"/>
      <c r="VJF3" s="1055"/>
      <c r="VJG3" s="1055"/>
      <c r="VJH3" s="1055"/>
      <c r="VJI3" s="1055"/>
      <c r="VJJ3" s="1055"/>
      <c r="VJK3" s="1055"/>
      <c r="VJL3" s="1055"/>
      <c r="VJM3" s="1055"/>
      <c r="VJN3" s="1055"/>
      <c r="VJO3" s="1055"/>
      <c r="VJP3" s="1055"/>
      <c r="VJQ3" s="1055"/>
      <c r="VJR3" s="1055"/>
      <c r="VJS3" s="1055"/>
      <c r="VJT3" s="1055"/>
      <c r="VJU3" s="1055"/>
      <c r="VJV3" s="1055"/>
      <c r="VJW3" s="1055"/>
      <c r="VJX3" s="1055"/>
      <c r="VJY3" s="1055"/>
      <c r="VJZ3" s="1055"/>
      <c r="VKA3" s="1055"/>
      <c r="VKB3" s="1055"/>
      <c r="VKC3" s="1055"/>
      <c r="VKD3" s="1055"/>
      <c r="VKE3" s="1055"/>
      <c r="VKF3" s="1055"/>
      <c r="VKG3" s="1055"/>
      <c r="VKH3" s="1055"/>
      <c r="VKI3" s="1055"/>
      <c r="VKJ3" s="1055"/>
      <c r="VKK3" s="1055"/>
      <c r="VKL3" s="1055"/>
      <c r="VKM3" s="1055"/>
      <c r="VKN3" s="1055"/>
      <c r="VKO3" s="1055"/>
      <c r="VKP3" s="1055"/>
      <c r="VKQ3" s="1055"/>
      <c r="VKR3" s="1055"/>
      <c r="VKS3" s="1055"/>
      <c r="VKT3" s="1055"/>
      <c r="VKU3" s="1055"/>
      <c r="VKV3" s="1055"/>
      <c r="VKW3" s="1055"/>
      <c r="VKX3" s="1055"/>
      <c r="VKY3" s="1055"/>
      <c r="VKZ3" s="1055"/>
      <c r="VLA3" s="1055"/>
      <c r="VLB3" s="1055"/>
      <c r="VLC3" s="1055"/>
      <c r="VLD3" s="1055"/>
      <c r="VLE3" s="1055"/>
      <c r="VLF3" s="1055"/>
      <c r="VLG3" s="1055"/>
      <c r="VLH3" s="1055"/>
      <c r="VLI3" s="1055"/>
      <c r="VLJ3" s="1055"/>
      <c r="VLK3" s="1055"/>
      <c r="VLL3" s="1055"/>
      <c r="VLM3" s="1055"/>
      <c r="VLN3" s="1055"/>
      <c r="VLO3" s="1055"/>
      <c r="VLP3" s="1055"/>
      <c r="VLQ3" s="1055"/>
      <c r="VLR3" s="1055"/>
      <c r="VLS3" s="1055"/>
      <c r="VLT3" s="1055"/>
      <c r="VLU3" s="1055"/>
      <c r="VLV3" s="1055"/>
      <c r="VLW3" s="1055"/>
      <c r="VLX3" s="1055"/>
      <c r="VLY3" s="1055"/>
      <c r="VLZ3" s="1055"/>
      <c r="VMA3" s="1055"/>
      <c r="VMB3" s="1055"/>
      <c r="VMC3" s="1055"/>
      <c r="VMD3" s="1055"/>
      <c r="VME3" s="1055"/>
      <c r="VMF3" s="1055"/>
      <c r="VMG3" s="1055"/>
      <c r="VMH3" s="1055"/>
      <c r="VMI3" s="1055"/>
      <c r="VMJ3" s="1055"/>
      <c r="VMK3" s="1055"/>
      <c r="VML3" s="1055"/>
      <c r="VMM3" s="1055"/>
      <c r="VMN3" s="1055"/>
      <c r="VMO3" s="1055"/>
      <c r="VMP3" s="1055"/>
      <c r="VMQ3" s="1055"/>
      <c r="VMR3" s="1055"/>
      <c r="VMS3" s="1055"/>
      <c r="VMT3" s="1055"/>
      <c r="VMU3" s="1055"/>
      <c r="VMV3" s="1055"/>
      <c r="VMW3" s="1055"/>
      <c r="VMX3" s="1055"/>
      <c r="VMY3" s="1055"/>
      <c r="VMZ3" s="1055"/>
      <c r="VNA3" s="1055"/>
      <c r="VNB3" s="1055"/>
      <c r="VNC3" s="1055"/>
      <c r="VND3" s="1055"/>
      <c r="VNE3" s="1055"/>
      <c r="VNF3" s="1055"/>
      <c r="VNG3" s="1055"/>
      <c r="VNH3" s="1055"/>
      <c r="VNI3" s="1055"/>
      <c r="VNJ3" s="1055"/>
      <c r="VNK3" s="1055"/>
      <c r="VNL3" s="1055"/>
      <c r="VNM3" s="1055"/>
      <c r="VNN3" s="1055"/>
      <c r="VNO3" s="1055"/>
      <c r="VNP3" s="1055"/>
      <c r="VNQ3" s="1055"/>
      <c r="VNR3" s="1055"/>
      <c r="VNS3" s="1055"/>
      <c r="VNT3" s="1055"/>
      <c r="VNU3" s="1055"/>
      <c r="VNV3" s="1055"/>
      <c r="VNW3" s="1055"/>
      <c r="VNX3" s="1055"/>
      <c r="VNY3" s="1055"/>
      <c r="VNZ3" s="1055"/>
      <c r="VOA3" s="1055"/>
      <c r="VOB3" s="1055"/>
      <c r="VOC3" s="1055"/>
      <c r="VOD3" s="1055"/>
      <c r="VOE3" s="1055"/>
      <c r="VOF3" s="1055"/>
      <c r="VOG3" s="1055"/>
      <c r="VOH3" s="1055"/>
      <c r="VOI3" s="1055"/>
      <c r="VOJ3" s="1055"/>
      <c r="VOK3" s="1055"/>
      <c r="VOL3" s="1055"/>
      <c r="VOM3" s="1055"/>
      <c r="VON3" s="1055"/>
      <c r="VOO3" s="1055"/>
      <c r="VOP3" s="1055"/>
      <c r="VOQ3" s="1055"/>
      <c r="VOR3" s="1055"/>
      <c r="VOS3" s="1055"/>
      <c r="VOT3" s="1055"/>
      <c r="VOU3" s="1055"/>
      <c r="VOV3" s="1055"/>
      <c r="VOW3" s="1055"/>
      <c r="VOX3" s="1055"/>
      <c r="VOY3" s="1055"/>
      <c r="VOZ3" s="1055"/>
      <c r="VPA3" s="1055"/>
      <c r="VPB3" s="1055"/>
      <c r="VPC3" s="1055"/>
      <c r="VPD3" s="1055"/>
      <c r="VPE3" s="1055"/>
      <c r="VPF3" s="1055"/>
      <c r="VPG3" s="1055"/>
      <c r="VPH3" s="1055"/>
      <c r="VPI3" s="1055"/>
      <c r="VPJ3" s="1055"/>
      <c r="VPK3" s="1055"/>
      <c r="VPL3" s="1055"/>
      <c r="VPM3" s="1055"/>
      <c r="VPN3" s="1055"/>
      <c r="VPO3" s="1055"/>
      <c r="VPP3" s="1055"/>
      <c r="VPQ3" s="1055"/>
      <c r="VPR3" s="1055"/>
      <c r="VPS3" s="1055"/>
      <c r="VPT3" s="1055"/>
      <c r="VPU3" s="1055"/>
      <c r="VPV3" s="1055"/>
      <c r="VPW3" s="1055"/>
      <c r="VPX3" s="1055"/>
      <c r="VPY3" s="1055"/>
      <c r="VPZ3" s="1055"/>
      <c r="VQA3" s="1055"/>
      <c r="VQB3" s="1055"/>
      <c r="VQC3" s="1055"/>
      <c r="VQD3" s="1055"/>
      <c r="VQE3" s="1055"/>
      <c r="VQF3" s="1055"/>
      <c r="VQG3" s="1055"/>
      <c r="VQH3" s="1055"/>
      <c r="VQI3" s="1055"/>
      <c r="VQJ3" s="1055"/>
      <c r="VQK3" s="1055"/>
      <c r="VQL3" s="1055"/>
      <c r="VQM3" s="1055"/>
      <c r="VQN3" s="1055"/>
      <c r="VQO3" s="1055"/>
      <c r="VQP3" s="1055"/>
      <c r="VQQ3" s="1055"/>
      <c r="VQR3" s="1055"/>
      <c r="VQS3" s="1055"/>
      <c r="VQT3" s="1055"/>
      <c r="VQU3" s="1055"/>
      <c r="VQV3" s="1055"/>
      <c r="VQW3" s="1055"/>
      <c r="VQX3" s="1055"/>
      <c r="VQY3" s="1055"/>
      <c r="VQZ3" s="1055"/>
      <c r="VRA3" s="1055"/>
      <c r="VRB3" s="1055"/>
      <c r="VRC3" s="1055"/>
      <c r="VRD3" s="1055"/>
      <c r="VRE3" s="1055"/>
      <c r="VRF3" s="1055"/>
      <c r="VRG3" s="1055"/>
      <c r="VRH3" s="1055"/>
      <c r="VRI3" s="1055"/>
      <c r="VRJ3" s="1055"/>
      <c r="VRK3" s="1055"/>
      <c r="VRL3" s="1055"/>
      <c r="VRM3" s="1055"/>
      <c r="VRN3" s="1055"/>
      <c r="VRO3" s="1055"/>
      <c r="VRP3" s="1055"/>
      <c r="VRQ3" s="1055"/>
      <c r="VRR3" s="1055"/>
      <c r="VRS3" s="1055"/>
      <c r="VRT3" s="1055"/>
      <c r="VRU3" s="1055"/>
      <c r="VRV3" s="1055"/>
      <c r="VRW3" s="1055"/>
      <c r="VRX3" s="1055"/>
      <c r="VRY3" s="1055"/>
      <c r="VRZ3" s="1055"/>
      <c r="VSA3" s="1055"/>
      <c r="VSB3" s="1055"/>
      <c r="VSC3" s="1055"/>
      <c r="VSD3" s="1055"/>
      <c r="VSE3" s="1055"/>
      <c r="VSF3" s="1055"/>
      <c r="VSG3" s="1055"/>
      <c r="VSH3" s="1055"/>
      <c r="VSI3" s="1055"/>
      <c r="VSJ3" s="1055"/>
      <c r="VSK3" s="1055"/>
      <c r="VSL3" s="1055"/>
      <c r="VSM3" s="1055"/>
      <c r="VSN3" s="1055"/>
      <c r="VSO3" s="1055"/>
      <c r="VSP3" s="1055"/>
      <c r="VSQ3" s="1055"/>
      <c r="VSR3" s="1055"/>
      <c r="VSS3" s="1055"/>
      <c r="VST3" s="1055"/>
      <c r="VSU3" s="1055"/>
      <c r="VSV3" s="1055"/>
      <c r="VSW3" s="1055"/>
      <c r="VSX3" s="1055"/>
      <c r="VSY3" s="1055"/>
      <c r="VSZ3" s="1055"/>
      <c r="VTA3" s="1055"/>
      <c r="VTB3" s="1055"/>
      <c r="VTC3" s="1055"/>
      <c r="VTD3" s="1055"/>
      <c r="VTE3" s="1055"/>
      <c r="VTF3" s="1055"/>
      <c r="VTG3" s="1055"/>
      <c r="VTH3" s="1055"/>
      <c r="VTI3" s="1055"/>
      <c r="VTJ3" s="1055"/>
      <c r="VTK3" s="1055"/>
      <c r="VTL3" s="1055"/>
      <c r="VTM3" s="1055"/>
      <c r="VTN3" s="1055"/>
      <c r="VTO3" s="1055"/>
      <c r="VTP3" s="1055"/>
      <c r="VTQ3" s="1055"/>
      <c r="VTR3" s="1055"/>
      <c r="VTS3" s="1055"/>
      <c r="VTT3" s="1055"/>
      <c r="VTU3" s="1055"/>
      <c r="VTV3" s="1055"/>
      <c r="VTW3" s="1055"/>
      <c r="VTX3" s="1055"/>
      <c r="VTY3" s="1055"/>
      <c r="VTZ3" s="1055"/>
      <c r="VUA3" s="1055"/>
      <c r="VUB3" s="1055"/>
      <c r="VUC3" s="1055"/>
      <c r="VUD3" s="1055"/>
      <c r="VUE3" s="1055"/>
      <c r="VUF3" s="1055"/>
      <c r="VUG3" s="1055"/>
      <c r="VUH3" s="1055"/>
      <c r="VUI3" s="1055"/>
      <c r="VUJ3" s="1055"/>
      <c r="VUK3" s="1055"/>
      <c r="VUL3" s="1055"/>
      <c r="VUM3" s="1055"/>
      <c r="VUN3" s="1055"/>
      <c r="VUO3" s="1055"/>
      <c r="VUP3" s="1055"/>
      <c r="VUQ3" s="1055"/>
      <c r="VUR3" s="1055"/>
      <c r="VUS3" s="1055"/>
      <c r="VUT3" s="1055"/>
      <c r="VUU3" s="1055"/>
      <c r="VUV3" s="1055"/>
      <c r="VUW3" s="1055"/>
      <c r="VUX3" s="1055"/>
      <c r="VUY3" s="1055"/>
      <c r="VUZ3" s="1055"/>
      <c r="VVA3" s="1055"/>
      <c r="VVB3" s="1055"/>
      <c r="VVC3" s="1055"/>
      <c r="VVD3" s="1055"/>
      <c r="VVE3" s="1055"/>
      <c r="VVF3" s="1055"/>
      <c r="VVG3" s="1055"/>
      <c r="VVH3" s="1055"/>
      <c r="VVI3" s="1055"/>
      <c r="VVJ3" s="1055"/>
      <c r="VVK3" s="1055"/>
      <c r="VVL3" s="1055"/>
      <c r="VVM3" s="1055"/>
      <c r="VVN3" s="1055"/>
      <c r="VVO3" s="1055"/>
      <c r="VVP3" s="1055"/>
      <c r="VVQ3" s="1055"/>
      <c r="VVR3" s="1055"/>
      <c r="VVS3" s="1055"/>
      <c r="VVT3" s="1055"/>
      <c r="VVU3" s="1055"/>
      <c r="VVV3" s="1055"/>
      <c r="VVW3" s="1055"/>
      <c r="VVX3" s="1055"/>
      <c r="VVY3" s="1055"/>
      <c r="VVZ3" s="1055"/>
      <c r="VWA3" s="1055"/>
      <c r="VWB3" s="1055"/>
      <c r="VWC3" s="1055"/>
      <c r="VWD3" s="1055"/>
      <c r="VWE3" s="1055"/>
      <c r="VWF3" s="1055"/>
      <c r="VWG3" s="1055"/>
      <c r="VWH3" s="1055"/>
      <c r="VWI3" s="1055"/>
      <c r="VWJ3" s="1055"/>
      <c r="VWK3" s="1055"/>
      <c r="VWL3" s="1055"/>
      <c r="VWM3" s="1055"/>
      <c r="VWN3" s="1055"/>
      <c r="VWO3" s="1055"/>
      <c r="VWP3" s="1055"/>
      <c r="VWQ3" s="1055"/>
      <c r="VWR3" s="1055"/>
      <c r="VWS3" s="1055"/>
      <c r="VWT3" s="1055"/>
      <c r="VWU3" s="1055"/>
      <c r="VWV3" s="1055"/>
      <c r="VWW3" s="1055"/>
      <c r="VWX3" s="1055"/>
      <c r="VWY3" s="1055"/>
      <c r="VWZ3" s="1055"/>
      <c r="VXA3" s="1055"/>
      <c r="VXB3" s="1055"/>
      <c r="VXC3" s="1055"/>
      <c r="VXD3" s="1055"/>
      <c r="VXE3" s="1055"/>
      <c r="VXF3" s="1055"/>
      <c r="VXG3" s="1055"/>
      <c r="VXH3" s="1055"/>
      <c r="VXI3" s="1055"/>
      <c r="VXJ3" s="1055"/>
      <c r="VXK3" s="1055"/>
      <c r="VXL3" s="1055"/>
      <c r="VXM3" s="1055"/>
      <c r="VXN3" s="1055"/>
      <c r="VXO3" s="1055"/>
      <c r="VXP3" s="1055"/>
      <c r="VXQ3" s="1055"/>
      <c r="VXR3" s="1055"/>
      <c r="VXS3" s="1055"/>
      <c r="VXT3" s="1055"/>
      <c r="VXU3" s="1055"/>
      <c r="VXV3" s="1055"/>
      <c r="VXW3" s="1055"/>
      <c r="VXX3" s="1055"/>
      <c r="VXY3" s="1055"/>
      <c r="VXZ3" s="1055"/>
      <c r="VYA3" s="1055"/>
      <c r="VYB3" s="1055"/>
      <c r="VYC3" s="1055"/>
      <c r="VYD3" s="1055"/>
      <c r="VYE3" s="1055"/>
      <c r="VYF3" s="1055"/>
      <c r="VYG3" s="1055"/>
      <c r="VYH3" s="1055"/>
      <c r="VYI3" s="1055"/>
      <c r="VYJ3" s="1055"/>
      <c r="VYK3" s="1055"/>
      <c r="VYL3" s="1055"/>
      <c r="VYM3" s="1055"/>
      <c r="VYN3" s="1055"/>
      <c r="VYO3" s="1055"/>
      <c r="VYP3" s="1055"/>
      <c r="VYQ3" s="1055"/>
      <c r="VYR3" s="1055"/>
      <c r="VYS3" s="1055"/>
      <c r="VYT3" s="1055"/>
      <c r="VYU3" s="1055"/>
      <c r="VYV3" s="1055"/>
      <c r="VYW3" s="1055"/>
      <c r="VYX3" s="1055"/>
      <c r="VYY3" s="1055"/>
      <c r="VYZ3" s="1055"/>
      <c r="VZA3" s="1055"/>
      <c r="VZB3" s="1055"/>
      <c r="VZC3" s="1055"/>
      <c r="VZD3" s="1055"/>
      <c r="VZE3" s="1055"/>
      <c r="VZF3" s="1055"/>
      <c r="VZG3" s="1055"/>
      <c r="VZH3" s="1055"/>
      <c r="VZI3" s="1055"/>
      <c r="VZJ3" s="1055"/>
      <c r="VZK3" s="1055"/>
      <c r="VZL3" s="1055"/>
      <c r="VZM3" s="1055"/>
      <c r="VZN3" s="1055"/>
      <c r="VZO3" s="1055"/>
      <c r="VZP3" s="1055"/>
      <c r="VZQ3" s="1055"/>
      <c r="VZR3" s="1055"/>
      <c r="VZS3" s="1055"/>
      <c r="VZT3" s="1055"/>
      <c r="VZU3" s="1055"/>
      <c r="VZV3" s="1055"/>
      <c r="VZW3" s="1055"/>
      <c r="VZX3" s="1055"/>
      <c r="VZY3" s="1055"/>
      <c r="VZZ3" s="1055"/>
      <c r="WAA3" s="1055"/>
      <c r="WAB3" s="1055"/>
      <c r="WAC3" s="1055"/>
      <c r="WAD3" s="1055"/>
      <c r="WAE3" s="1055"/>
      <c r="WAF3" s="1055"/>
      <c r="WAG3" s="1055"/>
      <c r="WAH3" s="1055"/>
      <c r="WAI3" s="1055"/>
      <c r="WAJ3" s="1055"/>
      <c r="WAK3" s="1055"/>
      <c r="WAL3" s="1055"/>
      <c r="WAM3" s="1055"/>
      <c r="WAN3" s="1055"/>
      <c r="WAO3" s="1055"/>
      <c r="WAP3" s="1055"/>
      <c r="WAQ3" s="1055"/>
      <c r="WAR3" s="1055"/>
      <c r="WAS3" s="1055"/>
      <c r="WAT3" s="1055"/>
      <c r="WAU3" s="1055"/>
      <c r="WAV3" s="1055"/>
      <c r="WAW3" s="1055"/>
      <c r="WAX3" s="1055"/>
      <c r="WAY3" s="1055"/>
      <c r="WAZ3" s="1055"/>
      <c r="WBA3" s="1055"/>
      <c r="WBB3" s="1055"/>
      <c r="WBC3" s="1055"/>
      <c r="WBD3" s="1055"/>
      <c r="WBE3" s="1055"/>
      <c r="WBF3" s="1055"/>
      <c r="WBG3" s="1055"/>
      <c r="WBH3" s="1055"/>
      <c r="WBI3" s="1055"/>
      <c r="WBJ3" s="1055"/>
      <c r="WBK3" s="1055"/>
      <c r="WBL3" s="1055"/>
      <c r="WBM3" s="1055"/>
      <c r="WBN3" s="1055"/>
      <c r="WBO3" s="1055"/>
      <c r="WBP3" s="1055"/>
      <c r="WBQ3" s="1055"/>
      <c r="WBR3" s="1055"/>
      <c r="WBS3" s="1055"/>
      <c r="WBT3" s="1055"/>
      <c r="WBU3" s="1055"/>
      <c r="WBV3" s="1055"/>
      <c r="WBW3" s="1055"/>
      <c r="WBX3" s="1055"/>
      <c r="WBY3" s="1055"/>
      <c r="WBZ3" s="1055"/>
      <c r="WCA3" s="1055"/>
      <c r="WCB3" s="1055"/>
      <c r="WCC3" s="1055"/>
      <c r="WCD3" s="1055"/>
      <c r="WCE3" s="1055"/>
      <c r="WCF3" s="1055"/>
      <c r="WCG3" s="1055"/>
      <c r="WCH3" s="1055"/>
      <c r="WCI3" s="1055"/>
      <c r="WCJ3" s="1055"/>
      <c r="WCK3" s="1055"/>
      <c r="WCL3" s="1055"/>
      <c r="WCM3" s="1055"/>
      <c r="WCN3" s="1055"/>
      <c r="WCO3" s="1055"/>
      <c r="WCP3" s="1055"/>
      <c r="WCQ3" s="1055"/>
      <c r="WCR3" s="1055"/>
      <c r="WCS3" s="1055"/>
      <c r="WCT3" s="1055"/>
      <c r="WCU3" s="1055"/>
      <c r="WCV3" s="1055"/>
      <c r="WCW3" s="1055"/>
      <c r="WCX3" s="1055"/>
      <c r="WCY3" s="1055"/>
      <c r="WCZ3" s="1055"/>
      <c r="WDA3" s="1055"/>
      <c r="WDB3" s="1055"/>
      <c r="WDC3" s="1055"/>
      <c r="WDD3" s="1055"/>
      <c r="WDE3" s="1055"/>
      <c r="WDF3" s="1055"/>
      <c r="WDG3" s="1055"/>
      <c r="WDH3" s="1055"/>
      <c r="WDI3" s="1055"/>
      <c r="WDJ3" s="1055"/>
      <c r="WDK3" s="1055"/>
      <c r="WDL3" s="1055"/>
      <c r="WDM3" s="1055"/>
      <c r="WDN3" s="1055"/>
      <c r="WDO3" s="1055"/>
      <c r="WDP3" s="1055"/>
      <c r="WDQ3" s="1055"/>
      <c r="WDR3" s="1055"/>
      <c r="WDS3" s="1055"/>
      <c r="WDT3" s="1055"/>
      <c r="WDU3" s="1055"/>
      <c r="WDV3" s="1055"/>
      <c r="WDW3" s="1055"/>
      <c r="WDX3" s="1055"/>
      <c r="WDY3" s="1055"/>
      <c r="WDZ3" s="1055"/>
      <c r="WEA3" s="1055"/>
      <c r="WEB3" s="1055"/>
      <c r="WEC3" s="1055"/>
      <c r="WED3" s="1055"/>
      <c r="WEE3" s="1055"/>
      <c r="WEF3" s="1055"/>
      <c r="WEG3" s="1055"/>
      <c r="WEH3" s="1055"/>
      <c r="WEI3" s="1055"/>
      <c r="WEJ3" s="1055"/>
      <c r="WEK3" s="1055"/>
      <c r="WEL3" s="1055"/>
      <c r="WEM3" s="1055"/>
      <c r="WEN3" s="1055"/>
      <c r="WEO3" s="1055"/>
      <c r="WEP3" s="1055"/>
      <c r="WEQ3" s="1055"/>
      <c r="WER3" s="1055"/>
      <c r="WES3" s="1055"/>
      <c r="WET3" s="1055"/>
      <c r="WEU3" s="1055"/>
      <c r="WEV3" s="1055"/>
      <c r="WEW3" s="1055"/>
      <c r="WEX3" s="1055"/>
      <c r="WEY3" s="1055"/>
      <c r="WEZ3" s="1055"/>
      <c r="WFA3" s="1055"/>
      <c r="WFB3" s="1055"/>
      <c r="WFC3" s="1055"/>
      <c r="WFD3" s="1055"/>
      <c r="WFE3" s="1055"/>
      <c r="WFF3" s="1055"/>
      <c r="WFG3" s="1055"/>
      <c r="WFH3" s="1055"/>
      <c r="WFI3" s="1055"/>
      <c r="WFJ3" s="1055"/>
      <c r="WFK3" s="1055"/>
      <c r="WFL3" s="1055"/>
      <c r="WFM3" s="1055"/>
      <c r="WFN3" s="1055"/>
      <c r="WFO3" s="1055"/>
      <c r="WFP3" s="1055"/>
      <c r="WFQ3" s="1055"/>
      <c r="WFR3" s="1055"/>
      <c r="WFS3" s="1055"/>
      <c r="WFT3" s="1055"/>
      <c r="WFU3" s="1055"/>
      <c r="WFV3" s="1055"/>
      <c r="WFW3" s="1055"/>
      <c r="WFX3" s="1055"/>
      <c r="WFY3" s="1055"/>
      <c r="WFZ3" s="1055"/>
      <c r="WGA3" s="1055"/>
      <c r="WGB3" s="1055"/>
      <c r="WGC3" s="1055"/>
      <c r="WGD3" s="1055"/>
      <c r="WGE3" s="1055"/>
      <c r="WGF3" s="1055"/>
      <c r="WGG3" s="1055"/>
      <c r="WGH3" s="1055"/>
      <c r="WGI3" s="1055"/>
      <c r="WGJ3" s="1055"/>
      <c r="WGK3" s="1055"/>
      <c r="WGL3" s="1055"/>
      <c r="WGM3" s="1055"/>
      <c r="WGN3" s="1055"/>
      <c r="WGO3" s="1055"/>
      <c r="WGP3" s="1055"/>
      <c r="WGQ3" s="1055"/>
      <c r="WGR3" s="1055"/>
      <c r="WGS3" s="1055"/>
      <c r="WGT3" s="1055"/>
      <c r="WGU3" s="1055"/>
      <c r="WGV3" s="1055"/>
      <c r="WGW3" s="1055"/>
      <c r="WGX3" s="1055"/>
      <c r="WGY3" s="1055"/>
      <c r="WGZ3" s="1055"/>
      <c r="WHA3" s="1055"/>
      <c r="WHB3" s="1055"/>
      <c r="WHC3" s="1055"/>
      <c r="WHD3" s="1055"/>
      <c r="WHE3" s="1055"/>
      <c r="WHF3" s="1055"/>
      <c r="WHG3" s="1055"/>
      <c r="WHH3" s="1055"/>
      <c r="WHI3" s="1055"/>
      <c r="WHJ3" s="1055"/>
      <c r="WHK3" s="1055"/>
      <c r="WHL3" s="1055"/>
      <c r="WHM3" s="1055"/>
      <c r="WHN3" s="1055"/>
      <c r="WHO3" s="1055"/>
      <c r="WHP3" s="1055"/>
      <c r="WHQ3" s="1055"/>
      <c r="WHR3" s="1055"/>
      <c r="WHS3" s="1055"/>
      <c r="WHT3" s="1055"/>
      <c r="WHU3" s="1055"/>
      <c r="WHV3" s="1055"/>
      <c r="WHW3" s="1055"/>
      <c r="WHX3" s="1055"/>
      <c r="WHY3" s="1055"/>
      <c r="WHZ3" s="1055"/>
      <c r="WIA3" s="1055"/>
      <c r="WIB3" s="1055"/>
      <c r="WIC3" s="1055"/>
      <c r="WID3" s="1055"/>
      <c r="WIE3" s="1055"/>
      <c r="WIF3" s="1055"/>
      <c r="WIG3" s="1055"/>
      <c r="WIH3" s="1055"/>
      <c r="WII3" s="1055"/>
      <c r="WIJ3" s="1055"/>
      <c r="WIK3" s="1055"/>
      <c r="WIL3" s="1055"/>
      <c r="WIM3" s="1055"/>
      <c r="WIN3" s="1055"/>
      <c r="WIO3" s="1055"/>
      <c r="WIP3" s="1055"/>
      <c r="WIQ3" s="1055"/>
      <c r="WIR3" s="1055"/>
      <c r="WIS3" s="1055"/>
      <c r="WIT3" s="1055"/>
      <c r="WIU3" s="1055"/>
      <c r="WIV3" s="1055"/>
      <c r="WIW3" s="1055"/>
      <c r="WIX3" s="1055"/>
      <c r="WIY3" s="1055"/>
      <c r="WIZ3" s="1055"/>
      <c r="WJA3" s="1055"/>
      <c r="WJB3" s="1055"/>
      <c r="WJC3" s="1055"/>
      <c r="WJD3" s="1055"/>
      <c r="WJE3" s="1055"/>
      <c r="WJF3" s="1055"/>
      <c r="WJG3" s="1055"/>
      <c r="WJH3" s="1055"/>
      <c r="WJI3" s="1055"/>
      <c r="WJJ3" s="1055"/>
      <c r="WJK3" s="1055"/>
      <c r="WJL3" s="1055"/>
      <c r="WJM3" s="1055"/>
      <c r="WJN3" s="1055"/>
      <c r="WJO3" s="1055"/>
      <c r="WJP3" s="1055"/>
      <c r="WJQ3" s="1055"/>
      <c r="WJR3" s="1055"/>
      <c r="WJS3" s="1055"/>
      <c r="WJT3" s="1055"/>
      <c r="WJU3" s="1055"/>
      <c r="WJV3" s="1055"/>
      <c r="WJW3" s="1055"/>
      <c r="WJX3" s="1055"/>
      <c r="WJY3" s="1055"/>
      <c r="WJZ3" s="1055"/>
      <c r="WKA3" s="1055"/>
      <c r="WKB3" s="1055"/>
      <c r="WKC3" s="1055"/>
      <c r="WKD3" s="1055"/>
      <c r="WKE3" s="1055"/>
      <c r="WKF3" s="1055"/>
      <c r="WKG3" s="1055"/>
      <c r="WKH3" s="1055"/>
      <c r="WKI3" s="1055"/>
      <c r="WKJ3" s="1055"/>
      <c r="WKK3" s="1055"/>
      <c r="WKL3" s="1055"/>
      <c r="WKM3" s="1055"/>
      <c r="WKN3" s="1055"/>
      <c r="WKO3" s="1055"/>
      <c r="WKP3" s="1055"/>
      <c r="WKQ3" s="1055"/>
      <c r="WKR3" s="1055"/>
      <c r="WKS3" s="1055"/>
      <c r="WKT3" s="1055"/>
      <c r="WKU3" s="1055"/>
      <c r="WKV3" s="1055"/>
      <c r="WKW3" s="1055"/>
      <c r="WKX3" s="1055"/>
      <c r="WKY3" s="1055"/>
      <c r="WKZ3" s="1055"/>
      <c r="WLA3" s="1055"/>
      <c r="WLB3" s="1055"/>
      <c r="WLC3" s="1055"/>
      <c r="WLD3" s="1055"/>
      <c r="WLE3" s="1055"/>
      <c r="WLF3" s="1055"/>
      <c r="WLG3" s="1055"/>
      <c r="WLH3" s="1055"/>
      <c r="WLI3" s="1055"/>
      <c r="WLJ3" s="1055"/>
      <c r="WLK3" s="1055"/>
      <c r="WLL3" s="1055"/>
      <c r="WLM3" s="1055"/>
      <c r="WLN3" s="1055"/>
      <c r="WLO3" s="1055"/>
      <c r="WLP3" s="1055"/>
      <c r="WLQ3" s="1055"/>
      <c r="WLR3" s="1055"/>
      <c r="WLS3" s="1055"/>
      <c r="WLT3" s="1055"/>
      <c r="WLU3" s="1055"/>
      <c r="WLV3" s="1055"/>
      <c r="WLW3" s="1055"/>
      <c r="WLX3" s="1055"/>
      <c r="WLY3" s="1055"/>
      <c r="WLZ3" s="1055"/>
      <c r="WMA3" s="1055"/>
      <c r="WMB3" s="1055"/>
      <c r="WMC3" s="1055"/>
      <c r="WMD3" s="1055"/>
      <c r="WME3" s="1055"/>
      <c r="WMF3" s="1055"/>
      <c r="WMG3" s="1055"/>
      <c r="WMH3" s="1055"/>
      <c r="WMI3" s="1055"/>
      <c r="WMJ3" s="1055"/>
      <c r="WMK3" s="1055"/>
      <c r="WML3" s="1055"/>
      <c r="WMM3" s="1055"/>
      <c r="WMN3" s="1055"/>
      <c r="WMO3" s="1055"/>
      <c r="WMP3" s="1055"/>
      <c r="WMQ3" s="1055"/>
      <c r="WMR3" s="1055"/>
      <c r="WMS3" s="1055"/>
      <c r="WMT3" s="1055"/>
      <c r="WMU3" s="1055"/>
      <c r="WMV3" s="1055"/>
      <c r="WMW3" s="1055"/>
      <c r="WMX3" s="1055"/>
      <c r="WMY3" s="1055"/>
      <c r="WMZ3" s="1055"/>
      <c r="WNA3" s="1055"/>
      <c r="WNB3" s="1055"/>
      <c r="WNC3" s="1055"/>
      <c r="WND3" s="1055"/>
      <c r="WNE3" s="1055"/>
      <c r="WNF3" s="1055"/>
      <c r="WNG3" s="1055"/>
      <c r="WNH3" s="1055"/>
      <c r="WNI3" s="1055"/>
      <c r="WNJ3" s="1055"/>
      <c r="WNK3" s="1055"/>
      <c r="WNL3" s="1055"/>
      <c r="WNM3" s="1055"/>
      <c r="WNN3" s="1055"/>
      <c r="WNO3" s="1055"/>
      <c r="WNP3" s="1055"/>
      <c r="WNQ3" s="1055"/>
      <c r="WNR3" s="1055"/>
      <c r="WNS3" s="1055"/>
      <c r="WNT3" s="1055"/>
      <c r="WNU3" s="1055"/>
      <c r="WNV3" s="1055"/>
      <c r="WNW3" s="1055"/>
      <c r="WNX3" s="1055"/>
      <c r="WNY3" s="1055"/>
      <c r="WNZ3" s="1055"/>
      <c r="WOA3" s="1055"/>
      <c r="WOB3" s="1055"/>
      <c r="WOC3" s="1055"/>
      <c r="WOD3" s="1055"/>
      <c r="WOE3" s="1055"/>
      <c r="WOF3" s="1055"/>
      <c r="WOG3" s="1055"/>
      <c r="WOH3" s="1055"/>
      <c r="WOI3" s="1055"/>
      <c r="WOJ3" s="1055"/>
      <c r="WOK3" s="1055"/>
      <c r="WOL3" s="1055"/>
      <c r="WOM3" s="1055"/>
      <c r="WON3" s="1055"/>
      <c r="WOO3" s="1055"/>
      <c r="WOP3" s="1055"/>
      <c r="WOQ3" s="1055"/>
      <c r="WOR3" s="1055"/>
      <c r="WOS3" s="1055"/>
      <c r="WOT3" s="1055"/>
      <c r="WOU3" s="1055"/>
      <c r="WOV3" s="1055"/>
      <c r="WOW3" s="1055"/>
      <c r="WOX3" s="1055"/>
      <c r="WOY3" s="1055"/>
      <c r="WOZ3" s="1055"/>
      <c r="WPA3" s="1055"/>
      <c r="WPB3" s="1055"/>
      <c r="WPC3" s="1055"/>
      <c r="WPD3" s="1055"/>
      <c r="WPE3" s="1055"/>
      <c r="WPF3" s="1055"/>
      <c r="WPG3" s="1055"/>
      <c r="WPH3" s="1055"/>
      <c r="WPI3" s="1055"/>
      <c r="WPJ3" s="1055"/>
      <c r="WPK3" s="1055"/>
      <c r="WPL3" s="1055"/>
      <c r="WPM3" s="1055"/>
      <c r="WPN3" s="1055"/>
      <c r="WPO3" s="1055"/>
      <c r="WPP3" s="1055"/>
      <c r="WPQ3" s="1055"/>
      <c r="WPR3" s="1055"/>
      <c r="WPS3" s="1055"/>
      <c r="WPT3" s="1055"/>
      <c r="WPU3" s="1055"/>
      <c r="WPV3" s="1055"/>
      <c r="WPW3" s="1055"/>
      <c r="WPX3" s="1055"/>
      <c r="WPY3" s="1055"/>
      <c r="WPZ3" s="1055"/>
      <c r="WQA3" s="1055"/>
      <c r="WQB3" s="1055"/>
      <c r="WQC3" s="1055"/>
      <c r="WQD3" s="1055"/>
      <c r="WQE3" s="1055"/>
      <c r="WQF3" s="1055"/>
      <c r="WQG3" s="1055"/>
      <c r="WQH3" s="1055"/>
      <c r="WQI3" s="1055"/>
      <c r="WQJ3" s="1055"/>
      <c r="WQK3" s="1055"/>
      <c r="WQL3" s="1055"/>
      <c r="WQM3" s="1055"/>
      <c r="WQN3" s="1055"/>
      <c r="WQO3" s="1055"/>
      <c r="WQP3" s="1055"/>
      <c r="WQQ3" s="1055"/>
      <c r="WQR3" s="1055"/>
      <c r="WQS3" s="1055"/>
      <c r="WQT3" s="1055"/>
      <c r="WQU3" s="1055"/>
      <c r="WQV3" s="1055"/>
      <c r="WQW3" s="1055"/>
      <c r="WQX3" s="1055"/>
      <c r="WQY3" s="1055"/>
      <c r="WQZ3" s="1055"/>
      <c r="WRA3" s="1055"/>
      <c r="WRB3" s="1055"/>
      <c r="WRC3" s="1055"/>
      <c r="WRD3" s="1055"/>
      <c r="WRE3" s="1055"/>
      <c r="WRF3" s="1055"/>
      <c r="WRG3" s="1055"/>
      <c r="WRH3" s="1055"/>
      <c r="WRI3" s="1055"/>
      <c r="WRJ3" s="1055"/>
      <c r="WRK3" s="1055"/>
      <c r="WRL3" s="1055"/>
      <c r="WRM3" s="1055"/>
      <c r="WRN3" s="1055"/>
      <c r="WRO3" s="1055"/>
      <c r="WRP3" s="1055"/>
      <c r="WRQ3" s="1055"/>
      <c r="WRR3" s="1055"/>
      <c r="WRS3" s="1055"/>
      <c r="WRT3" s="1055"/>
      <c r="WRU3" s="1055"/>
      <c r="WRV3" s="1055"/>
      <c r="WRW3" s="1055"/>
      <c r="WRX3" s="1055"/>
      <c r="WRY3" s="1055"/>
      <c r="WRZ3" s="1055"/>
      <c r="WSA3" s="1055"/>
      <c r="WSB3" s="1055"/>
      <c r="WSC3" s="1055"/>
      <c r="WSD3" s="1055"/>
      <c r="WSE3" s="1055"/>
      <c r="WSF3" s="1055"/>
      <c r="WSG3" s="1055"/>
      <c r="WSH3" s="1055"/>
      <c r="WSI3" s="1055"/>
      <c r="WSJ3" s="1055"/>
      <c r="WSK3" s="1055"/>
      <c r="WSL3" s="1055"/>
      <c r="WSM3" s="1055"/>
      <c r="WSN3" s="1055"/>
      <c r="WSO3" s="1055"/>
      <c r="WSP3" s="1055"/>
      <c r="WSQ3" s="1055"/>
      <c r="WSR3" s="1055"/>
      <c r="WSS3" s="1055"/>
      <c r="WST3" s="1055"/>
      <c r="WSU3" s="1055"/>
      <c r="WSV3" s="1055"/>
      <c r="WSW3" s="1055"/>
      <c r="WSX3" s="1055"/>
      <c r="WSY3" s="1055"/>
      <c r="WSZ3" s="1055"/>
      <c r="WTA3" s="1055"/>
      <c r="WTB3" s="1055"/>
      <c r="WTC3" s="1055"/>
      <c r="WTD3" s="1055"/>
      <c r="WTE3" s="1055"/>
      <c r="WTF3" s="1055"/>
      <c r="WTG3" s="1055"/>
      <c r="WTH3" s="1055"/>
      <c r="WTI3" s="1055"/>
      <c r="WTJ3" s="1055"/>
      <c r="WTK3" s="1055"/>
      <c r="WTL3" s="1055"/>
      <c r="WTM3" s="1055"/>
      <c r="WTN3" s="1055"/>
      <c r="WTO3" s="1055"/>
      <c r="WTP3" s="1055"/>
      <c r="WTQ3" s="1055"/>
      <c r="WTR3" s="1055"/>
      <c r="WTS3" s="1055"/>
      <c r="WTT3" s="1055"/>
      <c r="WTU3" s="1055"/>
      <c r="WTV3" s="1055"/>
      <c r="WTW3" s="1055"/>
      <c r="WTX3" s="1055"/>
      <c r="WTY3" s="1055"/>
      <c r="WTZ3" s="1055"/>
      <c r="WUA3" s="1055"/>
      <c r="WUB3" s="1055"/>
      <c r="WUC3" s="1055"/>
      <c r="WUD3" s="1055"/>
      <c r="WUE3" s="1055"/>
      <c r="WUF3" s="1055"/>
      <c r="WUG3" s="1055"/>
      <c r="WUH3" s="1055"/>
      <c r="WUI3" s="1055"/>
      <c r="WUJ3" s="1055"/>
      <c r="WUK3" s="1055"/>
      <c r="WUL3" s="1055"/>
      <c r="WUM3" s="1055"/>
      <c r="WUN3" s="1055"/>
      <c r="WUO3" s="1055"/>
      <c r="WUP3" s="1055"/>
      <c r="WUQ3" s="1055"/>
      <c r="WUR3" s="1055"/>
      <c r="WUS3" s="1055"/>
      <c r="WUT3" s="1055"/>
      <c r="WUU3" s="1055"/>
      <c r="WUV3" s="1055"/>
      <c r="WUW3" s="1055"/>
      <c r="WUX3" s="1055"/>
      <c r="WUY3" s="1055"/>
      <c r="WUZ3" s="1055"/>
      <c r="WVA3" s="1055"/>
      <c r="WVB3" s="1055"/>
      <c r="WVC3" s="1055"/>
      <c r="WVD3" s="1055"/>
      <c r="WVE3" s="1055"/>
      <c r="WVF3" s="1055"/>
      <c r="WVG3" s="1055"/>
      <c r="WVH3" s="1055"/>
      <c r="WVI3" s="1055"/>
      <c r="WVJ3" s="1055"/>
      <c r="WVK3" s="1055"/>
      <c r="WVL3" s="1055"/>
      <c r="WVM3" s="1055"/>
      <c r="WVN3" s="1055"/>
      <c r="WVO3" s="1055"/>
      <c r="WVP3" s="1055"/>
      <c r="WVQ3" s="1055"/>
      <c r="WVR3" s="1055"/>
      <c r="WVS3" s="1055"/>
      <c r="WVT3" s="1055"/>
      <c r="WVU3" s="1055"/>
      <c r="WVV3" s="1055"/>
      <c r="WVW3" s="1055"/>
      <c r="WVX3" s="1055"/>
      <c r="WVY3" s="1055"/>
      <c r="WVZ3" s="1055"/>
      <c r="WWA3" s="1055"/>
      <c r="WWB3" s="1055"/>
      <c r="WWC3" s="1055"/>
      <c r="WWD3" s="1055"/>
      <c r="WWE3" s="1055"/>
      <c r="WWF3" s="1055"/>
      <c r="WWG3" s="1055"/>
      <c r="WWH3" s="1055"/>
      <c r="WWI3" s="1055"/>
      <c r="WWJ3" s="1055"/>
      <c r="WWK3" s="1055"/>
      <c r="WWL3" s="1055"/>
      <c r="WWM3" s="1055"/>
      <c r="WWN3" s="1055"/>
      <c r="WWO3" s="1055"/>
      <c r="WWP3" s="1055"/>
      <c r="WWQ3" s="1055"/>
      <c r="WWR3" s="1055"/>
      <c r="WWS3" s="1055"/>
      <c r="WWT3" s="1055"/>
      <c r="WWU3" s="1055"/>
      <c r="WWV3" s="1055"/>
      <c r="WWW3" s="1055"/>
      <c r="WWX3" s="1055"/>
      <c r="WWY3" s="1055"/>
      <c r="WWZ3" s="1055"/>
      <c r="WXA3" s="1055"/>
      <c r="WXB3" s="1055"/>
      <c r="WXC3" s="1055"/>
      <c r="WXD3" s="1055"/>
      <c r="WXE3" s="1055"/>
      <c r="WXF3" s="1055"/>
      <c r="WXG3" s="1055"/>
      <c r="WXH3" s="1055"/>
      <c r="WXI3" s="1055"/>
      <c r="WXJ3" s="1055"/>
      <c r="WXK3" s="1055"/>
      <c r="WXL3" s="1055"/>
      <c r="WXM3" s="1055"/>
      <c r="WXN3" s="1055"/>
      <c r="WXO3" s="1055"/>
      <c r="WXP3" s="1055"/>
      <c r="WXQ3" s="1055"/>
      <c r="WXR3" s="1055"/>
      <c r="WXS3" s="1055"/>
      <c r="WXT3" s="1055"/>
      <c r="WXU3" s="1055"/>
      <c r="WXV3" s="1055"/>
      <c r="WXW3" s="1055"/>
      <c r="WXX3" s="1055"/>
      <c r="WXY3" s="1055"/>
      <c r="WXZ3" s="1055"/>
      <c r="WYA3" s="1055"/>
      <c r="WYB3" s="1055"/>
      <c r="WYC3" s="1055"/>
      <c r="WYD3" s="1055"/>
      <c r="WYE3" s="1055"/>
      <c r="WYF3" s="1055"/>
      <c r="WYG3" s="1055"/>
      <c r="WYH3" s="1055"/>
      <c r="WYI3" s="1055"/>
      <c r="WYJ3" s="1055"/>
      <c r="WYK3" s="1055"/>
      <c r="WYL3" s="1055"/>
      <c r="WYM3" s="1055"/>
      <c r="WYN3" s="1055"/>
      <c r="WYO3" s="1055"/>
      <c r="WYP3" s="1055"/>
      <c r="WYQ3" s="1055"/>
      <c r="WYR3" s="1055"/>
      <c r="WYS3" s="1055"/>
      <c r="WYT3" s="1055"/>
      <c r="WYU3" s="1055"/>
      <c r="WYV3" s="1055"/>
      <c r="WYW3" s="1055"/>
      <c r="WYX3" s="1055"/>
      <c r="WYY3" s="1055"/>
      <c r="WYZ3" s="1055"/>
      <c r="WZA3" s="1055"/>
      <c r="WZB3" s="1055"/>
      <c r="WZC3" s="1055"/>
      <c r="WZD3" s="1055"/>
      <c r="WZE3" s="1055"/>
      <c r="WZF3" s="1055"/>
      <c r="WZG3" s="1055"/>
      <c r="WZH3" s="1055"/>
      <c r="WZI3" s="1055"/>
      <c r="WZJ3" s="1055"/>
      <c r="WZK3" s="1055"/>
      <c r="WZL3" s="1055"/>
      <c r="WZM3" s="1055"/>
      <c r="WZN3" s="1055"/>
      <c r="WZO3" s="1055"/>
      <c r="WZP3" s="1055"/>
      <c r="WZQ3" s="1055"/>
      <c r="WZR3" s="1055"/>
      <c r="WZS3" s="1055"/>
      <c r="WZT3" s="1055"/>
      <c r="WZU3" s="1055"/>
      <c r="WZV3" s="1055"/>
      <c r="WZW3" s="1055"/>
      <c r="WZX3" s="1055"/>
      <c r="WZY3" s="1055"/>
      <c r="WZZ3" s="1055"/>
      <c r="XAA3" s="1055"/>
      <c r="XAB3" s="1055"/>
      <c r="XAC3" s="1055"/>
      <c r="XAD3" s="1055"/>
      <c r="XAE3" s="1055"/>
      <c r="XAF3" s="1055"/>
      <c r="XAG3" s="1055"/>
      <c r="XAH3" s="1055"/>
      <c r="XAI3" s="1055"/>
      <c r="XAJ3" s="1055"/>
      <c r="XAK3" s="1055"/>
      <c r="XAL3" s="1055"/>
      <c r="XAM3" s="1055"/>
      <c r="XAN3" s="1055"/>
      <c r="XAO3" s="1055"/>
      <c r="XAP3" s="1055"/>
      <c r="XAQ3" s="1055"/>
      <c r="XAR3" s="1055"/>
      <c r="XAS3" s="1055"/>
      <c r="XAT3" s="1055"/>
      <c r="XAU3" s="1055"/>
      <c r="XAV3" s="1055"/>
      <c r="XAW3" s="1055"/>
      <c r="XAX3" s="1055"/>
      <c r="XAY3" s="1055"/>
      <c r="XAZ3" s="1055"/>
      <c r="XBA3" s="1055"/>
      <c r="XBB3" s="1055"/>
      <c r="XBC3" s="1055"/>
      <c r="XBD3" s="1055"/>
      <c r="XBE3" s="1055"/>
      <c r="XBF3" s="1055"/>
      <c r="XBG3" s="1055"/>
      <c r="XBH3" s="1055"/>
      <c r="XBI3" s="1055"/>
      <c r="XBJ3" s="1055"/>
      <c r="XBK3" s="1055"/>
      <c r="XBL3" s="1055"/>
      <c r="XBM3" s="1055"/>
      <c r="XBN3" s="1055"/>
      <c r="XBO3" s="1055"/>
      <c r="XBP3" s="1055"/>
      <c r="XBQ3" s="1055"/>
      <c r="XBR3" s="1055"/>
      <c r="XBS3" s="1055"/>
      <c r="XBT3" s="1055"/>
      <c r="XBU3" s="1055"/>
      <c r="XBV3" s="1055"/>
      <c r="XBW3" s="1055"/>
      <c r="XBX3" s="1055"/>
      <c r="XBY3" s="1055"/>
      <c r="XBZ3" s="1055"/>
      <c r="XCA3" s="1055"/>
      <c r="XCB3" s="1055"/>
      <c r="XCC3" s="1055"/>
      <c r="XCD3" s="1055"/>
      <c r="XCE3" s="1055"/>
      <c r="XCF3" s="1055"/>
      <c r="XCG3" s="1055"/>
      <c r="XCH3" s="1055"/>
      <c r="XCI3" s="1055"/>
      <c r="XCJ3" s="1055"/>
      <c r="XCK3" s="1055"/>
      <c r="XCL3" s="1055"/>
      <c r="XCM3" s="1055"/>
      <c r="XCN3" s="1055"/>
      <c r="XCO3" s="1055"/>
      <c r="XCP3" s="1055"/>
      <c r="XCQ3" s="1055"/>
      <c r="XCR3" s="1055"/>
      <c r="XCS3" s="1055"/>
      <c r="XCT3" s="1055"/>
      <c r="XCU3" s="1055"/>
      <c r="XCV3" s="1055"/>
      <c r="XCW3" s="1055"/>
      <c r="XCX3" s="1055"/>
      <c r="XCY3" s="1055"/>
      <c r="XCZ3" s="1055"/>
      <c r="XDA3" s="1055"/>
      <c r="XDB3" s="1055"/>
      <c r="XDC3" s="1055"/>
      <c r="XDD3" s="1055"/>
      <c r="XDE3" s="1055"/>
      <c r="XDF3" s="1055"/>
      <c r="XDG3" s="1055"/>
      <c r="XDH3" s="1055"/>
      <c r="XDI3" s="1055"/>
      <c r="XDJ3" s="1055"/>
      <c r="XDK3" s="1055"/>
      <c r="XDL3" s="1055"/>
      <c r="XDM3" s="1055"/>
      <c r="XDN3" s="1055"/>
      <c r="XDO3" s="1055"/>
      <c r="XDP3" s="1055"/>
      <c r="XDQ3" s="1055"/>
      <c r="XDR3" s="1055"/>
      <c r="XDS3" s="1055"/>
      <c r="XDT3" s="1055"/>
      <c r="XDU3" s="1055"/>
      <c r="XDV3" s="1055"/>
      <c r="XDW3" s="1055"/>
      <c r="XDX3" s="1055"/>
      <c r="XDY3" s="1055"/>
      <c r="XDZ3" s="1055"/>
      <c r="XEA3" s="1055"/>
      <c r="XEB3" s="1055"/>
      <c r="XEC3" s="1055"/>
      <c r="XED3" s="1055"/>
      <c r="XEE3" s="1055"/>
      <c r="XEF3" s="1055"/>
      <c r="XEG3" s="1055"/>
      <c r="XEH3" s="1055"/>
      <c r="XEI3" s="1055"/>
      <c r="XEJ3" s="1055"/>
      <c r="XEK3" s="1055"/>
      <c r="XEL3" s="1055"/>
      <c r="XEM3" s="1055"/>
      <c r="XEN3" s="1055"/>
      <c r="XEO3" s="1055"/>
      <c r="XEP3" s="1055"/>
      <c r="XEQ3" s="1055"/>
      <c r="XER3" s="1055"/>
      <c r="XES3" s="1055"/>
      <c r="XET3" s="1055"/>
      <c r="XEU3" s="1055"/>
      <c r="XEV3" s="1055"/>
      <c r="XEW3" s="1055"/>
      <c r="XEX3" s="1055"/>
      <c r="XEY3" s="1055"/>
      <c r="XEZ3" s="1055"/>
    </row>
    <row r="4" spans="1:16380" s="142" customFormat="1" ht="15">
      <c r="A4" s="140"/>
      <c r="B4" s="314"/>
      <c r="C4" s="314"/>
      <c r="F4" s="140"/>
      <c r="G4" s="140"/>
      <c r="H4" s="140"/>
      <c r="I4" s="140"/>
      <c r="J4" s="143"/>
      <c r="K4" s="143"/>
      <c r="L4" s="143"/>
      <c r="M4" s="143"/>
      <c r="N4" s="143"/>
      <c r="O4" s="143"/>
      <c r="P4" s="143"/>
      <c r="Q4" s="143"/>
      <c r="R4" s="144"/>
      <c r="S4" s="144"/>
      <c r="T4" s="144"/>
      <c r="U4" s="144"/>
      <c r="V4" s="144"/>
      <c r="W4" s="144"/>
      <c r="Y4" s="144"/>
      <c r="AA4" s="145"/>
      <c r="AB4" s="145"/>
      <c r="AC4" s="145"/>
    </row>
    <row r="5" spans="1:16380" s="149" customFormat="1" ht="16">
      <c r="A5" s="146"/>
      <c r="B5" s="315" t="s">
        <v>715</v>
      </c>
      <c r="C5" s="315"/>
      <c r="D5" s="147"/>
      <c r="E5" s="147"/>
      <c r="F5" s="147"/>
      <c r="G5" s="147"/>
      <c r="H5" s="147"/>
      <c r="I5" s="147"/>
      <c r="J5" s="147"/>
      <c r="K5" s="147"/>
      <c r="L5" s="147"/>
      <c r="M5" s="147"/>
      <c r="N5" s="147"/>
      <c r="O5" s="147"/>
      <c r="P5" s="147"/>
      <c r="Q5" s="147"/>
      <c r="R5" s="148"/>
      <c r="S5" s="148"/>
      <c r="T5" s="147" t="s">
        <v>716</v>
      </c>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c r="WVH5" s="147"/>
      <c r="WVI5" s="147"/>
      <c r="WVJ5" s="147"/>
      <c r="WVK5" s="147"/>
      <c r="WVL5" s="147"/>
      <c r="WVM5" s="147"/>
      <c r="WVN5" s="147"/>
      <c r="WVO5" s="147"/>
      <c r="WVP5" s="147"/>
      <c r="WVQ5" s="147"/>
      <c r="WVR5" s="147"/>
      <c r="WVS5" s="147"/>
      <c r="WVT5" s="147"/>
      <c r="WVU5" s="147"/>
      <c r="WVV5" s="147"/>
      <c r="WVW5" s="147"/>
      <c r="WVX5" s="147"/>
      <c r="WVY5" s="147"/>
      <c r="WVZ5" s="147"/>
      <c r="WWA5" s="147"/>
      <c r="WWB5" s="147"/>
      <c r="WWC5" s="147"/>
      <c r="WWD5" s="147"/>
      <c r="WWE5" s="147"/>
      <c r="WWF5" s="147"/>
      <c r="WWG5" s="147"/>
      <c r="WWH5" s="147"/>
      <c r="WWI5" s="147"/>
      <c r="WWJ5" s="147"/>
      <c r="WWK5" s="147"/>
      <c r="WWL5" s="147"/>
      <c r="WWM5" s="147"/>
      <c r="WWN5" s="147"/>
      <c r="WWO5" s="147"/>
      <c r="WWP5" s="147"/>
      <c r="WWQ5" s="147"/>
      <c r="WWR5" s="147"/>
      <c r="WWS5" s="147"/>
      <c r="WWT5" s="147"/>
      <c r="WWU5" s="147"/>
      <c r="WWV5" s="147"/>
      <c r="WWW5" s="147"/>
      <c r="WWX5" s="147"/>
      <c r="WWY5" s="147"/>
      <c r="WWZ5" s="147"/>
      <c r="WXA5" s="147"/>
      <c r="WXB5" s="147"/>
      <c r="WXC5" s="147"/>
      <c r="WXD5" s="147"/>
      <c r="WXE5" s="147"/>
      <c r="WXF5" s="147"/>
      <c r="WXG5" s="147"/>
      <c r="WXH5" s="147"/>
      <c r="WXI5" s="147"/>
      <c r="WXJ5" s="147"/>
      <c r="WXK5" s="147"/>
      <c r="WXL5" s="147"/>
      <c r="WXM5" s="147"/>
      <c r="WXN5" s="147"/>
      <c r="WXO5" s="147"/>
      <c r="WXP5" s="147"/>
      <c r="WXQ5" s="147"/>
      <c r="WXR5" s="147"/>
      <c r="WXS5" s="147"/>
      <c r="WXT5" s="147"/>
      <c r="WXU5" s="147"/>
      <c r="WXV5" s="147"/>
      <c r="WXW5" s="147"/>
      <c r="WXX5" s="147"/>
      <c r="WXY5" s="147"/>
      <c r="WXZ5" s="147"/>
      <c r="WYA5" s="147"/>
      <c r="WYB5" s="147"/>
      <c r="WYC5" s="147"/>
      <c r="WYD5" s="147"/>
      <c r="WYE5" s="147"/>
      <c r="WYF5" s="147"/>
      <c r="WYG5" s="147"/>
      <c r="WYH5" s="147"/>
      <c r="WYI5" s="147"/>
      <c r="WYJ5" s="147"/>
      <c r="WYK5" s="147"/>
      <c r="WYL5" s="147"/>
      <c r="WYM5" s="147"/>
      <c r="WYN5" s="147"/>
      <c r="WYO5" s="147"/>
      <c r="WYP5" s="147"/>
      <c r="WYQ5" s="147"/>
      <c r="WYR5" s="147"/>
      <c r="WYS5" s="147"/>
      <c r="WYT5" s="147"/>
      <c r="WYU5" s="147"/>
      <c r="WYV5" s="147"/>
      <c r="WYW5" s="147"/>
      <c r="WYX5" s="147"/>
      <c r="WYY5" s="147"/>
      <c r="WYZ5" s="147"/>
      <c r="WZA5" s="147"/>
      <c r="WZB5" s="147"/>
      <c r="WZC5" s="147"/>
      <c r="WZD5" s="147"/>
      <c r="WZE5" s="147"/>
      <c r="WZF5" s="147"/>
      <c r="WZG5" s="147"/>
      <c r="WZH5" s="147"/>
      <c r="WZI5" s="147"/>
      <c r="WZJ5" s="147"/>
      <c r="WZK5" s="147"/>
      <c r="WZL5" s="147"/>
      <c r="WZM5" s="147"/>
      <c r="WZN5" s="147"/>
      <c r="WZO5" s="147"/>
      <c r="WZP5" s="147"/>
      <c r="WZQ5" s="147"/>
      <c r="WZR5" s="147"/>
      <c r="WZS5" s="147"/>
      <c r="WZT5" s="147"/>
      <c r="WZU5" s="147"/>
      <c r="WZV5" s="147"/>
      <c r="WZW5" s="147"/>
      <c r="WZX5" s="147"/>
      <c r="WZY5" s="147"/>
      <c r="WZZ5" s="147"/>
      <c r="XAA5" s="147"/>
      <c r="XAB5" s="147"/>
      <c r="XAC5" s="147"/>
      <c r="XAD5" s="147"/>
      <c r="XAE5" s="147"/>
      <c r="XAF5" s="147"/>
      <c r="XAG5" s="147"/>
      <c r="XAH5" s="147"/>
      <c r="XAI5" s="147"/>
      <c r="XAJ5" s="147"/>
      <c r="XAK5" s="147"/>
      <c r="XAL5" s="147"/>
      <c r="XAM5" s="147"/>
      <c r="XAN5" s="147"/>
      <c r="XAO5" s="147"/>
      <c r="XAP5" s="147"/>
      <c r="XAQ5" s="147"/>
      <c r="XAR5" s="147"/>
      <c r="XAS5" s="147"/>
      <c r="XAT5" s="147"/>
      <c r="XAU5" s="147"/>
      <c r="XAV5" s="147"/>
      <c r="XAW5" s="147"/>
      <c r="XAX5" s="147"/>
      <c r="XAY5" s="147"/>
      <c r="XAZ5" s="147"/>
      <c r="XBA5" s="147"/>
      <c r="XBB5" s="147"/>
      <c r="XBC5" s="147"/>
      <c r="XBD5" s="147"/>
      <c r="XBE5" s="147"/>
      <c r="XBF5" s="147"/>
      <c r="XBG5" s="147"/>
      <c r="XBH5" s="147"/>
      <c r="XBI5" s="147"/>
      <c r="XBJ5" s="147"/>
      <c r="XBK5" s="147"/>
      <c r="XBL5" s="147"/>
      <c r="XBM5" s="147"/>
      <c r="XBN5" s="147"/>
      <c r="XBO5" s="147"/>
      <c r="XBP5" s="147"/>
      <c r="XBQ5" s="147"/>
      <c r="XBR5" s="147"/>
      <c r="XBS5" s="147"/>
      <c r="XBT5" s="147"/>
      <c r="XBU5" s="147"/>
      <c r="XBV5" s="147"/>
      <c r="XBW5" s="147"/>
      <c r="XBX5" s="147"/>
      <c r="XBY5" s="147"/>
      <c r="XBZ5" s="147"/>
      <c r="XCA5" s="147"/>
      <c r="XCB5" s="147"/>
      <c r="XCC5" s="147"/>
      <c r="XCD5" s="147"/>
      <c r="XCE5" s="147"/>
      <c r="XCF5" s="147"/>
      <c r="XCG5" s="147"/>
      <c r="XCH5" s="147"/>
      <c r="XCI5" s="147"/>
      <c r="XCJ5" s="147"/>
      <c r="XCK5" s="147"/>
      <c r="XCL5" s="147"/>
      <c r="XCM5" s="147"/>
      <c r="XCN5" s="147"/>
      <c r="XCO5" s="147"/>
      <c r="XCP5" s="147"/>
      <c r="XCQ5" s="147"/>
      <c r="XCR5" s="147"/>
      <c r="XCS5" s="147"/>
      <c r="XCT5" s="147"/>
      <c r="XCU5" s="147"/>
      <c r="XCV5" s="147"/>
      <c r="XCW5" s="147"/>
      <c r="XCX5" s="147"/>
      <c r="XCY5" s="147"/>
      <c r="XCZ5" s="147"/>
      <c r="XDA5" s="147"/>
      <c r="XDB5" s="147"/>
      <c r="XDC5" s="147"/>
      <c r="XDD5" s="147"/>
      <c r="XDE5" s="147"/>
      <c r="XDF5" s="147"/>
      <c r="XDG5" s="147"/>
      <c r="XDH5" s="147"/>
      <c r="XDI5" s="147"/>
      <c r="XDJ5" s="147"/>
      <c r="XDK5" s="147"/>
      <c r="XDL5" s="147"/>
      <c r="XDM5" s="147"/>
      <c r="XDN5" s="147"/>
      <c r="XDO5" s="147"/>
      <c r="XDP5" s="147"/>
      <c r="XDQ5" s="147"/>
      <c r="XDR5" s="147"/>
      <c r="XDS5" s="147"/>
      <c r="XDT5" s="147"/>
      <c r="XDU5" s="147"/>
      <c r="XDV5" s="147"/>
      <c r="XDW5" s="147"/>
      <c r="XDX5" s="147"/>
      <c r="XDY5" s="147"/>
      <c r="XDZ5" s="147"/>
      <c r="XEA5" s="147"/>
      <c r="XEB5" s="147"/>
      <c r="XEC5" s="147"/>
      <c r="XED5" s="147"/>
      <c r="XEE5" s="147"/>
      <c r="XEF5" s="147"/>
      <c r="XEG5" s="147"/>
      <c r="XEH5" s="147"/>
      <c r="XEI5" s="147"/>
      <c r="XEJ5" s="147"/>
      <c r="XEK5" s="147"/>
      <c r="XEL5" s="147"/>
      <c r="XEM5" s="147"/>
      <c r="XEN5" s="147"/>
      <c r="XEO5" s="147"/>
      <c r="XEP5" s="147"/>
      <c r="XEQ5" s="147"/>
      <c r="XER5" s="147"/>
      <c r="XES5" s="147"/>
      <c r="XET5" s="147"/>
      <c r="XEU5" s="147"/>
      <c r="XEV5" s="147"/>
      <c r="XEW5" s="147"/>
      <c r="XEX5" s="147"/>
      <c r="XEY5" s="147"/>
      <c r="XEZ5" s="147"/>
    </row>
    <row r="6" spans="1:16380" s="146" customFormat="1" ht="16">
      <c r="B6" s="398"/>
      <c r="C6" s="398"/>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16380" s="149" customFormat="1" ht="16">
      <c r="B7" s="141" t="s">
        <v>252</v>
      </c>
      <c r="C7" s="141"/>
      <c r="D7" s="148"/>
      <c r="E7" s="148"/>
      <c r="F7" s="148"/>
      <c r="G7" s="148"/>
      <c r="H7" s="148"/>
      <c r="I7" s="148"/>
      <c r="J7" s="148"/>
      <c r="K7" s="148"/>
      <c r="L7" s="148"/>
      <c r="M7" s="148"/>
      <c r="N7" s="148"/>
      <c r="O7" s="148"/>
      <c r="P7" s="148"/>
      <c r="Q7" s="148"/>
      <c r="R7" s="148"/>
      <c r="S7" s="144"/>
      <c r="T7" s="1372" t="s">
        <v>446</v>
      </c>
      <c r="U7" s="1373"/>
      <c r="V7" s="1373"/>
      <c r="W7" s="1373"/>
      <c r="X7" s="1374"/>
      <c r="Y7" s="1375" t="s">
        <v>447</v>
      </c>
      <c r="Z7" s="1376"/>
      <c r="AA7" s="1376"/>
      <c r="AB7" s="1376"/>
      <c r="AC7" s="1377"/>
      <c r="AD7" s="148"/>
      <c r="AE7" s="148"/>
      <c r="AF7" s="148"/>
      <c r="AG7" s="148"/>
      <c r="AH7" s="148"/>
      <c r="AI7" s="148"/>
      <c r="AJ7" s="148"/>
      <c r="AK7" s="148"/>
      <c r="AL7" s="148"/>
      <c r="AM7" s="148"/>
    </row>
    <row r="8" spans="1:16380">
      <c r="B8" s="316"/>
      <c r="C8" s="316"/>
      <c r="D8" s="151"/>
      <c r="E8" s="151"/>
      <c r="T8" s="874" t="str">
        <f>IF(T9&lt;='RFPR cover'!$C$9,"Actuals","Forecast")</f>
        <v>Actuals</v>
      </c>
      <c r="U8" s="1071" t="str">
        <f>IF(U9&lt;='RFPR cover'!$C$9,"Actuals","Forecast")</f>
        <v>Forecast</v>
      </c>
      <c r="V8" s="1071" t="str">
        <f>IF(V9&lt;='RFPR cover'!$C$9,"Actuals","Forecast")</f>
        <v>Forecast</v>
      </c>
      <c r="W8" s="1071" t="str">
        <f>IF(W9&lt;='RFPR cover'!$C$9,"Actuals","Forecast")</f>
        <v>Forecast</v>
      </c>
      <c r="X8" s="1071" t="str">
        <f>IF(X9&lt;='RFPR cover'!$C$9,"Actuals","Forecast")</f>
        <v>Forecast</v>
      </c>
      <c r="Y8" s="1071" t="str">
        <f>IF(Y9&lt;='RFPR cover'!$C$9,"Actuals","Forecast")</f>
        <v>Forecast</v>
      </c>
      <c r="Z8" s="1071" t="str">
        <f>IF(Z9&lt;='RFPR cover'!$C$9,"Actuals","Forecast")</f>
        <v>Forecast</v>
      </c>
      <c r="AA8" s="1071" t="str">
        <f>IF(AA9&lt;='RFPR cover'!$C$9,"Actuals","Forecast")</f>
        <v>Forecast</v>
      </c>
      <c r="AB8" s="392" t="str">
        <f>IF(AB9&lt;='RFPR cover'!$C$9,"Actuals","Forecast")</f>
        <v>Forecast</v>
      </c>
      <c r="AC8" s="875" t="str">
        <f>IF(AC9&lt;='RFPR cover'!$C$9,"Actuals","Forecast")</f>
        <v>Forecast</v>
      </c>
    </row>
    <row r="9" spans="1:16380">
      <c r="D9" s="151"/>
      <c r="E9" s="151"/>
      <c r="S9" s="276" t="s">
        <v>448</v>
      </c>
      <c r="T9" s="63">
        <f>'RFPR cover'!$C$6</f>
        <v>2022</v>
      </c>
      <c r="U9" s="64">
        <f>T9+1</f>
        <v>2023</v>
      </c>
      <c r="V9" s="64">
        <f t="shared" ref="V9:AC9" si="0">U9+1</f>
        <v>2024</v>
      </c>
      <c r="W9" s="64">
        <f t="shared" si="0"/>
        <v>2025</v>
      </c>
      <c r="X9" s="64">
        <f t="shared" si="0"/>
        <v>2026</v>
      </c>
      <c r="Y9" s="64">
        <f t="shared" si="0"/>
        <v>2027</v>
      </c>
      <c r="Z9" s="64">
        <f t="shared" si="0"/>
        <v>2028</v>
      </c>
      <c r="AA9" s="387">
        <f t="shared" si="0"/>
        <v>2029</v>
      </c>
      <c r="AB9" s="393">
        <f t="shared" si="0"/>
        <v>2030</v>
      </c>
      <c r="AC9" s="88">
        <f t="shared" si="0"/>
        <v>2031</v>
      </c>
    </row>
    <row r="10" spans="1:16380">
      <c r="AB10" s="288"/>
    </row>
    <row r="11" spans="1:16380">
      <c r="B11" s="317" t="s">
        <v>717</v>
      </c>
      <c r="C11" s="317"/>
      <c r="D11" s="151" t="s">
        <v>718</v>
      </c>
      <c r="E11" s="151"/>
      <c r="T11" s="167"/>
      <c r="U11" s="167"/>
      <c r="V11" s="167"/>
      <c r="W11" s="167"/>
      <c r="X11" s="167"/>
      <c r="Y11" s="167"/>
      <c r="Z11" s="167"/>
      <c r="AA11" s="167"/>
      <c r="AB11" s="394"/>
      <c r="AC11" s="167"/>
    </row>
    <row r="12" spans="1:16380" outlineLevel="1">
      <c r="F12" s="158"/>
      <c r="G12" s="158"/>
      <c r="H12" s="158"/>
      <c r="I12" s="158"/>
      <c r="T12" s="197" t="s">
        <v>454</v>
      </c>
      <c r="U12" s="198" t="s">
        <v>454</v>
      </c>
      <c r="V12" s="198" t="s">
        <v>454</v>
      </c>
      <c r="W12" s="198" t="s">
        <v>454</v>
      </c>
      <c r="X12" s="198" t="s">
        <v>454</v>
      </c>
      <c r="Y12" s="198" t="s">
        <v>454</v>
      </c>
      <c r="Z12" s="198" t="s">
        <v>454</v>
      </c>
      <c r="AA12" s="283" t="s">
        <v>454</v>
      </c>
      <c r="AB12" s="301" t="s">
        <v>454</v>
      </c>
      <c r="AC12" s="198" t="s">
        <v>454</v>
      </c>
    </row>
    <row r="13" spans="1:16380" outlineLevel="1">
      <c r="F13" s="152" t="s">
        <v>719</v>
      </c>
      <c r="T13" s="527">
        <v>-6.0525707999999998</v>
      </c>
      <c r="U13" s="527"/>
      <c r="V13" s="527"/>
      <c r="W13" s="527"/>
      <c r="X13" s="527"/>
      <c r="Y13" s="527"/>
      <c r="Z13" s="527"/>
      <c r="AA13" s="527"/>
      <c r="AB13" s="527"/>
      <c r="AC13" s="527"/>
    </row>
    <row r="14" spans="1:16380" outlineLevel="1">
      <c r="F14" s="152" t="s">
        <v>720</v>
      </c>
      <c r="T14" s="527"/>
      <c r="U14" s="527"/>
      <c r="V14" s="527"/>
      <c r="W14" s="527"/>
      <c r="X14" s="527"/>
      <c r="Y14" s="527"/>
      <c r="Z14" s="527"/>
      <c r="AA14" s="527"/>
      <c r="AB14" s="527"/>
      <c r="AC14" s="527"/>
    </row>
    <row r="15" spans="1:16380" outlineLevel="1">
      <c r="F15" s="152" t="s">
        <v>721</v>
      </c>
      <c r="T15" s="527"/>
      <c r="U15" s="527"/>
      <c r="V15" s="527"/>
      <c r="W15" s="527"/>
      <c r="X15" s="527"/>
      <c r="Y15" s="527"/>
      <c r="Z15" s="527"/>
      <c r="AA15" s="527"/>
      <c r="AB15" s="527"/>
      <c r="AC15" s="527"/>
    </row>
    <row r="16" spans="1:16380" outlineLevel="1">
      <c r="F16" s="152" t="s">
        <v>722</v>
      </c>
      <c r="T16" s="527">
        <v>20</v>
      </c>
      <c r="U16" s="527"/>
      <c r="V16" s="527"/>
      <c r="W16" s="527"/>
      <c r="X16" s="527"/>
      <c r="Y16" s="527"/>
      <c r="Z16" s="527"/>
      <c r="AA16" s="527"/>
      <c r="AB16" s="527"/>
      <c r="AC16" s="527"/>
    </row>
    <row r="17" spans="2:29" outlineLevel="1">
      <c r="F17" s="152" t="s">
        <v>723</v>
      </c>
      <c r="T17" s="527"/>
      <c r="U17" s="527"/>
      <c r="V17" s="527"/>
      <c r="W17" s="527"/>
      <c r="X17" s="527"/>
      <c r="Y17" s="527"/>
      <c r="Z17" s="527"/>
      <c r="AA17" s="527"/>
      <c r="AB17" s="527"/>
      <c r="AC17" s="527"/>
    </row>
    <row r="18" spans="2:29" outlineLevel="1">
      <c r="F18" s="152" t="s">
        <v>724</v>
      </c>
      <c r="T18" s="527">
        <v>-4</v>
      </c>
      <c r="U18" s="527"/>
      <c r="V18" s="527"/>
      <c r="W18" s="527"/>
      <c r="X18" s="527"/>
      <c r="Y18" s="527"/>
      <c r="Z18" s="527"/>
      <c r="AA18" s="527"/>
      <c r="AB18" s="527"/>
      <c r="AC18" s="527"/>
    </row>
    <row r="19" spans="2:29" ht="12.75" customHeight="1" outlineLevel="1">
      <c r="F19" s="26" t="s">
        <v>544</v>
      </c>
      <c r="G19" s="168"/>
      <c r="H19" s="169"/>
      <c r="I19" s="169"/>
      <c r="J19" s="169"/>
      <c r="K19" s="169"/>
      <c r="L19" s="169"/>
      <c r="M19" s="169"/>
      <c r="N19" s="169"/>
      <c r="O19" s="169"/>
      <c r="Q19" s="169"/>
      <c r="R19" s="169"/>
      <c r="S19" s="169"/>
      <c r="T19" s="527"/>
      <c r="U19" s="527"/>
      <c r="V19" s="527"/>
      <c r="W19" s="527"/>
      <c r="X19" s="527"/>
      <c r="Y19" s="527"/>
      <c r="Z19" s="527"/>
      <c r="AA19" s="527"/>
      <c r="AB19" s="527"/>
      <c r="AC19" s="527"/>
    </row>
    <row r="20" spans="2:29">
      <c r="S20" s="1076" t="s">
        <v>725</v>
      </c>
      <c r="T20" s="523">
        <f>SUM(T13:T19)</f>
        <v>9.9474292000000002</v>
      </c>
      <c r="U20" s="524">
        <f t="shared" ref="U20:AC20" si="1">SUM(U13:U19)</f>
        <v>0</v>
      </c>
      <c r="V20" s="524">
        <f t="shared" si="1"/>
        <v>0</v>
      </c>
      <c r="W20" s="524">
        <f t="shared" si="1"/>
        <v>0</v>
      </c>
      <c r="X20" s="524">
        <f t="shared" si="1"/>
        <v>0</v>
      </c>
      <c r="Y20" s="524">
        <f t="shared" si="1"/>
        <v>0</v>
      </c>
      <c r="Z20" s="524">
        <f t="shared" si="1"/>
        <v>0</v>
      </c>
      <c r="AA20" s="525">
        <f t="shared" si="1"/>
        <v>0</v>
      </c>
      <c r="AB20" s="526">
        <f t="shared" si="1"/>
        <v>0</v>
      </c>
      <c r="AC20" s="524">
        <f t="shared" si="1"/>
        <v>0</v>
      </c>
    </row>
    <row r="21" spans="2:29">
      <c r="B21" s="317" t="s">
        <v>449</v>
      </c>
      <c r="C21" s="317"/>
      <c r="D21" s="151" t="s">
        <v>726</v>
      </c>
      <c r="E21" s="151"/>
      <c r="F21" s="151"/>
      <c r="G21" s="151"/>
      <c r="H21" s="151"/>
      <c r="I21" s="151"/>
      <c r="AB21" s="288"/>
    </row>
    <row r="22" spans="2:29" outlineLevel="1">
      <c r="B22" s="317"/>
      <c r="C22" s="317"/>
      <c r="F22" s="151" t="s">
        <v>451</v>
      </c>
      <c r="G22" s="151"/>
      <c r="H22" s="151"/>
      <c r="I22" s="151"/>
      <c r="AB22" s="288"/>
    </row>
    <row r="23" spans="2:29" s="556" customFormat="1" ht="54.75" customHeight="1" outlineLevel="1">
      <c r="B23" s="876"/>
      <c r="C23" s="1288" t="s">
        <v>727</v>
      </c>
      <c r="D23" s="865" t="s">
        <v>530</v>
      </c>
      <c r="E23" s="865" t="s">
        <v>531</v>
      </c>
      <c r="F23" s="865" t="s">
        <v>506</v>
      </c>
      <c r="G23" s="865" t="s">
        <v>728</v>
      </c>
      <c r="H23" s="877" t="s">
        <v>729</v>
      </c>
      <c r="I23" s="877" t="s">
        <v>130</v>
      </c>
      <c r="J23" s="877" t="s">
        <v>730</v>
      </c>
      <c r="K23" s="877" t="s">
        <v>731</v>
      </c>
      <c r="L23" s="877" t="s">
        <v>732</v>
      </c>
      <c r="M23" s="877" t="s">
        <v>733</v>
      </c>
      <c r="N23" s="877" t="s">
        <v>734</v>
      </c>
      <c r="O23" s="877" t="s">
        <v>735</v>
      </c>
      <c r="P23" s="878" t="s">
        <v>152</v>
      </c>
      <c r="Q23" s="877" t="s">
        <v>736</v>
      </c>
      <c r="R23" s="877" t="s">
        <v>737</v>
      </c>
      <c r="S23" s="877" t="s">
        <v>738</v>
      </c>
      <c r="AB23" s="557"/>
    </row>
    <row r="24" spans="2:29" ht="40.5" outlineLevel="1">
      <c r="B24" s="353" t="s">
        <v>453</v>
      </c>
      <c r="C24" s="621"/>
      <c r="D24" s="558" t="s">
        <v>533</v>
      </c>
      <c r="E24" s="558" t="s">
        <v>533</v>
      </c>
      <c r="F24" s="555"/>
      <c r="G24" s="558"/>
      <c r="H24" s="558"/>
      <c r="I24" s="559"/>
      <c r="J24" s="558" t="s">
        <v>216</v>
      </c>
      <c r="K24" s="560" t="s">
        <v>739</v>
      </c>
      <c r="L24" s="560" t="s">
        <v>454</v>
      </c>
      <c r="M24" s="560" t="s">
        <v>454</v>
      </c>
      <c r="N24" s="560" t="s">
        <v>216</v>
      </c>
      <c r="O24" s="560" t="s">
        <v>740</v>
      </c>
      <c r="P24" s="561"/>
      <c r="Q24" s="560"/>
      <c r="R24" s="560" t="s">
        <v>454</v>
      </c>
      <c r="S24" s="560"/>
      <c r="T24" s="197" t="s">
        <v>454</v>
      </c>
      <c r="U24" s="198" t="s">
        <v>454</v>
      </c>
      <c r="V24" s="198" t="s">
        <v>454</v>
      </c>
      <c r="W24" s="198" t="s">
        <v>454</v>
      </c>
      <c r="X24" s="198" t="s">
        <v>454</v>
      </c>
      <c r="Y24" s="198" t="s">
        <v>454</v>
      </c>
      <c r="Z24" s="198" t="s">
        <v>454</v>
      </c>
      <c r="AA24" s="283" t="s">
        <v>454</v>
      </c>
      <c r="AB24" s="301" t="s">
        <v>454</v>
      </c>
      <c r="AC24" s="198" t="s">
        <v>454</v>
      </c>
    </row>
    <row r="25" spans="2:29" outlineLevel="1">
      <c r="B25" s="319" t="s">
        <v>455</v>
      </c>
      <c r="C25" s="320"/>
      <c r="D25" s="320"/>
      <c r="E25" s="320"/>
      <c r="F25" s="321"/>
      <c r="G25" s="321"/>
      <c r="H25" s="790"/>
      <c r="I25" s="321"/>
      <c r="J25" s="725"/>
      <c r="K25" s="321"/>
      <c r="L25" s="726"/>
      <c r="M25" s="726"/>
      <c r="N25" s="321"/>
      <c r="O25" s="724"/>
      <c r="P25" s="321"/>
      <c r="Q25" s="724"/>
      <c r="R25" s="726"/>
      <c r="S25" s="724"/>
      <c r="T25" s="527"/>
      <c r="U25" s="527"/>
      <c r="V25" s="527"/>
      <c r="W25" s="527"/>
      <c r="X25" s="527"/>
      <c r="Y25" s="527"/>
      <c r="Z25" s="527"/>
      <c r="AA25" s="527"/>
      <c r="AB25" s="527"/>
      <c r="AC25" s="527"/>
    </row>
    <row r="26" spans="2:29" outlineLevel="1">
      <c r="B26" s="319" t="s">
        <v>456</v>
      </c>
      <c r="C26" s="320"/>
      <c r="D26" s="320"/>
      <c r="E26" s="320"/>
      <c r="F26" s="321"/>
      <c r="G26" s="321"/>
      <c r="H26" s="790"/>
      <c r="I26" s="321"/>
      <c r="J26" s="725"/>
      <c r="K26" s="321"/>
      <c r="L26" s="726"/>
      <c r="M26" s="726"/>
      <c r="N26" s="724"/>
      <c r="O26" s="724"/>
      <c r="P26" s="321"/>
      <c r="Q26" s="733"/>
      <c r="R26" s="726"/>
      <c r="S26" s="724"/>
      <c r="T26" s="527"/>
      <c r="U26" s="527"/>
      <c r="V26" s="527"/>
      <c r="W26" s="527"/>
      <c r="X26" s="527"/>
      <c r="Y26" s="527"/>
      <c r="Z26" s="527"/>
      <c r="AA26" s="527"/>
      <c r="AB26" s="527"/>
      <c r="AC26" s="527"/>
    </row>
    <row r="27" spans="2:29" outlineLevel="1">
      <c r="B27" s="319" t="s">
        <v>457</v>
      </c>
      <c r="C27" s="320"/>
      <c r="D27" s="320"/>
      <c r="E27" s="320"/>
      <c r="F27" s="321"/>
      <c r="G27" s="321"/>
      <c r="H27" s="790"/>
      <c r="I27" s="321"/>
      <c r="J27" s="725"/>
      <c r="K27" s="321"/>
      <c r="L27" s="726"/>
      <c r="M27" s="726"/>
      <c r="N27" s="724"/>
      <c r="O27" s="724"/>
      <c r="P27" s="321"/>
      <c r="Q27" s="724"/>
      <c r="R27" s="726"/>
      <c r="S27" s="724"/>
      <c r="T27" s="527"/>
      <c r="U27" s="527"/>
      <c r="V27" s="527"/>
      <c r="W27" s="527"/>
      <c r="X27" s="527"/>
      <c r="Y27" s="527"/>
      <c r="Z27" s="527"/>
      <c r="AA27" s="527"/>
      <c r="AB27" s="527"/>
      <c r="AC27" s="527"/>
    </row>
    <row r="28" spans="2:29" outlineLevel="1">
      <c r="B28" s="319" t="s">
        <v>458</v>
      </c>
      <c r="C28" s="320"/>
      <c r="D28" s="320"/>
      <c r="E28" s="320"/>
      <c r="F28" s="321"/>
      <c r="G28" s="321"/>
      <c r="H28" s="790"/>
      <c r="I28" s="321"/>
      <c r="J28" s="725"/>
      <c r="K28" s="321"/>
      <c r="L28" s="726"/>
      <c r="M28" s="726"/>
      <c r="N28" s="321"/>
      <c r="O28" s="724"/>
      <c r="P28" s="321"/>
      <c r="Q28" s="724"/>
      <c r="R28" s="726"/>
      <c r="S28" s="724"/>
      <c r="T28" s="527"/>
      <c r="U28" s="527"/>
      <c r="V28" s="527"/>
      <c r="W28" s="527"/>
      <c r="X28" s="527"/>
      <c r="Y28" s="527"/>
      <c r="Z28" s="527"/>
      <c r="AA28" s="527"/>
      <c r="AB28" s="527"/>
      <c r="AC28" s="527"/>
    </row>
    <row r="29" spans="2:29" outlineLevel="1">
      <c r="B29" s="319" t="s">
        <v>459</v>
      </c>
      <c r="C29" s="320"/>
      <c r="D29" s="320"/>
      <c r="E29" s="320"/>
      <c r="F29" s="321"/>
      <c r="G29" s="321"/>
      <c r="H29" s="790"/>
      <c r="I29" s="321"/>
      <c r="J29" s="725"/>
      <c r="K29" s="321"/>
      <c r="L29" s="726"/>
      <c r="M29" s="726"/>
      <c r="N29" s="724"/>
      <c r="O29" s="724"/>
      <c r="P29" s="321"/>
      <c r="Q29" s="733"/>
      <c r="R29" s="726"/>
      <c r="S29" s="724"/>
      <c r="T29" s="527"/>
      <c r="U29" s="527"/>
      <c r="V29" s="527"/>
      <c r="W29" s="527"/>
      <c r="X29" s="527"/>
      <c r="Y29" s="527"/>
      <c r="Z29" s="527"/>
      <c r="AA29" s="527"/>
      <c r="AB29" s="527"/>
      <c r="AC29" s="527"/>
    </row>
    <row r="30" spans="2:29" outlineLevel="1">
      <c r="B30" s="319" t="s">
        <v>460</v>
      </c>
      <c r="C30" s="320"/>
      <c r="D30" s="320"/>
      <c r="E30" s="320"/>
      <c r="F30" s="321"/>
      <c r="G30" s="321"/>
      <c r="H30" s="790"/>
      <c r="I30" s="321"/>
      <c r="J30" s="725"/>
      <c r="K30" s="321"/>
      <c r="L30" s="726"/>
      <c r="M30" s="726"/>
      <c r="N30" s="724"/>
      <c r="O30" s="724"/>
      <c r="P30" s="321"/>
      <c r="Q30" s="724"/>
      <c r="R30" s="726"/>
      <c r="S30" s="724"/>
      <c r="T30" s="527"/>
      <c r="U30" s="527"/>
      <c r="V30" s="527"/>
      <c r="W30" s="527"/>
      <c r="X30" s="527"/>
      <c r="Y30" s="527"/>
      <c r="Z30" s="527"/>
      <c r="AA30" s="527"/>
      <c r="AB30" s="527"/>
      <c r="AC30" s="527"/>
    </row>
    <row r="31" spans="2:29" outlineLevel="1">
      <c r="B31" s="319" t="s">
        <v>461</v>
      </c>
      <c r="C31" s="320"/>
      <c r="D31" s="320"/>
      <c r="E31" s="320"/>
      <c r="F31" s="321"/>
      <c r="G31" s="321"/>
      <c r="H31" s="790"/>
      <c r="I31" s="321"/>
      <c r="J31" s="725"/>
      <c r="K31" s="321"/>
      <c r="L31" s="726"/>
      <c r="M31" s="321"/>
      <c r="N31" s="321"/>
      <c r="O31" s="724"/>
      <c r="P31" s="321"/>
      <c r="Q31" s="724"/>
      <c r="R31" s="321"/>
      <c r="S31" s="724"/>
      <c r="T31" s="527"/>
      <c r="U31" s="528"/>
      <c r="V31" s="528"/>
      <c r="W31" s="528"/>
      <c r="X31" s="528"/>
      <c r="Y31" s="528"/>
      <c r="Z31" s="528"/>
      <c r="AA31" s="529"/>
      <c r="AB31" s="530"/>
      <c r="AC31" s="528"/>
    </row>
    <row r="32" spans="2:29" outlineLevel="1">
      <c r="B32" s="319" t="s">
        <v>462</v>
      </c>
      <c r="C32" s="320"/>
      <c r="D32" s="320"/>
      <c r="E32" s="320"/>
      <c r="F32" s="321"/>
      <c r="G32" s="321"/>
      <c r="H32" s="790"/>
      <c r="I32" s="321"/>
      <c r="J32" s="325"/>
      <c r="K32" s="321"/>
      <c r="L32" s="324"/>
      <c r="M32" s="324"/>
      <c r="N32" s="325"/>
      <c r="O32" s="325"/>
      <c r="P32" s="321"/>
      <c r="Q32" s="723"/>
      <c r="R32" s="324"/>
      <c r="S32" s="327"/>
      <c r="T32" s="527"/>
      <c r="U32" s="528"/>
      <c r="V32" s="528"/>
      <c r="W32" s="528"/>
      <c r="X32" s="528"/>
      <c r="Y32" s="528"/>
      <c r="Z32" s="528"/>
      <c r="AA32" s="529"/>
      <c r="AB32" s="530"/>
      <c r="AC32" s="528"/>
    </row>
    <row r="33" spans="2:29" outlineLevel="1">
      <c r="B33" s="319" t="s">
        <v>463</v>
      </c>
      <c r="C33" s="320"/>
      <c r="D33" s="320"/>
      <c r="E33" s="320"/>
      <c r="F33" s="321"/>
      <c r="G33" s="321"/>
      <c r="H33" s="790"/>
      <c r="I33" s="321"/>
      <c r="J33" s="325"/>
      <c r="K33" s="321"/>
      <c r="L33" s="324"/>
      <c r="M33" s="324"/>
      <c r="N33" s="325"/>
      <c r="O33" s="325"/>
      <c r="P33" s="321"/>
      <c r="Q33" s="723"/>
      <c r="R33" s="324"/>
      <c r="S33" s="327"/>
      <c r="T33" s="527"/>
      <c r="U33" s="528"/>
      <c r="V33" s="528"/>
      <c r="W33" s="528"/>
      <c r="X33" s="528"/>
      <c r="Y33" s="528"/>
      <c r="Z33" s="528"/>
      <c r="AA33" s="529"/>
      <c r="AB33" s="530"/>
      <c r="AC33" s="528"/>
    </row>
    <row r="34" spans="2:29" outlineLevel="1">
      <c r="B34" s="597" t="s">
        <v>741</v>
      </c>
      <c r="C34" s="1423" t="s">
        <v>544</v>
      </c>
      <c r="D34" s="1424"/>
      <c r="E34" s="1424"/>
      <c r="F34" s="1424"/>
      <c r="G34" s="1424"/>
      <c r="H34" s="1424"/>
      <c r="I34" s="1424"/>
      <c r="J34" s="1424"/>
      <c r="K34" s="1424"/>
      <c r="L34" s="1424"/>
      <c r="M34" s="1424"/>
      <c r="N34" s="1424"/>
      <c r="O34" s="1424"/>
      <c r="P34" s="1424"/>
      <c r="Q34" s="1424"/>
      <c r="R34" s="1424"/>
      <c r="S34" s="1425"/>
      <c r="T34" s="531"/>
      <c r="U34" s="532"/>
      <c r="V34" s="532"/>
      <c r="W34" s="532"/>
      <c r="X34" s="532"/>
      <c r="Y34" s="532"/>
      <c r="Z34" s="532"/>
      <c r="AA34" s="533"/>
      <c r="AB34" s="534"/>
      <c r="AC34" s="532"/>
    </row>
    <row r="35" spans="2:29" outlineLevel="1">
      <c r="AB35" s="288"/>
    </row>
    <row r="36" spans="2:29" outlineLevel="1">
      <c r="F36" s="151" t="s">
        <v>613</v>
      </c>
      <c r="G36" s="151"/>
      <c r="H36" s="151"/>
      <c r="I36" s="151"/>
      <c r="P36" s="598"/>
      <c r="AB36" s="288"/>
    </row>
    <row r="37" spans="2:29" s="556" customFormat="1" ht="54.75" customHeight="1" outlineLevel="1">
      <c r="B37" s="876"/>
      <c r="C37" s="877" t="s">
        <v>742</v>
      </c>
      <c r="D37" s="865" t="s">
        <v>530</v>
      </c>
      <c r="E37" s="865" t="s">
        <v>531</v>
      </c>
      <c r="F37" s="865" t="s">
        <v>506</v>
      </c>
      <c r="G37" s="865" t="s">
        <v>743</v>
      </c>
      <c r="H37" s="877" t="s">
        <v>729</v>
      </c>
      <c r="I37" s="877" t="s">
        <v>130</v>
      </c>
      <c r="J37" s="877" t="s">
        <v>744</v>
      </c>
      <c r="K37" s="877" t="s">
        <v>731</v>
      </c>
      <c r="L37" s="877" t="s">
        <v>745</v>
      </c>
      <c r="M37" s="877" t="s">
        <v>733</v>
      </c>
      <c r="N37" s="877" t="s">
        <v>734</v>
      </c>
      <c r="O37" s="877" t="s">
        <v>735</v>
      </c>
      <c r="P37" s="877" t="s">
        <v>152</v>
      </c>
      <c r="Q37" s="877" t="s">
        <v>736</v>
      </c>
      <c r="R37" s="878" t="s">
        <v>155</v>
      </c>
      <c r="S37" s="877" t="s">
        <v>746</v>
      </c>
      <c r="AB37" s="557"/>
    </row>
    <row r="38" spans="2:29" ht="40.5" outlineLevel="1">
      <c r="B38" s="353" t="s">
        <v>453</v>
      </c>
      <c r="C38" s="621"/>
      <c r="D38" s="558" t="s">
        <v>533</v>
      </c>
      <c r="E38" s="558" t="s">
        <v>533</v>
      </c>
      <c r="F38" s="555"/>
      <c r="G38" s="558"/>
      <c r="H38" s="558"/>
      <c r="I38" s="559"/>
      <c r="J38" s="558" t="s">
        <v>747</v>
      </c>
      <c r="K38" s="560" t="s">
        <v>748</v>
      </c>
      <c r="L38" s="560" t="s">
        <v>454</v>
      </c>
      <c r="M38" s="560" t="s">
        <v>454</v>
      </c>
      <c r="N38" s="560" t="s">
        <v>216</v>
      </c>
      <c r="O38" s="560" t="s">
        <v>740</v>
      </c>
      <c r="P38" s="560"/>
      <c r="Q38" s="560"/>
      <c r="R38" s="561"/>
      <c r="S38" s="560" t="s">
        <v>454</v>
      </c>
      <c r="T38" s="197" t="s">
        <v>454</v>
      </c>
      <c r="U38" s="198" t="s">
        <v>454</v>
      </c>
      <c r="V38" s="198" t="s">
        <v>454</v>
      </c>
      <c r="W38" s="198" t="s">
        <v>454</v>
      </c>
      <c r="X38" s="198" t="s">
        <v>454</v>
      </c>
      <c r="Y38" s="198" t="s">
        <v>454</v>
      </c>
      <c r="Z38" s="198" t="s">
        <v>454</v>
      </c>
      <c r="AA38" s="283" t="s">
        <v>454</v>
      </c>
      <c r="AB38" s="301" t="s">
        <v>454</v>
      </c>
      <c r="AC38" s="198" t="s">
        <v>454</v>
      </c>
    </row>
    <row r="39" spans="2:29" outlineLevel="1">
      <c r="B39" s="319" t="s">
        <v>467</v>
      </c>
      <c r="C39" s="320" t="s">
        <v>749</v>
      </c>
      <c r="D39" s="320"/>
      <c r="E39" s="320"/>
      <c r="F39" s="320"/>
      <c r="G39" s="320"/>
      <c r="H39" s="320"/>
      <c r="I39" s="320"/>
      <c r="J39" s="725"/>
      <c r="K39" s="320"/>
      <c r="L39" s="728"/>
      <c r="M39" s="728"/>
      <c r="N39" s="725"/>
      <c r="O39" s="320"/>
      <c r="P39" s="320"/>
      <c r="Q39" s="320"/>
      <c r="R39" s="320"/>
      <c r="S39" s="727"/>
      <c r="T39" s="527">
        <v>0.13</v>
      </c>
      <c r="U39" s="527">
        <v>0</v>
      </c>
      <c r="V39" s="527">
        <v>0</v>
      </c>
      <c r="W39" s="527">
        <v>0</v>
      </c>
      <c r="X39" s="527">
        <v>0</v>
      </c>
      <c r="Y39" s="527">
        <v>0</v>
      </c>
      <c r="Z39" s="527">
        <v>0</v>
      </c>
      <c r="AA39" s="527">
        <v>0</v>
      </c>
      <c r="AB39" s="527">
        <v>0</v>
      </c>
      <c r="AC39" s="527">
        <v>0</v>
      </c>
    </row>
    <row r="40" spans="2:29" outlineLevel="1">
      <c r="B40" s="319" t="s">
        <v>468</v>
      </c>
      <c r="C40" s="320" t="s">
        <v>750</v>
      </c>
      <c r="D40" s="320"/>
      <c r="E40" s="320"/>
      <c r="F40" s="320"/>
      <c r="G40" s="320"/>
      <c r="H40" s="320"/>
      <c r="I40" s="320"/>
      <c r="J40" s="725"/>
      <c r="K40" s="320"/>
      <c r="L40" s="728"/>
      <c r="M40" s="728"/>
      <c r="N40" s="725"/>
      <c r="O40" s="320"/>
      <c r="P40" s="320"/>
      <c r="Q40" s="320"/>
      <c r="R40" s="320"/>
      <c r="S40" s="727"/>
      <c r="T40" s="527">
        <v>-0.33500000000000008</v>
      </c>
      <c r="U40" s="527">
        <v>0</v>
      </c>
      <c r="V40" s="527">
        <v>0</v>
      </c>
      <c r="W40" s="527">
        <v>0</v>
      </c>
      <c r="X40" s="527">
        <v>0</v>
      </c>
      <c r="Y40" s="527">
        <v>0</v>
      </c>
      <c r="Z40" s="527">
        <v>0</v>
      </c>
      <c r="AA40" s="527">
        <v>0</v>
      </c>
      <c r="AB40" s="527">
        <v>0</v>
      </c>
      <c r="AC40" s="527">
        <v>0</v>
      </c>
    </row>
    <row r="41" spans="2:29" outlineLevel="1">
      <c r="B41" s="319" t="s">
        <v>469</v>
      </c>
      <c r="C41" s="320"/>
      <c r="D41" s="320"/>
      <c r="E41" s="320"/>
      <c r="F41" s="320"/>
      <c r="G41" s="320"/>
      <c r="H41" s="320"/>
      <c r="I41" s="320"/>
      <c r="J41" s="725"/>
      <c r="K41" s="320"/>
      <c r="L41" s="728"/>
      <c r="M41" s="728"/>
      <c r="N41" s="725"/>
      <c r="O41" s="320"/>
      <c r="P41" s="320"/>
      <c r="Q41" s="320"/>
      <c r="R41" s="320"/>
      <c r="S41" s="727"/>
      <c r="T41" s="527"/>
      <c r="U41" s="527"/>
      <c r="V41" s="527"/>
      <c r="W41" s="527"/>
      <c r="X41" s="527"/>
      <c r="Y41" s="527"/>
      <c r="Z41" s="527"/>
      <c r="AA41" s="527"/>
      <c r="AB41" s="527"/>
      <c r="AC41" s="527"/>
    </row>
    <row r="42" spans="2:29" outlineLevel="1">
      <c r="B42" s="319" t="s">
        <v>470</v>
      </c>
      <c r="C42" s="320"/>
      <c r="D42" s="320"/>
      <c r="E42" s="320"/>
      <c r="F42" s="320"/>
      <c r="G42" s="320"/>
      <c r="H42" s="320"/>
      <c r="I42" s="320"/>
      <c r="J42" s="725"/>
      <c r="K42" s="320"/>
      <c r="L42" s="728"/>
      <c r="M42" s="728"/>
      <c r="N42" s="725"/>
      <c r="O42" s="320"/>
      <c r="P42" s="320"/>
      <c r="Q42" s="320"/>
      <c r="R42" s="320"/>
      <c r="S42" s="727"/>
      <c r="T42" s="527"/>
      <c r="U42" s="527"/>
      <c r="V42" s="527"/>
      <c r="W42" s="527"/>
      <c r="X42" s="527"/>
      <c r="Y42" s="527"/>
      <c r="Z42" s="527"/>
      <c r="AA42" s="527"/>
      <c r="AB42" s="527"/>
      <c r="AC42" s="527"/>
    </row>
    <row r="43" spans="2:29" outlineLevel="1">
      <c r="B43" s="319" t="s">
        <v>471</v>
      </c>
      <c r="C43" s="320"/>
      <c r="D43" s="320"/>
      <c r="E43" s="320"/>
      <c r="F43" s="320"/>
      <c r="G43" s="320"/>
      <c r="H43" s="320"/>
      <c r="I43" s="320"/>
      <c r="J43" s="725"/>
      <c r="K43" s="320"/>
      <c r="L43" s="728"/>
      <c r="M43" s="728"/>
      <c r="N43" s="725"/>
      <c r="O43" s="320"/>
      <c r="P43" s="320"/>
      <c r="Q43" s="320"/>
      <c r="R43" s="320"/>
      <c r="S43" s="727"/>
      <c r="T43" s="527"/>
      <c r="U43" s="527"/>
      <c r="V43" s="527"/>
      <c r="W43" s="527"/>
      <c r="X43" s="527"/>
      <c r="Y43" s="527"/>
      <c r="Z43" s="527"/>
      <c r="AA43" s="527"/>
      <c r="AB43" s="527"/>
      <c r="AC43" s="527"/>
    </row>
    <row r="44" spans="2:29" outlineLevel="1">
      <c r="B44" s="319" t="s">
        <v>472</v>
      </c>
      <c r="C44" s="320"/>
      <c r="D44" s="320"/>
      <c r="E44" s="320"/>
      <c r="F44" s="320"/>
      <c r="G44" s="320"/>
      <c r="H44" s="320"/>
      <c r="I44" s="320"/>
      <c r="J44" s="725"/>
      <c r="K44" s="320"/>
      <c r="L44" s="728"/>
      <c r="M44" s="728"/>
      <c r="N44" s="725"/>
      <c r="O44" s="320"/>
      <c r="P44" s="320"/>
      <c r="Q44" s="320"/>
      <c r="R44" s="320"/>
      <c r="S44" s="727"/>
      <c r="T44" s="527"/>
      <c r="U44" s="527"/>
      <c r="V44" s="527"/>
      <c r="W44" s="527"/>
      <c r="X44" s="527"/>
      <c r="Y44" s="527"/>
      <c r="Z44" s="527"/>
      <c r="AA44" s="527"/>
      <c r="AB44" s="527"/>
      <c r="AC44" s="527"/>
    </row>
    <row r="45" spans="2:29" outlineLevel="1">
      <c r="B45" s="319" t="s">
        <v>473</v>
      </c>
      <c r="C45" s="320"/>
      <c r="D45" s="320"/>
      <c r="E45" s="320"/>
      <c r="F45" s="320"/>
      <c r="G45" s="320"/>
      <c r="H45" s="320"/>
      <c r="I45" s="320"/>
      <c r="J45" s="725"/>
      <c r="K45" s="320"/>
      <c r="L45" s="728"/>
      <c r="M45" s="728"/>
      <c r="N45" s="725"/>
      <c r="O45" s="320"/>
      <c r="P45" s="320"/>
      <c r="Q45" s="320"/>
      <c r="R45" s="320"/>
      <c r="S45" s="727"/>
      <c r="T45" s="527"/>
      <c r="U45" s="527"/>
      <c r="V45" s="527"/>
      <c r="W45" s="527"/>
      <c r="X45" s="527"/>
      <c r="Y45" s="527"/>
      <c r="Z45" s="527"/>
      <c r="AA45" s="527"/>
      <c r="AB45" s="527"/>
      <c r="AC45" s="527"/>
    </row>
    <row r="46" spans="2:29" outlineLevel="1">
      <c r="B46" s="319" t="s">
        <v>474</v>
      </c>
      <c r="C46" s="320"/>
      <c r="D46" s="320"/>
      <c r="E46" s="320"/>
      <c r="F46" s="320"/>
      <c r="G46" s="320"/>
      <c r="H46" s="320"/>
      <c r="I46" s="320"/>
      <c r="J46" s="725"/>
      <c r="K46" s="320"/>
      <c r="L46" s="728"/>
      <c r="M46" s="728"/>
      <c r="N46" s="725"/>
      <c r="O46" s="320"/>
      <c r="P46" s="320"/>
      <c r="Q46" s="320"/>
      <c r="R46" s="320"/>
      <c r="S46" s="727"/>
      <c r="T46" s="527"/>
      <c r="U46" s="527"/>
      <c r="V46" s="527"/>
      <c r="W46" s="527"/>
      <c r="X46" s="527"/>
      <c r="Y46" s="527"/>
      <c r="Z46" s="527"/>
      <c r="AA46" s="527"/>
      <c r="AB46" s="527"/>
      <c r="AC46" s="527"/>
    </row>
    <row r="47" spans="2:29" outlineLevel="1">
      <c r="B47" s="319" t="s">
        <v>475</v>
      </c>
      <c r="C47" s="320"/>
      <c r="D47" s="320"/>
      <c r="E47" s="320"/>
      <c r="F47" s="320"/>
      <c r="G47" s="320"/>
      <c r="H47" s="320"/>
      <c r="I47" s="320"/>
      <c r="J47" s="725"/>
      <c r="K47" s="320"/>
      <c r="L47" s="728"/>
      <c r="M47" s="728"/>
      <c r="N47" s="725"/>
      <c r="O47" s="320"/>
      <c r="P47" s="320"/>
      <c r="Q47" s="320"/>
      <c r="R47" s="320"/>
      <c r="S47" s="727"/>
      <c r="T47" s="527"/>
      <c r="U47" s="527"/>
      <c r="V47" s="527"/>
      <c r="W47" s="527"/>
      <c r="X47" s="527"/>
      <c r="Y47" s="527"/>
      <c r="Z47" s="527"/>
      <c r="AA47" s="527"/>
      <c r="AB47" s="527"/>
      <c r="AC47" s="527"/>
    </row>
    <row r="48" spans="2:29" outlineLevel="1">
      <c r="B48" s="319" t="s">
        <v>476</v>
      </c>
      <c r="C48" s="320"/>
      <c r="D48" s="320"/>
      <c r="E48" s="320"/>
      <c r="F48" s="320"/>
      <c r="G48" s="320"/>
      <c r="H48" s="320"/>
      <c r="I48" s="320"/>
      <c r="J48" s="725"/>
      <c r="K48" s="320"/>
      <c r="L48" s="728"/>
      <c r="M48" s="728"/>
      <c r="N48" s="725"/>
      <c r="O48" s="320"/>
      <c r="P48" s="320"/>
      <c r="Q48" s="320"/>
      <c r="R48" s="320"/>
      <c r="S48" s="727"/>
      <c r="T48" s="527"/>
      <c r="U48" s="527"/>
      <c r="V48" s="527"/>
      <c r="W48" s="527"/>
      <c r="X48" s="527"/>
      <c r="Y48" s="527"/>
      <c r="Z48" s="527"/>
      <c r="AA48" s="527"/>
      <c r="AB48" s="527"/>
      <c r="AC48" s="527"/>
    </row>
    <row r="49" spans="2:29" outlineLevel="1">
      <c r="B49" s="319" t="s">
        <v>477</v>
      </c>
      <c r="C49" s="320"/>
      <c r="D49" s="320"/>
      <c r="E49" s="320"/>
      <c r="F49" s="320"/>
      <c r="G49" s="320"/>
      <c r="H49" s="320"/>
      <c r="I49" s="320"/>
      <c r="J49" s="725"/>
      <c r="K49" s="320"/>
      <c r="L49" s="728"/>
      <c r="M49" s="728"/>
      <c r="N49" s="725"/>
      <c r="O49" s="320"/>
      <c r="P49" s="320"/>
      <c r="Q49" s="320"/>
      <c r="R49" s="320"/>
      <c r="S49" s="727"/>
      <c r="T49" s="527"/>
      <c r="U49" s="527"/>
      <c r="V49" s="527"/>
      <c r="W49" s="527"/>
      <c r="X49" s="527"/>
      <c r="Y49" s="527"/>
      <c r="Z49" s="527"/>
      <c r="AA49" s="527"/>
      <c r="AB49" s="527"/>
      <c r="AC49" s="527"/>
    </row>
    <row r="50" spans="2:29" outlineLevel="1">
      <c r="B50" s="319" t="s">
        <v>478</v>
      </c>
      <c r="C50" s="320"/>
      <c r="D50" s="320"/>
      <c r="E50" s="320"/>
      <c r="F50" s="320"/>
      <c r="G50" s="320"/>
      <c r="H50" s="320"/>
      <c r="I50" s="320"/>
      <c r="J50" s="725"/>
      <c r="K50" s="320"/>
      <c r="L50" s="728"/>
      <c r="M50" s="728"/>
      <c r="N50" s="725"/>
      <c r="O50" s="320"/>
      <c r="P50" s="320"/>
      <c r="Q50" s="320"/>
      <c r="R50" s="320"/>
      <c r="S50" s="727"/>
      <c r="T50" s="527"/>
      <c r="U50" s="527"/>
      <c r="V50" s="527"/>
      <c r="W50" s="527"/>
      <c r="X50" s="527"/>
      <c r="Y50" s="527"/>
      <c r="Z50" s="527"/>
      <c r="AA50" s="527"/>
      <c r="AB50" s="527"/>
      <c r="AC50" s="527"/>
    </row>
    <row r="51" spans="2:29" outlineLevel="1">
      <c r="B51" s="319" t="s">
        <v>479</v>
      </c>
      <c r="C51" s="320"/>
      <c r="D51" s="320"/>
      <c r="E51" s="320"/>
      <c r="F51" s="320"/>
      <c r="G51" s="320"/>
      <c r="H51" s="320"/>
      <c r="I51" s="320"/>
      <c r="J51" s="725"/>
      <c r="K51" s="320"/>
      <c r="L51" s="728"/>
      <c r="M51" s="728"/>
      <c r="N51" s="725"/>
      <c r="O51" s="320"/>
      <c r="P51" s="320"/>
      <c r="Q51" s="320"/>
      <c r="R51" s="320"/>
      <c r="S51" s="727"/>
      <c r="T51" s="527"/>
      <c r="U51" s="527"/>
      <c r="V51" s="527"/>
      <c r="W51" s="527"/>
      <c r="X51" s="527"/>
      <c r="Y51" s="527"/>
      <c r="Z51" s="527"/>
      <c r="AA51" s="527"/>
      <c r="AB51" s="527"/>
      <c r="AC51" s="527"/>
    </row>
    <row r="52" spans="2:29" outlineLevel="1">
      <c r="B52" s="319" t="s">
        <v>480</v>
      </c>
      <c r="C52" s="320"/>
      <c r="D52" s="320"/>
      <c r="E52" s="320"/>
      <c r="F52" s="320"/>
      <c r="G52" s="320"/>
      <c r="H52" s="320"/>
      <c r="I52" s="320"/>
      <c r="J52" s="725"/>
      <c r="K52" s="320"/>
      <c r="L52" s="728"/>
      <c r="M52" s="728"/>
      <c r="N52" s="725"/>
      <c r="O52" s="320"/>
      <c r="P52" s="320"/>
      <c r="Q52" s="320"/>
      <c r="R52" s="320"/>
      <c r="S52" s="727"/>
      <c r="T52" s="527"/>
      <c r="U52" s="527"/>
      <c r="V52" s="527"/>
      <c r="W52" s="527"/>
      <c r="X52" s="527"/>
      <c r="Y52" s="527"/>
      <c r="Z52" s="527"/>
      <c r="AA52" s="527"/>
      <c r="AB52" s="527"/>
      <c r="AC52" s="527"/>
    </row>
    <row r="53" spans="2:29" outlineLevel="1">
      <c r="B53" s="319" t="s">
        <v>481</v>
      </c>
      <c r="C53" s="320"/>
      <c r="D53" s="320"/>
      <c r="E53" s="320"/>
      <c r="F53" s="320"/>
      <c r="G53" s="320"/>
      <c r="H53" s="320"/>
      <c r="I53" s="320"/>
      <c r="J53" s="725"/>
      <c r="K53" s="320"/>
      <c r="L53" s="728"/>
      <c r="M53" s="728"/>
      <c r="N53" s="725"/>
      <c r="O53" s="320"/>
      <c r="P53" s="320"/>
      <c r="Q53" s="320"/>
      <c r="R53" s="320"/>
      <c r="S53" s="727"/>
      <c r="T53" s="527"/>
      <c r="U53" s="527"/>
      <c r="V53" s="527"/>
      <c r="W53" s="527"/>
      <c r="X53" s="527"/>
      <c r="Y53" s="527"/>
      <c r="Z53" s="527"/>
      <c r="AA53" s="527"/>
      <c r="AB53" s="527"/>
      <c r="AC53" s="527"/>
    </row>
    <row r="54" spans="2:29" outlineLevel="1">
      <c r="B54" s="319" t="s">
        <v>751</v>
      </c>
      <c r="C54" s="320"/>
      <c r="D54" s="320"/>
      <c r="E54" s="320"/>
      <c r="F54" s="320"/>
      <c r="G54" s="320"/>
      <c r="H54" s="320"/>
      <c r="I54" s="320"/>
      <c r="J54" s="725"/>
      <c r="K54" s="320"/>
      <c r="L54" s="320"/>
      <c r="M54" s="320"/>
      <c r="N54" s="320"/>
      <c r="O54" s="320"/>
      <c r="P54" s="320"/>
      <c r="Q54" s="320"/>
      <c r="R54" s="320"/>
      <c r="S54" s="727"/>
      <c r="T54" s="527"/>
      <c r="U54" s="527"/>
      <c r="V54" s="527"/>
      <c r="W54" s="527"/>
      <c r="X54" s="527"/>
      <c r="Y54" s="527"/>
      <c r="Z54" s="527"/>
      <c r="AA54" s="527"/>
      <c r="AB54" s="527"/>
      <c r="AC54" s="527"/>
    </row>
    <row r="55" spans="2:29">
      <c r="F55" s="170"/>
      <c r="G55" s="170"/>
      <c r="H55" s="170"/>
      <c r="S55" s="611" t="s">
        <v>752</v>
      </c>
      <c r="T55" s="523">
        <f t="shared" ref="T55:AC55" si="2">SUM(T25:T34)+SUM(T39:T54)</f>
        <v>-0.20500000000000007</v>
      </c>
      <c r="U55" s="524">
        <f t="shared" si="2"/>
        <v>0</v>
      </c>
      <c r="V55" s="524">
        <f t="shared" si="2"/>
        <v>0</v>
      </c>
      <c r="W55" s="524">
        <f t="shared" si="2"/>
        <v>0</v>
      </c>
      <c r="X55" s="524">
        <f t="shared" si="2"/>
        <v>0</v>
      </c>
      <c r="Y55" s="524">
        <f t="shared" si="2"/>
        <v>0</v>
      </c>
      <c r="Z55" s="524">
        <f t="shared" si="2"/>
        <v>0</v>
      </c>
      <c r="AA55" s="525">
        <f t="shared" si="2"/>
        <v>0</v>
      </c>
      <c r="AB55" s="526">
        <f t="shared" si="2"/>
        <v>0</v>
      </c>
      <c r="AC55" s="524">
        <f t="shared" si="2"/>
        <v>0</v>
      </c>
    </row>
    <row r="56" spans="2:29">
      <c r="F56" s="170"/>
      <c r="G56" s="170"/>
      <c r="H56" s="170"/>
      <c r="AB56" s="288"/>
    </row>
    <row r="57" spans="2:29">
      <c r="B57" s="317" t="s">
        <v>482</v>
      </c>
      <c r="C57" s="317"/>
      <c r="D57" s="151" t="s">
        <v>753</v>
      </c>
      <c r="E57" s="151"/>
      <c r="F57" s="151"/>
      <c r="G57" s="151"/>
      <c r="H57" s="151"/>
      <c r="I57" s="151"/>
      <c r="J57" s="151"/>
      <c r="K57" s="151"/>
      <c r="L57" s="151"/>
      <c r="M57" s="151"/>
      <c r="N57" s="151"/>
      <c r="O57" s="151"/>
      <c r="P57" s="151"/>
      <c r="T57" s="151"/>
      <c r="U57" s="151"/>
      <c r="V57" s="151"/>
      <c r="W57" s="151"/>
      <c r="X57" s="151"/>
      <c r="Y57" s="151"/>
      <c r="Z57" s="151"/>
      <c r="AA57" s="151"/>
      <c r="AB57" s="292"/>
      <c r="AC57" s="151"/>
    </row>
    <row r="58" spans="2:29" s="556" customFormat="1" ht="54.75" customHeight="1" outlineLevel="1">
      <c r="B58" s="876"/>
      <c r="C58" s="877" t="s">
        <v>754</v>
      </c>
      <c r="D58" s="865" t="s">
        <v>530</v>
      </c>
      <c r="E58" s="865" t="s">
        <v>531</v>
      </c>
      <c r="F58" s="865" t="s">
        <v>506</v>
      </c>
      <c r="G58" s="865" t="s">
        <v>743</v>
      </c>
      <c r="H58" s="877" t="s">
        <v>729</v>
      </c>
      <c r="I58" s="877" t="s">
        <v>130</v>
      </c>
      <c r="J58" s="877" t="s">
        <v>730</v>
      </c>
      <c r="K58" s="877" t="s">
        <v>731</v>
      </c>
      <c r="L58" s="877" t="s">
        <v>755</v>
      </c>
      <c r="M58" s="877" t="s">
        <v>733</v>
      </c>
      <c r="N58" s="877" t="s">
        <v>734</v>
      </c>
      <c r="O58" s="877" t="s">
        <v>735</v>
      </c>
      <c r="P58" s="877" t="s">
        <v>152</v>
      </c>
      <c r="Q58" s="877" t="s">
        <v>736</v>
      </c>
      <c r="R58" s="878" t="s">
        <v>155</v>
      </c>
      <c r="S58" s="877" t="s">
        <v>746</v>
      </c>
      <c r="AB58" s="557"/>
    </row>
    <row r="59" spans="2:29" ht="40.5" outlineLevel="1">
      <c r="B59" s="353" t="s">
        <v>453</v>
      </c>
      <c r="C59" s="621"/>
      <c r="D59" s="558" t="s">
        <v>533</v>
      </c>
      <c r="E59" s="558" t="s">
        <v>533</v>
      </c>
      <c r="F59" s="555"/>
      <c r="G59" s="558"/>
      <c r="H59" s="558"/>
      <c r="I59" s="559"/>
      <c r="J59" s="558" t="s">
        <v>747</v>
      </c>
      <c r="K59" s="560" t="s">
        <v>748</v>
      </c>
      <c r="L59" s="560" t="s">
        <v>454</v>
      </c>
      <c r="M59" s="560" t="s">
        <v>454</v>
      </c>
      <c r="N59" s="560" t="s">
        <v>216</v>
      </c>
      <c r="O59" s="560" t="s">
        <v>740</v>
      </c>
      <c r="P59" s="560"/>
      <c r="Q59" s="560"/>
      <c r="R59" s="561"/>
      <c r="S59" s="560" t="s">
        <v>454</v>
      </c>
      <c r="T59" s="197" t="s">
        <v>454</v>
      </c>
      <c r="U59" s="198" t="s">
        <v>454</v>
      </c>
      <c r="V59" s="198" t="s">
        <v>454</v>
      </c>
      <c r="W59" s="198" t="s">
        <v>454</v>
      </c>
      <c r="X59" s="198" t="s">
        <v>454</v>
      </c>
      <c r="Y59" s="198" t="s">
        <v>454</v>
      </c>
      <c r="Z59" s="198" t="s">
        <v>454</v>
      </c>
      <c r="AA59" s="283" t="s">
        <v>454</v>
      </c>
      <c r="AB59" s="301" t="s">
        <v>454</v>
      </c>
      <c r="AC59" s="198" t="s">
        <v>454</v>
      </c>
    </row>
    <row r="60" spans="2:29" outlineLevel="1">
      <c r="B60" s="319" t="s">
        <v>484</v>
      </c>
      <c r="C60" s="320" t="s">
        <v>756</v>
      </c>
      <c r="D60" s="320">
        <v>43556</v>
      </c>
      <c r="E60" s="320">
        <v>44652</v>
      </c>
      <c r="F60" s="321" t="s">
        <v>757</v>
      </c>
      <c r="G60" s="321" t="s">
        <v>128</v>
      </c>
      <c r="H60" s="321"/>
      <c r="I60" s="321" t="s">
        <v>138</v>
      </c>
      <c r="J60" s="1307">
        <v>1.0829999999999999E-2</v>
      </c>
      <c r="K60" s="321" t="s">
        <v>140</v>
      </c>
      <c r="L60" s="321" t="s">
        <v>756</v>
      </c>
      <c r="M60" s="729" t="s">
        <v>756</v>
      </c>
      <c r="N60" s="724"/>
      <c r="O60" s="321" t="s">
        <v>756</v>
      </c>
      <c r="P60" s="321"/>
      <c r="Q60" s="321"/>
      <c r="R60" s="321"/>
      <c r="S60" s="321"/>
      <c r="T60" s="527">
        <v>120.55800000000001</v>
      </c>
      <c r="U60" s="527">
        <v>120.55800000000001</v>
      </c>
      <c r="V60" s="527">
        <v>120.55800000000001</v>
      </c>
      <c r="W60" s="527">
        <v>120.55800000000001</v>
      </c>
      <c r="X60" s="527">
        <v>120.55800000000001</v>
      </c>
      <c r="Y60" s="527">
        <v>120.55800000000001</v>
      </c>
      <c r="Z60" s="527">
        <v>0</v>
      </c>
      <c r="AA60" s="529">
        <v>0</v>
      </c>
      <c r="AB60" s="530">
        <v>0</v>
      </c>
      <c r="AC60" s="528">
        <v>0</v>
      </c>
    </row>
    <row r="61" spans="2:29" outlineLevel="1">
      <c r="B61" s="330" t="s">
        <v>485</v>
      </c>
      <c r="C61" s="320"/>
      <c r="D61" s="320"/>
      <c r="E61" s="320"/>
      <c r="F61" s="321"/>
      <c r="G61" s="818"/>
      <c r="H61" s="818"/>
      <c r="I61" s="818"/>
      <c r="J61" s="325"/>
      <c r="K61" s="323"/>
      <c r="L61" s="324"/>
      <c r="M61" s="324"/>
      <c r="N61" s="325"/>
      <c r="O61" s="325"/>
      <c r="P61" s="327"/>
      <c r="Q61" s="723"/>
      <c r="R61" s="329"/>
      <c r="S61" s="637"/>
      <c r="T61" s="527"/>
      <c r="U61" s="528"/>
      <c r="V61" s="528"/>
      <c r="W61" s="528"/>
      <c r="X61" s="528"/>
      <c r="Y61" s="528"/>
      <c r="Z61" s="528"/>
      <c r="AA61" s="529"/>
      <c r="AB61" s="530"/>
      <c r="AC61" s="528"/>
    </row>
    <row r="62" spans="2:29" outlineLevel="1">
      <c r="B62" s="319" t="s">
        <v>486</v>
      </c>
      <c r="C62" s="320"/>
      <c r="D62" s="320"/>
      <c r="E62" s="320"/>
      <c r="F62" s="321"/>
      <c r="G62" s="818"/>
      <c r="H62" s="818"/>
      <c r="I62" s="818"/>
      <c r="J62" s="325"/>
      <c r="K62" s="323"/>
      <c r="L62" s="324"/>
      <c r="M62" s="324"/>
      <c r="N62" s="325"/>
      <c r="O62" s="325"/>
      <c r="P62" s="327"/>
      <c r="Q62" s="723"/>
      <c r="R62" s="329"/>
      <c r="S62" s="637"/>
      <c r="T62" s="638"/>
      <c r="U62" s="528"/>
      <c r="V62" s="528"/>
      <c r="W62" s="528"/>
      <c r="X62" s="528"/>
      <c r="Y62" s="528"/>
      <c r="Z62" s="528"/>
      <c r="AA62" s="529"/>
      <c r="AB62" s="530"/>
      <c r="AC62" s="528"/>
    </row>
    <row r="63" spans="2:29" outlineLevel="1">
      <c r="B63" s="330" t="s">
        <v>487</v>
      </c>
      <c r="C63" s="320"/>
      <c r="D63" s="320"/>
      <c r="E63" s="320"/>
      <c r="F63" s="321"/>
      <c r="G63" s="818"/>
      <c r="H63" s="818"/>
      <c r="I63" s="818"/>
      <c r="J63" s="325"/>
      <c r="K63" s="323"/>
      <c r="L63" s="324"/>
      <c r="M63" s="324"/>
      <c r="N63" s="325"/>
      <c r="O63" s="325"/>
      <c r="P63" s="327"/>
      <c r="Q63" s="723"/>
      <c r="R63" s="329"/>
      <c r="S63" s="637"/>
      <c r="T63" s="527"/>
      <c r="U63" s="528"/>
      <c r="V63" s="528"/>
      <c r="W63" s="528"/>
      <c r="X63" s="528"/>
      <c r="Y63" s="528"/>
      <c r="Z63" s="528"/>
      <c r="AA63" s="529"/>
      <c r="AB63" s="530"/>
      <c r="AC63" s="528"/>
    </row>
    <row r="64" spans="2:29" outlineLevel="1">
      <c r="B64" s="319" t="s">
        <v>488</v>
      </c>
      <c r="C64" s="320"/>
      <c r="D64" s="320"/>
      <c r="E64" s="320"/>
      <c r="F64" s="321"/>
      <c r="G64" s="818"/>
      <c r="H64" s="818"/>
      <c r="I64" s="818"/>
      <c r="J64" s="325"/>
      <c r="K64" s="323"/>
      <c r="L64" s="324"/>
      <c r="M64" s="324"/>
      <c r="N64" s="325"/>
      <c r="O64" s="325"/>
      <c r="P64" s="327"/>
      <c r="Q64" s="723"/>
      <c r="R64" s="329"/>
      <c r="S64" s="637"/>
      <c r="T64" s="527"/>
      <c r="U64" s="528"/>
      <c r="V64" s="528"/>
      <c r="W64" s="528"/>
      <c r="X64" s="528"/>
      <c r="Y64" s="528"/>
      <c r="Z64" s="528"/>
      <c r="AA64" s="529"/>
      <c r="AB64" s="530"/>
      <c r="AC64" s="528"/>
    </row>
    <row r="65" spans="2:29" outlineLevel="1">
      <c r="B65" s="330" t="s">
        <v>489</v>
      </c>
      <c r="C65" s="320"/>
      <c r="D65" s="320"/>
      <c r="E65" s="320"/>
      <c r="F65" s="321"/>
      <c r="G65" s="818"/>
      <c r="H65" s="818"/>
      <c r="I65" s="818"/>
      <c r="J65" s="325"/>
      <c r="K65" s="323"/>
      <c r="L65" s="324"/>
      <c r="M65" s="324"/>
      <c r="N65" s="325"/>
      <c r="O65" s="325"/>
      <c r="P65" s="327"/>
      <c r="Q65" s="723"/>
      <c r="R65" s="329"/>
      <c r="S65" s="637"/>
      <c r="T65" s="527"/>
      <c r="U65" s="528"/>
      <c r="V65" s="528"/>
      <c r="W65" s="528"/>
      <c r="X65" s="528"/>
      <c r="Y65" s="528"/>
      <c r="Z65" s="528"/>
      <c r="AA65" s="529"/>
      <c r="AB65" s="530"/>
      <c r="AC65" s="528"/>
    </row>
    <row r="66" spans="2:29" outlineLevel="1">
      <c r="B66" s="319" t="s">
        <v>490</v>
      </c>
      <c r="C66" s="320"/>
      <c r="D66" s="320"/>
      <c r="E66" s="320"/>
      <c r="F66" s="321"/>
      <c r="G66" s="818"/>
      <c r="H66" s="818"/>
      <c r="I66" s="818"/>
      <c r="J66" s="325"/>
      <c r="K66" s="323"/>
      <c r="L66" s="324"/>
      <c r="M66" s="324"/>
      <c r="N66" s="325"/>
      <c r="O66" s="325"/>
      <c r="P66" s="327"/>
      <c r="Q66" s="723"/>
      <c r="R66" s="329"/>
      <c r="S66" s="637"/>
      <c r="T66" s="527"/>
      <c r="U66" s="528"/>
      <c r="V66" s="528"/>
      <c r="W66" s="528"/>
      <c r="X66" s="528"/>
      <c r="Y66" s="528"/>
      <c r="Z66" s="528"/>
      <c r="AA66" s="529"/>
      <c r="AB66" s="530"/>
      <c r="AC66" s="528"/>
    </row>
    <row r="67" spans="2:29" outlineLevel="1">
      <c r="B67" s="330" t="s">
        <v>491</v>
      </c>
      <c r="C67" s="320"/>
      <c r="D67" s="320"/>
      <c r="E67" s="320"/>
      <c r="F67" s="321"/>
      <c r="G67" s="818"/>
      <c r="H67" s="818"/>
      <c r="I67" s="818"/>
      <c r="J67" s="325"/>
      <c r="K67" s="323"/>
      <c r="L67" s="324"/>
      <c r="M67" s="324"/>
      <c r="N67" s="325"/>
      <c r="O67" s="325"/>
      <c r="P67" s="327"/>
      <c r="Q67" s="723"/>
      <c r="R67" s="329"/>
      <c r="S67" s="637"/>
      <c r="T67" s="527"/>
      <c r="U67" s="528"/>
      <c r="V67" s="528"/>
      <c r="W67" s="528"/>
      <c r="X67" s="528"/>
      <c r="Y67" s="528"/>
      <c r="Z67" s="528"/>
      <c r="AA67" s="529"/>
      <c r="AB67" s="530"/>
      <c r="AC67" s="528"/>
    </row>
    <row r="68" spans="2:29" outlineLevel="1">
      <c r="B68" s="319" t="s">
        <v>492</v>
      </c>
      <c r="C68" s="320"/>
      <c r="D68" s="320"/>
      <c r="E68" s="320"/>
      <c r="F68" s="321"/>
      <c r="G68" s="818"/>
      <c r="H68" s="818"/>
      <c r="I68" s="818"/>
      <c r="J68" s="325"/>
      <c r="K68" s="323"/>
      <c r="L68" s="324"/>
      <c r="M68" s="324"/>
      <c r="N68" s="325"/>
      <c r="O68" s="325"/>
      <c r="P68" s="327"/>
      <c r="Q68" s="723"/>
      <c r="R68" s="327"/>
      <c r="S68" s="637"/>
      <c r="T68" s="527"/>
      <c r="U68" s="528"/>
      <c r="V68" s="528"/>
      <c r="W68" s="528"/>
      <c r="X68" s="528"/>
      <c r="Y68" s="528"/>
      <c r="Z68" s="528"/>
      <c r="AA68" s="529"/>
      <c r="AB68" s="530"/>
      <c r="AC68" s="528"/>
    </row>
    <row r="69" spans="2:29" outlineLevel="1">
      <c r="B69" s="597" t="s">
        <v>758</v>
      </c>
      <c r="C69" s="1423" t="s">
        <v>544</v>
      </c>
      <c r="D69" s="1424"/>
      <c r="E69" s="1424"/>
      <c r="F69" s="1424"/>
      <c r="G69" s="1424"/>
      <c r="H69" s="1424"/>
      <c r="I69" s="1424"/>
      <c r="J69" s="1424"/>
      <c r="K69" s="1424"/>
      <c r="L69" s="1424"/>
      <c r="M69" s="1424"/>
      <c r="N69" s="1424"/>
      <c r="O69" s="1424"/>
      <c r="P69" s="1424"/>
      <c r="Q69" s="1424"/>
      <c r="R69" s="1424"/>
      <c r="S69" s="1425"/>
      <c r="T69" s="527"/>
      <c r="U69" s="528"/>
      <c r="V69" s="528"/>
      <c r="W69" s="528"/>
      <c r="X69" s="528"/>
      <c r="Y69" s="528"/>
      <c r="Z69" s="528"/>
      <c r="AA69" s="529"/>
      <c r="AB69" s="530"/>
      <c r="AC69" s="528"/>
    </row>
    <row r="70" spans="2:29">
      <c r="F70" s="170"/>
      <c r="G70" s="170"/>
      <c r="H70" s="170"/>
      <c r="S70" s="611" t="s">
        <v>759</v>
      </c>
      <c r="T70" s="523">
        <f>SUM(T60:T69)</f>
        <v>120.55800000000001</v>
      </c>
      <c r="U70" s="524">
        <f t="shared" ref="U70:AC70" si="3">SUM(U60:U69)</f>
        <v>120.55800000000001</v>
      </c>
      <c r="V70" s="524">
        <f t="shared" si="3"/>
        <v>120.55800000000001</v>
      </c>
      <c r="W70" s="524">
        <f t="shared" si="3"/>
        <v>120.55800000000001</v>
      </c>
      <c r="X70" s="524">
        <f t="shared" si="3"/>
        <v>120.55800000000001</v>
      </c>
      <c r="Y70" s="524">
        <f t="shared" si="3"/>
        <v>120.55800000000001</v>
      </c>
      <c r="Z70" s="524">
        <f t="shared" si="3"/>
        <v>0</v>
      </c>
      <c r="AA70" s="525">
        <f t="shared" si="3"/>
        <v>0</v>
      </c>
      <c r="AB70" s="526">
        <f t="shared" si="3"/>
        <v>0</v>
      </c>
      <c r="AC70" s="524">
        <f t="shared" si="3"/>
        <v>0</v>
      </c>
    </row>
    <row r="71" spans="2:29">
      <c r="F71" s="170"/>
      <c r="G71" s="170"/>
      <c r="H71" s="170"/>
      <c r="AB71" s="288"/>
    </row>
    <row r="72" spans="2:29">
      <c r="B72" s="317" t="s">
        <v>493</v>
      </c>
      <c r="C72" s="317"/>
      <c r="D72" s="151" t="s">
        <v>760</v>
      </c>
      <c r="E72" s="151"/>
      <c r="F72" s="151"/>
      <c r="G72" s="151"/>
      <c r="H72" s="151"/>
      <c r="I72" s="151"/>
      <c r="J72" s="151"/>
      <c r="K72" s="151"/>
      <c r="L72" s="151"/>
      <c r="M72" s="151"/>
      <c r="N72" s="151"/>
      <c r="O72" s="151"/>
      <c r="P72" s="151"/>
      <c r="Q72" s="151"/>
      <c r="T72" s="151"/>
      <c r="U72" s="151"/>
      <c r="V72" s="151"/>
      <c r="W72" s="151"/>
      <c r="X72" s="151"/>
      <c r="Y72" s="151"/>
      <c r="Z72" s="151"/>
      <c r="AA72" s="151"/>
      <c r="AB72" s="292"/>
      <c r="AC72" s="151"/>
    </row>
    <row r="73" spans="2:29" ht="56.25" customHeight="1" outlineLevel="1">
      <c r="B73" s="879"/>
      <c r="C73" s="877" t="s">
        <v>754</v>
      </c>
      <c r="D73" s="865" t="s">
        <v>530</v>
      </c>
      <c r="E73" s="865" t="s">
        <v>531</v>
      </c>
      <c r="F73" s="865" t="s">
        <v>506</v>
      </c>
      <c r="G73" s="865" t="s">
        <v>743</v>
      </c>
      <c r="H73" s="877" t="s">
        <v>729</v>
      </c>
      <c r="I73" s="877" t="s">
        <v>130</v>
      </c>
      <c r="J73" s="877" t="s">
        <v>730</v>
      </c>
      <c r="K73" s="877" t="s">
        <v>731</v>
      </c>
      <c r="L73" s="877" t="s">
        <v>755</v>
      </c>
      <c r="M73" s="878" t="s">
        <v>733</v>
      </c>
      <c r="N73" s="151"/>
      <c r="O73" s="151"/>
      <c r="P73" s="151"/>
      <c r="Q73" s="151"/>
      <c r="X73" s="171"/>
      <c r="AB73" s="288"/>
    </row>
    <row r="74" spans="2:29" ht="40.5" outlineLevel="1">
      <c r="B74" s="353" t="s">
        <v>453</v>
      </c>
      <c r="C74" s="621"/>
      <c r="D74" s="558" t="s">
        <v>533</v>
      </c>
      <c r="E74" s="558" t="s">
        <v>533</v>
      </c>
      <c r="F74" s="558"/>
      <c r="G74" s="558"/>
      <c r="H74" s="558"/>
      <c r="I74" s="560"/>
      <c r="J74" s="558" t="s">
        <v>747</v>
      </c>
      <c r="K74" s="560" t="s">
        <v>748</v>
      </c>
      <c r="L74" s="560" t="s">
        <v>454</v>
      </c>
      <c r="M74" s="561" t="s">
        <v>454</v>
      </c>
      <c r="N74" s="151"/>
      <c r="O74" s="151"/>
      <c r="P74" s="151"/>
      <c r="Q74" s="151"/>
      <c r="T74" s="197" t="s">
        <v>454</v>
      </c>
      <c r="U74" s="198" t="s">
        <v>454</v>
      </c>
      <c r="V74" s="198" t="s">
        <v>454</v>
      </c>
      <c r="W74" s="198" t="s">
        <v>454</v>
      </c>
      <c r="X74" s="198" t="s">
        <v>454</v>
      </c>
      <c r="Y74" s="198" t="s">
        <v>454</v>
      </c>
      <c r="Z74" s="198" t="s">
        <v>454</v>
      </c>
      <c r="AA74" s="283" t="s">
        <v>454</v>
      </c>
      <c r="AB74" s="301" t="s">
        <v>454</v>
      </c>
      <c r="AC74" s="198" t="s">
        <v>454</v>
      </c>
    </row>
    <row r="75" spans="2:29" outlineLevel="1">
      <c r="B75" s="319" t="s">
        <v>495</v>
      </c>
      <c r="C75" s="320" t="s">
        <v>756</v>
      </c>
      <c r="D75" s="320">
        <v>43556</v>
      </c>
      <c r="E75" s="320" t="s">
        <v>761</v>
      </c>
      <c r="F75" s="320" t="s">
        <v>757</v>
      </c>
      <c r="G75" s="320" t="s">
        <v>129</v>
      </c>
      <c r="H75" s="320"/>
      <c r="I75" s="320" t="s">
        <v>138</v>
      </c>
      <c r="J75" s="725">
        <v>2.5000000000000001E-3</v>
      </c>
      <c r="K75" s="320" t="s">
        <v>140</v>
      </c>
      <c r="L75" s="320"/>
      <c r="M75" s="727"/>
      <c r="N75" s="151"/>
      <c r="O75" s="151"/>
      <c r="P75" s="151"/>
      <c r="Q75" s="151"/>
      <c r="T75" s="527">
        <v>-258.73399999999998</v>
      </c>
      <c r="U75" s="527"/>
      <c r="V75" s="527"/>
      <c r="W75" s="527"/>
      <c r="X75" s="527"/>
      <c r="Y75" s="527"/>
      <c r="Z75" s="527"/>
      <c r="AA75" s="527"/>
      <c r="AB75" s="527"/>
      <c r="AC75" s="527"/>
    </row>
    <row r="76" spans="2:29" outlineLevel="1">
      <c r="B76" s="330" t="s">
        <v>496</v>
      </c>
      <c r="C76" s="320"/>
      <c r="D76" s="320"/>
      <c r="E76" s="320"/>
      <c r="F76" s="320"/>
      <c r="G76" s="320"/>
      <c r="H76" s="320"/>
      <c r="I76" s="320"/>
      <c r="J76" s="725"/>
      <c r="K76" s="320"/>
      <c r="L76" s="320"/>
      <c r="M76" s="727"/>
      <c r="N76" s="151"/>
      <c r="O76" s="151"/>
      <c r="P76" s="151"/>
      <c r="Q76" s="151"/>
      <c r="T76" s="527"/>
      <c r="U76" s="527"/>
      <c r="V76" s="527"/>
      <c r="W76" s="527"/>
      <c r="X76" s="527"/>
      <c r="Y76" s="527"/>
      <c r="Z76" s="527"/>
      <c r="AA76" s="527"/>
      <c r="AB76" s="527"/>
      <c r="AC76" s="527"/>
    </row>
    <row r="77" spans="2:29" outlineLevel="1">
      <c r="B77" s="319" t="s">
        <v>497</v>
      </c>
      <c r="C77" s="320"/>
      <c r="D77" s="320"/>
      <c r="E77" s="320"/>
      <c r="F77" s="320"/>
      <c r="G77" s="320"/>
      <c r="H77" s="320"/>
      <c r="I77" s="320"/>
      <c r="J77" s="725"/>
      <c r="K77" s="320"/>
      <c r="L77" s="320"/>
      <c r="M77" s="727"/>
      <c r="N77" s="151"/>
      <c r="O77" s="151"/>
      <c r="P77" s="151"/>
      <c r="Q77" s="151"/>
      <c r="T77" s="527"/>
      <c r="U77" s="527"/>
      <c r="V77" s="527"/>
      <c r="W77" s="527"/>
      <c r="X77" s="527"/>
      <c r="Y77" s="527"/>
      <c r="Z77" s="527"/>
      <c r="AA77" s="527"/>
      <c r="AB77" s="527"/>
      <c r="AC77" s="527"/>
    </row>
    <row r="78" spans="2:29" outlineLevel="1">
      <c r="B78" s="330" t="s">
        <v>498</v>
      </c>
      <c r="C78" s="320"/>
      <c r="D78" s="320"/>
      <c r="E78" s="320"/>
      <c r="F78" s="321"/>
      <c r="G78" s="818"/>
      <c r="H78" s="818"/>
      <c r="I78" s="818"/>
      <c r="J78" s="325"/>
      <c r="K78" s="323"/>
      <c r="L78" s="324"/>
      <c r="M78" s="331"/>
      <c r="N78" s="151"/>
      <c r="O78" s="151"/>
      <c r="P78" s="151"/>
      <c r="Q78" s="151"/>
      <c r="T78" s="527"/>
      <c r="U78" s="527"/>
      <c r="V78" s="527"/>
      <c r="W78" s="527"/>
      <c r="X78" s="527"/>
      <c r="Y78" s="527"/>
      <c r="Z78" s="527"/>
      <c r="AA78" s="527"/>
      <c r="AB78" s="527"/>
      <c r="AC78" s="527"/>
    </row>
    <row r="79" spans="2:29" outlineLevel="1">
      <c r="B79" s="319" t="s">
        <v>499</v>
      </c>
      <c r="C79" s="320"/>
      <c r="D79" s="320"/>
      <c r="E79" s="320"/>
      <c r="F79" s="321"/>
      <c r="G79" s="818"/>
      <c r="H79" s="818"/>
      <c r="I79" s="818"/>
      <c r="J79" s="325"/>
      <c r="K79" s="323"/>
      <c r="L79" s="324"/>
      <c r="M79" s="331"/>
      <c r="N79" s="151"/>
      <c r="O79" s="151"/>
      <c r="P79" s="151"/>
      <c r="Q79" s="151"/>
      <c r="T79" s="527"/>
      <c r="U79" s="527"/>
      <c r="V79" s="527"/>
      <c r="W79" s="527"/>
      <c r="X79" s="527"/>
      <c r="Y79" s="527"/>
      <c r="Z79" s="527"/>
      <c r="AA79" s="527"/>
      <c r="AB79" s="527"/>
      <c r="AC79" s="527"/>
    </row>
    <row r="80" spans="2:29" outlineLevel="1">
      <c r="B80" s="330" t="s">
        <v>500</v>
      </c>
      <c r="C80" s="320"/>
      <c r="D80" s="320"/>
      <c r="E80" s="320"/>
      <c r="F80" s="321"/>
      <c r="G80" s="818"/>
      <c r="H80" s="818"/>
      <c r="I80" s="818"/>
      <c r="J80" s="325"/>
      <c r="K80" s="323"/>
      <c r="L80" s="324"/>
      <c r="M80" s="331"/>
      <c r="N80" s="151"/>
      <c r="O80" s="151"/>
      <c r="P80" s="151"/>
      <c r="Q80" s="151"/>
      <c r="T80" s="527"/>
      <c r="U80" s="527"/>
      <c r="V80" s="527"/>
      <c r="W80" s="527"/>
      <c r="X80" s="527"/>
      <c r="Y80" s="527"/>
      <c r="Z80" s="527"/>
      <c r="AA80" s="527"/>
      <c r="AB80" s="527"/>
      <c r="AC80" s="527"/>
    </row>
    <row r="81" spans="2:29" outlineLevel="1">
      <c r="B81" s="319" t="s">
        <v>501</v>
      </c>
      <c r="C81" s="320"/>
      <c r="D81" s="320"/>
      <c r="E81" s="320"/>
      <c r="F81" s="321"/>
      <c r="G81" s="818"/>
      <c r="H81" s="818"/>
      <c r="I81" s="818"/>
      <c r="J81" s="325"/>
      <c r="K81" s="323"/>
      <c r="L81" s="324"/>
      <c r="M81" s="331"/>
      <c r="N81" s="151"/>
      <c r="O81" s="151"/>
      <c r="P81" s="151"/>
      <c r="Q81" s="151"/>
      <c r="T81" s="527"/>
      <c r="U81" s="527"/>
      <c r="V81" s="527"/>
      <c r="W81" s="527"/>
      <c r="X81" s="527"/>
      <c r="Y81" s="527"/>
      <c r="Z81" s="527"/>
      <c r="AA81" s="527"/>
      <c r="AB81" s="527"/>
      <c r="AC81" s="527"/>
    </row>
    <row r="82" spans="2:29" outlineLevel="1">
      <c r="B82" s="330" t="s">
        <v>502</v>
      </c>
      <c r="C82" s="320"/>
      <c r="D82" s="320"/>
      <c r="E82" s="320"/>
      <c r="F82" s="321"/>
      <c r="G82" s="818"/>
      <c r="H82" s="818"/>
      <c r="I82" s="818"/>
      <c r="J82" s="325"/>
      <c r="K82" s="323"/>
      <c r="L82" s="324"/>
      <c r="M82" s="331"/>
      <c r="N82" s="151"/>
      <c r="O82" s="151"/>
      <c r="P82" s="151"/>
      <c r="Q82" s="151"/>
      <c r="T82" s="527"/>
      <c r="U82" s="527"/>
      <c r="V82" s="527"/>
      <c r="W82" s="527"/>
      <c r="X82" s="527"/>
      <c r="Y82" s="527"/>
      <c r="Z82" s="527"/>
      <c r="AA82" s="527"/>
      <c r="AB82" s="527"/>
      <c r="AC82" s="527"/>
    </row>
    <row r="83" spans="2:29" outlineLevel="1">
      <c r="B83" s="319" t="s">
        <v>503</v>
      </c>
      <c r="C83" s="320"/>
      <c r="D83" s="320"/>
      <c r="E83" s="320"/>
      <c r="F83" s="321"/>
      <c r="G83" s="818"/>
      <c r="H83" s="818"/>
      <c r="I83" s="818"/>
      <c r="J83" s="325"/>
      <c r="K83" s="323"/>
      <c r="L83" s="324"/>
      <c r="M83" s="331"/>
      <c r="N83" s="151"/>
      <c r="O83" s="151"/>
      <c r="P83" s="151"/>
      <c r="Q83" s="151"/>
      <c r="T83" s="527"/>
      <c r="U83" s="527"/>
      <c r="V83" s="527"/>
      <c r="W83" s="527"/>
      <c r="X83" s="527"/>
      <c r="Y83" s="527"/>
      <c r="Z83" s="527"/>
      <c r="AA83" s="527"/>
      <c r="AB83" s="527"/>
      <c r="AC83" s="527"/>
    </row>
    <row r="84" spans="2:29" outlineLevel="1">
      <c r="B84" s="328" t="s">
        <v>762</v>
      </c>
      <c r="C84" s="1411" t="s">
        <v>544</v>
      </c>
      <c r="D84" s="1412"/>
      <c r="E84" s="1412"/>
      <c r="F84" s="1412"/>
      <c r="G84" s="1412"/>
      <c r="H84" s="1412"/>
      <c r="I84" s="1412"/>
      <c r="J84" s="1412"/>
      <c r="K84" s="1412"/>
      <c r="L84" s="1412"/>
      <c r="M84" s="1413"/>
      <c r="N84" s="151"/>
      <c r="O84" s="151"/>
      <c r="P84" s="151"/>
      <c r="Q84" s="151"/>
      <c r="T84" s="527"/>
      <c r="U84" s="527"/>
      <c r="V84" s="527"/>
      <c r="W84" s="527"/>
      <c r="X84" s="527"/>
      <c r="Y84" s="527"/>
      <c r="Z84" s="527"/>
      <c r="AA84" s="527"/>
      <c r="AB84" s="527"/>
      <c r="AC84" s="527"/>
    </row>
    <row r="85" spans="2:29">
      <c r="F85" s="170"/>
      <c r="G85" s="170"/>
      <c r="H85" s="170"/>
      <c r="I85" s="170"/>
      <c r="S85" s="1076" t="s">
        <v>763</v>
      </c>
      <c r="T85" s="523">
        <f>SUM(T75:T84)</f>
        <v>-258.73399999999998</v>
      </c>
      <c r="U85" s="524">
        <f t="shared" ref="U85:AC85" si="4">SUM(U75:U84)</f>
        <v>0</v>
      </c>
      <c r="V85" s="524">
        <f t="shared" si="4"/>
        <v>0</v>
      </c>
      <c r="W85" s="524">
        <f t="shared" si="4"/>
        <v>0</v>
      </c>
      <c r="X85" s="524">
        <f t="shared" si="4"/>
        <v>0</v>
      </c>
      <c r="Y85" s="524">
        <f t="shared" si="4"/>
        <v>0</v>
      </c>
      <c r="Z85" s="524">
        <f t="shared" si="4"/>
        <v>0</v>
      </c>
      <c r="AA85" s="525">
        <f t="shared" si="4"/>
        <v>0</v>
      </c>
      <c r="AB85" s="526">
        <f t="shared" si="4"/>
        <v>0</v>
      </c>
      <c r="AC85" s="524">
        <f t="shared" si="4"/>
        <v>0</v>
      </c>
    </row>
    <row r="86" spans="2:29">
      <c r="F86" s="170"/>
      <c r="G86" s="170"/>
      <c r="H86" s="170"/>
      <c r="I86" s="170"/>
      <c r="AB86" s="288"/>
    </row>
    <row r="87" spans="2:29">
      <c r="B87" s="317" t="s">
        <v>504</v>
      </c>
      <c r="C87" s="317"/>
      <c r="D87" s="151" t="s">
        <v>764</v>
      </c>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292"/>
      <c r="AC87" s="151"/>
    </row>
    <row r="88" spans="2:29" ht="67.5" outlineLevel="1">
      <c r="B88" s="879"/>
      <c r="C88" s="877" t="s">
        <v>754</v>
      </c>
      <c r="D88" s="880"/>
      <c r="E88" s="866"/>
      <c r="F88" s="881"/>
      <c r="G88" s="881"/>
      <c r="H88" s="881"/>
      <c r="I88" s="881"/>
      <c r="J88" s="881"/>
      <c r="K88" s="881"/>
      <c r="L88" s="881"/>
      <c r="M88" s="881"/>
      <c r="N88" s="1289"/>
      <c r="O88" s="877" t="s">
        <v>765</v>
      </c>
      <c r="P88" s="877" t="s">
        <v>766</v>
      </c>
      <c r="Q88" s="878" t="s">
        <v>767</v>
      </c>
      <c r="R88" s="151"/>
      <c r="S88" s="151"/>
      <c r="T88" s="342" t="s">
        <v>507</v>
      </c>
      <c r="U88" s="343" t="s">
        <v>507</v>
      </c>
      <c r="V88" s="343" t="s">
        <v>507</v>
      </c>
      <c r="W88" s="343" t="s">
        <v>507</v>
      </c>
      <c r="X88" s="343" t="s">
        <v>507</v>
      </c>
      <c r="Y88" s="343" t="s">
        <v>507</v>
      </c>
      <c r="Z88" s="343" t="s">
        <v>507</v>
      </c>
      <c r="AA88" s="388" t="s">
        <v>507</v>
      </c>
      <c r="AB88" s="395" t="s">
        <v>507</v>
      </c>
      <c r="AC88" s="343" t="s">
        <v>507</v>
      </c>
    </row>
    <row r="89" spans="2:29" outlineLevel="1">
      <c r="B89" s="344" t="s">
        <v>453</v>
      </c>
      <c r="C89" s="1080"/>
      <c r="D89" s="348" t="s">
        <v>506</v>
      </c>
      <c r="E89" s="1081"/>
      <c r="F89" s="1082"/>
      <c r="G89" s="1082"/>
      <c r="H89" s="1082"/>
      <c r="I89" s="1082"/>
      <c r="J89" s="1082"/>
      <c r="K89" s="1082"/>
      <c r="L89" s="1082"/>
      <c r="M89" s="1082"/>
      <c r="N89" s="347"/>
      <c r="O89" s="345" t="s">
        <v>533</v>
      </c>
      <c r="P89" s="345" t="s">
        <v>533</v>
      </c>
      <c r="Q89" s="346"/>
      <c r="R89" s="151"/>
      <c r="S89" s="151"/>
      <c r="T89" s="195" t="s">
        <v>454</v>
      </c>
      <c r="U89" s="196" t="s">
        <v>454</v>
      </c>
      <c r="V89" s="196" t="s">
        <v>454</v>
      </c>
      <c r="W89" s="196" t="s">
        <v>454</v>
      </c>
      <c r="X89" s="196" t="s">
        <v>454</v>
      </c>
      <c r="Y89" s="196" t="s">
        <v>454</v>
      </c>
      <c r="Z89" s="196" t="s">
        <v>454</v>
      </c>
      <c r="AA89" s="282" t="s">
        <v>454</v>
      </c>
      <c r="AB89" s="299" t="s">
        <v>454</v>
      </c>
      <c r="AC89" s="196" t="s">
        <v>454</v>
      </c>
    </row>
    <row r="90" spans="2:29" outlineLevel="1">
      <c r="B90" s="339" t="s">
        <v>508</v>
      </c>
      <c r="C90" s="320"/>
      <c r="D90" s="1409"/>
      <c r="E90" s="1409"/>
      <c r="F90" s="1409"/>
      <c r="G90" s="1409"/>
      <c r="H90" s="1409"/>
      <c r="I90" s="1409"/>
      <c r="J90" s="1409"/>
      <c r="K90" s="1409"/>
      <c r="L90" s="1409"/>
      <c r="M90" s="1409"/>
      <c r="N90" s="1409"/>
      <c r="O90" s="340"/>
      <c r="P90" s="340"/>
      <c r="Q90" s="329"/>
      <c r="R90" s="151"/>
      <c r="S90" s="151"/>
      <c r="T90" s="527"/>
      <c r="U90" s="528"/>
      <c r="V90" s="528"/>
      <c r="W90" s="528"/>
      <c r="X90" s="528"/>
      <c r="Y90" s="528"/>
      <c r="Z90" s="528"/>
      <c r="AA90" s="529"/>
      <c r="AB90" s="530"/>
      <c r="AC90" s="528"/>
    </row>
    <row r="91" spans="2:29" outlineLevel="1">
      <c r="B91" s="330" t="s">
        <v>509</v>
      </c>
      <c r="C91" s="320"/>
      <c r="D91" s="1410"/>
      <c r="E91" s="1410"/>
      <c r="F91" s="1410"/>
      <c r="G91" s="1410"/>
      <c r="H91" s="1410"/>
      <c r="I91" s="1410"/>
      <c r="J91" s="1410"/>
      <c r="K91" s="1410"/>
      <c r="L91" s="1410"/>
      <c r="M91" s="1410"/>
      <c r="N91" s="1410"/>
      <c r="O91" s="320"/>
      <c r="P91" s="320"/>
      <c r="Q91" s="329"/>
      <c r="R91" s="151"/>
      <c r="S91" s="151"/>
      <c r="T91" s="527"/>
      <c r="U91" s="528"/>
      <c r="V91" s="528"/>
      <c r="W91" s="528"/>
      <c r="X91" s="528"/>
      <c r="Y91" s="528"/>
      <c r="Z91" s="528"/>
      <c r="AA91" s="529"/>
      <c r="AB91" s="530"/>
      <c r="AC91" s="528"/>
    </row>
    <row r="92" spans="2:29" outlineLevel="1">
      <c r="B92" s="330" t="s">
        <v>510</v>
      </c>
      <c r="C92" s="320"/>
      <c r="D92" s="1410"/>
      <c r="E92" s="1410"/>
      <c r="F92" s="1410"/>
      <c r="G92" s="1410"/>
      <c r="H92" s="1410"/>
      <c r="I92" s="1410"/>
      <c r="J92" s="1410"/>
      <c r="K92" s="1410"/>
      <c r="L92" s="1410"/>
      <c r="M92" s="1410"/>
      <c r="N92" s="1410"/>
      <c r="O92" s="320"/>
      <c r="P92" s="320"/>
      <c r="Q92" s="329"/>
      <c r="R92" s="151"/>
      <c r="S92" s="151"/>
      <c r="T92" s="527"/>
      <c r="U92" s="528"/>
      <c r="V92" s="528"/>
      <c r="W92" s="528"/>
      <c r="X92" s="528"/>
      <c r="Y92" s="528"/>
      <c r="Z92" s="528"/>
      <c r="AA92" s="529"/>
      <c r="AB92" s="530"/>
      <c r="AC92" s="528"/>
    </row>
    <row r="93" spans="2:29" outlineLevel="1">
      <c r="B93" s="330" t="s">
        <v>511</v>
      </c>
      <c r="C93" s="320"/>
      <c r="D93" s="1410"/>
      <c r="E93" s="1410"/>
      <c r="F93" s="1410"/>
      <c r="G93" s="1410"/>
      <c r="H93" s="1410"/>
      <c r="I93" s="1410"/>
      <c r="J93" s="1410"/>
      <c r="K93" s="1410"/>
      <c r="L93" s="1410"/>
      <c r="M93" s="1410"/>
      <c r="N93" s="1410"/>
      <c r="O93" s="320"/>
      <c r="P93" s="320"/>
      <c r="Q93" s="329"/>
      <c r="R93" s="151"/>
      <c r="S93" s="151"/>
      <c r="T93" s="527"/>
      <c r="U93" s="528"/>
      <c r="V93" s="528"/>
      <c r="W93" s="528"/>
      <c r="X93" s="528"/>
      <c r="Y93" s="528"/>
      <c r="Z93" s="528"/>
      <c r="AA93" s="529"/>
      <c r="AB93" s="530"/>
      <c r="AC93" s="528"/>
    </row>
    <row r="94" spans="2:29" outlineLevel="1">
      <c r="B94" s="330" t="s">
        <v>512</v>
      </c>
      <c r="C94" s="320"/>
      <c r="D94" s="1410"/>
      <c r="E94" s="1410"/>
      <c r="F94" s="1410"/>
      <c r="G94" s="1410"/>
      <c r="H94" s="1410"/>
      <c r="I94" s="1410"/>
      <c r="J94" s="1410"/>
      <c r="K94" s="1410"/>
      <c r="L94" s="1410"/>
      <c r="M94" s="1410"/>
      <c r="N94" s="1410"/>
      <c r="O94" s="320"/>
      <c r="P94" s="320"/>
      <c r="Q94" s="329"/>
      <c r="R94" s="151"/>
      <c r="S94" s="151"/>
      <c r="T94" s="527"/>
      <c r="U94" s="528"/>
      <c r="V94" s="528"/>
      <c r="W94" s="528"/>
      <c r="X94" s="528"/>
      <c r="Y94" s="528"/>
      <c r="Z94" s="528"/>
      <c r="AA94" s="529"/>
      <c r="AB94" s="530"/>
      <c r="AC94" s="528"/>
    </row>
    <row r="95" spans="2:29" outlineLevel="1">
      <c r="B95" s="330" t="s">
        <v>513</v>
      </c>
      <c r="C95" s="320"/>
      <c r="D95" s="1410"/>
      <c r="E95" s="1410"/>
      <c r="F95" s="1410"/>
      <c r="G95" s="1410"/>
      <c r="H95" s="1410"/>
      <c r="I95" s="1410"/>
      <c r="J95" s="1410"/>
      <c r="K95" s="1410"/>
      <c r="L95" s="1410"/>
      <c r="M95" s="1410"/>
      <c r="N95" s="1410"/>
      <c r="O95" s="320"/>
      <c r="P95" s="320"/>
      <c r="Q95" s="329"/>
      <c r="R95" s="151"/>
      <c r="S95" s="151"/>
      <c r="T95" s="527"/>
      <c r="U95" s="528"/>
      <c r="V95" s="528"/>
      <c r="W95" s="528"/>
      <c r="X95" s="528"/>
      <c r="Y95" s="528"/>
      <c r="Z95" s="528"/>
      <c r="AA95" s="529"/>
      <c r="AB95" s="530"/>
      <c r="AC95" s="528"/>
    </row>
    <row r="96" spans="2:29" outlineLevel="1">
      <c r="B96" s="330" t="s">
        <v>514</v>
      </c>
      <c r="C96" s="320"/>
      <c r="D96" s="1410"/>
      <c r="E96" s="1410"/>
      <c r="F96" s="1410"/>
      <c r="G96" s="1410"/>
      <c r="H96" s="1410"/>
      <c r="I96" s="1410"/>
      <c r="J96" s="1410"/>
      <c r="K96" s="1410"/>
      <c r="L96" s="1410"/>
      <c r="M96" s="1410"/>
      <c r="N96" s="1410"/>
      <c r="O96" s="320"/>
      <c r="P96" s="320"/>
      <c r="Q96" s="329"/>
      <c r="R96" s="151"/>
      <c r="S96" s="151"/>
      <c r="T96" s="527"/>
      <c r="U96" s="528"/>
      <c r="V96" s="528"/>
      <c r="W96" s="528"/>
      <c r="X96" s="528"/>
      <c r="Y96" s="528"/>
      <c r="Z96" s="528"/>
      <c r="AA96" s="529"/>
      <c r="AB96" s="530"/>
      <c r="AC96" s="528"/>
    </row>
    <row r="97" spans="2:29" outlineLevel="1">
      <c r="B97" s="330" t="s">
        <v>515</v>
      </c>
      <c r="C97" s="320"/>
      <c r="D97" s="1410"/>
      <c r="E97" s="1410"/>
      <c r="F97" s="1410"/>
      <c r="G97" s="1410"/>
      <c r="H97" s="1410"/>
      <c r="I97" s="1410"/>
      <c r="J97" s="1410"/>
      <c r="K97" s="1410"/>
      <c r="L97" s="1410"/>
      <c r="M97" s="1410"/>
      <c r="N97" s="1410"/>
      <c r="O97" s="320"/>
      <c r="P97" s="320"/>
      <c r="Q97" s="329"/>
      <c r="R97" s="151"/>
      <c r="S97" s="151"/>
      <c r="T97" s="527"/>
      <c r="U97" s="528"/>
      <c r="V97" s="528"/>
      <c r="W97" s="528"/>
      <c r="X97" s="528"/>
      <c r="Y97" s="528"/>
      <c r="Z97" s="528"/>
      <c r="AA97" s="529"/>
      <c r="AB97" s="530"/>
      <c r="AC97" s="528"/>
    </row>
    <row r="98" spans="2:29" outlineLevel="1">
      <c r="B98" s="330" t="s">
        <v>516</v>
      </c>
      <c r="C98" s="320"/>
      <c r="D98" s="1410"/>
      <c r="E98" s="1410"/>
      <c r="F98" s="1410"/>
      <c r="G98" s="1410"/>
      <c r="H98" s="1410"/>
      <c r="I98" s="1410"/>
      <c r="J98" s="1410"/>
      <c r="K98" s="1410"/>
      <c r="L98" s="1410"/>
      <c r="M98" s="1410"/>
      <c r="N98" s="1410"/>
      <c r="O98" s="320"/>
      <c r="P98" s="320"/>
      <c r="Q98" s="327"/>
      <c r="R98" s="151"/>
      <c r="S98" s="151"/>
      <c r="T98" s="527"/>
      <c r="U98" s="528"/>
      <c r="V98" s="528"/>
      <c r="W98" s="528"/>
      <c r="X98" s="528"/>
      <c r="Y98" s="528"/>
      <c r="Z98" s="528"/>
      <c r="AA98" s="529"/>
      <c r="AB98" s="530"/>
      <c r="AC98" s="528"/>
    </row>
    <row r="99" spans="2:29" outlineLevel="1">
      <c r="B99" s="328" t="s">
        <v>768</v>
      </c>
      <c r="C99" s="1411" t="s">
        <v>544</v>
      </c>
      <c r="D99" s="1412"/>
      <c r="E99" s="1412"/>
      <c r="F99" s="1412"/>
      <c r="G99" s="1412"/>
      <c r="H99" s="1412"/>
      <c r="I99" s="1412"/>
      <c r="J99" s="1412"/>
      <c r="K99" s="1412"/>
      <c r="L99" s="1412"/>
      <c r="M99" s="1412"/>
      <c r="N99" s="1412"/>
      <c r="O99" s="1412"/>
      <c r="P99" s="1412"/>
      <c r="Q99" s="1413"/>
      <c r="R99" s="151"/>
      <c r="T99" s="527"/>
      <c r="U99" s="528"/>
      <c r="V99" s="528"/>
      <c r="W99" s="528"/>
      <c r="X99" s="528"/>
      <c r="Y99" s="528"/>
      <c r="Z99" s="528"/>
      <c r="AA99" s="529"/>
      <c r="AB99" s="530"/>
      <c r="AC99" s="528"/>
    </row>
    <row r="100" spans="2:29">
      <c r="F100" s="170"/>
      <c r="G100" s="170"/>
      <c r="H100" s="170"/>
      <c r="I100" s="170"/>
      <c r="S100" s="882" t="s">
        <v>769</v>
      </c>
      <c r="T100" s="523">
        <f t="shared" ref="T100:AC100" si="5">SUM(T90:T99)</f>
        <v>0</v>
      </c>
      <c r="U100" s="524">
        <f t="shared" si="5"/>
        <v>0</v>
      </c>
      <c r="V100" s="524">
        <f t="shared" si="5"/>
        <v>0</v>
      </c>
      <c r="W100" s="524">
        <f t="shared" si="5"/>
        <v>0</v>
      </c>
      <c r="X100" s="524">
        <f t="shared" si="5"/>
        <v>0</v>
      </c>
      <c r="Y100" s="524">
        <f t="shared" si="5"/>
        <v>0</v>
      </c>
      <c r="Z100" s="524">
        <f t="shared" si="5"/>
        <v>0</v>
      </c>
      <c r="AA100" s="525">
        <f t="shared" si="5"/>
        <v>0</v>
      </c>
      <c r="AB100" s="526">
        <f t="shared" si="5"/>
        <v>0</v>
      </c>
      <c r="AC100" s="524">
        <f t="shared" si="5"/>
        <v>0</v>
      </c>
    </row>
    <row r="101" spans="2:29">
      <c r="F101" s="170"/>
      <c r="G101" s="170"/>
      <c r="H101" s="170"/>
      <c r="I101" s="170"/>
      <c r="AB101" s="288"/>
    </row>
    <row r="102" spans="2:29">
      <c r="B102" s="317" t="s">
        <v>517</v>
      </c>
      <c r="C102" s="317"/>
      <c r="D102" s="151" t="s">
        <v>770</v>
      </c>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292"/>
      <c r="AC102" s="151"/>
    </row>
    <row r="103" spans="2:29" ht="27" outlineLevel="1">
      <c r="B103" s="1290"/>
      <c r="C103" s="877" t="s">
        <v>754</v>
      </c>
      <c r="D103" s="880"/>
      <c r="E103" s="881"/>
      <c r="F103" s="881"/>
      <c r="G103" s="881"/>
      <c r="H103" s="881"/>
      <c r="I103" s="881"/>
      <c r="J103" s="881"/>
      <c r="K103" s="881"/>
      <c r="L103" s="881"/>
      <c r="M103" s="881"/>
      <c r="N103" s="881"/>
      <c r="O103" s="865" t="s">
        <v>771</v>
      </c>
      <c r="P103" s="865" t="s">
        <v>772</v>
      </c>
      <c r="Q103" s="883" t="s">
        <v>773</v>
      </c>
      <c r="R103" s="151"/>
      <c r="S103" s="151"/>
      <c r="T103" s="335" t="s">
        <v>774</v>
      </c>
      <c r="U103" s="336" t="s">
        <v>774</v>
      </c>
      <c r="V103" s="336" t="s">
        <v>774</v>
      </c>
      <c r="W103" s="336" t="s">
        <v>774</v>
      </c>
      <c r="X103" s="336" t="s">
        <v>774</v>
      </c>
      <c r="Y103" s="336" t="s">
        <v>774</v>
      </c>
      <c r="Z103" s="336" t="s">
        <v>774</v>
      </c>
      <c r="AA103" s="389" t="s">
        <v>774</v>
      </c>
      <c r="AB103" s="396" t="s">
        <v>774</v>
      </c>
      <c r="AC103" s="336" t="s">
        <v>774</v>
      </c>
    </row>
    <row r="104" spans="2:29" outlineLevel="1">
      <c r="B104" s="341"/>
      <c r="C104" s="349"/>
      <c r="E104" s="167"/>
      <c r="O104" s="349" t="s">
        <v>775</v>
      </c>
      <c r="P104" s="349" t="s">
        <v>775</v>
      </c>
      <c r="Q104" s="350" t="s">
        <v>155</v>
      </c>
      <c r="R104" s="151"/>
      <c r="S104" s="151"/>
      <c r="T104" s="337" t="s">
        <v>776</v>
      </c>
      <c r="U104" s="338" t="s">
        <v>776</v>
      </c>
      <c r="V104" s="338" t="s">
        <v>776</v>
      </c>
      <c r="W104" s="338" t="s">
        <v>776</v>
      </c>
      <c r="X104" s="338" t="s">
        <v>776</v>
      </c>
      <c r="Y104" s="338" t="s">
        <v>776</v>
      </c>
      <c r="Z104" s="338" t="s">
        <v>776</v>
      </c>
      <c r="AA104" s="390" t="s">
        <v>776</v>
      </c>
      <c r="AB104" s="397" t="s">
        <v>776</v>
      </c>
      <c r="AC104" s="338" t="s">
        <v>776</v>
      </c>
    </row>
    <row r="105" spans="2:29" outlineLevel="1">
      <c r="B105" s="351" t="s">
        <v>453</v>
      </c>
      <c r="C105" s="1083"/>
      <c r="D105" s="352" t="s">
        <v>506</v>
      </c>
      <c r="E105" s="1081"/>
      <c r="F105" s="1082"/>
      <c r="G105" s="1082"/>
      <c r="H105" s="1082"/>
      <c r="I105" s="1082"/>
      <c r="J105" s="1082"/>
      <c r="K105" s="1082"/>
      <c r="L105" s="1082"/>
      <c r="M105" s="1082"/>
      <c r="N105" s="347"/>
      <c r="O105" s="345" t="s">
        <v>533</v>
      </c>
      <c r="P105" s="345" t="s">
        <v>533</v>
      </c>
      <c r="Q105" s="346"/>
      <c r="R105" s="151"/>
      <c r="S105" s="151"/>
      <c r="T105" s="195" t="s">
        <v>454</v>
      </c>
      <c r="U105" s="196" t="s">
        <v>454</v>
      </c>
      <c r="V105" s="196" t="s">
        <v>454</v>
      </c>
      <c r="W105" s="196" t="s">
        <v>454</v>
      </c>
      <c r="X105" s="196" t="s">
        <v>454</v>
      </c>
      <c r="Y105" s="196" t="s">
        <v>454</v>
      </c>
      <c r="Z105" s="196" t="s">
        <v>454</v>
      </c>
      <c r="AA105" s="282" t="s">
        <v>454</v>
      </c>
      <c r="AB105" s="299" t="s">
        <v>454</v>
      </c>
      <c r="AC105" s="196" t="s">
        <v>454</v>
      </c>
    </row>
    <row r="106" spans="2:29" outlineLevel="1">
      <c r="B106" s="332" t="s">
        <v>519</v>
      </c>
      <c r="C106" s="320"/>
      <c r="D106" s="1409"/>
      <c r="E106" s="1409"/>
      <c r="F106" s="1409"/>
      <c r="G106" s="1409"/>
      <c r="H106" s="1409"/>
      <c r="I106" s="1409"/>
      <c r="J106" s="1409"/>
      <c r="K106" s="1409"/>
      <c r="L106" s="1409"/>
      <c r="M106" s="1409"/>
      <c r="N106" s="1409"/>
      <c r="O106" s="340"/>
      <c r="P106" s="340"/>
      <c r="Q106" s="329"/>
      <c r="R106" s="151"/>
      <c r="S106" s="151"/>
      <c r="T106" s="527"/>
      <c r="U106" s="528"/>
      <c r="V106" s="528"/>
      <c r="W106" s="528"/>
      <c r="X106" s="528"/>
      <c r="Y106" s="528"/>
      <c r="Z106" s="528"/>
      <c r="AA106" s="529"/>
      <c r="AB106" s="530"/>
      <c r="AC106" s="528"/>
    </row>
    <row r="107" spans="2:29" outlineLevel="1">
      <c r="B107" s="332" t="s">
        <v>520</v>
      </c>
      <c r="C107" s="320"/>
      <c r="D107" s="1410"/>
      <c r="E107" s="1410"/>
      <c r="F107" s="1410"/>
      <c r="G107" s="1410"/>
      <c r="H107" s="1410"/>
      <c r="I107" s="1410"/>
      <c r="J107" s="1410"/>
      <c r="K107" s="1410"/>
      <c r="L107" s="1410"/>
      <c r="M107" s="1410"/>
      <c r="N107" s="1410"/>
      <c r="O107" s="320"/>
      <c r="P107" s="320"/>
      <c r="Q107" s="329"/>
      <c r="R107" s="151"/>
      <c r="S107" s="151"/>
      <c r="T107" s="527"/>
      <c r="U107" s="528"/>
      <c r="V107" s="528"/>
      <c r="W107" s="528"/>
      <c r="X107" s="528"/>
      <c r="Y107" s="528"/>
      <c r="Z107" s="528"/>
      <c r="AA107" s="529"/>
      <c r="AB107" s="530"/>
      <c r="AC107" s="528"/>
    </row>
    <row r="108" spans="2:29" outlineLevel="1">
      <c r="B108" s="332" t="s">
        <v>521</v>
      </c>
      <c r="C108" s="320"/>
      <c r="D108" s="1410"/>
      <c r="E108" s="1410"/>
      <c r="F108" s="1410"/>
      <c r="G108" s="1410"/>
      <c r="H108" s="1410"/>
      <c r="I108" s="1410"/>
      <c r="J108" s="1410"/>
      <c r="K108" s="1410"/>
      <c r="L108" s="1410"/>
      <c r="M108" s="1410"/>
      <c r="N108" s="1410"/>
      <c r="O108" s="320"/>
      <c r="P108" s="320"/>
      <c r="Q108" s="329"/>
      <c r="R108" s="151"/>
      <c r="S108" s="151"/>
      <c r="T108" s="527"/>
      <c r="U108" s="528"/>
      <c r="V108" s="528"/>
      <c r="W108" s="528"/>
      <c r="X108" s="528"/>
      <c r="Y108" s="528"/>
      <c r="Z108" s="528"/>
      <c r="AA108" s="529"/>
      <c r="AB108" s="530"/>
      <c r="AC108" s="528"/>
    </row>
    <row r="109" spans="2:29" outlineLevel="1">
      <c r="B109" s="332" t="s">
        <v>522</v>
      </c>
      <c r="C109" s="320"/>
      <c r="D109" s="1410"/>
      <c r="E109" s="1410"/>
      <c r="F109" s="1410"/>
      <c r="G109" s="1410"/>
      <c r="H109" s="1410"/>
      <c r="I109" s="1410"/>
      <c r="J109" s="1410"/>
      <c r="K109" s="1410"/>
      <c r="L109" s="1410"/>
      <c r="M109" s="1410"/>
      <c r="N109" s="1410"/>
      <c r="O109" s="320"/>
      <c r="P109" s="320"/>
      <c r="Q109" s="329"/>
      <c r="R109" s="151"/>
      <c r="S109" s="151"/>
      <c r="T109" s="527"/>
      <c r="U109" s="528"/>
      <c r="V109" s="528"/>
      <c r="W109" s="528"/>
      <c r="X109" s="528"/>
      <c r="Y109" s="528"/>
      <c r="Z109" s="528"/>
      <c r="AA109" s="529"/>
      <c r="AB109" s="530"/>
      <c r="AC109" s="528"/>
    </row>
    <row r="110" spans="2:29" outlineLevel="1">
      <c r="B110" s="332" t="s">
        <v>523</v>
      </c>
      <c r="C110" s="320"/>
      <c r="D110" s="1410"/>
      <c r="E110" s="1410"/>
      <c r="F110" s="1410"/>
      <c r="G110" s="1410"/>
      <c r="H110" s="1410"/>
      <c r="I110" s="1410"/>
      <c r="J110" s="1410"/>
      <c r="K110" s="1410"/>
      <c r="L110" s="1410"/>
      <c r="M110" s="1410"/>
      <c r="N110" s="1410"/>
      <c r="O110" s="320"/>
      <c r="P110" s="320"/>
      <c r="Q110" s="329"/>
      <c r="R110" s="151"/>
      <c r="S110" s="151"/>
      <c r="T110" s="527"/>
      <c r="U110" s="528"/>
      <c r="V110" s="528"/>
      <c r="W110" s="528"/>
      <c r="X110" s="528"/>
      <c r="Y110" s="528"/>
      <c r="Z110" s="528"/>
      <c r="AA110" s="529"/>
      <c r="AB110" s="530"/>
      <c r="AC110" s="528"/>
    </row>
    <row r="111" spans="2:29" outlineLevel="1">
      <c r="B111" s="332" t="s">
        <v>524</v>
      </c>
      <c r="C111" s="320"/>
      <c r="D111" s="1410"/>
      <c r="E111" s="1410"/>
      <c r="F111" s="1410"/>
      <c r="G111" s="1410"/>
      <c r="H111" s="1410"/>
      <c r="I111" s="1410"/>
      <c r="J111" s="1410"/>
      <c r="K111" s="1410"/>
      <c r="L111" s="1410"/>
      <c r="M111" s="1410"/>
      <c r="N111" s="1410"/>
      <c r="O111" s="320"/>
      <c r="P111" s="320"/>
      <c r="Q111" s="329"/>
      <c r="R111" s="151"/>
      <c r="S111" s="151"/>
      <c r="T111" s="527"/>
      <c r="U111" s="528"/>
      <c r="V111" s="528"/>
      <c r="W111" s="528"/>
      <c r="X111" s="528"/>
      <c r="Y111" s="528"/>
      <c r="Z111" s="528"/>
      <c r="AA111" s="529"/>
      <c r="AB111" s="530"/>
      <c r="AC111" s="528"/>
    </row>
    <row r="112" spans="2:29" outlineLevel="1">
      <c r="B112" s="332" t="s">
        <v>525</v>
      </c>
      <c r="C112" s="320"/>
      <c r="D112" s="1410"/>
      <c r="E112" s="1410"/>
      <c r="F112" s="1410"/>
      <c r="G112" s="1410"/>
      <c r="H112" s="1410"/>
      <c r="I112" s="1410"/>
      <c r="J112" s="1410"/>
      <c r="K112" s="1410"/>
      <c r="L112" s="1410"/>
      <c r="M112" s="1410"/>
      <c r="N112" s="1410"/>
      <c r="O112" s="320"/>
      <c r="P112" s="320"/>
      <c r="Q112" s="329"/>
      <c r="R112" s="151"/>
      <c r="S112" s="151"/>
      <c r="T112" s="527"/>
      <c r="U112" s="528"/>
      <c r="V112" s="528"/>
      <c r="W112" s="528"/>
      <c r="X112" s="528"/>
      <c r="Y112" s="528"/>
      <c r="Z112" s="528"/>
      <c r="AA112" s="529"/>
      <c r="AB112" s="530"/>
      <c r="AC112" s="528"/>
    </row>
    <row r="113" spans="2:29" outlineLevel="1">
      <c r="B113" s="332" t="s">
        <v>526</v>
      </c>
      <c r="C113" s="320"/>
      <c r="D113" s="1410"/>
      <c r="E113" s="1410"/>
      <c r="F113" s="1410"/>
      <c r="G113" s="1410"/>
      <c r="H113" s="1410"/>
      <c r="I113" s="1410"/>
      <c r="J113" s="1410"/>
      <c r="K113" s="1410"/>
      <c r="L113" s="1410"/>
      <c r="M113" s="1410"/>
      <c r="N113" s="1410"/>
      <c r="O113" s="320"/>
      <c r="P113" s="320"/>
      <c r="Q113" s="329"/>
      <c r="R113" s="151"/>
      <c r="S113" s="151"/>
      <c r="T113" s="527"/>
      <c r="U113" s="528"/>
      <c r="V113" s="528"/>
      <c r="W113" s="528"/>
      <c r="X113" s="528"/>
      <c r="Y113" s="528"/>
      <c r="Z113" s="528"/>
      <c r="AA113" s="529"/>
      <c r="AB113" s="530"/>
      <c r="AC113" s="528"/>
    </row>
    <row r="114" spans="2:29" outlineLevel="1">
      <c r="B114" s="332" t="s">
        <v>527</v>
      </c>
      <c r="C114" s="320"/>
      <c r="D114" s="1410"/>
      <c r="E114" s="1410"/>
      <c r="F114" s="1410"/>
      <c r="G114" s="1410"/>
      <c r="H114" s="1410"/>
      <c r="I114" s="1410"/>
      <c r="J114" s="1410"/>
      <c r="K114" s="1410"/>
      <c r="L114" s="1410"/>
      <c r="M114" s="1410"/>
      <c r="N114" s="1410"/>
      <c r="O114" s="320"/>
      <c r="P114" s="320"/>
      <c r="Q114" s="327"/>
      <c r="R114" s="151"/>
      <c r="S114" s="151"/>
      <c r="T114" s="527"/>
      <c r="U114" s="528"/>
      <c r="V114" s="528"/>
      <c r="W114" s="528"/>
      <c r="X114" s="528"/>
      <c r="Y114" s="528"/>
      <c r="Z114" s="528"/>
      <c r="AA114" s="529"/>
      <c r="AB114" s="530"/>
      <c r="AC114" s="528"/>
    </row>
    <row r="115" spans="2:29" outlineLevel="1">
      <c r="B115" s="328" t="s">
        <v>777</v>
      </c>
      <c r="C115" s="1411" t="s">
        <v>544</v>
      </c>
      <c r="D115" s="1412"/>
      <c r="E115" s="1412"/>
      <c r="F115" s="1412"/>
      <c r="G115" s="1412"/>
      <c r="H115" s="1412"/>
      <c r="I115" s="1412"/>
      <c r="J115" s="1412"/>
      <c r="K115" s="1412"/>
      <c r="L115" s="1412"/>
      <c r="M115" s="1412"/>
      <c r="N115" s="1412"/>
      <c r="O115" s="1412"/>
      <c r="P115" s="1412"/>
      <c r="Q115" s="1413"/>
      <c r="R115" s="151"/>
      <c r="T115" s="527"/>
      <c r="U115" s="528"/>
      <c r="V115" s="528"/>
      <c r="W115" s="528"/>
      <c r="X115" s="528"/>
      <c r="Y115" s="528"/>
      <c r="Z115" s="528"/>
      <c r="AA115" s="529"/>
      <c r="AB115" s="530"/>
      <c r="AC115" s="528"/>
    </row>
    <row r="116" spans="2:29">
      <c r="F116" s="170"/>
      <c r="G116" s="170"/>
      <c r="H116" s="170"/>
      <c r="I116" s="170"/>
      <c r="R116" s="151"/>
      <c r="S116" s="1076" t="s">
        <v>778</v>
      </c>
      <c r="T116" s="523">
        <f t="shared" ref="T116:AC116" si="6">SUM(T106:T115)</f>
        <v>0</v>
      </c>
      <c r="U116" s="524">
        <f t="shared" si="6"/>
        <v>0</v>
      </c>
      <c r="V116" s="524">
        <f t="shared" si="6"/>
        <v>0</v>
      </c>
      <c r="W116" s="524">
        <f t="shared" si="6"/>
        <v>0</v>
      </c>
      <c r="X116" s="524">
        <f t="shared" si="6"/>
        <v>0</v>
      </c>
      <c r="Y116" s="524">
        <f t="shared" si="6"/>
        <v>0</v>
      </c>
      <c r="Z116" s="524">
        <f t="shared" si="6"/>
        <v>0</v>
      </c>
      <c r="AA116" s="525">
        <f t="shared" si="6"/>
        <v>0</v>
      </c>
      <c r="AB116" s="526">
        <f t="shared" si="6"/>
        <v>0</v>
      </c>
      <c r="AC116" s="524">
        <f t="shared" si="6"/>
        <v>0</v>
      </c>
    </row>
    <row r="117" spans="2:29">
      <c r="F117" s="170"/>
      <c r="G117" s="170"/>
      <c r="H117" s="170"/>
      <c r="I117" s="170"/>
      <c r="AB117" s="288"/>
    </row>
    <row r="118" spans="2:29">
      <c r="B118" s="317" t="s">
        <v>528</v>
      </c>
      <c r="C118" s="317"/>
      <c r="D118" s="172" t="s">
        <v>691</v>
      </c>
      <c r="E118" s="151"/>
      <c r="AB118" s="288"/>
    </row>
    <row r="119" spans="2:29" outlineLevel="1">
      <c r="AB119" s="288"/>
    </row>
    <row r="120" spans="2:29" ht="31.5" customHeight="1" outlineLevel="1">
      <c r="B120" s="1287"/>
      <c r="C120" s="877" t="s">
        <v>754</v>
      </c>
      <c r="D120" s="865" t="s">
        <v>530</v>
      </c>
      <c r="E120" s="866" t="s">
        <v>531</v>
      </c>
      <c r="F120" s="1454" t="s">
        <v>532</v>
      </c>
      <c r="G120" s="866" t="s">
        <v>548</v>
      </c>
      <c r="H120" s="865" t="s">
        <v>549</v>
      </c>
      <c r="I120" s="866" t="s">
        <v>550</v>
      </c>
      <c r="J120" s="877" t="s">
        <v>551</v>
      </c>
      <c r="K120" s="866" t="s">
        <v>548</v>
      </c>
      <c r="L120" s="865" t="s">
        <v>548</v>
      </c>
      <c r="M120" s="866" t="s">
        <v>548</v>
      </c>
      <c r="N120" s="865" t="s">
        <v>779</v>
      </c>
      <c r="O120" s="866" t="s">
        <v>779</v>
      </c>
      <c r="P120" s="865" t="s">
        <v>779</v>
      </c>
      <c r="Q120" s="1291" t="s">
        <v>773</v>
      </c>
      <c r="AB120" s="288"/>
    </row>
    <row r="121" spans="2:29" s="567" customFormat="1" ht="45.75" customHeight="1" outlineLevel="1">
      <c r="B121" s="562" t="s">
        <v>453</v>
      </c>
      <c r="C121" s="563"/>
      <c r="D121" s="563" t="s">
        <v>533</v>
      </c>
      <c r="E121" s="1075" t="s">
        <v>533</v>
      </c>
      <c r="F121" s="1455"/>
      <c r="G121" s="1084" t="s">
        <v>139</v>
      </c>
      <c r="H121" s="564" t="s">
        <v>139</v>
      </c>
      <c r="I121" s="1085" t="s">
        <v>454</v>
      </c>
      <c r="J121" s="564" t="s">
        <v>552</v>
      </c>
      <c r="K121" s="1084" t="s">
        <v>780</v>
      </c>
      <c r="L121" s="565" t="s">
        <v>781</v>
      </c>
      <c r="M121" s="1086" t="s">
        <v>782</v>
      </c>
      <c r="N121" s="564" t="s">
        <v>780</v>
      </c>
      <c r="O121" s="1086" t="s">
        <v>783</v>
      </c>
      <c r="P121" s="565" t="s">
        <v>782</v>
      </c>
      <c r="Q121" s="566" t="s">
        <v>155</v>
      </c>
      <c r="T121" s="568" t="s">
        <v>454</v>
      </c>
      <c r="U121" s="569" t="s">
        <v>454</v>
      </c>
      <c r="V121" s="569" t="s">
        <v>454</v>
      </c>
      <c r="W121" s="569" t="s">
        <v>454</v>
      </c>
      <c r="X121" s="569" t="s">
        <v>454</v>
      </c>
      <c r="Y121" s="569" t="s">
        <v>454</v>
      </c>
      <c r="Z121" s="569" t="s">
        <v>454</v>
      </c>
      <c r="AA121" s="570" t="s">
        <v>454</v>
      </c>
      <c r="AB121" s="571" t="s">
        <v>454</v>
      </c>
      <c r="AC121" s="569" t="s">
        <v>454</v>
      </c>
    </row>
    <row r="122" spans="2:29" outlineLevel="1">
      <c r="B122" s="353" t="s">
        <v>534</v>
      </c>
      <c r="C122" s="340"/>
      <c r="D122" s="340"/>
      <c r="E122" s="340"/>
      <c r="F122" s="354"/>
      <c r="G122" s="323"/>
      <c r="H122" s="323"/>
      <c r="I122" s="361"/>
      <c r="J122" s="355"/>
      <c r="K122" s="363"/>
      <c r="L122" s="356"/>
      <c r="M122" s="356"/>
      <c r="N122" s="357"/>
      <c r="O122" s="358"/>
      <c r="P122" s="359"/>
      <c r="Q122" s="329"/>
      <c r="T122" s="527"/>
      <c r="U122" s="528"/>
      <c r="V122" s="528"/>
      <c r="W122" s="528"/>
      <c r="X122" s="528"/>
      <c r="Y122" s="528"/>
      <c r="Z122" s="528"/>
      <c r="AA122" s="529"/>
      <c r="AB122" s="530"/>
      <c r="AC122" s="528"/>
    </row>
    <row r="123" spans="2:29" outlineLevel="1">
      <c r="B123" s="332" t="s">
        <v>535</v>
      </c>
      <c r="C123" s="320"/>
      <c r="D123" s="320"/>
      <c r="E123" s="320"/>
      <c r="F123" s="321"/>
      <c r="G123" s="323"/>
      <c r="H123" s="323"/>
      <c r="I123" s="362"/>
      <c r="J123" s="322"/>
      <c r="K123" s="363"/>
      <c r="L123" s="324"/>
      <c r="M123" s="356"/>
      <c r="N123" s="325"/>
      <c r="O123" s="326"/>
      <c r="P123" s="359"/>
      <c r="Q123" s="329"/>
      <c r="T123" s="527"/>
      <c r="U123" s="528"/>
      <c r="V123" s="528"/>
      <c r="W123" s="528"/>
      <c r="X123" s="528"/>
      <c r="Y123" s="528"/>
      <c r="Z123" s="528"/>
      <c r="AA123" s="529"/>
      <c r="AB123" s="530"/>
      <c r="AC123" s="528"/>
    </row>
    <row r="124" spans="2:29" outlineLevel="1">
      <c r="B124" s="332" t="s">
        <v>536</v>
      </c>
      <c r="C124" s="320"/>
      <c r="D124" s="320"/>
      <c r="E124" s="320"/>
      <c r="F124" s="321"/>
      <c r="G124" s="323"/>
      <c r="H124" s="323"/>
      <c r="I124" s="362"/>
      <c r="J124" s="322"/>
      <c r="K124" s="363"/>
      <c r="L124" s="324"/>
      <c r="M124" s="356"/>
      <c r="N124" s="325"/>
      <c r="O124" s="326"/>
      <c r="P124" s="359"/>
      <c r="Q124" s="329"/>
      <c r="T124" s="527"/>
      <c r="U124" s="528"/>
      <c r="V124" s="528"/>
      <c r="W124" s="528"/>
      <c r="X124" s="528"/>
      <c r="Y124" s="528"/>
      <c r="Z124" s="528"/>
      <c r="AA124" s="529"/>
      <c r="AB124" s="530"/>
      <c r="AC124" s="528"/>
    </row>
    <row r="125" spans="2:29" outlineLevel="1">
      <c r="B125" s="332" t="s">
        <v>537</v>
      </c>
      <c r="C125" s="320"/>
      <c r="D125" s="320"/>
      <c r="E125" s="320"/>
      <c r="F125" s="321"/>
      <c r="G125" s="323"/>
      <c r="H125" s="323"/>
      <c r="I125" s="362"/>
      <c r="J125" s="322"/>
      <c r="K125" s="363"/>
      <c r="L125" s="324"/>
      <c r="M125" s="356"/>
      <c r="N125" s="325"/>
      <c r="O125" s="326"/>
      <c r="P125" s="359"/>
      <c r="Q125" s="329"/>
      <c r="T125" s="527"/>
      <c r="U125" s="528"/>
      <c r="V125" s="528"/>
      <c r="W125" s="528"/>
      <c r="X125" s="528"/>
      <c r="Y125" s="528"/>
      <c r="Z125" s="528"/>
      <c r="AA125" s="529"/>
      <c r="AB125" s="530"/>
      <c r="AC125" s="528"/>
    </row>
    <row r="126" spans="2:29" outlineLevel="1">
      <c r="B126" s="332" t="s">
        <v>538</v>
      </c>
      <c r="C126" s="320"/>
      <c r="D126" s="320"/>
      <c r="E126" s="320"/>
      <c r="F126" s="321"/>
      <c r="G126" s="323"/>
      <c r="H126" s="323"/>
      <c r="I126" s="362"/>
      <c r="J126" s="322"/>
      <c r="K126" s="363"/>
      <c r="L126" s="324"/>
      <c r="M126" s="356"/>
      <c r="N126" s="325"/>
      <c r="O126" s="326"/>
      <c r="P126" s="359"/>
      <c r="Q126" s="329"/>
      <c r="T126" s="527"/>
      <c r="U126" s="528"/>
      <c r="V126" s="528"/>
      <c r="W126" s="528"/>
      <c r="X126" s="528"/>
      <c r="Y126" s="528"/>
      <c r="Z126" s="528"/>
      <c r="AA126" s="529"/>
      <c r="AB126" s="530"/>
      <c r="AC126" s="528"/>
    </row>
    <row r="127" spans="2:29" outlineLevel="1">
      <c r="B127" s="332" t="s">
        <v>539</v>
      </c>
      <c r="C127" s="320"/>
      <c r="D127" s="320"/>
      <c r="E127" s="320"/>
      <c r="F127" s="321"/>
      <c r="G127" s="323"/>
      <c r="H127" s="323"/>
      <c r="I127" s="362"/>
      <c r="J127" s="322"/>
      <c r="K127" s="363"/>
      <c r="L127" s="324"/>
      <c r="M127" s="356"/>
      <c r="N127" s="325"/>
      <c r="O127" s="326"/>
      <c r="P127" s="359"/>
      <c r="Q127" s="329"/>
      <c r="T127" s="527"/>
      <c r="U127" s="528"/>
      <c r="V127" s="528"/>
      <c r="W127" s="528"/>
      <c r="X127" s="528"/>
      <c r="Y127" s="528"/>
      <c r="Z127" s="528"/>
      <c r="AA127" s="529"/>
      <c r="AB127" s="530"/>
      <c r="AC127" s="528"/>
    </row>
    <row r="128" spans="2:29" outlineLevel="1">
      <c r="B128" s="332" t="s">
        <v>540</v>
      </c>
      <c r="C128" s="320"/>
      <c r="D128" s="320"/>
      <c r="E128" s="320"/>
      <c r="F128" s="321"/>
      <c r="G128" s="323"/>
      <c r="H128" s="323"/>
      <c r="I128" s="362"/>
      <c r="J128" s="322"/>
      <c r="K128" s="363"/>
      <c r="L128" s="324"/>
      <c r="M128" s="356"/>
      <c r="N128" s="325"/>
      <c r="O128" s="326"/>
      <c r="P128" s="359"/>
      <c r="Q128" s="329"/>
      <c r="T128" s="527"/>
      <c r="U128" s="528"/>
      <c r="V128" s="528"/>
      <c r="W128" s="528"/>
      <c r="X128" s="528"/>
      <c r="Y128" s="528"/>
      <c r="Z128" s="528"/>
      <c r="AA128" s="529"/>
      <c r="AB128" s="530"/>
      <c r="AC128" s="528"/>
    </row>
    <row r="129" spans="2:29" outlineLevel="1">
      <c r="B129" s="332" t="s">
        <v>541</v>
      </c>
      <c r="C129" s="320"/>
      <c r="D129" s="320"/>
      <c r="E129" s="320"/>
      <c r="F129" s="321"/>
      <c r="G129" s="323"/>
      <c r="H129" s="323"/>
      <c r="I129" s="362"/>
      <c r="J129" s="322"/>
      <c r="K129" s="363"/>
      <c r="L129" s="324"/>
      <c r="M129" s="356"/>
      <c r="N129" s="325"/>
      <c r="O129" s="326"/>
      <c r="P129" s="359"/>
      <c r="Q129" s="329"/>
      <c r="T129" s="527"/>
      <c r="U129" s="528"/>
      <c r="V129" s="528"/>
      <c r="W129" s="528"/>
      <c r="X129" s="528"/>
      <c r="Y129" s="528"/>
      <c r="Z129" s="528"/>
      <c r="AA129" s="529"/>
      <c r="AB129" s="530"/>
      <c r="AC129" s="528"/>
    </row>
    <row r="130" spans="2:29" outlineLevel="1">
      <c r="B130" s="332" t="s">
        <v>542</v>
      </c>
      <c r="C130" s="320"/>
      <c r="D130" s="320"/>
      <c r="E130" s="320"/>
      <c r="F130" s="321"/>
      <c r="G130" s="323"/>
      <c r="H130" s="323"/>
      <c r="I130" s="362"/>
      <c r="J130" s="322"/>
      <c r="K130" s="363"/>
      <c r="L130" s="324"/>
      <c r="M130" s="356"/>
      <c r="N130" s="325"/>
      <c r="O130" s="326"/>
      <c r="P130" s="359"/>
      <c r="Q130" s="327"/>
      <c r="T130" s="527"/>
      <c r="U130" s="528"/>
      <c r="V130" s="528"/>
      <c r="W130" s="528"/>
      <c r="X130" s="528"/>
      <c r="Y130" s="528"/>
      <c r="Z130" s="528"/>
      <c r="AA130" s="529"/>
      <c r="AB130" s="530"/>
      <c r="AC130" s="528"/>
    </row>
    <row r="131" spans="2:29" outlineLevel="1">
      <c r="B131" s="328" t="s">
        <v>543</v>
      </c>
      <c r="C131" s="1411" t="s">
        <v>544</v>
      </c>
      <c r="D131" s="1412"/>
      <c r="E131" s="1412"/>
      <c r="F131" s="1412"/>
      <c r="G131" s="1412"/>
      <c r="H131" s="1412"/>
      <c r="I131" s="1412"/>
      <c r="J131" s="1412"/>
      <c r="K131" s="1412"/>
      <c r="L131" s="1412"/>
      <c r="M131" s="1412"/>
      <c r="N131" s="1412"/>
      <c r="O131" s="1412"/>
      <c r="P131" s="1412"/>
      <c r="Q131" s="1413"/>
      <c r="T131" s="527"/>
      <c r="U131" s="528"/>
      <c r="V131" s="528"/>
      <c r="W131" s="528"/>
      <c r="X131" s="528"/>
      <c r="Y131" s="528"/>
      <c r="Z131" s="528"/>
      <c r="AA131" s="529"/>
      <c r="AB131" s="530"/>
      <c r="AC131" s="528"/>
    </row>
    <row r="132" spans="2:29">
      <c r="F132" s="170"/>
      <c r="G132" s="170"/>
      <c r="H132" s="170"/>
      <c r="I132" s="170"/>
      <c r="S132" s="1076" t="s">
        <v>545</v>
      </c>
      <c r="T132" s="523">
        <f t="shared" ref="T132:AC132" si="7">SUM(T122:T131)</f>
        <v>0</v>
      </c>
      <c r="U132" s="524">
        <f t="shared" si="7"/>
        <v>0</v>
      </c>
      <c r="V132" s="524">
        <f t="shared" si="7"/>
        <v>0</v>
      </c>
      <c r="W132" s="524">
        <f t="shared" si="7"/>
        <v>0</v>
      </c>
      <c r="X132" s="524">
        <f t="shared" si="7"/>
        <v>0</v>
      </c>
      <c r="Y132" s="524">
        <f t="shared" si="7"/>
        <v>0</v>
      </c>
      <c r="Z132" s="524">
        <f t="shared" si="7"/>
        <v>0</v>
      </c>
      <c r="AA132" s="525">
        <f t="shared" si="7"/>
        <v>0</v>
      </c>
      <c r="AB132" s="526">
        <f t="shared" si="7"/>
        <v>0</v>
      </c>
      <c r="AC132" s="524">
        <f t="shared" si="7"/>
        <v>0</v>
      </c>
    </row>
    <row r="133" spans="2:29" outlineLevel="1">
      <c r="B133" s="333" t="s">
        <v>453</v>
      </c>
      <c r="C133" s="1417" t="s">
        <v>784</v>
      </c>
      <c r="D133" s="1418"/>
      <c r="E133" s="1418"/>
      <c r="F133" s="1418"/>
      <c r="G133" s="1418"/>
      <c r="H133" s="1418"/>
      <c r="I133" s="1418"/>
      <c r="J133" s="1418"/>
      <c r="K133" s="1418"/>
      <c r="L133" s="1418"/>
      <c r="M133" s="1418"/>
      <c r="N133" s="1418"/>
      <c r="O133" s="1418"/>
      <c r="P133" s="1418"/>
      <c r="Q133" s="1419"/>
      <c r="S133" s="154"/>
      <c r="AB133" s="288"/>
    </row>
    <row r="134" spans="2:29" outlineLevel="1">
      <c r="B134" s="332" t="s">
        <v>534</v>
      </c>
      <c r="C134" s="1414"/>
      <c r="D134" s="1415"/>
      <c r="E134" s="1415"/>
      <c r="F134" s="1415"/>
      <c r="G134" s="1415"/>
      <c r="H134" s="1415"/>
      <c r="I134" s="1415"/>
      <c r="J134" s="1415"/>
      <c r="K134" s="1415"/>
      <c r="L134" s="1415"/>
      <c r="M134" s="1415"/>
      <c r="N134" s="1415"/>
      <c r="O134" s="1415"/>
      <c r="P134" s="1415"/>
      <c r="Q134" s="1416"/>
      <c r="S134" s="173"/>
      <c r="AB134" s="288"/>
    </row>
    <row r="135" spans="2:29" outlineLevel="1">
      <c r="B135" s="332" t="s">
        <v>535</v>
      </c>
      <c r="C135" s="1414"/>
      <c r="D135" s="1415"/>
      <c r="E135" s="1415"/>
      <c r="F135" s="1415"/>
      <c r="G135" s="1415"/>
      <c r="H135" s="1415"/>
      <c r="I135" s="1415"/>
      <c r="J135" s="1415"/>
      <c r="K135" s="1415"/>
      <c r="L135" s="1415"/>
      <c r="M135" s="1415"/>
      <c r="N135" s="1415"/>
      <c r="O135" s="1415"/>
      <c r="P135" s="1415"/>
      <c r="Q135" s="1416"/>
      <c r="S135" s="173"/>
      <c r="AB135" s="288"/>
    </row>
    <row r="136" spans="2:29" outlineLevel="1">
      <c r="B136" s="332" t="s">
        <v>536</v>
      </c>
      <c r="C136" s="1414"/>
      <c r="D136" s="1415"/>
      <c r="E136" s="1415"/>
      <c r="F136" s="1415"/>
      <c r="G136" s="1415"/>
      <c r="H136" s="1415"/>
      <c r="I136" s="1415"/>
      <c r="J136" s="1415"/>
      <c r="K136" s="1415"/>
      <c r="L136" s="1415"/>
      <c r="M136" s="1415"/>
      <c r="N136" s="1415"/>
      <c r="O136" s="1415"/>
      <c r="P136" s="1415"/>
      <c r="Q136" s="1416"/>
      <c r="S136" s="173"/>
      <c r="AB136" s="288"/>
    </row>
    <row r="137" spans="2:29" outlineLevel="1">
      <c r="B137" s="332" t="s">
        <v>537</v>
      </c>
      <c r="C137" s="1414"/>
      <c r="D137" s="1415"/>
      <c r="E137" s="1415"/>
      <c r="F137" s="1415"/>
      <c r="G137" s="1415"/>
      <c r="H137" s="1415"/>
      <c r="I137" s="1415"/>
      <c r="J137" s="1415"/>
      <c r="K137" s="1415"/>
      <c r="L137" s="1415"/>
      <c r="M137" s="1415"/>
      <c r="N137" s="1415"/>
      <c r="O137" s="1415"/>
      <c r="P137" s="1415"/>
      <c r="Q137" s="1416"/>
      <c r="S137" s="173"/>
      <c r="AB137" s="288"/>
    </row>
    <row r="138" spans="2:29" outlineLevel="1">
      <c r="B138" s="332" t="s">
        <v>538</v>
      </c>
      <c r="C138" s="1414"/>
      <c r="D138" s="1415"/>
      <c r="E138" s="1415"/>
      <c r="F138" s="1415"/>
      <c r="G138" s="1415"/>
      <c r="H138" s="1415"/>
      <c r="I138" s="1415"/>
      <c r="J138" s="1415"/>
      <c r="K138" s="1415"/>
      <c r="L138" s="1415"/>
      <c r="M138" s="1415"/>
      <c r="N138" s="1415"/>
      <c r="O138" s="1415"/>
      <c r="P138" s="1415"/>
      <c r="Q138" s="1416"/>
      <c r="S138" s="173"/>
      <c r="AB138" s="288"/>
    </row>
    <row r="139" spans="2:29" outlineLevel="1">
      <c r="B139" s="332" t="s">
        <v>539</v>
      </c>
      <c r="C139" s="1414"/>
      <c r="D139" s="1415"/>
      <c r="E139" s="1415"/>
      <c r="F139" s="1415"/>
      <c r="G139" s="1415"/>
      <c r="H139" s="1415"/>
      <c r="I139" s="1415"/>
      <c r="J139" s="1415"/>
      <c r="K139" s="1415"/>
      <c r="L139" s="1415"/>
      <c r="M139" s="1415"/>
      <c r="N139" s="1415"/>
      <c r="O139" s="1415"/>
      <c r="P139" s="1415"/>
      <c r="Q139" s="1416"/>
      <c r="S139" s="173"/>
      <c r="AB139" s="288"/>
    </row>
    <row r="140" spans="2:29" outlineLevel="1">
      <c r="B140" s="332" t="s">
        <v>540</v>
      </c>
      <c r="C140" s="1414"/>
      <c r="D140" s="1415"/>
      <c r="E140" s="1415"/>
      <c r="F140" s="1415"/>
      <c r="G140" s="1415"/>
      <c r="H140" s="1415"/>
      <c r="I140" s="1415"/>
      <c r="J140" s="1415"/>
      <c r="K140" s="1415"/>
      <c r="L140" s="1415"/>
      <c r="M140" s="1415"/>
      <c r="N140" s="1415"/>
      <c r="O140" s="1415"/>
      <c r="P140" s="1415"/>
      <c r="Q140" s="1416"/>
      <c r="S140" s="173"/>
      <c r="AB140" s="288"/>
    </row>
    <row r="141" spans="2:29" outlineLevel="1">
      <c r="B141" s="332" t="s">
        <v>541</v>
      </c>
      <c r="C141" s="1414"/>
      <c r="D141" s="1415"/>
      <c r="E141" s="1415"/>
      <c r="F141" s="1415"/>
      <c r="G141" s="1415"/>
      <c r="H141" s="1415"/>
      <c r="I141" s="1415"/>
      <c r="J141" s="1415"/>
      <c r="K141" s="1415"/>
      <c r="L141" s="1415"/>
      <c r="M141" s="1415"/>
      <c r="N141" s="1415"/>
      <c r="O141" s="1415"/>
      <c r="P141" s="1415"/>
      <c r="Q141" s="1416"/>
      <c r="S141" s="173"/>
      <c r="AB141" s="288"/>
    </row>
    <row r="142" spans="2:29" outlineLevel="1">
      <c r="B142" s="332" t="s">
        <v>542</v>
      </c>
      <c r="C142" s="1414"/>
      <c r="D142" s="1415"/>
      <c r="E142" s="1415"/>
      <c r="F142" s="1415"/>
      <c r="G142" s="1415"/>
      <c r="H142" s="1415"/>
      <c r="I142" s="1415"/>
      <c r="J142" s="1415"/>
      <c r="K142" s="1415"/>
      <c r="L142" s="1415"/>
      <c r="M142" s="1415"/>
      <c r="N142" s="1415"/>
      <c r="O142" s="1415"/>
      <c r="P142" s="1415"/>
      <c r="Q142" s="1416"/>
      <c r="S142" s="173"/>
      <c r="AB142" s="288"/>
    </row>
    <row r="143" spans="2:29" outlineLevel="1">
      <c r="B143" s="328" t="s">
        <v>543</v>
      </c>
      <c r="C143" s="1411" t="s">
        <v>544</v>
      </c>
      <c r="D143" s="1412"/>
      <c r="E143" s="1412"/>
      <c r="F143" s="1412"/>
      <c r="G143" s="1412"/>
      <c r="H143" s="1412"/>
      <c r="I143" s="1412"/>
      <c r="J143" s="1412"/>
      <c r="K143" s="1412"/>
      <c r="L143" s="1412"/>
      <c r="M143" s="1412"/>
      <c r="N143" s="1412"/>
      <c r="O143" s="1412"/>
      <c r="P143" s="1412"/>
      <c r="Q143" s="1413"/>
      <c r="S143" s="173"/>
      <c r="AB143" s="288"/>
    </row>
    <row r="144" spans="2:29">
      <c r="AB144" s="288"/>
    </row>
    <row r="145" spans="2:29">
      <c r="F145" s="170"/>
      <c r="G145" s="170"/>
      <c r="H145" s="170"/>
      <c r="I145" s="170"/>
      <c r="AB145" s="288"/>
    </row>
    <row r="146" spans="2:29">
      <c r="B146" s="317" t="s">
        <v>546</v>
      </c>
      <c r="C146" s="317"/>
      <c r="D146" s="172" t="s">
        <v>692</v>
      </c>
      <c r="E146" s="151"/>
      <c r="AB146" s="288"/>
    </row>
    <row r="147" spans="2:29" outlineLevel="1">
      <c r="J147" s="1405"/>
      <c r="K147" s="1405"/>
      <c r="L147" s="1405"/>
      <c r="M147" s="1405"/>
      <c r="N147" s="1405"/>
      <c r="O147" s="1405"/>
      <c r="P147" s="1405"/>
      <c r="Q147" s="1405"/>
      <c r="R147" s="1406"/>
      <c r="S147" s="807"/>
      <c r="AB147" s="288"/>
    </row>
    <row r="148" spans="2:29" ht="32.25" customHeight="1" outlineLevel="1">
      <c r="B148" s="867"/>
      <c r="C148" s="877" t="s">
        <v>754</v>
      </c>
      <c r="D148" s="865" t="s">
        <v>530</v>
      </c>
      <c r="E148" s="866" t="s">
        <v>531</v>
      </c>
      <c r="F148" s="1454" t="s">
        <v>532</v>
      </c>
      <c r="G148" s="866" t="s">
        <v>548</v>
      </c>
      <c r="H148" s="865" t="s">
        <v>549</v>
      </c>
      <c r="I148" s="866" t="s">
        <v>550</v>
      </c>
      <c r="J148" s="877" t="s">
        <v>551</v>
      </c>
      <c r="K148" s="866" t="s">
        <v>548</v>
      </c>
      <c r="L148" s="865" t="s">
        <v>548</v>
      </c>
      <c r="M148" s="866" t="s">
        <v>548</v>
      </c>
      <c r="N148" s="865" t="s">
        <v>779</v>
      </c>
      <c r="O148" s="866" t="s">
        <v>779</v>
      </c>
      <c r="P148" s="865" t="s">
        <v>779</v>
      </c>
      <c r="Q148" s="1291" t="s">
        <v>773</v>
      </c>
      <c r="R148" s="807"/>
      <c r="S148" s="807"/>
      <c r="AB148" s="288"/>
    </row>
    <row r="149" spans="2:29" s="578" customFormat="1" ht="53.25" customHeight="1" outlineLevel="1">
      <c r="B149" s="572" t="s">
        <v>453</v>
      </c>
      <c r="C149" s="563"/>
      <c r="D149" s="563" t="s">
        <v>533</v>
      </c>
      <c r="E149" s="1075" t="s">
        <v>533</v>
      </c>
      <c r="F149" s="1455"/>
      <c r="G149" s="1084" t="s">
        <v>139</v>
      </c>
      <c r="H149" s="564" t="s">
        <v>139</v>
      </c>
      <c r="I149" s="1085" t="s">
        <v>454</v>
      </c>
      <c r="J149" s="564" t="s">
        <v>552</v>
      </c>
      <c r="K149" s="1084" t="s">
        <v>780</v>
      </c>
      <c r="L149" s="565" t="s">
        <v>781</v>
      </c>
      <c r="M149" s="1086" t="s">
        <v>782</v>
      </c>
      <c r="N149" s="564" t="s">
        <v>780</v>
      </c>
      <c r="O149" s="1086" t="s">
        <v>783</v>
      </c>
      <c r="P149" s="565" t="s">
        <v>782</v>
      </c>
      <c r="Q149" s="566" t="s">
        <v>155</v>
      </c>
      <c r="R149" s="573"/>
      <c r="S149" s="573"/>
      <c r="T149" s="574" t="s">
        <v>454</v>
      </c>
      <c r="U149" s="575" t="s">
        <v>454</v>
      </c>
      <c r="V149" s="575" t="s">
        <v>454</v>
      </c>
      <c r="W149" s="575" t="s">
        <v>454</v>
      </c>
      <c r="X149" s="575" t="s">
        <v>454</v>
      </c>
      <c r="Y149" s="575" t="s">
        <v>454</v>
      </c>
      <c r="Z149" s="575" t="s">
        <v>454</v>
      </c>
      <c r="AA149" s="576" t="s">
        <v>454</v>
      </c>
      <c r="AB149" s="577" t="s">
        <v>454</v>
      </c>
      <c r="AC149" s="575" t="s">
        <v>454</v>
      </c>
    </row>
    <row r="150" spans="2:29" outlineLevel="1">
      <c r="B150" s="332" t="s">
        <v>553</v>
      </c>
      <c r="C150" s="340"/>
      <c r="D150" s="340"/>
      <c r="E150" s="340"/>
      <c r="F150" s="340"/>
      <c r="G150" s="340"/>
      <c r="H150" s="340"/>
      <c r="I150" s="731"/>
      <c r="J150" s="340"/>
      <c r="K150" s="340"/>
      <c r="L150" s="731"/>
      <c r="M150" s="340"/>
      <c r="N150" s="340"/>
      <c r="O150" s="730"/>
      <c r="P150" s="340"/>
      <c r="Q150" s="340"/>
      <c r="R150" s="807"/>
      <c r="S150" s="807"/>
      <c r="T150" s="535"/>
      <c r="U150" s="535"/>
      <c r="V150" s="535"/>
      <c r="W150" s="535"/>
      <c r="X150" s="535"/>
      <c r="Y150" s="535"/>
      <c r="Z150" s="535"/>
      <c r="AA150" s="535"/>
      <c r="AB150" s="535"/>
      <c r="AC150" s="535"/>
    </row>
    <row r="151" spans="2:29" outlineLevel="1">
      <c r="B151" s="332" t="s">
        <v>554</v>
      </c>
      <c r="C151" s="340"/>
      <c r="D151" s="340"/>
      <c r="E151" s="340"/>
      <c r="F151" s="340"/>
      <c r="G151" s="340"/>
      <c r="H151" s="340"/>
      <c r="I151" s="731"/>
      <c r="J151" s="340"/>
      <c r="K151" s="340"/>
      <c r="L151" s="731"/>
      <c r="M151" s="340"/>
      <c r="N151" s="340"/>
      <c r="O151" s="730"/>
      <c r="P151" s="340"/>
      <c r="Q151" s="340"/>
      <c r="R151" s="807"/>
      <c r="S151" s="807"/>
      <c r="T151" s="535"/>
      <c r="U151" s="535"/>
      <c r="V151" s="535"/>
      <c r="W151" s="535"/>
      <c r="X151" s="535"/>
      <c r="Y151" s="535"/>
      <c r="Z151" s="535"/>
      <c r="AA151" s="535"/>
      <c r="AB151" s="535"/>
      <c r="AC151" s="535"/>
    </row>
    <row r="152" spans="2:29" outlineLevel="1">
      <c r="B152" s="332" t="s">
        <v>555</v>
      </c>
      <c r="C152" s="340"/>
      <c r="D152" s="340"/>
      <c r="E152" s="340"/>
      <c r="F152" s="340"/>
      <c r="G152" s="340"/>
      <c r="H152" s="340"/>
      <c r="I152" s="731"/>
      <c r="J152" s="340"/>
      <c r="K152" s="340"/>
      <c r="L152" s="731"/>
      <c r="M152" s="340"/>
      <c r="N152" s="340"/>
      <c r="O152" s="730"/>
      <c r="P152" s="340"/>
      <c r="Q152" s="340"/>
      <c r="R152" s="807"/>
      <c r="S152" s="807"/>
      <c r="T152" s="535"/>
      <c r="U152" s="535"/>
      <c r="V152" s="535"/>
      <c r="W152" s="535"/>
      <c r="X152" s="535"/>
      <c r="Y152" s="535"/>
      <c r="Z152" s="535"/>
      <c r="AA152" s="535"/>
      <c r="AB152" s="535"/>
      <c r="AC152" s="535"/>
    </row>
    <row r="153" spans="2:29" outlineLevel="1">
      <c r="B153" s="332" t="s">
        <v>556</v>
      </c>
      <c r="C153" s="340"/>
      <c r="D153" s="340"/>
      <c r="E153" s="340"/>
      <c r="F153" s="340"/>
      <c r="G153" s="340"/>
      <c r="H153" s="340"/>
      <c r="I153" s="731"/>
      <c r="J153" s="340"/>
      <c r="K153" s="340"/>
      <c r="L153" s="731"/>
      <c r="M153" s="340"/>
      <c r="N153" s="340"/>
      <c r="O153" s="730"/>
      <c r="P153" s="340"/>
      <c r="Q153" s="340"/>
      <c r="R153" s="807"/>
      <c r="S153" s="807"/>
      <c r="T153" s="535"/>
      <c r="U153" s="535"/>
      <c r="V153" s="535"/>
      <c r="W153" s="535"/>
      <c r="X153" s="535"/>
      <c r="Y153" s="535"/>
      <c r="Z153" s="535"/>
      <c r="AA153" s="535"/>
      <c r="AB153" s="535"/>
      <c r="AC153" s="535"/>
    </row>
    <row r="154" spans="2:29" outlineLevel="1">
      <c r="B154" s="332" t="s">
        <v>557</v>
      </c>
      <c r="C154" s="340"/>
      <c r="D154" s="340"/>
      <c r="E154" s="340"/>
      <c r="F154" s="340"/>
      <c r="G154" s="340"/>
      <c r="H154" s="340"/>
      <c r="I154" s="731"/>
      <c r="J154" s="340"/>
      <c r="K154" s="340"/>
      <c r="L154" s="731"/>
      <c r="M154" s="340"/>
      <c r="N154" s="340"/>
      <c r="O154" s="730"/>
      <c r="P154" s="340"/>
      <c r="Q154" s="340"/>
      <c r="R154" s="807"/>
      <c r="S154" s="807"/>
      <c r="T154" s="535"/>
      <c r="U154" s="535"/>
      <c r="V154" s="535"/>
      <c r="W154" s="535"/>
      <c r="X154" s="535"/>
      <c r="Y154" s="535"/>
      <c r="Z154" s="535"/>
      <c r="AA154" s="535"/>
      <c r="AB154" s="535"/>
      <c r="AC154" s="535"/>
    </row>
    <row r="155" spans="2:29" outlineLevel="1">
      <c r="B155" s="332" t="s">
        <v>558</v>
      </c>
      <c r="C155" s="340"/>
      <c r="D155" s="340"/>
      <c r="E155" s="340"/>
      <c r="F155" s="340"/>
      <c r="G155" s="340"/>
      <c r="H155" s="340"/>
      <c r="I155" s="731"/>
      <c r="J155" s="340"/>
      <c r="K155" s="340"/>
      <c r="L155" s="731"/>
      <c r="M155" s="340"/>
      <c r="N155" s="340"/>
      <c r="O155" s="730"/>
      <c r="P155" s="340"/>
      <c r="Q155" s="340"/>
      <c r="R155" s="807"/>
      <c r="S155" s="807"/>
      <c r="T155" s="535"/>
      <c r="U155" s="535"/>
      <c r="V155" s="535"/>
      <c r="W155" s="535"/>
      <c r="X155" s="535"/>
      <c r="Y155" s="535"/>
      <c r="Z155" s="535"/>
      <c r="AA155" s="535"/>
      <c r="AB155" s="535"/>
      <c r="AC155" s="535"/>
    </row>
    <row r="156" spans="2:29" outlineLevel="1">
      <c r="B156" s="332" t="s">
        <v>559</v>
      </c>
      <c r="C156" s="340"/>
      <c r="D156" s="340"/>
      <c r="E156" s="340"/>
      <c r="F156" s="340"/>
      <c r="G156" s="340"/>
      <c r="H156" s="340"/>
      <c r="I156" s="731"/>
      <c r="J156" s="340"/>
      <c r="K156" s="340"/>
      <c r="L156" s="731"/>
      <c r="M156" s="340"/>
      <c r="N156" s="340"/>
      <c r="O156" s="730"/>
      <c r="P156" s="340"/>
      <c r="Q156" s="340"/>
      <c r="R156" s="807"/>
      <c r="S156" s="807"/>
      <c r="T156" s="535"/>
      <c r="U156" s="535"/>
      <c r="V156" s="535"/>
      <c r="W156" s="535"/>
      <c r="X156" s="535"/>
      <c r="Y156" s="535"/>
      <c r="Z156" s="535"/>
      <c r="AA156" s="535"/>
      <c r="AB156" s="535"/>
      <c r="AC156" s="535"/>
    </row>
    <row r="157" spans="2:29" outlineLevel="1">
      <c r="B157" s="332" t="s">
        <v>560</v>
      </c>
      <c r="C157" s="340"/>
      <c r="D157" s="340"/>
      <c r="E157" s="340"/>
      <c r="F157" s="340"/>
      <c r="G157" s="340"/>
      <c r="H157" s="340"/>
      <c r="I157" s="731"/>
      <c r="J157" s="340"/>
      <c r="K157" s="340"/>
      <c r="L157" s="731"/>
      <c r="M157" s="340"/>
      <c r="N157" s="340"/>
      <c r="O157" s="730"/>
      <c r="P157" s="340"/>
      <c r="Q157" s="340"/>
      <c r="R157" s="807"/>
      <c r="S157" s="807"/>
      <c r="T157" s="535"/>
      <c r="U157" s="535"/>
      <c r="V157" s="535"/>
      <c r="W157" s="535"/>
      <c r="X157" s="535"/>
      <c r="Y157" s="535"/>
      <c r="Z157" s="535"/>
      <c r="AA157" s="535"/>
      <c r="AB157" s="535"/>
      <c r="AC157" s="535"/>
    </row>
    <row r="158" spans="2:29" outlineLevel="1">
      <c r="B158" s="332" t="s">
        <v>561</v>
      </c>
      <c r="C158" s="340"/>
      <c r="D158" s="340"/>
      <c r="E158" s="340"/>
      <c r="F158" s="340"/>
      <c r="G158" s="340"/>
      <c r="H158" s="340"/>
      <c r="I158" s="731"/>
      <c r="J158" s="340"/>
      <c r="K158" s="340"/>
      <c r="L158" s="731"/>
      <c r="M158" s="340"/>
      <c r="N158" s="340"/>
      <c r="O158" s="730"/>
      <c r="P158" s="340"/>
      <c r="Q158" s="340"/>
      <c r="R158" s="807"/>
      <c r="S158" s="807"/>
      <c r="T158" s="535"/>
      <c r="U158" s="535"/>
      <c r="V158" s="535"/>
      <c r="W158" s="535"/>
      <c r="X158" s="535"/>
      <c r="Y158" s="535"/>
      <c r="Z158" s="535"/>
      <c r="AA158" s="535"/>
      <c r="AB158" s="535"/>
      <c r="AC158" s="535"/>
    </row>
    <row r="159" spans="2:29" outlineLevel="1">
      <c r="B159" s="332" t="s">
        <v>562</v>
      </c>
      <c r="C159" s="340"/>
      <c r="D159" s="340"/>
      <c r="E159" s="340"/>
      <c r="F159" s="340"/>
      <c r="G159" s="340"/>
      <c r="H159" s="340"/>
      <c r="I159" s="731"/>
      <c r="J159" s="340"/>
      <c r="K159" s="340"/>
      <c r="L159" s="731"/>
      <c r="M159" s="340"/>
      <c r="N159" s="340"/>
      <c r="O159" s="730"/>
      <c r="P159" s="340"/>
      <c r="Q159" s="340"/>
      <c r="R159" s="807"/>
      <c r="S159" s="807"/>
      <c r="T159" s="535"/>
      <c r="U159" s="535"/>
      <c r="V159" s="535"/>
      <c r="W159" s="535"/>
      <c r="X159" s="535"/>
      <c r="Y159" s="535"/>
      <c r="Z159" s="535"/>
      <c r="AA159" s="535"/>
      <c r="AB159" s="535"/>
      <c r="AC159" s="535"/>
    </row>
    <row r="160" spans="2:29">
      <c r="F160" s="170"/>
      <c r="G160" s="170"/>
      <c r="H160" s="170"/>
      <c r="I160" s="170"/>
      <c r="S160" s="1076" t="s">
        <v>563</v>
      </c>
      <c r="T160" s="503">
        <f t="shared" ref="T160:AC160" si="8">SUM(T150:T159)</f>
        <v>0</v>
      </c>
      <c r="U160" s="504">
        <f t="shared" si="8"/>
        <v>0</v>
      </c>
      <c r="V160" s="504">
        <f t="shared" si="8"/>
        <v>0</v>
      </c>
      <c r="W160" s="504">
        <f t="shared" si="8"/>
        <v>0</v>
      </c>
      <c r="X160" s="504">
        <f t="shared" si="8"/>
        <v>0</v>
      </c>
      <c r="Y160" s="504">
        <f t="shared" si="8"/>
        <v>0</v>
      </c>
      <c r="Z160" s="504">
        <f t="shared" si="8"/>
        <v>0</v>
      </c>
      <c r="AA160" s="505">
        <f t="shared" si="8"/>
        <v>0</v>
      </c>
      <c r="AB160" s="506">
        <f t="shared" si="8"/>
        <v>0</v>
      </c>
      <c r="AC160" s="504">
        <f t="shared" si="8"/>
        <v>0</v>
      </c>
    </row>
    <row r="161" spans="2:29" outlineLevel="1">
      <c r="B161" s="333" t="s">
        <v>453</v>
      </c>
      <c r="C161" s="1417" t="s">
        <v>784</v>
      </c>
      <c r="D161" s="1418"/>
      <c r="E161" s="1418"/>
      <c r="F161" s="1418"/>
      <c r="G161" s="1418"/>
      <c r="H161" s="1418"/>
      <c r="I161" s="1418"/>
      <c r="J161" s="1418"/>
      <c r="K161" s="1418"/>
      <c r="L161" s="1418"/>
      <c r="M161" s="1418"/>
      <c r="N161" s="1418"/>
      <c r="O161" s="1418"/>
      <c r="P161" s="1418"/>
      <c r="Q161" s="1419"/>
      <c r="S161" s="154"/>
      <c r="AB161" s="288"/>
    </row>
    <row r="162" spans="2:29" outlineLevel="1">
      <c r="B162" s="332" t="s">
        <v>553</v>
      </c>
      <c r="C162" s="1414"/>
      <c r="D162" s="1415"/>
      <c r="E162" s="1415"/>
      <c r="F162" s="1415"/>
      <c r="G162" s="1415"/>
      <c r="H162" s="1415"/>
      <c r="I162" s="1415"/>
      <c r="J162" s="1415"/>
      <c r="K162" s="1415"/>
      <c r="L162" s="1415"/>
      <c r="M162" s="1415"/>
      <c r="N162" s="1415"/>
      <c r="O162" s="1415"/>
      <c r="P162" s="1415"/>
      <c r="Q162" s="1416"/>
      <c r="S162" s="173"/>
      <c r="AB162" s="288"/>
    </row>
    <row r="163" spans="2:29" outlineLevel="1">
      <c r="B163" s="332" t="s">
        <v>554</v>
      </c>
      <c r="C163" s="1414"/>
      <c r="D163" s="1415"/>
      <c r="E163" s="1415"/>
      <c r="F163" s="1415"/>
      <c r="G163" s="1415"/>
      <c r="H163" s="1415"/>
      <c r="I163" s="1415"/>
      <c r="J163" s="1415"/>
      <c r="K163" s="1415"/>
      <c r="L163" s="1415"/>
      <c r="M163" s="1415"/>
      <c r="N163" s="1415"/>
      <c r="O163" s="1415"/>
      <c r="P163" s="1415"/>
      <c r="Q163" s="1416"/>
      <c r="S163" s="173"/>
      <c r="AB163" s="288"/>
    </row>
    <row r="164" spans="2:29" outlineLevel="1">
      <c r="B164" s="332" t="s">
        <v>555</v>
      </c>
      <c r="C164" s="1414"/>
      <c r="D164" s="1415"/>
      <c r="E164" s="1415"/>
      <c r="F164" s="1415"/>
      <c r="G164" s="1415"/>
      <c r="H164" s="1415"/>
      <c r="I164" s="1415"/>
      <c r="J164" s="1415"/>
      <c r="K164" s="1415"/>
      <c r="L164" s="1415"/>
      <c r="M164" s="1415"/>
      <c r="N164" s="1415"/>
      <c r="O164" s="1415"/>
      <c r="P164" s="1415"/>
      <c r="Q164" s="1416"/>
      <c r="S164" s="173"/>
      <c r="AB164" s="288"/>
    </row>
    <row r="165" spans="2:29" outlineLevel="1">
      <c r="B165" s="332" t="s">
        <v>556</v>
      </c>
      <c r="C165" s="1414"/>
      <c r="D165" s="1415"/>
      <c r="E165" s="1415"/>
      <c r="F165" s="1415"/>
      <c r="G165" s="1415"/>
      <c r="H165" s="1415"/>
      <c r="I165" s="1415"/>
      <c r="J165" s="1415"/>
      <c r="K165" s="1415"/>
      <c r="L165" s="1415"/>
      <c r="M165" s="1415"/>
      <c r="N165" s="1415"/>
      <c r="O165" s="1415"/>
      <c r="P165" s="1415"/>
      <c r="Q165" s="1416"/>
      <c r="S165" s="173"/>
      <c r="AB165" s="288"/>
    </row>
    <row r="166" spans="2:29" outlineLevel="1">
      <c r="B166" s="332" t="s">
        <v>557</v>
      </c>
      <c r="C166" s="1414"/>
      <c r="D166" s="1415"/>
      <c r="E166" s="1415"/>
      <c r="F166" s="1415"/>
      <c r="G166" s="1415"/>
      <c r="H166" s="1415"/>
      <c r="I166" s="1415"/>
      <c r="J166" s="1415"/>
      <c r="K166" s="1415"/>
      <c r="L166" s="1415"/>
      <c r="M166" s="1415"/>
      <c r="N166" s="1415"/>
      <c r="O166" s="1415"/>
      <c r="P166" s="1415"/>
      <c r="Q166" s="1416"/>
      <c r="S166" s="173"/>
      <c r="AB166" s="288"/>
    </row>
    <row r="167" spans="2:29" outlineLevel="1">
      <c r="B167" s="332" t="s">
        <v>558</v>
      </c>
      <c r="C167" s="1414"/>
      <c r="D167" s="1415"/>
      <c r="E167" s="1415"/>
      <c r="F167" s="1415"/>
      <c r="G167" s="1415"/>
      <c r="H167" s="1415"/>
      <c r="I167" s="1415"/>
      <c r="J167" s="1415"/>
      <c r="K167" s="1415"/>
      <c r="L167" s="1415"/>
      <c r="M167" s="1415"/>
      <c r="N167" s="1415"/>
      <c r="O167" s="1415"/>
      <c r="P167" s="1415"/>
      <c r="Q167" s="1416"/>
      <c r="S167" s="173"/>
      <c r="AB167" s="288"/>
    </row>
    <row r="168" spans="2:29" outlineLevel="1">
      <c r="B168" s="332" t="s">
        <v>559</v>
      </c>
      <c r="C168" s="1414"/>
      <c r="D168" s="1415"/>
      <c r="E168" s="1415"/>
      <c r="F168" s="1415"/>
      <c r="G168" s="1415"/>
      <c r="H168" s="1415"/>
      <c r="I168" s="1415"/>
      <c r="J168" s="1415"/>
      <c r="K168" s="1415"/>
      <c r="L168" s="1415"/>
      <c r="M168" s="1415"/>
      <c r="N168" s="1415"/>
      <c r="O168" s="1415"/>
      <c r="P168" s="1415"/>
      <c r="Q168" s="1416"/>
      <c r="S168" s="173"/>
      <c r="AB168" s="288"/>
    </row>
    <row r="169" spans="2:29" outlineLevel="1">
      <c r="B169" s="332" t="s">
        <v>560</v>
      </c>
      <c r="C169" s="1414"/>
      <c r="D169" s="1415"/>
      <c r="E169" s="1415"/>
      <c r="F169" s="1415"/>
      <c r="G169" s="1415"/>
      <c r="H169" s="1415"/>
      <c r="I169" s="1415"/>
      <c r="J169" s="1415"/>
      <c r="K169" s="1415"/>
      <c r="L169" s="1415"/>
      <c r="M169" s="1415"/>
      <c r="N169" s="1415"/>
      <c r="O169" s="1415"/>
      <c r="P169" s="1415"/>
      <c r="Q169" s="1416"/>
      <c r="S169" s="173"/>
      <c r="AB169" s="288"/>
    </row>
    <row r="170" spans="2:29" outlineLevel="1">
      <c r="B170" s="332" t="s">
        <v>561</v>
      </c>
      <c r="C170" s="1414"/>
      <c r="D170" s="1415"/>
      <c r="E170" s="1415"/>
      <c r="F170" s="1415"/>
      <c r="G170" s="1415"/>
      <c r="H170" s="1415"/>
      <c r="I170" s="1415"/>
      <c r="J170" s="1415"/>
      <c r="K170" s="1415"/>
      <c r="L170" s="1415"/>
      <c r="M170" s="1415"/>
      <c r="N170" s="1415"/>
      <c r="O170" s="1415"/>
      <c r="P170" s="1415"/>
      <c r="Q170" s="1416"/>
      <c r="S170" s="173"/>
      <c r="AB170" s="288"/>
    </row>
    <row r="171" spans="2:29" outlineLevel="1">
      <c r="B171" s="334" t="s">
        <v>785</v>
      </c>
      <c r="C171" s="1414" t="s">
        <v>544</v>
      </c>
      <c r="D171" s="1415"/>
      <c r="E171" s="1415"/>
      <c r="F171" s="1415"/>
      <c r="G171" s="1415"/>
      <c r="H171" s="1415"/>
      <c r="I171" s="1415"/>
      <c r="J171" s="1415"/>
      <c r="K171" s="1415"/>
      <c r="L171" s="1415"/>
      <c r="M171" s="1415"/>
      <c r="N171" s="1415"/>
      <c r="O171" s="1415"/>
      <c r="P171" s="1415"/>
      <c r="Q171" s="1416"/>
      <c r="S171" s="173"/>
      <c r="AB171" s="288"/>
    </row>
    <row r="172" spans="2:29">
      <c r="F172" s="170"/>
      <c r="G172" s="170"/>
      <c r="H172" s="170"/>
      <c r="I172" s="170"/>
      <c r="AB172" s="288"/>
    </row>
    <row r="173" spans="2:29">
      <c r="B173" s="317" t="s">
        <v>564</v>
      </c>
      <c r="C173" s="317"/>
      <c r="D173" s="172" t="s">
        <v>693</v>
      </c>
      <c r="E173" s="151"/>
      <c r="AB173" s="288"/>
    </row>
    <row r="174" spans="2:29" outlineLevel="1">
      <c r="D174" s="151"/>
      <c r="E174" s="151"/>
      <c r="AB174" s="288"/>
    </row>
    <row r="175" spans="2:29" ht="32.25" customHeight="1" outlineLevel="1">
      <c r="B175" s="868"/>
      <c r="C175" s="877" t="s">
        <v>754</v>
      </c>
      <c r="D175" s="865" t="s">
        <v>530</v>
      </c>
      <c r="E175" s="866" t="s">
        <v>531</v>
      </c>
      <c r="F175" s="1454" t="s">
        <v>532</v>
      </c>
      <c r="G175" s="866" t="s">
        <v>548</v>
      </c>
      <c r="H175" s="865" t="s">
        <v>549</v>
      </c>
      <c r="I175" s="866" t="s">
        <v>550</v>
      </c>
      <c r="J175" s="877" t="s">
        <v>551</v>
      </c>
      <c r="K175" s="866" t="s">
        <v>548</v>
      </c>
      <c r="L175" s="865" t="s">
        <v>548</v>
      </c>
      <c r="M175" s="866" t="s">
        <v>548</v>
      </c>
      <c r="N175" s="865" t="s">
        <v>779</v>
      </c>
      <c r="O175" s="866" t="s">
        <v>779</v>
      </c>
      <c r="P175" s="865" t="s">
        <v>779</v>
      </c>
      <c r="Q175" s="1291" t="s">
        <v>773</v>
      </c>
      <c r="AB175" s="288"/>
    </row>
    <row r="176" spans="2:29" s="578" customFormat="1" ht="52.5" customHeight="1" outlineLevel="1">
      <c r="B176" s="572" t="s">
        <v>453</v>
      </c>
      <c r="C176" s="563"/>
      <c r="D176" s="563" t="s">
        <v>533</v>
      </c>
      <c r="E176" s="1075" t="s">
        <v>533</v>
      </c>
      <c r="F176" s="1455"/>
      <c r="G176" s="1084" t="s">
        <v>139</v>
      </c>
      <c r="H176" s="564" t="s">
        <v>139</v>
      </c>
      <c r="I176" s="1085" t="s">
        <v>454</v>
      </c>
      <c r="J176" s="564" t="s">
        <v>552</v>
      </c>
      <c r="K176" s="1084" t="s">
        <v>780</v>
      </c>
      <c r="L176" s="565" t="s">
        <v>781</v>
      </c>
      <c r="M176" s="1086" t="s">
        <v>782</v>
      </c>
      <c r="N176" s="564" t="s">
        <v>780</v>
      </c>
      <c r="O176" s="1086" t="s">
        <v>783</v>
      </c>
      <c r="P176" s="565" t="s">
        <v>782</v>
      </c>
      <c r="Q176" s="566" t="s">
        <v>155</v>
      </c>
      <c r="T176" s="574" t="s">
        <v>454</v>
      </c>
      <c r="U176" s="575" t="s">
        <v>454</v>
      </c>
      <c r="V176" s="575" t="s">
        <v>454</v>
      </c>
      <c r="W176" s="575" t="s">
        <v>454</v>
      </c>
      <c r="X176" s="575" t="s">
        <v>454</v>
      </c>
      <c r="Y176" s="575" t="s">
        <v>454</v>
      </c>
      <c r="Z176" s="575" t="s">
        <v>454</v>
      </c>
      <c r="AA176" s="576" t="s">
        <v>454</v>
      </c>
      <c r="AB176" s="577" t="s">
        <v>454</v>
      </c>
      <c r="AC176" s="575" t="s">
        <v>454</v>
      </c>
    </row>
    <row r="177" spans="2:29" outlineLevel="1">
      <c r="B177" s="332" t="s">
        <v>566</v>
      </c>
      <c r="C177" s="340"/>
      <c r="D177" s="340"/>
      <c r="E177" s="340"/>
      <c r="F177" s="354"/>
      <c r="G177" s="323"/>
      <c r="H177" s="323"/>
      <c r="I177" s="361"/>
      <c r="J177" s="355"/>
      <c r="K177" s="363"/>
      <c r="L177" s="356"/>
      <c r="M177" s="356"/>
      <c r="N177" s="357"/>
      <c r="O177" s="358"/>
      <c r="P177" s="359"/>
      <c r="Q177" s="329"/>
      <c r="T177" s="535"/>
      <c r="U177" s="536"/>
      <c r="V177" s="536"/>
      <c r="W177" s="536"/>
      <c r="X177" s="536"/>
      <c r="Y177" s="536"/>
      <c r="Z177" s="536"/>
      <c r="AA177" s="537"/>
      <c r="AB177" s="538"/>
      <c r="AC177" s="536"/>
    </row>
    <row r="178" spans="2:29" outlineLevel="1">
      <c r="B178" s="332" t="s">
        <v>567</v>
      </c>
      <c r="C178" s="320"/>
      <c r="D178" s="320"/>
      <c r="E178" s="320"/>
      <c r="F178" s="321"/>
      <c r="G178" s="323"/>
      <c r="H178" s="323"/>
      <c r="I178" s="362"/>
      <c r="J178" s="322"/>
      <c r="K178" s="363"/>
      <c r="L178" s="324"/>
      <c r="M178" s="356"/>
      <c r="N178" s="325"/>
      <c r="O178" s="326"/>
      <c r="P178" s="359"/>
      <c r="Q178" s="329"/>
      <c r="T178" s="535"/>
      <c r="U178" s="536"/>
      <c r="V178" s="536"/>
      <c r="W178" s="536"/>
      <c r="X178" s="536"/>
      <c r="Y178" s="536"/>
      <c r="Z178" s="536"/>
      <c r="AA178" s="537"/>
      <c r="AB178" s="538"/>
      <c r="AC178" s="536"/>
    </row>
    <row r="179" spans="2:29" outlineLevel="1">
      <c r="B179" s="332" t="s">
        <v>568</v>
      </c>
      <c r="C179" s="320"/>
      <c r="D179" s="320"/>
      <c r="E179" s="320"/>
      <c r="F179" s="321"/>
      <c r="G179" s="323"/>
      <c r="H179" s="323"/>
      <c r="I179" s="362"/>
      <c r="J179" s="322"/>
      <c r="K179" s="363"/>
      <c r="L179" s="324"/>
      <c r="M179" s="356"/>
      <c r="N179" s="325"/>
      <c r="O179" s="326"/>
      <c r="P179" s="359"/>
      <c r="Q179" s="329"/>
      <c r="T179" s="535"/>
      <c r="U179" s="536"/>
      <c r="V179" s="536"/>
      <c r="W179" s="536"/>
      <c r="X179" s="536"/>
      <c r="Y179" s="536"/>
      <c r="Z179" s="536"/>
      <c r="AA179" s="537"/>
      <c r="AB179" s="538"/>
      <c r="AC179" s="536"/>
    </row>
    <row r="180" spans="2:29" outlineLevel="1">
      <c r="B180" s="332" t="s">
        <v>569</v>
      </c>
      <c r="C180" s="320"/>
      <c r="D180" s="320"/>
      <c r="E180" s="320"/>
      <c r="F180" s="321"/>
      <c r="G180" s="323"/>
      <c r="H180" s="323"/>
      <c r="I180" s="362"/>
      <c r="J180" s="322"/>
      <c r="K180" s="363"/>
      <c r="L180" s="324"/>
      <c r="M180" s="356"/>
      <c r="N180" s="325"/>
      <c r="O180" s="326"/>
      <c r="P180" s="359"/>
      <c r="Q180" s="329"/>
      <c r="T180" s="535"/>
      <c r="U180" s="536"/>
      <c r="V180" s="536"/>
      <c r="W180" s="536"/>
      <c r="X180" s="536"/>
      <c r="Y180" s="536"/>
      <c r="Z180" s="536"/>
      <c r="AA180" s="537"/>
      <c r="AB180" s="538"/>
      <c r="AC180" s="536"/>
    </row>
    <row r="181" spans="2:29" outlineLevel="1">
      <c r="B181" s="332" t="s">
        <v>570</v>
      </c>
      <c r="C181" s="320"/>
      <c r="D181" s="320"/>
      <c r="E181" s="320"/>
      <c r="F181" s="321"/>
      <c r="G181" s="323"/>
      <c r="H181" s="323"/>
      <c r="I181" s="362"/>
      <c r="J181" s="322"/>
      <c r="K181" s="363"/>
      <c r="L181" s="324"/>
      <c r="M181" s="356"/>
      <c r="N181" s="325"/>
      <c r="O181" s="326"/>
      <c r="P181" s="359"/>
      <c r="Q181" s="329"/>
      <c r="T181" s="535"/>
      <c r="U181" s="536"/>
      <c r="V181" s="536"/>
      <c r="W181" s="536"/>
      <c r="X181" s="536"/>
      <c r="Y181" s="536"/>
      <c r="Z181" s="536"/>
      <c r="AA181" s="537"/>
      <c r="AB181" s="538"/>
      <c r="AC181" s="536"/>
    </row>
    <row r="182" spans="2:29" outlineLevel="1">
      <c r="B182" s="332" t="s">
        <v>571</v>
      </c>
      <c r="C182" s="320"/>
      <c r="D182" s="320"/>
      <c r="E182" s="320"/>
      <c r="F182" s="321"/>
      <c r="G182" s="323"/>
      <c r="H182" s="323"/>
      <c r="I182" s="362"/>
      <c r="J182" s="322"/>
      <c r="K182" s="363"/>
      <c r="L182" s="324"/>
      <c r="M182" s="356"/>
      <c r="N182" s="325"/>
      <c r="O182" s="326"/>
      <c r="P182" s="359"/>
      <c r="Q182" s="329"/>
      <c r="T182" s="535"/>
      <c r="U182" s="536"/>
      <c r="V182" s="536"/>
      <c r="W182" s="536"/>
      <c r="X182" s="536"/>
      <c r="Y182" s="536"/>
      <c r="Z182" s="536"/>
      <c r="AA182" s="537"/>
      <c r="AB182" s="538"/>
      <c r="AC182" s="536"/>
    </row>
    <row r="183" spans="2:29" outlineLevel="1">
      <c r="B183" s="332" t="s">
        <v>572</v>
      </c>
      <c r="C183" s="320"/>
      <c r="D183" s="320"/>
      <c r="E183" s="320"/>
      <c r="F183" s="321"/>
      <c r="G183" s="323"/>
      <c r="H183" s="323"/>
      <c r="I183" s="362"/>
      <c r="J183" s="322"/>
      <c r="K183" s="363"/>
      <c r="L183" s="324"/>
      <c r="M183" s="356"/>
      <c r="N183" s="325"/>
      <c r="O183" s="326"/>
      <c r="P183" s="359"/>
      <c r="Q183" s="329"/>
      <c r="T183" s="535"/>
      <c r="U183" s="536"/>
      <c r="V183" s="536"/>
      <c r="W183" s="536"/>
      <c r="X183" s="536"/>
      <c r="Y183" s="536"/>
      <c r="Z183" s="536"/>
      <c r="AA183" s="537"/>
      <c r="AB183" s="538"/>
      <c r="AC183" s="536"/>
    </row>
    <row r="184" spans="2:29" outlineLevel="1">
      <c r="B184" s="332" t="s">
        <v>573</v>
      </c>
      <c r="C184" s="320"/>
      <c r="D184" s="320"/>
      <c r="E184" s="320"/>
      <c r="F184" s="321"/>
      <c r="G184" s="323"/>
      <c r="H184" s="323"/>
      <c r="I184" s="362"/>
      <c r="J184" s="322"/>
      <c r="K184" s="363"/>
      <c r="L184" s="324"/>
      <c r="M184" s="356"/>
      <c r="N184" s="325"/>
      <c r="O184" s="326"/>
      <c r="P184" s="359"/>
      <c r="Q184" s="329"/>
      <c r="T184" s="535"/>
      <c r="U184" s="536"/>
      <c r="V184" s="536"/>
      <c r="W184" s="536"/>
      <c r="X184" s="536"/>
      <c r="Y184" s="536"/>
      <c r="Z184" s="536"/>
      <c r="AA184" s="537"/>
      <c r="AB184" s="538"/>
      <c r="AC184" s="536"/>
    </row>
    <row r="185" spans="2:29" outlineLevel="1">
      <c r="B185" s="332" t="s">
        <v>574</v>
      </c>
      <c r="C185" s="320"/>
      <c r="D185" s="320"/>
      <c r="E185" s="320"/>
      <c r="F185" s="321"/>
      <c r="G185" s="323"/>
      <c r="H185" s="323"/>
      <c r="I185" s="362"/>
      <c r="J185" s="322"/>
      <c r="K185" s="363"/>
      <c r="L185" s="324"/>
      <c r="M185" s="356"/>
      <c r="N185" s="325"/>
      <c r="O185" s="326"/>
      <c r="P185" s="359"/>
      <c r="Q185" s="327"/>
      <c r="T185" s="535"/>
      <c r="U185" s="536"/>
      <c r="V185" s="536"/>
      <c r="W185" s="536"/>
      <c r="X185" s="536"/>
      <c r="Y185" s="536"/>
      <c r="Z185" s="536"/>
      <c r="AA185" s="537"/>
      <c r="AB185" s="538"/>
      <c r="AC185" s="536"/>
    </row>
    <row r="186" spans="2:29" outlineLevel="1">
      <c r="B186" s="334" t="s">
        <v>575</v>
      </c>
      <c r="C186" s="1411" t="s">
        <v>544</v>
      </c>
      <c r="D186" s="1412"/>
      <c r="E186" s="1412"/>
      <c r="F186" s="1412"/>
      <c r="G186" s="1412"/>
      <c r="H186" s="1412"/>
      <c r="I186" s="1412"/>
      <c r="J186" s="1412"/>
      <c r="K186" s="1412"/>
      <c r="L186" s="1412"/>
      <c r="M186" s="1412"/>
      <c r="N186" s="1412"/>
      <c r="O186" s="1412"/>
      <c r="P186" s="1412"/>
      <c r="Q186" s="1413"/>
      <c r="T186" s="539"/>
      <c r="U186" s="540"/>
      <c r="V186" s="540"/>
      <c r="W186" s="540"/>
      <c r="X186" s="540"/>
      <c r="Y186" s="540"/>
      <c r="Z186" s="540"/>
      <c r="AA186" s="541"/>
      <c r="AB186" s="542"/>
      <c r="AC186" s="540"/>
    </row>
    <row r="187" spans="2:29">
      <c r="F187" s="170"/>
      <c r="G187" s="170"/>
      <c r="H187" s="170"/>
      <c r="I187" s="170"/>
      <c r="S187" s="1076" t="s">
        <v>576</v>
      </c>
      <c r="T187" s="503">
        <f>SUM(T177:T186)</f>
        <v>0</v>
      </c>
      <c r="U187" s="504">
        <f t="shared" ref="U187:AC187" si="9">SUM(U177:U186)</f>
        <v>0</v>
      </c>
      <c r="V187" s="504">
        <f t="shared" si="9"/>
        <v>0</v>
      </c>
      <c r="W187" s="504">
        <f t="shared" si="9"/>
        <v>0</v>
      </c>
      <c r="X187" s="504">
        <f t="shared" si="9"/>
        <v>0</v>
      </c>
      <c r="Y187" s="504">
        <f t="shared" si="9"/>
        <v>0</v>
      </c>
      <c r="Z187" s="504">
        <f t="shared" si="9"/>
        <v>0</v>
      </c>
      <c r="AA187" s="505">
        <f t="shared" si="9"/>
        <v>0</v>
      </c>
      <c r="AB187" s="506">
        <f t="shared" si="9"/>
        <v>0</v>
      </c>
      <c r="AC187" s="504">
        <f t="shared" si="9"/>
        <v>0</v>
      </c>
    </row>
    <row r="188" spans="2:29" outlineLevel="1">
      <c r="B188" s="333" t="s">
        <v>453</v>
      </c>
      <c r="C188" s="1417" t="s">
        <v>784</v>
      </c>
      <c r="D188" s="1418"/>
      <c r="E188" s="1418"/>
      <c r="F188" s="1418"/>
      <c r="G188" s="1418"/>
      <c r="H188" s="1418"/>
      <c r="I188" s="1418"/>
      <c r="J188" s="1418"/>
      <c r="K188" s="1418"/>
      <c r="L188" s="1418"/>
      <c r="M188" s="1418"/>
      <c r="N188" s="1418"/>
      <c r="O188" s="1418"/>
      <c r="P188" s="1418"/>
      <c r="Q188" s="1419"/>
      <c r="S188" s="154"/>
      <c r="AB188" s="288"/>
    </row>
    <row r="189" spans="2:29" outlineLevel="1">
      <c r="B189" s="332" t="s">
        <v>566</v>
      </c>
      <c r="C189" s="1414"/>
      <c r="D189" s="1415"/>
      <c r="E189" s="1415"/>
      <c r="F189" s="1415"/>
      <c r="G189" s="1415"/>
      <c r="H189" s="1415"/>
      <c r="I189" s="1415"/>
      <c r="J189" s="1415"/>
      <c r="K189" s="1415"/>
      <c r="L189" s="1415"/>
      <c r="M189" s="1415"/>
      <c r="N189" s="1415"/>
      <c r="O189" s="1415"/>
      <c r="P189" s="1415"/>
      <c r="Q189" s="1416"/>
      <c r="S189" s="173"/>
      <c r="AB189" s="288"/>
    </row>
    <row r="190" spans="2:29" outlineLevel="1">
      <c r="B190" s="332" t="s">
        <v>567</v>
      </c>
      <c r="C190" s="1414"/>
      <c r="D190" s="1415"/>
      <c r="E190" s="1415"/>
      <c r="F190" s="1415"/>
      <c r="G190" s="1415"/>
      <c r="H190" s="1415"/>
      <c r="I190" s="1415"/>
      <c r="J190" s="1415"/>
      <c r="K190" s="1415"/>
      <c r="L190" s="1415"/>
      <c r="M190" s="1415"/>
      <c r="N190" s="1415"/>
      <c r="O190" s="1415"/>
      <c r="P190" s="1415"/>
      <c r="Q190" s="1416"/>
      <c r="S190" s="173"/>
      <c r="AB190" s="288"/>
    </row>
    <row r="191" spans="2:29" outlineLevel="1">
      <c r="B191" s="332" t="s">
        <v>568</v>
      </c>
      <c r="C191" s="1414"/>
      <c r="D191" s="1415"/>
      <c r="E191" s="1415"/>
      <c r="F191" s="1415"/>
      <c r="G191" s="1415"/>
      <c r="H191" s="1415"/>
      <c r="I191" s="1415"/>
      <c r="J191" s="1415"/>
      <c r="K191" s="1415"/>
      <c r="L191" s="1415"/>
      <c r="M191" s="1415"/>
      <c r="N191" s="1415"/>
      <c r="O191" s="1415"/>
      <c r="P191" s="1415"/>
      <c r="Q191" s="1416"/>
      <c r="S191" s="173"/>
      <c r="AB191" s="288"/>
    </row>
    <row r="192" spans="2:29" outlineLevel="1">
      <c r="B192" s="332" t="s">
        <v>569</v>
      </c>
      <c r="C192" s="1414"/>
      <c r="D192" s="1415"/>
      <c r="E192" s="1415"/>
      <c r="F192" s="1415"/>
      <c r="G192" s="1415"/>
      <c r="H192" s="1415"/>
      <c r="I192" s="1415"/>
      <c r="J192" s="1415"/>
      <c r="K192" s="1415"/>
      <c r="L192" s="1415"/>
      <c r="M192" s="1415"/>
      <c r="N192" s="1415"/>
      <c r="O192" s="1415"/>
      <c r="P192" s="1415"/>
      <c r="Q192" s="1416"/>
      <c r="S192" s="173"/>
      <c r="AB192" s="288"/>
    </row>
    <row r="193" spans="2:29" outlineLevel="1">
      <c r="B193" s="332" t="s">
        <v>570</v>
      </c>
      <c r="C193" s="1414"/>
      <c r="D193" s="1415"/>
      <c r="E193" s="1415"/>
      <c r="F193" s="1415"/>
      <c r="G193" s="1415"/>
      <c r="H193" s="1415"/>
      <c r="I193" s="1415"/>
      <c r="J193" s="1415"/>
      <c r="K193" s="1415"/>
      <c r="L193" s="1415"/>
      <c r="M193" s="1415"/>
      <c r="N193" s="1415"/>
      <c r="O193" s="1415"/>
      <c r="P193" s="1415"/>
      <c r="Q193" s="1416"/>
      <c r="S193" s="173"/>
      <c r="AB193" s="288"/>
    </row>
    <row r="194" spans="2:29" outlineLevel="1">
      <c r="B194" s="332" t="s">
        <v>571</v>
      </c>
      <c r="C194" s="1414"/>
      <c r="D194" s="1415"/>
      <c r="E194" s="1415"/>
      <c r="F194" s="1415"/>
      <c r="G194" s="1415"/>
      <c r="H194" s="1415"/>
      <c r="I194" s="1415"/>
      <c r="J194" s="1415"/>
      <c r="K194" s="1415"/>
      <c r="L194" s="1415"/>
      <c r="M194" s="1415"/>
      <c r="N194" s="1415"/>
      <c r="O194" s="1415"/>
      <c r="P194" s="1415"/>
      <c r="Q194" s="1416"/>
      <c r="S194" s="173"/>
      <c r="AB194" s="288"/>
    </row>
    <row r="195" spans="2:29" outlineLevel="1">
      <c r="B195" s="332" t="s">
        <v>572</v>
      </c>
      <c r="C195" s="1414"/>
      <c r="D195" s="1415"/>
      <c r="E195" s="1415"/>
      <c r="F195" s="1415"/>
      <c r="G195" s="1415"/>
      <c r="H195" s="1415"/>
      <c r="I195" s="1415"/>
      <c r="J195" s="1415"/>
      <c r="K195" s="1415"/>
      <c r="L195" s="1415"/>
      <c r="M195" s="1415"/>
      <c r="N195" s="1415"/>
      <c r="O195" s="1415"/>
      <c r="P195" s="1415"/>
      <c r="Q195" s="1416"/>
      <c r="S195" s="173"/>
      <c r="AB195" s="288"/>
    </row>
    <row r="196" spans="2:29" outlineLevel="1">
      <c r="B196" s="332" t="s">
        <v>573</v>
      </c>
      <c r="C196" s="1414"/>
      <c r="D196" s="1415"/>
      <c r="E196" s="1415"/>
      <c r="F196" s="1415"/>
      <c r="G196" s="1415"/>
      <c r="H196" s="1415"/>
      <c r="I196" s="1415"/>
      <c r="J196" s="1415"/>
      <c r="K196" s="1415"/>
      <c r="L196" s="1415"/>
      <c r="M196" s="1415"/>
      <c r="N196" s="1415"/>
      <c r="O196" s="1415"/>
      <c r="P196" s="1415"/>
      <c r="Q196" s="1416"/>
      <c r="S196" s="173"/>
      <c r="AB196" s="288"/>
    </row>
    <row r="197" spans="2:29" outlineLevel="1">
      <c r="B197" s="332" t="s">
        <v>574</v>
      </c>
      <c r="C197" s="1414"/>
      <c r="D197" s="1415"/>
      <c r="E197" s="1415"/>
      <c r="F197" s="1415"/>
      <c r="G197" s="1415"/>
      <c r="H197" s="1415"/>
      <c r="I197" s="1415"/>
      <c r="J197" s="1415"/>
      <c r="K197" s="1415"/>
      <c r="L197" s="1415"/>
      <c r="M197" s="1415"/>
      <c r="N197" s="1415"/>
      <c r="O197" s="1415"/>
      <c r="P197" s="1415"/>
      <c r="Q197" s="1416"/>
      <c r="S197" s="173"/>
      <c r="AB197" s="288"/>
    </row>
    <row r="198" spans="2:29" outlineLevel="1">
      <c r="B198" s="334" t="s">
        <v>575</v>
      </c>
      <c r="C198" s="1411" t="s">
        <v>544</v>
      </c>
      <c r="D198" s="1412"/>
      <c r="E198" s="1412"/>
      <c r="F198" s="1412"/>
      <c r="G198" s="1412"/>
      <c r="H198" s="1412"/>
      <c r="I198" s="1412"/>
      <c r="J198" s="1412"/>
      <c r="K198" s="1412"/>
      <c r="L198" s="1412"/>
      <c r="M198" s="1412"/>
      <c r="N198" s="1412"/>
      <c r="O198" s="1412"/>
      <c r="P198" s="1412"/>
      <c r="Q198" s="1413"/>
      <c r="S198" s="173"/>
      <c r="AB198" s="288"/>
    </row>
    <row r="199" spans="2:29">
      <c r="AB199" s="288"/>
    </row>
    <row r="200" spans="2:29">
      <c r="F200" s="170"/>
      <c r="G200" s="170"/>
      <c r="H200" s="170"/>
      <c r="I200" s="170"/>
      <c r="AB200" s="288"/>
    </row>
    <row r="201" spans="2:29">
      <c r="B201" s="317" t="s">
        <v>577</v>
      </c>
      <c r="C201" s="317"/>
      <c r="D201" s="172" t="s">
        <v>694</v>
      </c>
      <c r="E201" s="151"/>
      <c r="AB201" s="288"/>
    </row>
    <row r="202" spans="2:29" outlineLevel="1">
      <c r="AB202" s="288"/>
    </row>
    <row r="203" spans="2:29" ht="25.5" customHeight="1" outlineLevel="1">
      <c r="B203" s="869"/>
      <c r="C203" s="877" t="s">
        <v>754</v>
      </c>
      <c r="D203" s="865" t="s">
        <v>530</v>
      </c>
      <c r="E203" s="865" t="s">
        <v>531</v>
      </c>
      <c r="F203" s="1426" t="s">
        <v>532</v>
      </c>
      <c r="G203" s="1427"/>
      <c r="H203" s="1427"/>
      <c r="I203" s="1427"/>
      <c r="J203" s="1427"/>
      <c r="K203" s="1427"/>
      <c r="L203" s="1427"/>
      <c r="M203" s="1427"/>
      <c r="N203" s="1428"/>
      <c r="O203" s="877" t="s">
        <v>550</v>
      </c>
      <c r="P203" s="865" t="s">
        <v>786</v>
      </c>
      <c r="Q203" s="883" t="s">
        <v>773</v>
      </c>
      <c r="AB203" s="288"/>
    </row>
    <row r="204" spans="2:29" ht="25.5" customHeight="1" outlineLevel="1">
      <c r="B204" s="351" t="s">
        <v>453</v>
      </c>
      <c r="C204" s="622"/>
      <c r="D204" s="345" t="s">
        <v>533</v>
      </c>
      <c r="E204" s="345" t="s">
        <v>533</v>
      </c>
      <c r="F204" s="1429"/>
      <c r="G204" s="1430"/>
      <c r="H204" s="1430"/>
      <c r="I204" s="1430"/>
      <c r="J204" s="1430"/>
      <c r="K204" s="1430"/>
      <c r="L204" s="1430"/>
      <c r="M204" s="1430"/>
      <c r="N204" s="1431"/>
      <c r="O204" s="364" t="s">
        <v>454</v>
      </c>
      <c r="P204" s="360" t="s">
        <v>216</v>
      </c>
      <c r="Q204" s="365" t="s">
        <v>155</v>
      </c>
      <c r="T204" s="197" t="s">
        <v>454</v>
      </c>
      <c r="U204" s="198" t="s">
        <v>454</v>
      </c>
      <c r="V204" s="198" t="s">
        <v>454</v>
      </c>
      <c r="W204" s="198" t="s">
        <v>454</v>
      </c>
      <c r="X204" s="198" t="s">
        <v>454</v>
      </c>
      <c r="Y204" s="198" t="s">
        <v>454</v>
      </c>
      <c r="Z204" s="198" t="s">
        <v>454</v>
      </c>
      <c r="AA204" s="283" t="s">
        <v>454</v>
      </c>
      <c r="AB204" s="301" t="s">
        <v>454</v>
      </c>
      <c r="AC204" s="198" t="s">
        <v>454</v>
      </c>
    </row>
    <row r="205" spans="2:29" outlineLevel="1">
      <c r="B205" s="353" t="s">
        <v>579</v>
      </c>
      <c r="C205" s="340"/>
      <c r="D205" s="340"/>
      <c r="E205" s="340"/>
      <c r="F205" s="1432"/>
      <c r="G205" s="1433"/>
      <c r="H205" s="1433"/>
      <c r="I205" s="1433"/>
      <c r="J205" s="1433"/>
      <c r="K205" s="1433"/>
      <c r="L205" s="1433"/>
      <c r="M205" s="1433"/>
      <c r="N205" s="1434"/>
      <c r="O205" s="366"/>
      <c r="P205" s="357"/>
      <c r="Q205" s="329"/>
      <c r="T205" s="535"/>
      <c r="U205" s="536"/>
      <c r="V205" s="536"/>
      <c r="W205" s="536"/>
      <c r="X205" s="536"/>
      <c r="Y205" s="536"/>
      <c r="Z205" s="536"/>
      <c r="AA205" s="537"/>
      <c r="AB205" s="538"/>
      <c r="AC205" s="536"/>
    </row>
    <row r="206" spans="2:29" outlineLevel="1">
      <c r="B206" s="332" t="s">
        <v>580</v>
      </c>
      <c r="C206" s="340"/>
      <c r="D206" s="340"/>
      <c r="E206" s="340"/>
      <c r="F206" s="1420"/>
      <c r="G206" s="1421"/>
      <c r="H206" s="1421"/>
      <c r="I206" s="1421"/>
      <c r="J206" s="1421"/>
      <c r="K206" s="1421"/>
      <c r="L206" s="1421"/>
      <c r="M206" s="1421"/>
      <c r="N206" s="1422"/>
      <c r="O206" s="366"/>
      <c r="P206" s="359"/>
      <c r="Q206" s="329"/>
      <c r="T206" s="535"/>
      <c r="U206" s="536"/>
      <c r="V206" s="536"/>
      <c r="W206" s="536"/>
      <c r="X206" s="536"/>
      <c r="Y206" s="536"/>
      <c r="Z206" s="536"/>
      <c r="AA206" s="537"/>
      <c r="AB206" s="538"/>
      <c r="AC206" s="536"/>
    </row>
    <row r="207" spans="2:29" outlineLevel="1">
      <c r="B207" s="332" t="s">
        <v>581</v>
      </c>
      <c r="C207" s="340"/>
      <c r="D207" s="340"/>
      <c r="E207" s="340"/>
      <c r="F207" s="1420"/>
      <c r="G207" s="1421"/>
      <c r="H207" s="1421"/>
      <c r="I207" s="1421"/>
      <c r="J207" s="1421"/>
      <c r="K207" s="1421"/>
      <c r="L207" s="1421"/>
      <c r="M207" s="1421"/>
      <c r="N207" s="1422"/>
      <c r="O207" s="366"/>
      <c r="P207" s="359"/>
      <c r="Q207" s="329"/>
      <c r="T207" s="535"/>
      <c r="U207" s="536"/>
      <c r="V207" s="536"/>
      <c r="W207" s="536"/>
      <c r="X207" s="536"/>
      <c r="Y207" s="536"/>
      <c r="Z207" s="536"/>
      <c r="AA207" s="537"/>
      <c r="AB207" s="538"/>
      <c r="AC207" s="536"/>
    </row>
    <row r="208" spans="2:29" outlineLevel="1">
      <c r="B208" s="332" t="s">
        <v>582</v>
      </c>
      <c r="C208" s="340"/>
      <c r="D208" s="340"/>
      <c r="E208" s="340"/>
      <c r="F208" s="1420"/>
      <c r="G208" s="1421"/>
      <c r="H208" s="1421"/>
      <c r="I208" s="1421"/>
      <c r="J208" s="1421"/>
      <c r="K208" s="1421"/>
      <c r="L208" s="1421"/>
      <c r="M208" s="1421"/>
      <c r="N208" s="1422"/>
      <c r="O208" s="366"/>
      <c r="P208" s="359"/>
      <c r="Q208" s="329"/>
      <c r="T208" s="535"/>
      <c r="U208" s="536"/>
      <c r="V208" s="536"/>
      <c r="W208" s="536"/>
      <c r="X208" s="536"/>
      <c r="Y208" s="536"/>
      <c r="Z208" s="536"/>
      <c r="AA208" s="537"/>
      <c r="AB208" s="538"/>
      <c r="AC208" s="536"/>
    </row>
    <row r="209" spans="2:29" outlineLevel="1">
      <c r="B209" s="334" t="s">
        <v>583</v>
      </c>
      <c r="C209" s="1411" t="s">
        <v>544</v>
      </c>
      <c r="D209" s="1412"/>
      <c r="E209" s="1412"/>
      <c r="F209" s="1412"/>
      <c r="G209" s="1412"/>
      <c r="H209" s="1412"/>
      <c r="I209" s="1412"/>
      <c r="J209" s="1412"/>
      <c r="K209" s="1412"/>
      <c r="L209" s="1412"/>
      <c r="M209" s="1412"/>
      <c r="N209" s="1412"/>
      <c r="O209" s="1412"/>
      <c r="P209" s="1412"/>
      <c r="Q209" s="1413"/>
      <c r="T209" s="539"/>
      <c r="U209" s="540"/>
      <c r="V209" s="540"/>
      <c r="W209" s="540"/>
      <c r="X209" s="540"/>
      <c r="Y209" s="540"/>
      <c r="Z209" s="540"/>
      <c r="AA209" s="541"/>
      <c r="AB209" s="542"/>
      <c r="AC209" s="540"/>
    </row>
    <row r="210" spans="2:29">
      <c r="F210" s="170"/>
      <c r="G210" s="170"/>
      <c r="H210" s="170"/>
      <c r="I210" s="170"/>
      <c r="S210" s="1076" t="s">
        <v>584</v>
      </c>
      <c r="T210" s="503">
        <f t="shared" ref="T210:AC210" si="10">SUM(T205:T209)</f>
        <v>0</v>
      </c>
      <c r="U210" s="504">
        <f t="shared" si="10"/>
        <v>0</v>
      </c>
      <c r="V210" s="504">
        <f t="shared" si="10"/>
        <v>0</v>
      </c>
      <c r="W210" s="504">
        <f t="shared" si="10"/>
        <v>0</v>
      </c>
      <c r="X210" s="504">
        <f t="shared" si="10"/>
        <v>0</v>
      </c>
      <c r="Y210" s="504">
        <f t="shared" si="10"/>
        <v>0</v>
      </c>
      <c r="Z210" s="504">
        <f t="shared" si="10"/>
        <v>0</v>
      </c>
      <c r="AA210" s="505">
        <f t="shared" si="10"/>
        <v>0</v>
      </c>
      <c r="AB210" s="506">
        <f t="shared" si="10"/>
        <v>0</v>
      </c>
      <c r="AC210" s="504">
        <f t="shared" si="10"/>
        <v>0</v>
      </c>
    </row>
    <row r="211" spans="2:29" outlineLevel="1">
      <c r="B211" s="333" t="s">
        <v>453</v>
      </c>
      <c r="C211" s="1417" t="s">
        <v>784</v>
      </c>
      <c r="D211" s="1418"/>
      <c r="E211" s="1418"/>
      <c r="F211" s="1418"/>
      <c r="G211" s="1418"/>
      <c r="H211" s="1418"/>
      <c r="I211" s="1418"/>
      <c r="J211" s="1418"/>
      <c r="K211" s="1418"/>
      <c r="L211" s="1418"/>
      <c r="M211" s="1418"/>
      <c r="N211" s="1418"/>
      <c r="O211" s="1418"/>
      <c r="P211" s="1418"/>
      <c r="Q211" s="1419"/>
      <c r="AB211" s="288"/>
    </row>
    <row r="212" spans="2:29" outlineLevel="1">
      <c r="B212" s="332" t="s">
        <v>579</v>
      </c>
      <c r="C212" s="1414"/>
      <c r="D212" s="1415"/>
      <c r="E212" s="1415"/>
      <c r="F212" s="1415"/>
      <c r="G212" s="1415"/>
      <c r="H212" s="1415"/>
      <c r="I212" s="1415"/>
      <c r="J212" s="1415"/>
      <c r="K212" s="1415"/>
      <c r="L212" s="1415"/>
      <c r="M212" s="1415"/>
      <c r="N212" s="1415"/>
      <c r="O212" s="1415"/>
      <c r="P212" s="1415"/>
      <c r="Q212" s="1416"/>
      <c r="AB212" s="288"/>
    </row>
    <row r="213" spans="2:29" outlineLevel="1">
      <c r="B213" s="332" t="s">
        <v>580</v>
      </c>
      <c r="C213" s="1414"/>
      <c r="D213" s="1415"/>
      <c r="E213" s="1415"/>
      <c r="F213" s="1415"/>
      <c r="G213" s="1415"/>
      <c r="H213" s="1415"/>
      <c r="I213" s="1415"/>
      <c r="J213" s="1415"/>
      <c r="K213" s="1415"/>
      <c r="L213" s="1415"/>
      <c r="M213" s="1415"/>
      <c r="N213" s="1415"/>
      <c r="O213" s="1415"/>
      <c r="P213" s="1415"/>
      <c r="Q213" s="1416"/>
      <c r="AB213" s="288"/>
    </row>
    <row r="214" spans="2:29" outlineLevel="1">
      <c r="B214" s="332" t="s">
        <v>581</v>
      </c>
      <c r="C214" s="1414"/>
      <c r="D214" s="1415"/>
      <c r="E214" s="1415"/>
      <c r="F214" s="1415"/>
      <c r="G214" s="1415"/>
      <c r="H214" s="1415"/>
      <c r="I214" s="1415"/>
      <c r="J214" s="1415"/>
      <c r="K214" s="1415"/>
      <c r="L214" s="1415"/>
      <c r="M214" s="1415"/>
      <c r="N214" s="1415"/>
      <c r="O214" s="1415"/>
      <c r="P214" s="1415"/>
      <c r="Q214" s="1416"/>
      <c r="AB214" s="288"/>
    </row>
    <row r="215" spans="2:29" outlineLevel="1">
      <c r="B215" s="332" t="s">
        <v>582</v>
      </c>
      <c r="C215" s="1414"/>
      <c r="D215" s="1415"/>
      <c r="E215" s="1415"/>
      <c r="F215" s="1415"/>
      <c r="G215" s="1415"/>
      <c r="H215" s="1415"/>
      <c r="I215" s="1415"/>
      <c r="J215" s="1415"/>
      <c r="K215" s="1415"/>
      <c r="L215" s="1415"/>
      <c r="M215" s="1415"/>
      <c r="N215" s="1415"/>
      <c r="O215" s="1415"/>
      <c r="P215" s="1415"/>
      <c r="Q215" s="1416"/>
      <c r="AB215" s="288"/>
    </row>
    <row r="216" spans="2:29" outlineLevel="1">
      <c r="B216" s="334" t="s">
        <v>583</v>
      </c>
      <c r="C216" s="1411" t="s">
        <v>544</v>
      </c>
      <c r="D216" s="1412"/>
      <c r="E216" s="1412"/>
      <c r="F216" s="1412"/>
      <c r="G216" s="1412"/>
      <c r="H216" s="1412"/>
      <c r="I216" s="1412"/>
      <c r="J216" s="1412"/>
      <c r="K216" s="1412"/>
      <c r="L216" s="1412"/>
      <c r="M216" s="1412"/>
      <c r="N216" s="1412"/>
      <c r="O216" s="1412"/>
      <c r="P216" s="1412"/>
      <c r="Q216" s="1413"/>
      <c r="AB216" s="288"/>
    </row>
    <row r="217" spans="2:29">
      <c r="AB217" s="288"/>
    </row>
    <row r="218" spans="2:29">
      <c r="F218" s="170"/>
      <c r="G218" s="170"/>
      <c r="H218" s="170"/>
      <c r="I218" s="170"/>
      <c r="AB218" s="288"/>
    </row>
    <row r="219" spans="2:29">
      <c r="B219" s="317" t="s">
        <v>585</v>
      </c>
      <c r="C219" s="317"/>
      <c r="D219" s="172" t="s">
        <v>695</v>
      </c>
      <c r="E219" s="151"/>
      <c r="AB219" s="288"/>
    </row>
    <row r="220" spans="2:29">
      <c r="B220" s="317"/>
      <c r="C220" s="317"/>
      <c r="D220" s="151"/>
      <c r="E220" s="151"/>
      <c r="AB220" s="288"/>
    </row>
    <row r="221" spans="2:29" ht="40.5" outlineLevel="1">
      <c r="B221" s="869"/>
      <c r="C221" s="877" t="s">
        <v>754</v>
      </c>
      <c r="D221" s="865" t="s">
        <v>530</v>
      </c>
      <c r="E221" s="865" t="s">
        <v>531</v>
      </c>
      <c r="F221" s="1426" t="s">
        <v>532</v>
      </c>
      <c r="G221" s="1427"/>
      <c r="H221" s="1427"/>
      <c r="I221" s="1427"/>
      <c r="J221" s="1427"/>
      <c r="K221" s="1427"/>
      <c r="L221" s="1427"/>
      <c r="M221" s="1427"/>
      <c r="N221" s="1428"/>
      <c r="O221" s="877" t="s">
        <v>550</v>
      </c>
      <c r="P221" s="865" t="s">
        <v>787</v>
      </c>
      <c r="Q221" s="883" t="s">
        <v>773</v>
      </c>
      <c r="AB221" s="288"/>
    </row>
    <row r="222" spans="2:29" ht="27" outlineLevel="1">
      <c r="B222" s="351" t="s">
        <v>453</v>
      </c>
      <c r="C222" s="622"/>
      <c r="D222" s="345" t="s">
        <v>533</v>
      </c>
      <c r="E222" s="345" t="s">
        <v>533</v>
      </c>
      <c r="F222" s="1429"/>
      <c r="G222" s="1430"/>
      <c r="H222" s="1430"/>
      <c r="I222" s="1430"/>
      <c r="J222" s="1430"/>
      <c r="K222" s="1430"/>
      <c r="L222" s="1430"/>
      <c r="M222" s="1430"/>
      <c r="N222" s="1431"/>
      <c r="O222" s="364" t="s">
        <v>454</v>
      </c>
      <c r="P222" s="360" t="s">
        <v>788</v>
      </c>
      <c r="Q222" s="365" t="s">
        <v>155</v>
      </c>
      <c r="T222" s="197" t="s">
        <v>454</v>
      </c>
      <c r="U222" s="198" t="s">
        <v>454</v>
      </c>
      <c r="V222" s="198" t="s">
        <v>454</v>
      </c>
      <c r="W222" s="198" t="s">
        <v>454</v>
      </c>
      <c r="X222" s="198" t="s">
        <v>454</v>
      </c>
      <c r="Y222" s="198" t="s">
        <v>454</v>
      </c>
      <c r="Z222" s="198" t="s">
        <v>454</v>
      </c>
      <c r="AA222" s="283" t="s">
        <v>454</v>
      </c>
      <c r="AB222" s="301" t="s">
        <v>454</v>
      </c>
      <c r="AC222" s="198" t="s">
        <v>454</v>
      </c>
    </row>
    <row r="223" spans="2:29" outlineLevel="1">
      <c r="B223" s="353" t="s">
        <v>587</v>
      </c>
      <c r="C223" s="340"/>
      <c r="D223" s="340"/>
      <c r="E223" s="340"/>
      <c r="F223" s="1432"/>
      <c r="G223" s="1433"/>
      <c r="H223" s="1433"/>
      <c r="I223" s="1433"/>
      <c r="J223" s="1433"/>
      <c r="K223" s="1433"/>
      <c r="L223" s="1433"/>
      <c r="M223" s="1433"/>
      <c r="N223" s="1434"/>
      <c r="O223" s="366"/>
      <c r="P223" s="357"/>
      <c r="Q223" s="329"/>
      <c r="T223" s="535"/>
      <c r="U223" s="536"/>
      <c r="V223" s="536"/>
      <c r="W223" s="536"/>
      <c r="X223" s="536"/>
      <c r="Y223" s="536"/>
      <c r="Z223" s="536"/>
      <c r="AA223" s="537"/>
      <c r="AB223" s="538"/>
      <c r="AC223" s="536"/>
    </row>
    <row r="224" spans="2:29" outlineLevel="1">
      <c r="B224" s="332" t="s">
        <v>588</v>
      </c>
      <c r="C224" s="340"/>
      <c r="D224" s="340"/>
      <c r="E224" s="340"/>
      <c r="F224" s="1420"/>
      <c r="G224" s="1421"/>
      <c r="H224" s="1421"/>
      <c r="I224" s="1421"/>
      <c r="J224" s="1421"/>
      <c r="K224" s="1421"/>
      <c r="L224" s="1421"/>
      <c r="M224" s="1421"/>
      <c r="N224" s="1422"/>
      <c r="O224" s="366"/>
      <c r="P224" s="359"/>
      <c r="Q224" s="329"/>
      <c r="T224" s="535"/>
      <c r="U224" s="536"/>
      <c r="V224" s="536"/>
      <c r="W224" s="536"/>
      <c r="X224" s="536"/>
      <c r="Y224" s="536"/>
      <c r="Z224" s="536"/>
      <c r="AA224" s="537"/>
      <c r="AB224" s="538"/>
      <c r="AC224" s="536"/>
    </row>
    <row r="225" spans="2:29" outlineLevel="1">
      <c r="B225" s="332" t="s">
        <v>589</v>
      </c>
      <c r="C225" s="340"/>
      <c r="D225" s="340"/>
      <c r="E225" s="340"/>
      <c r="F225" s="1420"/>
      <c r="G225" s="1421"/>
      <c r="H225" s="1421"/>
      <c r="I225" s="1421"/>
      <c r="J225" s="1421"/>
      <c r="K225" s="1421"/>
      <c r="L225" s="1421"/>
      <c r="M225" s="1421"/>
      <c r="N225" s="1422"/>
      <c r="O225" s="366"/>
      <c r="P225" s="359"/>
      <c r="Q225" s="329"/>
      <c r="T225" s="535"/>
      <c r="U225" s="536"/>
      <c r="V225" s="536"/>
      <c r="W225" s="536"/>
      <c r="X225" s="536"/>
      <c r="Y225" s="536"/>
      <c r="Z225" s="536"/>
      <c r="AA225" s="537"/>
      <c r="AB225" s="538"/>
      <c r="AC225" s="536"/>
    </row>
    <row r="226" spans="2:29" outlineLevel="1">
      <c r="B226" s="332" t="s">
        <v>590</v>
      </c>
      <c r="C226" s="340"/>
      <c r="D226" s="340"/>
      <c r="E226" s="340"/>
      <c r="F226" s="1420"/>
      <c r="G226" s="1421"/>
      <c r="H226" s="1421"/>
      <c r="I226" s="1421"/>
      <c r="J226" s="1421"/>
      <c r="K226" s="1421"/>
      <c r="L226" s="1421"/>
      <c r="M226" s="1421"/>
      <c r="N226" s="1422"/>
      <c r="O226" s="366"/>
      <c r="P226" s="359"/>
      <c r="Q226" s="329"/>
      <c r="T226" s="535"/>
      <c r="U226" s="536"/>
      <c r="V226" s="536"/>
      <c r="W226" s="536"/>
      <c r="X226" s="536"/>
      <c r="Y226" s="536"/>
      <c r="Z226" s="536"/>
      <c r="AA226" s="537"/>
      <c r="AB226" s="538"/>
      <c r="AC226" s="536"/>
    </row>
    <row r="227" spans="2:29" outlineLevel="1">
      <c r="B227" s="334" t="s">
        <v>591</v>
      </c>
      <c r="C227" s="1411" t="s">
        <v>544</v>
      </c>
      <c r="D227" s="1412"/>
      <c r="E227" s="1412"/>
      <c r="F227" s="1412"/>
      <c r="G227" s="1412"/>
      <c r="H227" s="1412"/>
      <c r="I227" s="1412"/>
      <c r="J227" s="1412"/>
      <c r="K227" s="1412"/>
      <c r="L227" s="1412"/>
      <c r="M227" s="1412"/>
      <c r="N227" s="1412"/>
      <c r="O227" s="1412"/>
      <c r="P227" s="1412"/>
      <c r="Q227" s="1413"/>
      <c r="T227" s="539"/>
      <c r="U227" s="540"/>
      <c r="V227" s="540"/>
      <c r="W227" s="540"/>
      <c r="X227" s="540"/>
      <c r="Y227" s="540"/>
      <c r="Z227" s="540"/>
      <c r="AA227" s="541"/>
      <c r="AB227" s="542"/>
      <c r="AC227" s="540"/>
    </row>
    <row r="228" spans="2:29">
      <c r="F228" s="170"/>
      <c r="G228" s="170"/>
      <c r="H228" s="170"/>
      <c r="I228" s="170"/>
      <c r="R228" s="152" t="s">
        <v>789</v>
      </c>
      <c r="S228" s="1076" t="s">
        <v>592</v>
      </c>
      <c r="T228" s="503">
        <f t="shared" ref="T228:AC228" si="11">SUM(T223:T227)</f>
        <v>0</v>
      </c>
      <c r="U228" s="504">
        <f t="shared" si="11"/>
        <v>0</v>
      </c>
      <c r="V228" s="504">
        <f t="shared" si="11"/>
        <v>0</v>
      </c>
      <c r="W228" s="504">
        <f t="shared" si="11"/>
        <v>0</v>
      </c>
      <c r="X228" s="504">
        <f t="shared" si="11"/>
        <v>0</v>
      </c>
      <c r="Y228" s="504">
        <f t="shared" si="11"/>
        <v>0</v>
      </c>
      <c r="Z228" s="504">
        <f t="shared" si="11"/>
        <v>0</v>
      </c>
      <c r="AA228" s="505">
        <f t="shared" si="11"/>
        <v>0</v>
      </c>
      <c r="AB228" s="506">
        <f t="shared" si="11"/>
        <v>0</v>
      </c>
      <c r="AC228" s="504">
        <f t="shared" si="11"/>
        <v>0</v>
      </c>
    </row>
    <row r="229" spans="2:29" outlineLevel="1">
      <c r="B229" s="333" t="s">
        <v>453</v>
      </c>
      <c r="C229" s="1417" t="s">
        <v>784</v>
      </c>
      <c r="D229" s="1418"/>
      <c r="E229" s="1418"/>
      <c r="F229" s="1418"/>
      <c r="G229" s="1418"/>
      <c r="H229" s="1418"/>
      <c r="I229" s="1418"/>
      <c r="J229" s="1418"/>
      <c r="K229" s="1418"/>
      <c r="L229" s="1418"/>
      <c r="M229" s="1418"/>
      <c r="N229" s="1418"/>
      <c r="O229" s="1418"/>
      <c r="P229" s="1418"/>
      <c r="Q229" s="1419"/>
      <c r="AB229" s="288"/>
    </row>
    <row r="230" spans="2:29" outlineLevel="1">
      <c r="B230" s="332" t="s">
        <v>587</v>
      </c>
      <c r="C230" s="1414"/>
      <c r="D230" s="1415"/>
      <c r="E230" s="1415"/>
      <c r="F230" s="1415"/>
      <c r="G230" s="1415"/>
      <c r="H230" s="1415"/>
      <c r="I230" s="1415"/>
      <c r="J230" s="1415"/>
      <c r="K230" s="1415"/>
      <c r="L230" s="1415"/>
      <c r="M230" s="1415"/>
      <c r="N230" s="1415"/>
      <c r="O230" s="1415"/>
      <c r="P230" s="1415"/>
      <c r="Q230" s="1416"/>
      <c r="AB230" s="288"/>
    </row>
    <row r="231" spans="2:29" outlineLevel="1">
      <c r="B231" s="332" t="s">
        <v>588</v>
      </c>
      <c r="C231" s="1414"/>
      <c r="D231" s="1415"/>
      <c r="E231" s="1415"/>
      <c r="F231" s="1415"/>
      <c r="G231" s="1415"/>
      <c r="H231" s="1415"/>
      <c r="I231" s="1415"/>
      <c r="J231" s="1415"/>
      <c r="K231" s="1415"/>
      <c r="L231" s="1415"/>
      <c r="M231" s="1415"/>
      <c r="N231" s="1415"/>
      <c r="O231" s="1415"/>
      <c r="P231" s="1415"/>
      <c r="Q231" s="1416"/>
      <c r="AB231" s="288"/>
    </row>
    <row r="232" spans="2:29" outlineLevel="1">
      <c r="B232" s="332" t="s">
        <v>589</v>
      </c>
      <c r="C232" s="1414"/>
      <c r="D232" s="1415"/>
      <c r="E232" s="1415"/>
      <c r="F232" s="1415"/>
      <c r="G232" s="1415"/>
      <c r="H232" s="1415"/>
      <c r="I232" s="1415"/>
      <c r="J232" s="1415"/>
      <c r="K232" s="1415"/>
      <c r="L232" s="1415"/>
      <c r="M232" s="1415"/>
      <c r="N232" s="1415"/>
      <c r="O232" s="1415"/>
      <c r="P232" s="1415"/>
      <c r="Q232" s="1416"/>
      <c r="AB232" s="288"/>
    </row>
    <row r="233" spans="2:29" outlineLevel="1">
      <c r="B233" s="332" t="s">
        <v>590</v>
      </c>
      <c r="C233" s="1414"/>
      <c r="D233" s="1415"/>
      <c r="E233" s="1415"/>
      <c r="F233" s="1415"/>
      <c r="G233" s="1415"/>
      <c r="H233" s="1415"/>
      <c r="I233" s="1415"/>
      <c r="J233" s="1415"/>
      <c r="K233" s="1415"/>
      <c r="L233" s="1415"/>
      <c r="M233" s="1415"/>
      <c r="N233" s="1415"/>
      <c r="O233" s="1415"/>
      <c r="P233" s="1415"/>
      <c r="Q233" s="1416"/>
      <c r="AB233" s="288"/>
    </row>
    <row r="234" spans="2:29" outlineLevel="1">
      <c r="B234" s="334" t="s">
        <v>591</v>
      </c>
      <c r="C234" s="1411" t="s">
        <v>544</v>
      </c>
      <c r="D234" s="1412"/>
      <c r="E234" s="1412"/>
      <c r="F234" s="1412"/>
      <c r="G234" s="1412"/>
      <c r="H234" s="1412"/>
      <c r="I234" s="1412"/>
      <c r="J234" s="1412"/>
      <c r="K234" s="1412"/>
      <c r="L234" s="1412"/>
      <c r="M234" s="1412"/>
      <c r="N234" s="1412"/>
      <c r="O234" s="1412"/>
      <c r="P234" s="1412"/>
      <c r="Q234" s="1413"/>
      <c r="AB234" s="288"/>
    </row>
    <row r="235" spans="2:29">
      <c r="AB235" s="288"/>
    </row>
    <row r="236" spans="2:29">
      <c r="AB236" s="288"/>
    </row>
    <row r="237" spans="2:29">
      <c r="B237" s="317" t="s">
        <v>593</v>
      </c>
      <c r="C237" s="317"/>
      <c r="D237" s="172" t="s">
        <v>696</v>
      </c>
      <c r="E237" s="151"/>
      <c r="AB237" s="288"/>
    </row>
    <row r="238" spans="2:29" ht="27" outlineLevel="1">
      <c r="B238" s="333" t="s">
        <v>453</v>
      </c>
      <c r="C238" s="877" t="s">
        <v>754</v>
      </c>
      <c r="D238" s="1437" t="s">
        <v>506</v>
      </c>
      <c r="E238" s="1438"/>
      <c r="F238" s="1438"/>
      <c r="G238" s="1438"/>
      <c r="H238" s="1438"/>
      <c r="I238" s="1438"/>
      <c r="J238" s="1438"/>
      <c r="K238" s="1438"/>
      <c r="L238" s="1438"/>
      <c r="M238" s="1438"/>
      <c r="N238" s="1438"/>
      <c r="O238" s="1438"/>
      <c r="P238" s="1438"/>
      <c r="Q238" s="1439"/>
      <c r="T238" s="197" t="s">
        <v>454</v>
      </c>
      <c r="U238" s="198" t="s">
        <v>454</v>
      </c>
      <c r="V238" s="198" t="s">
        <v>454</v>
      </c>
      <c r="W238" s="198" t="s">
        <v>454</v>
      </c>
      <c r="X238" s="198" t="s">
        <v>454</v>
      </c>
      <c r="Y238" s="198" t="s">
        <v>454</v>
      </c>
      <c r="Z238" s="198" t="s">
        <v>454</v>
      </c>
      <c r="AA238" s="283" t="s">
        <v>454</v>
      </c>
      <c r="AB238" s="301" t="s">
        <v>454</v>
      </c>
      <c r="AC238" s="198" t="s">
        <v>454</v>
      </c>
    </row>
    <row r="239" spans="2:29" outlineLevel="1">
      <c r="B239" s="332" t="s">
        <v>595</v>
      </c>
      <c r="C239" s="340"/>
      <c r="D239" s="1435" t="s">
        <v>790</v>
      </c>
      <c r="E239" s="1435"/>
      <c r="F239" s="1435"/>
      <c r="G239" s="1435"/>
      <c r="H239" s="1435"/>
      <c r="I239" s="1435"/>
      <c r="J239" s="1435"/>
      <c r="K239" s="1435"/>
      <c r="L239" s="1435"/>
      <c r="M239" s="1435"/>
      <c r="N239" s="1435"/>
      <c r="O239" s="1435"/>
      <c r="P239" s="1435"/>
      <c r="Q239" s="1436"/>
      <c r="T239" s="535"/>
      <c r="U239" s="536"/>
      <c r="V239" s="536"/>
      <c r="W239" s="536"/>
      <c r="X239" s="536"/>
      <c r="Y239" s="536"/>
      <c r="Z239" s="536"/>
      <c r="AA239" s="537"/>
      <c r="AB239" s="538"/>
      <c r="AC239" s="536"/>
    </row>
    <row r="240" spans="2:29" outlineLevel="1">
      <c r="B240" s="332" t="s">
        <v>596</v>
      </c>
      <c r="C240" s="340"/>
      <c r="D240" s="1435" t="s">
        <v>791</v>
      </c>
      <c r="E240" s="1435"/>
      <c r="F240" s="1435"/>
      <c r="G240" s="1435"/>
      <c r="H240" s="1435"/>
      <c r="I240" s="1435"/>
      <c r="J240" s="1435"/>
      <c r="K240" s="1435"/>
      <c r="L240" s="1435"/>
      <c r="M240" s="1435"/>
      <c r="N240" s="1435"/>
      <c r="O240" s="1435"/>
      <c r="P240" s="1435"/>
      <c r="Q240" s="1436"/>
      <c r="T240" s="535"/>
      <c r="U240" s="536"/>
      <c r="V240" s="536"/>
      <c r="W240" s="536"/>
      <c r="X240" s="536"/>
      <c r="Y240" s="536"/>
      <c r="Z240" s="536"/>
      <c r="AA240" s="537"/>
      <c r="AB240" s="538"/>
      <c r="AC240" s="536"/>
    </row>
    <row r="241" spans="2:29" outlineLevel="1">
      <c r="B241" s="332" t="s">
        <v>597</v>
      </c>
      <c r="C241" s="340"/>
      <c r="D241" s="1435"/>
      <c r="E241" s="1435"/>
      <c r="F241" s="1435"/>
      <c r="G241" s="1435"/>
      <c r="H241" s="1435"/>
      <c r="I241" s="1435"/>
      <c r="J241" s="1435"/>
      <c r="K241" s="1435"/>
      <c r="L241" s="1435"/>
      <c r="M241" s="1435"/>
      <c r="N241" s="1435"/>
      <c r="O241" s="1435"/>
      <c r="P241" s="1435"/>
      <c r="Q241" s="1436"/>
      <c r="T241" s="535"/>
      <c r="U241" s="536"/>
      <c r="V241" s="536"/>
      <c r="W241" s="536"/>
      <c r="X241" s="536"/>
      <c r="Y241" s="536"/>
      <c r="Z241" s="536"/>
      <c r="AA241" s="537"/>
      <c r="AB241" s="538"/>
      <c r="AC241" s="536"/>
    </row>
    <row r="242" spans="2:29" outlineLevel="1">
      <c r="B242" s="332" t="s">
        <v>598</v>
      </c>
      <c r="C242" s="340"/>
      <c r="D242" s="1435"/>
      <c r="E242" s="1435"/>
      <c r="F242" s="1435"/>
      <c r="G242" s="1435"/>
      <c r="H242" s="1435"/>
      <c r="I242" s="1435"/>
      <c r="J242" s="1435"/>
      <c r="K242" s="1435"/>
      <c r="L242" s="1435"/>
      <c r="M242" s="1435"/>
      <c r="N242" s="1435"/>
      <c r="O242" s="1435"/>
      <c r="P242" s="1435"/>
      <c r="Q242" s="1436"/>
      <c r="T242" s="535"/>
      <c r="U242" s="536"/>
      <c r="V242" s="536"/>
      <c r="W242" s="536"/>
      <c r="X242" s="536"/>
      <c r="Y242" s="536"/>
      <c r="Z242" s="536"/>
      <c r="AA242" s="537"/>
      <c r="AB242" s="538"/>
      <c r="AC242" s="536"/>
    </row>
    <row r="243" spans="2:29" outlineLevel="1">
      <c r="B243" s="334" t="s">
        <v>599</v>
      </c>
      <c r="C243" s="1411" t="s">
        <v>544</v>
      </c>
      <c r="D243" s="1412"/>
      <c r="E243" s="1412"/>
      <c r="F243" s="1412"/>
      <c r="G243" s="1412"/>
      <c r="H243" s="1412"/>
      <c r="I243" s="1412"/>
      <c r="J243" s="1412"/>
      <c r="K243" s="1412"/>
      <c r="L243" s="1412"/>
      <c r="M243" s="1412"/>
      <c r="N243" s="1412"/>
      <c r="O243" s="1412"/>
      <c r="P243" s="1412"/>
      <c r="Q243" s="1413"/>
      <c r="T243" s="539"/>
      <c r="U243" s="540"/>
      <c r="V243" s="540"/>
      <c r="W243" s="540"/>
      <c r="X243" s="540"/>
      <c r="Y243" s="540"/>
      <c r="Z243" s="540"/>
      <c r="AA243" s="541"/>
      <c r="AB243" s="542"/>
      <c r="AC243" s="540"/>
    </row>
    <row r="244" spans="2:29">
      <c r="F244" s="170"/>
      <c r="G244" s="170"/>
      <c r="H244" s="170"/>
      <c r="I244" s="170"/>
      <c r="S244" s="1076" t="s">
        <v>600</v>
      </c>
      <c r="T244" s="503">
        <f t="shared" ref="T244:AC244" si="12">SUM(T239:T243)</f>
        <v>0</v>
      </c>
      <c r="U244" s="504">
        <f t="shared" si="12"/>
        <v>0</v>
      </c>
      <c r="V244" s="504">
        <f t="shared" si="12"/>
        <v>0</v>
      </c>
      <c r="W244" s="504">
        <f t="shared" si="12"/>
        <v>0</v>
      </c>
      <c r="X244" s="504">
        <f t="shared" si="12"/>
        <v>0</v>
      </c>
      <c r="Y244" s="504">
        <f t="shared" si="12"/>
        <v>0</v>
      </c>
      <c r="Z244" s="504">
        <f t="shared" si="12"/>
        <v>0</v>
      </c>
      <c r="AA244" s="505">
        <f t="shared" si="12"/>
        <v>0</v>
      </c>
      <c r="AB244" s="506">
        <f t="shared" si="12"/>
        <v>0</v>
      </c>
      <c r="AC244" s="504">
        <f t="shared" si="12"/>
        <v>0</v>
      </c>
    </row>
    <row r="245" spans="2:29" outlineLevel="1">
      <c r="B245" s="333" t="s">
        <v>453</v>
      </c>
      <c r="C245" s="1417" t="s">
        <v>784</v>
      </c>
      <c r="D245" s="1418"/>
      <c r="E245" s="1418"/>
      <c r="F245" s="1418"/>
      <c r="G245" s="1418"/>
      <c r="H245" s="1418"/>
      <c r="I245" s="1418"/>
      <c r="J245" s="1418"/>
      <c r="K245" s="1418"/>
      <c r="L245" s="1418"/>
      <c r="M245" s="1418"/>
      <c r="N245" s="1418"/>
      <c r="O245" s="1418"/>
      <c r="P245" s="1418"/>
      <c r="Q245" s="1419"/>
      <c r="AB245" s="288"/>
    </row>
    <row r="246" spans="2:29" outlineLevel="1">
      <c r="B246" s="332" t="s">
        <v>595</v>
      </c>
      <c r="C246" s="1414"/>
      <c r="D246" s="1415"/>
      <c r="E246" s="1415"/>
      <c r="F246" s="1415"/>
      <c r="G246" s="1415"/>
      <c r="H246" s="1415"/>
      <c r="I246" s="1415"/>
      <c r="J246" s="1415"/>
      <c r="K246" s="1415"/>
      <c r="L246" s="1415"/>
      <c r="M246" s="1415"/>
      <c r="N246" s="1415"/>
      <c r="O246" s="1415"/>
      <c r="P246" s="1415"/>
      <c r="Q246" s="1416"/>
      <c r="AB246" s="288"/>
    </row>
    <row r="247" spans="2:29" outlineLevel="1">
      <c r="B247" s="332" t="s">
        <v>596</v>
      </c>
      <c r="C247" s="1414"/>
      <c r="D247" s="1415"/>
      <c r="E247" s="1415"/>
      <c r="F247" s="1415"/>
      <c r="G247" s="1415"/>
      <c r="H247" s="1415"/>
      <c r="I247" s="1415"/>
      <c r="J247" s="1415"/>
      <c r="K247" s="1415"/>
      <c r="L247" s="1415"/>
      <c r="M247" s="1415"/>
      <c r="N247" s="1415"/>
      <c r="O247" s="1415"/>
      <c r="P247" s="1415"/>
      <c r="Q247" s="1416"/>
      <c r="AB247" s="288"/>
    </row>
    <row r="248" spans="2:29" outlineLevel="1">
      <c r="B248" s="332" t="s">
        <v>597</v>
      </c>
      <c r="C248" s="1414"/>
      <c r="D248" s="1415"/>
      <c r="E248" s="1415"/>
      <c r="F248" s="1415"/>
      <c r="G248" s="1415"/>
      <c r="H248" s="1415"/>
      <c r="I248" s="1415"/>
      <c r="J248" s="1415"/>
      <c r="K248" s="1415"/>
      <c r="L248" s="1415"/>
      <c r="M248" s="1415"/>
      <c r="N248" s="1415"/>
      <c r="O248" s="1415"/>
      <c r="P248" s="1415"/>
      <c r="Q248" s="1416"/>
      <c r="AB248" s="288"/>
    </row>
    <row r="249" spans="2:29" outlineLevel="1">
      <c r="B249" s="332" t="s">
        <v>598</v>
      </c>
      <c r="C249" s="1414"/>
      <c r="D249" s="1415"/>
      <c r="E249" s="1415"/>
      <c r="F249" s="1415"/>
      <c r="G249" s="1415"/>
      <c r="H249" s="1415"/>
      <c r="I249" s="1415"/>
      <c r="J249" s="1415"/>
      <c r="K249" s="1415"/>
      <c r="L249" s="1415"/>
      <c r="M249" s="1415"/>
      <c r="N249" s="1415"/>
      <c r="O249" s="1415"/>
      <c r="P249" s="1415"/>
      <c r="Q249" s="1416"/>
      <c r="AB249" s="288"/>
    </row>
    <row r="250" spans="2:29" outlineLevel="1">
      <c r="B250" s="334" t="s">
        <v>599</v>
      </c>
      <c r="C250" s="1411" t="s">
        <v>544</v>
      </c>
      <c r="D250" s="1412"/>
      <c r="E250" s="1412"/>
      <c r="F250" s="1412"/>
      <c r="G250" s="1412"/>
      <c r="H250" s="1412"/>
      <c r="I250" s="1412"/>
      <c r="J250" s="1412"/>
      <c r="K250" s="1412"/>
      <c r="L250" s="1412"/>
      <c r="M250" s="1412"/>
      <c r="N250" s="1412"/>
      <c r="O250" s="1412"/>
      <c r="P250" s="1412"/>
      <c r="Q250" s="1413"/>
      <c r="AB250" s="288"/>
    </row>
    <row r="251" spans="2:29">
      <c r="AB251" s="288"/>
    </row>
    <row r="252" spans="2:29">
      <c r="AB252" s="288"/>
    </row>
    <row r="253" spans="2:29">
      <c r="B253" s="317" t="s">
        <v>601</v>
      </c>
      <c r="C253" s="317"/>
      <c r="D253" s="172" t="s">
        <v>697</v>
      </c>
      <c r="E253" s="151"/>
      <c r="AB253" s="288"/>
    </row>
    <row r="254" spans="2:29" ht="27" outlineLevel="1">
      <c r="B254" s="333" t="s">
        <v>453</v>
      </c>
      <c r="C254" s="877" t="s">
        <v>754</v>
      </c>
      <c r="D254" s="1437" t="s">
        <v>506</v>
      </c>
      <c r="E254" s="1438"/>
      <c r="F254" s="1438"/>
      <c r="G254" s="1438"/>
      <c r="H254" s="1438"/>
      <c r="I254" s="1438"/>
      <c r="J254" s="1438"/>
      <c r="K254" s="1438"/>
      <c r="L254" s="1438"/>
      <c r="M254" s="1438"/>
      <c r="N254" s="1438"/>
      <c r="O254" s="1438"/>
      <c r="P254" s="1438"/>
      <c r="Q254" s="1439"/>
      <c r="T254" s="197" t="s">
        <v>454</v>
      </c>
      <c r="U254" s="198" t="s">
        <v>454</v>
      </c>
      <c r="V254" s="198" t="s">
        <v>454</v>
      </c>
      <c r="W254" s="198" t="s">
        <v>454</v>
      </c>
      <c r="X254" s="198" t="s">
        <v>454</v>
      </c>
      <c r="Y254" s="198" t="s">
        <v>454</v>
      </c>
      <c r="Z254" s="198" t="s">
        <v>454</v>
      </c>
      <c r="AA254" s="283" t="s">
        <v>454</v>
      </c>
      <c r="AB254" s="301" t="s">
        <v>454</v>
      </c>
      <c r="AC254" s="198" t="s">
        <v>454</v>
      </c>
    </row>
    <row r="255" spans="2:29" outlineLevel="1">
      <c r="B255" s="332" t="s">
        <v>603</v>
      </c>
      <c r="C255" s="340"/>
      <c r="D255" s="1435"/>
      <c r="E255" s="1435"/>
      <c r="F255" s="1435"/>
      <c r="G255" s="1435"/>
      <c r="H255" s="1435"/>
      <c r="I255" s="1435"/>
      <c r="J255" s="1435"/>
      <c r="K255" s="1435"/>
      <c r="L255" s="1435"/>
      <c r="M255" s="1435"/>
      <c r="N255" s="1435"/>
      <c r="O255" s="1435"/>
      <c r="P255" s="1435"/>
      <c r="Q255" s="1436"/>
      <c r="T255" s="535"/>
      <c r="U255" s="536"/>
      <c r="V255" s="536"/>
      <c r="W255" s="536"/>
      <c r="X255" s="536"/>
      <c r="Y255" s="536"/>
      <c r="Z255" s="536"/>
      <c r="AA255" s="537"/>
      <c r="AB255" s="538"/>
      <c r="AC255" s="536"/>
    </row>
    <row r="256" spans="2:29" outlineLevel="1">
      <c r="B256" s="332" t="s">
        <v>604</v>
      </c>
      <c r="C256" s="340"/>
      <c r="D256" s="1435"/>
      <c r="E256" s="1435"/>
      <c r="F256" s="1435"/>
      <c r="G256" s="1435"/>
      <c r="H256" s="1435"/>
      <c r="I256" s="1435"/>
      <c r="J256" s="1435"/>
      <c r="K256" s="1435"/>
      <c r="L256" s="1435"/>
      <c r="M256" s="1435"/>
      <c r="N256" s="1435"/>
      <c r="O256" s="1435"/>
      <c r="P256" s="1435"/>
      <c r="Q256" s="1436"/>
      <c r="T256" s="535"/>
      <c r="U256" s="536"/>
      <c r="V256" s="536"/>
      <c r="W256" s="536"/>
      <c r="X256" s="536"/>
      <c r="Y256" s="536"/>
      <c r="Z256" s="536"/>
      <c r="AA256" s="537"/>
      <c r="AB256" s="538"/>
      <c r="AC256" s="536"/>
    </row>
    <row r="257" spans="2:29" outlineLevel="1">
      <c r="B257" s="332" t="s">
        <v>605</v>
      </c>
      <c r="C257" s="340"/>
      <c r="D257" s="1435"/>
      <c r="E257" s="1435"/>
      <c r="F257" s="1435"/>
      <c r="G257" s="1435"/>
      <c r="H257" s="1435"/>
      <c r="I257" s="1435"/>
      <c r="J257" s="1435"/>
      <c r="K257" s="1435"/>
      <c r="L257" s="1435"/>
      <c r="M257" s="1435"/>
      <c r="N257" s="1435"/>
      <c r="O257" s="1435"/>
      <c r="P257" s="1435"/>
      <c r="Q257" s="1436"/>
      <c r="T257" s="535"/>
      <c r="U257" s="536"/>
      <c r="V257" s="536"/>
      <c r="W257" s="536"/>
      <c r="X257" s="536"/>
      <c r="Y257" s="536"/>
      <c r="Z257" s="536"/>
      <c r="AA257" s="537"/>
      <c r="AB257" s="538"/>
      <c r="AC257" s="536"/>
    </row>
    <row r="258" spans="2:29" outlineLevel="1">
      <c r="B258" s="332" t="s">
        <v>606</v>
      </c>
      <c r="C258" s="340"/>
      <c r="D258" s="1435"/>
      <c r="E258" s="1435"/>
      <c r="F258" s="1435"/>
      <c r="G258" s="1435"/>
      <c r="H258" s="1435"/>
      <c r="I258" s="1435"/>
      <c r="J258" s="1435"/>
      <c r="K258" s="1435"/>
      <c r="L258" s="1435"/>
      <c r="M258" s="1435"/>
      <c r="N258" s="1435"/>
      <c r="O258" s="1435"/>
      <c r="P258" s="1435"/>
      <c r="Q258" s="1436"/>
      <c r="T258" s="535"/>
      <c r="U258" s="536"/>
      <c r="V258" s="536"/>
      <c r="W258" s="536"/>
      <c r="X258" s="536"/>
      <c r="Y258" s="536"/>
      <c r="Z258" s="536"/>
      <c r="AA258" s="537"/>
      <c r="AB258" s="538"/>
      <c r="AC258" s="536"/>
    </row>
    <row r="259" spans="2:29" outlineLevel="1">
      <c r="B259" s="334" t="s">
        <v>607</v>
      </c>
      <c r="C259" s="1411" t="s">
        <v>544</v>
      </c>
      <c r="D259" s="1412"/>
      <c r="E259" s="1412"/>
      <c r="F259" s="1412"/>
      <c r="G259" s="1412"/>
      <c r="H259" s="1412"/>
      <c r="I259" s="1412"/>
      <c r="J259" s="1412"/>
      <c r="K259" s="1412"/>
      <c r="L259" s="1412"/>
      <c r="M259" s="1412"/>
      <c r="N259" s="1412"/>
      <c r="O259" s="1412"/>
      <c r="P259" s="1412"/>
      <c r="Q259" s="1413"/>
      <c r="T259" s="539"/>
      <c r="U259" s="540"/>
      <c r="V259" s="540"/>
      <c r="W259" s="540"/>
      <c r="X259" s="540"/>
      <c r="Y259" s="540"/>
      <c r="Z259" s="540"/>
      <c r="AA259" s="541"/>
      <c r="AB259" s="542"/>
      <c r="AC259" s="540"/>
    </row>
    <row r="260" spans="2:29">
      <c r="C260" s="1417"/>
      <c r="D260" s="1418"/>
      <c r="E260" s="1418"/>
      <c r="F260" s="1418"/>
      <c r="G260" s="1418"/>
      <c r="H260" s="1418"/>
      <c r="I260" s="1418"/>
      <c r="J260" s="1418"/>
      <c r="K260" s="1418"/>
      <c r="L260" s="1418"/>
      <c r="M260" s="1418"/>
      <c r="N260" s="1418"/>
      <c r="O260" s="1418"/>
      <c r="P260" s="1418"/>
      <c r="Q260" s="1419"/>
      <c r="R260" s="152" t="s">
        <v>789</v>
      </c>
      <c r="S260" s="1076" t="s">
        <v>608</v>
      </c>
      <c r="T260" s="503">
        <f t="shared" ref="T260:AC260" si="13">SUM(T255:T259)</f>
        <v>0</v>
      </c>
      <c r="U260" s="504">
        <f t="shared" si="13"/>
        <v>0</v>
      </c>
      <c r="V260" s="504">
        <f t="shared" si="13"/>
        <v>0</v>
      </c>
      <c r="W260" s="504">
        <f t="shared" si="13"/>
        <v>0</v>
      </c>
      <c r="X260" s="504">
        <f t="shared" si="13"/>
        <v>0</v>
      </c>
      <c r="Y260" s="504">
        <f t="shared" si="13"/>
        <v>0</v>
      </c>
      <c r="Z260" s="504">
        <f t="shared" si="13"/>
        <v>0</v>
      </c>
      <c r="AA260" s="505">
        <f t="shared" si="13"/>
        <v>0</v>
      </c>
      <c r="AB260" s="506">
        <f t="shared" si="13"/>
        <v>0</v>
      </c>
      <c r="AC260" s="504">
        <f t="shared" si="13"/>
        <v>0</v>
      </c>
    </row>
    <row r="261" spans="2:29" outlineLevel="1">
      <c r="B261" s="333" t="s">
        <v>453</v>
      </c>
      <c r="C261" s="1417" t="s">
        <v>784</v>
      </c>
      <c r="D261" s="1418"/>
      <c r="E261" s="1418"/>
      <c r="F261" s="1418"/>
      <c r="G261" s="1418"/>
      <c r="H261" s="1418"/>
      <c r="I261" s="1418"/>
      <c r="J261" s="1418"/>
      <c r="K261" s="1418"/>
      <c r="L261" s="1418"/>
      <c r="M261" s="1418"/>
      <c r="N261" s="1418"/>
      <c r="O261" s="1418"/>
      <c r="P261" s="1418"/>
      <c r="Q261" s="1419"/>
      <c r="AB261" s="288"/>
    </row>
    <row r="262" spans="2:29" outlineLevel="1">
      <c r="B262" s="332" t="s">
        <v>603</v>
      </c>
      <c r="C262" s="1414"/>
      <c r="D262" s="1415"/>
      <c r="E262" s="1415"/>
      <c r="F262" s="1415"/>
      <c r="G262" s="1415"/>
      <c r="H262" s="1415"/>
      <c r="I262" s="1415"/>
      <c r="J262" s="1415"/>
      <c r="K262" s="1415"/>
      <c r="L262" s="1415"/>
      <c r="M262" s="1415"/>
      <c r="N262" s="1415"/>
      <c r="O262" s="1415"/>
      <c r="P262" s="1415"/>
      <c r="Q262" s="1416"/>
      <c r="AB262" s="288"/>
    </row>
    <row r="263" spans="2:29" outlineLevel="1">
      <c r="B263" s="332" t="s">
        <v>604</v>
      </c>
      <c r="C263" s="1414"/>
      <c r="D263" s="1415"/>
      <c r="E263" s="1415"/>
      <c r="F263" s="1415"/>
      <c r="G263" s="1415"/>
      <c r="H263" s="1415"/>
      <c r="I263" s="1415"/>
      <c r="J263" s="1415"/>
      <c r="K263" s="1415"/>
      <c r="L263" s="1415"/>
      <c r="M263" s="1415"/>
      <c r="N263" s="1415"/>
      <c r="O263" s="1415"/>
      <c r="P263" s="1415"/>
      <c r="Q263" s="1416"/>
      <c r="AB263" s="288"/>
    </row>
    <row r="264" spans="2:29" outlineLevel="1">
      <c r="B264" s="332" t="s">
        <v>605</v>
      </c>
      <c r="C264" s="1414"/>
      <c r="D264" s="1415"/>
      <c r="E264" s="1415"/>
      <c r="F264" s="1415"/>
      <c r="G264" s="1415"/>
      <c r="H264" s="1415"/>
      <c r="I264" s="1415"/>
      <c r="J264" s="1415"/>
      <c r="K264" s="1415"/>
      <c r="L264" s="1415"/>
      <c r="M264" s="1415"/>
      <c r="N264" s="1415"/>
      <c r="O264" s="1415"/>
      <c r="P264" s="1415"/>
      <c r="Q264" s="1416"/>
      <c r="AB264" s="288"/>
    </row>
    <row r="265" spans="2:29" outlineLevel="1">
      <c r="B265" s="332" t="s">
        <v>606</v>
      </c>
      <c r="C265" s="1414"/>
      <c r="D265" s="1415"/>
      <c r="E265" s="1415"/>
      <c r="F265" s="1415"/>
      <c r="G265" s="1415"/>
      <c r="H265" s="1415"/>
      <c r="I265" s="1415"/>
      <c r="J265" s="1415"/>
      <c r="K265" s="1415"/>
      <c r="L265" s="1415"/>
      <c r="M265" s="1415"/>
      <c r="N265" s="1415"/>
      <c r="O265" s="1415"/>
      <c r="P265" s="1415"/>
      <c r="Q265" s="1416"/>
      <c r="AB265" s="288"/>
    </row>
    <row r="266" spans="2:29" outlineLevel="1">
      <c r="B266" s="334" t="s">
        <v>607</v>
      </c>
      <c r="C266" s="1411" t="s">
        <v>544</v>
      </c>
      <c r="D266" s="1412"/>
      <c r="E266" s="1412"/>
      <c r="F266" s="1412"/>
      <c r="G266" s="1412"/>
      <c r="H266" s="1412"/>
      <c r="I266" s="1412"/>
      <c r="J266" s="1412"/>
      <c r="K266" s="1412"/>
      <c r="L266" s="1412"/>
      <c r="M266" s="1412"/>
      <c r="N266" s="1412"/>
      <c r="O266" s="1412"/>
      <c r="P266" s="1412"/>
      <c r="Q266" s="1413"/>
      <c r="AB266" s="288"/>
    </row>
    <row r="267" spans="2:29">
      <c r="AB267" s="288"/>
    </row>
    <row r="268" spans="2:29">
      <c r="F268" s="170"/>
      <c r="G268" s="170"/>
      <c r="H268" s="170"/>
      <c r="I268" s="170"/>
      <c r="AB268" s="288"/>
    </row>
    <row r="269" spans="2:29">
      <c r="S269" s="174" t="s">
        <v>792</v>
      </c>
      <c r="T269" s="503">
        <f t="shared" ref="T269:AC269" si="14">T20 + T55 + T70 + T85 + T100 + T116 + T132 + T160 + T187 + T210 +T228 + T244 + T260</f>
        <v>-128.43357079999998</v>
      </c>
      <c r="U269" s="504">
        <f t="shared" si="14"/>
        <v>120.55800000000001</v>
      </c>
      <c r="V269" s="504">
        <f t="shared" si="14"/>
        <v>120.55800000000001</v>
      </c>
      <c r="W269" s="504">
        <f t="shared" si="14"/>
        <v>120.55800000000001</v>
      </c>
      <c r="X269" s="504">
        <f t="shared" si="14"/>
        <v>120.55800000000001</v>
      </c>
      <c r="Y269" s="504">
        <f t="shared" si="14"/>
        <v>120.55800000000001</v>
      </c>
      <c r="Z269" s="504">
        <f t="shared" si="14"/>
        <v>0</v>
      </c>
      <c r="AA269" s="505">
        <f t="shared" si="14"/>
        <v>0</v>
      </c>
      <c r="AB269" s="506">
        <f t="shared" si="14"/>
        <v>0</v>
      </c>
      <c r="AC269" s="504">
        <f t="shared" si="14"/>
        <v>0</v>
      </c>
    </row>
    <row r="270" spans="2:29">
      <c r="AB270" s="288"/>
    </row>
    <row r="271" spans="2:29" ht="16">
      <c r="B271" s="315" t="s">
        <v>793</v>
      </c>
      <c r="C271" s="315"/>
      <c r="D271" s="147"/>
      <c r="E271" s="147"/>
      <c r="F271" s="147"/>
      <c r="G271" s="147"/>
      <c r="H271" s="147"/>
      <c r="I271" s="147"/>
      <c r="J271" s="147"/>
      <c r="K271" s="147"/>
      <c r="L271" s="147"/>
      <c r="M271" s="147"/>
      <c r="N271" s="147"/>
      <c r="O271" s="147"/>
      <c r="P271" s="147"/>
      <c r="Q271" s="147"/>
      <c r="AB271" s="288"/>
    </row>
    <row r="272" spans="2:29">
      <c r="AB272" s="288"/>
    </row>
    <row r="273" spans="2:29">
      <c r="D273" s="161" t="s">
        <v>794</v>
      </c>
      <c r="E273" s="161"/>
      <c r="F273" s="163"/>
      <c r="G273" s="163"/>
      <c r="H273" s="163"/>
      <c r="I273" s="163"/>
      <c r="J273" s="163"/>
      <c r="K273" s="163"/>
      <c r="L273" s="163"/>
      <c r="M273" s="163"/>
      <c r="N273" s="163"/>
      <c r="O273" s="163"/>
      <c r="P273" s="163"/>
      <c r="Q273" s="163"/>
      <c r="R273" s="163"/>
      <c r="T273" s="163"/>
      <c r="AB273" s="288"/>
    </row>
    <row r="274" spans="2:29">
      <c r="B274" s="317" t="s">
        <v>717</v>
      </c>
      <c r="C274" s="317"/>
      <c r="D274" s="1448"/>
      <c r="E274" s="1449"/>
      <c r="F274" s="1449"/>
      <c r="G274" s="1449"/>
      <c r="H274" s="1449"/>
      <c r="I274" s="1449"/>
      <c r="J274" s="1449"/>
      <c r="K274" s="1449"/>
      <c r="L274" s="1449"/>
      <c r="M274" s="1449"/>
      <c r="N274" s="1449"/>
      <c r="O274" s="1449"/>
      <c r="P274" s="1449"/>
      <c r="Q274" s="1450"/>
      <c r="R274" s="163"/>
      <c r="T274" s="163"/>
      <c r="AB274" s="288"/>
    </row>
    <row r="275" spans="2:29">
      <c r="B275" s="317" t="s">
        <v>449</v>
      </c>
      <c r="C275" s="317"/>
      <c r="D275" s="1448"/>
      <c r="E275" s="1449"/>
      <c r="F275" s="1449"/>
      <c r="G275" s="1449"/>
      <c r="H275" s="1449"/>
      <c r="I275" s="1449"/>
      <c r="J275" s="1449"/>
      <c r="K275" s="1449"/>
      <c r="L275" s="1449"/>
      <c r="M275" s="1449"/>
      <c r="N275" s="1449"/>
      <c r="O275" s="1449"/>
      <c r="P275" s="1449"/>
      <c r="Q275" s="1450"/>
      <c r="R275" s="163"/>
      <c r="T275" s="163"/>
      <c r="AB275" s="288"/>
    </row>
    <row r="276" spans="2:29">
      <c r="B276" s="317" t="s">
        <v>482</v>
      </c>
      <c r="C276" s="317"/>
      <c r="D276" s="1448"/>
      <c r="E276" s="1449"/>
      <c r="F276" s="1449"/>
      <c r="G276" s="1449"/>
      <c r="H276" s="1449"/>
      <c r="I276" s="1449"/>
      <c r="J276" s="1449"/>
      <c r="K276" s="1449"/>
      <c r="L276" s="1449"/>
      <c r="M276" s="1449"/>
      <c r="N276" s="1449"/>
      <c r="O276" s="1449"/>
      <c r="P276" s="1449"/>
      <c r="Q276" s="1450"/>
      <c r="R276" s="163"/>
      <c r="T276" s="163"/>
      <c r="AB276" s="288"/>
    </row>
    <row r="277" spans="2:29">
      <c r="B277" s="317" t="s">
        <v>493</v>
      </c>
      <c r="C277" s="317"/>
      <c r="D277" s="1448"/>
      <c r="E277" s="1449"/>
      <c r="F277" s="1449"/>
      <c r="G277" s="1449"/>
      <c r="H277" s="1449"/>
      <c r="I277" s="1449"/>
      <c r="J277" s="1449"/>
      <c r="K277" s="1449"/>
      <c r="L277" s="1449"/>
      <c r="M277" s="1449"/>
      <c r="N277" s="1449"/>
      <c r="O277" s="1449"/>
      <c r="P277" s="1449"/>
      <c r="Q277" s="1450"/>
      <c r="R277" s="163"/>
      <c r="T277" s="163"/>
      <c r="AB277" s="288"/>
    </row>
    <row r="278" spans="2:29">
      <c r="B278" s="317" t="s">
        <v>504</v>
      </c>
      <c r="C278" s="317"/>
      <c r="D278" s="1448"/>
      <c r="E278" s="1449"/>
      <c r="F278" s="1449"/>
      <c r="G278" s="1449"/>
      <c r="H278" s="1449"/>
      <c r="I278" s="1449"/>
      <c r="J278" s="1449"/>
      <c r="K278" s="1449"/>
      <c r="L278" s="1449"/>
      <c r="M278" s="1449"/>
      <c r="N278" s="1449"/>
      <c r="O278" s="1449"/>
      <c r="P278" s="1449"/>
      <c r="Q278" s="1450"/>
      <c r="R278" s="163"/>
      <c r="T278" s="163"/>
      <c r="AB278" s="288"/>
    </row>
    <row r="279" spans="2:29">
      <c r="B279" s="317" t="s">
        <v>517</v>
      </c>
      <c r="C279" s="317"/>
      <c r="D279" s="1448"/>
      <c r="E279" s="1449"/>
      <c r="F279" s="1449"/>
      <c r="G279" s="1449"/>
      <c r="H279" s="1449"/>
      <c r="I279" s="1449"/>
      <c r="J279" s="1449"/>
      <c r="K279" s="1449"/>
      <c r="L279" s="1449"/>
      <c r="M279" s="1449"/>
      <c r="N279" s="1449"/>
      <c r="O279" s="1449"/>
      <c r="P279" s="1449"/>
      <c r="Q279" s="1450"/>
      <c r="R279" s="163"/>
      <c r="T279" s="163"/>
      <c r="AB279" s="288"/>
    </row>
    <row r="280" spans="2:29">
      <c r="B280" s="317" t="s">
        <v>528</v>
      </c>
      <c r="C280" s="317"/>
      <c r="D280" s="1448"/>
      <c r="E280" s="1449"/>
      <c r="F280" s="1449"/>
      <c r="G280" s="1449"/>
      <c r="H280" s="1449"/>
      <c r="I280" s="1449"/>
      <c r="J280" s="1449"/>
      <c r="K280" s="1449"/>
      <c r="L280" s="1449"/>
      <c r="M280" s="1449"/>
      <c r="N280" s="1449"/>
      <c r="O280" s="1449"/>
      <c r="P280" s="1449"/>
      <c r="Q280" s="1450"/>
      <c r="R280" s="163"/>
      <c r="T280" s="163"/>
      <c r="AB280" s="288"/>
    </row>
    <row r="281" spans="2:29">
      <c r="B281" s="317" t="s">
        <v>546</v>
      </c>
      <c r="C281" s="317"/>
      <c r="D281" s="1448"/>
      <c r="E281" s="1449"/>
      <c r="F281" s="1449"/>
      <c r="G281" s="1449"/>
      <c r="H281" s="1449"/>
      <c r="I281" s="1449"/>
      <c r="J281" s="1449"/>
      <c r="K281" s="1449"/>
      <c r="L281" s="1449"/>
      <c r="M281" s="1449"/>
      <c r="N281" s="1449"/>
      <c r="O281" s="1449"/>
      <c r="P281" s="1449"/>
      <c r="Q281" s="1450"/>
      <c r="R281" s="163"/>
      <c r="T281" s="163"/>
      <c r="AB281" s="288"/>
    </row>
    <row r="282" spans="2:29">
      <c r="B282" s="317" t="s">
        <v>564</v>
      </c>
      <c r="C282" s="317"/>
      <c r="D282" s="1448"/>
      <c r="E282" s="1449"/>
      <c r="F282" s="1449"/>
      <c r="G282" s="1449"/>
      <c r="H282" s="1449"/>
      <c r="I282" s="1449"/>
      <c r="J282" s="1449"/>
      <c r="K282" s="1449"/>
      <c r="L282" s="1449"/>
      <c r="M282" s="1449"/>
      <c r="N282" s="1449"/>
      <c r="O282" s="1449"/>
      <c r="P282" s="1449"/>
      <c r="Q282" s="1450"/>
      <c r="R282" s="163"/>
      <c r="T282" s="163"/>
      <c r="AB282" s="288"/>
    </row>
    <row r="283" spans="2:29">
      <c r="B283" s="317" t="s">
        <v>577</v>
      </c>
      <c r="C283" s="317"/>
      <c r="D283" s="1448"/>
      <c r="E283" s="1449"/>
      <c r="F283" s="1449"/>
      <c r="G283" s="1449"/>
      <c r="H283" s="1449"/>
      <c r="I283" s="1449"/>
      <c r="J283" s="1449"/>
      <c r="K283" s="1449"/>
      <c r="L283" s="1449"/>
      <c r="M283" s="1449"/>
      <c r="N283" s="1449"/>
      <c r="O283" s="1449"/>
      <c r="P283" s="1449"/>
      <c r="Q283" s="1450"/>
      <c r="R283" s="163"/>
      <c r="T283" s="163"/>
      <c r="AB283" s="288"/>
    </row>
    <row r="284" spans="2:29">
      <c r="B284" s="317" t="s">
        <v>585</v>
      </c>
      <c r="C284" s="317"/>
      <c r="D284" s="1448"/>
      <c r="E284" s="1449"/>
      <c r="F284" s="1449"/>
      <c r="G284" s="1449"/>
      <c r="H284" s="1449"/>
      <c r="I284" s="1449"/>
      <c r="J284" s="1449"/>
      <c r="K284" s="1449"/>
      <c r="L284" s="1449"/>
      <c r="M284" s="1449"/>
      <c r="N284" s="1449"/>
      <c r="O284" s="1449"/>
      <c r="P284" s="1449"/>
      <c r="Q284" s="1450"/>
      <c r="R284" s="163"/>
      <c r="T284" s="163"/>
      <c r="AB284" s="288"/>
    </row>
    <row r="285" spans="2:29">
      <c r="B285" s="317" t="s">
        <v>593</v>
      </c>
      <c r="C285" s="317"/>
      <c r="D285" s="1448"/>
      <c r="E285" s="1449"/>
      <c r="F285" s="1449"/>
      <c r="G285" s="1449"/>
      <c r="H285" s="1449"/>
      <c r="I285" s="1449"/>
      <c r="J285" s="1449"/>
      <c r="K285" s="1449"/>
      <c r="L285" s="1449"/>
      <c r="M285" s="1449"/>
      <c r="N285" s="1449"/>
      <c r="O285" s="1449"/>
      <c r="P285" s="1449"/>
      <c r="Q285" s="1450"/>
      <c r="R285" s="163"/>
      <c r="T285" s="163"/>
      <c r="AB285" s="288"/>
    </row>
    <row r="286" spans="2:29">
      <c r="B286" s="317" t="s">
        <v>601</v>
      </c>
      <c r="C286" s="317"/>
      <c r="D286" s="1448"/>
      <c r="E286" s="1449"/>
      <c r="F286" s="1449"/>
      <c r="G286" s="1449"/>
      <c r="H286" s="1449"/>
      <c r="I286" s="1449"/>
      <c r="J286" s="1449"/>
      <c r="K286" s="1449"/>
      <c r="L286" s="1449"/>
      <c r="M286" s="1449"/>
      <c r="N286" s="1449"/>
      <c r="O286" s="1449"/>
      <c r="P286" s="1449"/>
      <c r="Q286" s="1450"/>
      <c r="R286" s="163"/>
      <c r="T286" s="163"/>
      <c r="AB286" s="288"/>
    </row>
    <row r="287" spans="2:29">
      <c r="AB287" s="288"/>
    </row>
    <row r="288" spans="2:29">
      <c r="D288" s="161" t="s">
        <v>699</v>
      </c>
      <c r="E288" s="161"/>
      <c r="F288"/>
      <c r="G288"/>
      <c r="H288"/>
      <c r="I288"/>
      <c r="J288"/>
      <c r="K288"/>
      <c r="L288"/>
      <c r="M288"/>
      <c r="N288"/>
      <c r="O288"/>
      <c r="P288"/>
      <c r="Q288"/>
      <c r="R288"/>
      <c r="T288" s="197" t="s">
        <v>454</v>
      </c>
      <c r="U288" s="198" t="s">
        <v>454</v>
      </c>
      <c r="V288" s="198" t="s">
        <v>454</v>
      </c>
      <c r="W288" s="198" t="s">
        <v>454</v>
      </c>
      <c r="X288" s="198" t="s">
        <v>454</v>
      </c>
      <c r="Y288" s="198" t="s">
        <v>454</v>
      </c>
      <c r="Z288" s="198" t="s">
        <v>454</v>
      </c>
      <c r="AA288" s="283" t="s">
        <v>454</v>
      </c>
      <c r="AB288" s="301" t="s">
        <v>454</v>
      </c>
      <c r="AC288" s="198" t="s">
        <v>454</v>
      </c>
    </row>
    <row r="289" spans="4:29">
      <c r="D289" s="1440" t="s">
        <v>792</v>
      </c>
      <c r="E289" s="1440"/>
      <c r="F289" s="1440"/>
      <c r="G289" s="1440"/>
      <c r="H289" s="1440"/>
      <c r="I289" s="1440"/>
      <c r="J289" s="1440"/>
      <c r="K289" s="1440"/>
      <c r="L289" s="1440"/>
      <c r="M289" s="1440"/>
      <c r="N289" s="1440"/>
      <c r="O289" s="1440"/>
      <c r="P289" s="1440"/>
      <c r="Q289" s="1440"/>
      <c r="R289" s="1440"/>
      <c r="T289" s="543">
        <f t="shared" ref="T289:AC289" si="15">T269</f>
        <v>-128.43357079999998</v>
      </c>
      <c r="U289" s="544">
        <f t="shared" si="15"/>
        <v>120.55800000000001</v>
      </c>
      <c r="V289" s="544">
        <f t="shared" si="15"/>
        <v>120.55800000000001</v>
      </c>
      <c r="W289" s="544">
        <f t="shared" si="15"/>
        <v>120.55800000000001</v>
      </c>
      <c r="X289" s="544">
        <f t="shared" si="15"/>
        <v>120.55800000000001</v>
      </c>
      <c r="Y289" s="544">
        <f t="shared" si="15"/>
        <v>120.55800000000001</v>
      </c>
      <c r="Z289" s="544">
        <f t="shared" si="15"/>
        <v>0</v>
      </c>
      <c r="AA289" s="545">
        <f t="shared" si="15"/>
        <v>0</v>
      </c>
      <c r="AB289" s="546">
        <f t="shared" si="15"/>
        <v>0</v>
      </c>
      <c r="AC289" s="544">
        <f t="shared" si="15"/>
        <v>0</v>
      </c>
    </row>
    <row r="290" spans="4:29">
      <c r="D290" s="1440" t="s">
        <v>795</v>
      </c>
      <c r="E290" s="1440"/>
      <c r="F290" s="1440"/>
      <c r="G290" s="1440"/>
      <c r="H290" s="1440"/>
      <c r="I290" s="1440"/>
      <c r="J290" s="1440"/>
      <c r="K290" s="1440"/>
      <c r="L290" s="1440"/>
      <c r="M290" s="1440"/>
      <c r="N290" s="1440"/>
      <c r="O290" s="1440"/>
      <c r="P290" s="1440"/>
      <c r="Q290" s="1440"/>
      <c r="R290" s="1440"/>
      <c r="T290" s="527"/>
      <c r="U290" s="527"/>
      <c r="V290" s="527"/>
      <c r="W290" s="527"/>
      <c r="X290" s="527"/>
      <c r="Y290" s="527"/>
      <c r="Z290" s="527"/>
      <c r="AA290" s="527"/>
      <c r="AB290" s="527"/>
      <c r="AC290" s="527"/>
    </row>
    <row r="291" spans="4:29" ht="12.75" customHeight="1">
      <c r="D291" s="1440" t="s">
        <v>796</v>
      </c>
      <c r="E291" s="1440"/>
      <c r="F291" s="1440"/>
      <c r="G291" s="1440"/>
      <c r="H291" s="1440"/>
      <c r="I291" s="1440"/>
      <c r="J291" s="1440"/>
      <c r="K291" s="1440"/>
      <c r="L291" s="1440"/>
      <c r="M291" s="1440"/>
      <c r="N291" s="1440"/>
      <c r="O291" s="1440"/>
      <c r="P291" s="1440"/>
      <c r="Q291" s="1440"/>
      <c r="R291" s="1440"/>
      <c r="T291" s="527"/>
      <c r="U291" s="527"/>
      <c r="V291" s="527"/>
      <c r="W291" s="527"/>
      <c r="X291" s="527"/>
      <c r="Y291" s="527"/>
      <c r="Z291" s="527"/>
      <c r="AA291" s="527"/>
      <c r="AB291" s="527"/>
      <c r="AC291" s="527"/>
    </row>
    <row r="292" spans="4:29" ht="12.75" customHeight="1">
      <c r="D292" s="1440" t="s">
        <v>797</v>
      </c>
      <c r="E292" s="1440"/>
      <c r="F292" s="1440"/>
      <c r="G292" s="1440"/>
      <c r="H292" s="1440"/>
      <c r="I292" s="1440"/>
      <c r="J292" s="1440"/>
      <c r="K292" s="1440"/>
      <c r="L292" s="1440"/>
      <c r="M292" s="1440"/>
      <c r="N292" s="1440"/>
      <c r="O292" s="1440"/>
      <c r="P292" s="1440"/>
      <c r="Q292" s="1440"/>
      <c r="R292" s="1440"/>
      <c r="T292" s="527"/>
      <c r="U292" s="527"/>
      <c r="V292" s="527"/>
      <c r="W292" s="527"/>
      <c r="X292" s="527"/>
      <c r="Y292" s="527"/>
      <c r="Z292" s="527"/>
      <c r="AA292" s="527"/>
      <c r="AB292" s="527"/>
      <c r="AC292" s="527"/>
    </row>
    <row r="293" spans="4:29" ht="12.75" customHeight="1">
      <c r="D293" s="1382" t="s">
        <v>798</v>
      </c>
      <c r="E293" s="1382"/>
      <c r="F293" s="1382"/>
      <c r="G293" s="1382"/>
      <c r="H293" s="1382"/>
      <c r="I293" s="1382"/>
      <c r="J293" s="1382"/>
      <c r="K293" s="1382"/>
      <c r="L293" s="1382"/>
      <c r="M293" s="1382"/>
      <c r="N293" s="1382"/>
      <c r="O293" s="1382"/>
      <c r="P293" s="1382"/>
      <c r="Q293" s="1382"/>
      <c r="R293" s="1382"/>
      <c r="T293" s="527"/>
      <c r="U293" s="527"/>
      <c r="V293" s="527"/>
      <c r="W293" s="527"/>
      <c r="X293" s="527"/>
      <c r="Y293" s="527"/>
      <c r="Z293" s="527"/>
      <c r="AA293" s="527"/>
      <c r="AB293" s="527"/>
      <c r="AC293" s="527"/>
    </row>
    <row r="294" spans="4:29" ht="12.75" customHeight="1">
      <c r="D294" s="1442" t="s">
        <v>799</v>
      </c>
      <c r="E294" s="1443"/>
      <c r="F294" s="1443"/>
      <c r="G294" s="1443"/>
      <c r="H294" s="1443"/>
      <c r="I294" s="1443"/>
      <c r="J294" s="1443"/>
      <c r="K294" s="1443"/>
      <c r="L294" s="1443"/>
      <c r="M294" s="1443"/>
      <c r="N294" s="1443"/>
      <c r="O294" s="1443"/>
      <c r="P294" s="1443"/>
      <c r="Q294" s="1443"/>
      <c r="R294" s="1444"/>
      <c r="T294" s="527">
        <v>249.07403780000001</v>
      </c>
      <c r="U294" s="527">
        <v>0</v>
      </c>
      <c r="V294" s="527">
        <v>0</v>
      </c>
      <c r="W294" s="527">
        <v>0</v>
      </c>
      <c r="X294" s="527">
        <v>0</v>
      </c>
      <c r="Y294" s="527">
        <v>0</v>
      </c>
      <c r="Z294" s="527">
        <v>0</v>
      </c>
      <c r="AA294" s="527">
        <v>0</v>
      </c>
      <c r="AB294" s="527">
        <v>0</v>
      </c>
      <c r="AC294" s="527">
        <v>0</v>
      </c>
    </row>
    <row r="295" spans="4:29" ht="12.75" customHeight="1">
      <c r="D295" s="1442" t="s">
        <v>800</v>
      </c>
      <c r="E295" s="1443"/>
      <c r="F295" s="1443"/>
      <c r="G295" s="1443"/>
      <c r="H295" s="1443"/>
      <c r="I295" s="1443"/>
      <c r="J295" s="1443"/>
      <c r="K295" s="1443"/>
      <c r="L295" s="1443"/>
      <c r="M295" s="1443"/>
      <c r="N295" s="1443"/>
      <c r="O295" s="1443"/>
      <c r="P295" s="1443"/>
      <c r="Q295" s="1443"/>
      <c r="R295" s="1444"/>
      <c r="T295" s="527">
        <v>-0.13</v>
      </c>
      <c r="U295" s="527">
        <v>0</v>
      </c>
      <c r="V295" s="527">
        <v>0</v>
      </c>
      <c r="W295" s="527">
        <v>0</v>
      </c>
      <c r="X295" s="527">
        <v>0</v>
      </c>
      <c r="Y295" s="527">
        <v>0</v>
      </c>
      <c r="Z295" s="527">
        <v>0</v>
      </c>
      <c r="AA295" s="527">
        <v>0</v>
      </c>
      <c r="AB295" s="527">
        <v>0</v>
      </c>
      <c r="AC295" s="527">
        <v>0</v>
      </c>
    </row>
    <row r="296" spans="4:29" ht="12.75" customHeight="1">
      <c r="D296" s="1442" t="s">
        <v>801</v>
      </c>
      <c r="E296" s="1443"/>
      <c r="F296" s="1443"/>
      <c r="G296" s="1443"/>
      <c r="H296" s="1443"/>
      <c r="I296" s="1443"/>
      <c r="J296" s="1443"/>
      <c r="K296" s="1443"/>
      <c r="L296" s="1443"/>
      <c r="M296" s="1443"/>
      <c r="N296" s="1443"/>
      <c r="O296" s="1443"/>
      <c r="P296" s="1443"/>
      <c r="Q296" s="1443"/>
      <c r="R296" s="1444"/>
      <c r="T296" s="527">
        <v>-0.60369700000000004</v>
      </c>
      <c r="U296" s="527">
        <v>0</v>
      </c>
      <c r="V296" s="527">
        <v>0</v>
      </c>
      <c r="W296" s="527">
        <v>0</v>
      </c>
      <c r="X296" s="527">
        <v>0</v>
      </c>
      <c r="Y296" s="527">
        <v>0</v>
      </c>
      <c r="Z296" s="527">
        <v>0</v>
      </c>
      <c r="AA296" s="527">
        <v>0</v>
      </c>
      <c r="AB296" s="527">
        <v>0</v>
      </c>
      <c r="AC296" s="527">
        <v>0</v>
      </c>
    </row>
    <row r="297" spans="4:29" ht="12.75" customHeight="1">
      <c r="D297" s="1442" t="s">
        <v>802</v>
      </c>
      <c r="E297" s="1443"/>
      <c r="F297" s="1443"/>
      <c r="G297" s="1443"/>
      <c r="H297" s="1443"/>
      <c r="I297" s="1443"/>
      <c r="J297" s="1443"/>
      <c r="K297" s="1443"/>
      <c r="L297" s="1443"/>
      <c r="M297" s="1443"/>
      <c r="N297" s="1443"/>
      <c r="O297" s="1443"/>
      <c r="P297" s="1443"/>
      <c r="Q297" s="1443"/>
      <c r="R297" s="1444"/>
      <c r="T297" s="527"/>
      <c r="U297" s="527"/>
      <c r="V297" s="527"/>
      <c r="W297" s="527"/>
      <c r="X297" s="527"/>
      <c r="Y297" s="527"/>
      <c r="Z297" s="527"/>
      <c r="AA297" s="527"/>
      <c r="AB297" s="527"/>
      <c r="AC297" s="527"/>
    </row>
    <row r="298" spans="4:29" ht="12.75" customHeight="1">
      <c r="D298" s="1442" t="s">
        <v>803</v>
      </c>
      <c r="E298" s="1443"/>
      <c r="F298" s="1443"/>
      <c r="G298" s="1443"/>
      <c r="H298" s="1443"/>
      <c r="I298" s="1443"/>
      <c r="J298" s="1443"/>
      <c r="K298" s="1443"/>
      <c r="L298" s="1443"/>
      <c r="M298" s="1443"/>
      <c r="N298" s="1443"/>
      <c r="O298" s="1443"/>
      <c r="P298" s="1443"/>
      <c r="Q298" s="1443"/>
      <c r="R298" s="1444"/>
      <c r="T298" s="527"/>
      <c r="U298" s="527"/>
      <c r="V298" s="527"/>
      <c r="W298" s="527"/>
      <c r="X298" s="527"/>
      <c r="Y298" s="527"/>
      <c r="Z298" s="527"/>
      <c r="AA298" s="527"/>
      <c r="AB298" s="527"/>
      <c r="AC298" s="527"/>
    </row>
    <row r="299" spans="4:29" ht="12.75" customHeight="1">
      <c r="D299" s="1442" t="s">
        <v>804</v>
      </c>
      <c r="E299" s="1443"/>
      <c r="F299" s="1443"/>
      <c r="G299" s="1443"/>
      <c r="H299" s="1443"/>
      <c r="I299" s="1443"/>
      <c r="J299" s="1443"/>
      <c r="K299" s="1443"/>
      <c r="L299" s="1443"/>
      <c r="M299" s="1443"/>
      <c r="N299" s="1443"/>
      <c r="O299" s="1443"/>
      <c r="P299" s="1443"/>
      <c r="Q299" s="1443"/>
      <c r="R299" s="1444"/>
      <c r="T299" s="527"/>
      <c r="U299" s="527"/>
      <c r="V299" s="527"/>
      <c r="W299" s="527"/>
      <c r="X299" s="527"/>
      <c r="Y299" s="527"/>
      <c r="Z299" s="527"/>
      <c r="AA299" s="527"/>
      <c r="AB299" s="527"/>
      <c r="AC299" s="527"/>
    </row>
    <row r="300" spans="4:29" ht="12.75" customHeight="1">
      <c r="D300" s="1442" t="s">
        <v>805</v>
      </c>
      <c r="E300" s="1443"/>
      <c r="F300" s="1443"/>
      <c r="G300" s="1443"/>
      <c r="H300" s="1443"/>
      <c r="I300" s="1443"/>
      <c r="J300" s="1443"/>
      <c r="K300" s="1443"/>
      <c r="L300" s="1443"/>
      <c r="M300" s="1443"/>
      <c r="N300" s="1443"/>
      <c r="O300" s="1443"/>
      <c r="P300" s="1443"/>
      <c r="Q300" s="1443"/>
      <c r="R300" s="1444"/>
      <c r="T300" s="527"/>
      <c r="U300" s="527"/>
      <c r="V300" s="527"/>
      <c r="W300" s="527"/>
      <c r="X300" s="527"/>
      <c r="Y300" s="527"/>
      <c r="Z300" s="527"/>
      <c r="AA300" s="527"/>
      <c r="AB300" s="527"/>
      <c r="AC300" s="527"/>
    </row>
    <row r="301" spans="4:29" ht="12.75" customHeight="1">
      <c r="D301" s="1442" t="s">
        <v>806</v>
      </c>
      <c r="E301" s="1443"/>
      <c r="F301" s="1443"/>
      <c r="G301" s="1443"/>
      <c r="H301" s="1443"/>
      <c r="I301" s="1443"/>
      <c r="J301" s="1443"/>
      <c r="K301" s="1443"/>
      <c r="L301" s="1443"/>
      <c r="M301" s="1443"/>
      <c r="N301" s="1443"/>
      <c r="O301" s="1443"/>
      <c r="P301" s="1443"/>
      <c r="Q301" s="1443"/>
      <c r="R301" s="1444"/>
      <c r="T301" s="527"/>
      <c r="U301" s="527"/>
      <c r="V301" s="527"/>
      <c r="W301" s="527"/>
      <c r="X301" s="527"/>
      <c r="Y301" s="527"/>
      <c r="Z301" s="527"/>
      <c r="AA301" s="527"/>
      <c r="AB301" s="527"/>
      <c r="AC301" s="527"/>
    </row>
    <row r="302" spans="4:29" ht="12.75" customHeight="1">
      <c r="D302" s="1442" t="s">
        <v>807</v>
      </c>
      <c r="E302" s="1443"/>
      <c r="F302" s="1443"/>
      <c r="G302" s="1443"/>
      <c r="H302" s="1443"/>
      <c r="I302" s="1443"/>
      <c r="J302" s="1443"/>
      <c r="K302" s="1443"/>
      <c r="L302" s="1443"/>
      <c r="M302" s="1443"/>
      <c r="N302" s="1443"/>
      <c r="O302" s="1443"/>
      <c r="P302" s="1443"/>
      <c r="Q302" s="1443"/>
      <c r="R302" s="1444"/>
      <c r="T302" s="527"/>
      <c r="U302" s="527"/>
      <c r="V302" s="527"/>
      <c r="W302" s="527"/>
      <c r="X302" s="527"/>
      <c r="Y302" s="527"/>
      <c r="Z302" s="527"/>
      <c r="AA302" s="527"/>
      <c r="AB302" s="527"/>
      <c r="AC302" s="527"/>
    </row>
    <row r="303" spans="4:29" ht="12.75" customHeight="1">
      <c r="D303" s="1451" t="s">
        <v>808</v>
      </c>
      <c r="E303" s="1452"/>
      <c r="F303" s="1452"/>
      <c r="G303" s="1452"/>
      <c r="H303" s="1452"/>
      <c r="I303" s="1452"/>
      <c r="J303" s="1452"/>
      <c r="K303" s="1452"/>
      <c r="L303" s="1452"/>
      <c r="M303" s="1452"/>
      <c r="N303" s="1452"/>
      <c r="O303" s="1452"/>
      <c r="P303" s="1452"/>
      <c r="Q303" s="1452"/>
      <c r="R303" s="1453"/>
      <c r="T303" s="527"/>
      <c r="U303" s="527"/>
      <c r="V303" s="527"/>
      <c r="W303" s="527"/>
      <c r="X303" s="527"/>
      <c r="Y303" s="527"/>
      <c r="Z303" s="527"/>
      <c r="AA303" s="527"/>
      <c r="AB303" s="527"/>
      <c r="AC303" s="527"/>
    </row>
    <row r="304" spans="4:29" ht="12.75" customHeight="1">
      <c r="D304" s="1451" t="s">
        <v>809</v>
      </c>
      <c r="E304" s="1452"/>
      <c r="F304" s="1452"/>
      <c r="G304" s="1452"/>
      <c r="H304" s="1452"/>
      <c r="I304" s="1452"/>
      <c r="J304" s="1452"/>
      <c r="K304" s="1452"/>
      <c r="L304" s="1452"/>
      <c r="M304" s="1452"/>
      <c r="N304" s="1452"/>
      <c r="O304" s="1452"/>
      <c r="P304" s="1452"/>
      <c r="Q304" s="1452"/>
      <c r="R304" s="1453"/>
      <c r="T304" s="527"/>
      <c r="U304" s="527"/>
      <c r="V304" s="527"/>
      <c r="W304" s="527"/>
      <c r="X304" s="527"/>
      <c r="Y304" s="527"/>
      <c r="Z304" s="527"/>
      <c r="AA304" s="527"/>
      <c r="AB304" s="527"/>
      <c r="AC304" s="527"/>
    </row>
    <row r="305" spans="2:29" ht="12.75" customHeight="1">
      <c r="D305" s="1445" t="s">
        <v>810</v>
      </c>
      <c r="E305" s="1446"/>
      <c r="F305" s="1446"/>
      <c r="G305" s="1446"/>
      <c r="H305" s="1446"/>
      <c r="I305" s="1446"/>
      <c r="J305" s="1446"/>
      <c r="K305" s="1446"/>
      <c r="L305" s="1446"/>
      <c r="M305" s="1446"/>
      <c r="N305" s="1446"/>
      <c r="O305" s="1446"/>
      <c r="P305" s="1446"/>
      <c r="Q305" s="1446"/>
      <c r="R305" s="1447"/>
      <c r="T305" s="527"/>
      <c r="U305" s="527"/>
      <c r="V305" s="527"/>
      <c r="W305" s="527"/>
      <c r="X305" s="527"/>
      <c r="Y305" s="527"/>
      <c r="Z305" s="527"/>
      <c r="AA305" s="527"/>
      <c r="AB305" s="527"/>
      <c r="AC305" s="527"/>
    </row>
    <row r="306" spans="2:29">
      <c r="D306" s="1441" t="s">
        <v>811</v>
      </c>
      <c r="E306" s="1441"/>
      <c r="F306" s="1441"/>
      <c r="G306" s="1441"/>
      <c r="H306" s="1441"/>
      <c r="I306" s="1441"/>
      <c r="J306" s="1441"/>
      <c r="K306" s="1441"/>
      <c r="L306" s="1441"/>
      <c r="M306" s="1441"/>
      <c r="N306" s="1441"/>
      <c r="O306" s="1441"/>
      <c r="P306" s="1441"/>
      <c r="Q306" s="1441"/>
      <c r="R306" s="1441"/>
      <c r="T306" s="503">
        <f t="shared" ref="T306:AC306" si="16">SUM(T289:T305)</f>
        <v>119.90677000000004</v>
      </c>
      <c r="U306" s="504">
        <f t="shared" si="16"/>
        <v>120.55800000000001</v>
      </c>
      <c r="V306" s="504">
        <f t="shared" si="16"/>
        <v>120.55800000000001</v>
      </c>
      <c r="W306" s="504">
        <f t="shared" si="16"/>
        <v>120.55800000000001</v>
      </c>
      <c r="X306" s="504">
        <f t="shared" si="16"/>
        <v>120.55800000000001</v>
      </c>
      <c r="Y306" s="504">
        <f t="shared" si="16"/>
        <v>120.55800000000001</v>
      </c>
      <c r="Z306" s="504">
        <f>SUM(Z289:Z305)</f>
        <v>0</v>
      </c>
      <c r="AA306" s="505">
        <f t="shared" si="16"/>
        <v>0</v>
      </c>
      <c r="AB306" s="506">
        <f t="shared" si="16"/>
        <v>0</v>
      </c>
      <c r="AC306" s="504">
        <f t="shared" si="16"/>
        <v>0</v>
      </c>
    </row>
    <row r="307" spans="2:29">
      <c r="AB307" s="288"/>
    </row>
    <row r="308" spans="2:29">
      <c r="D308" s="151" t="s">
        <v>705</v>
      </c>
      <c r="E308" s="151"/>
      <c r="AB308" s="288"/>
    </row>
    <row r="309" spans="2:29">
      <c r="D309" s="152" t="s">
        <v>706</v>
      </c>
      <c r="T309" s="405"/>
      <c r="U309" s="406"/>
      <c r="V309" s="406"/>
      <c r="W309" s="406"/>
      <c r="X309" s="406"/>
      <c r="Y309" s="406"/>
      <c r="Z309" s="406"/>
      <c r="AA309" s="407"/>
      <c r="AB309" s="408"/>
      <c r="AC309" s="406"/>
    </row>
    <row r="310" spans="2:29">
      <c r="D310" s="152" t="s">
        <v>645</v>
      </c>
      <c r="T310" s="199">
        <f>1-T309</f>
        <v>1</v>
      </c>
      <c r="U310" s="200">
        <f t="shared" ref="U310:AC310" si="17">1-U309</f>
        <v>1</v>
      </c>
      <c r="V310" s="200">
        <f t="shared" si="17"/>
        <v>1</v>
      </c>
      <c r="W310" s="200">
        <f t="shared" si="17"/>
        <v>1</v>
      </c>
      <c r="X310" s="200">
        <f t="shared" si="17"/>
        <v>1</v>
      </c>
      <c r="Y310" s="200">
        <f t="shared" si="17"/>
        <v>1</v>
      </c>
      <c r="Z310" s="200">
        <f t="shared" si="17"/>
        <v>1</v>
      </c>
      <c r="AA310" s="284">
        <f t="shared" si="17"/>
        <v>1</v>
      </c>
      <c r="AB310" s="303">
        <f t="shared" si="17"/>
        <v>1</v>
      </c>
      <c r="AC310" s="200">
        <f t="shared" si="17"/>
        <v>1</v>
      </c>
    </row>
    <row r="311" spans="2:29">
      <c r="AB311" s="288"/>
    </row>
    <row r="312" spans="2:29">
      <c r="AB312" s="288"/>
    </row>
    <row r="313" spans="2:29" ht="16">
      <c r="B313" s="315" t="s">
        <v>812</v>
      </c>
      <c r="C313" s="315"/>
      <c r="D313" s="147"/>
      <c r="E313" s="147"/>
      <c r="F313" s="147"/>
      <c r="G313" s="147"/>
      <c r="H313" s="147"/>
      <c r="I313" s="147"/>
      <c r="J313" s="147"/>
      <c r="K313" s="147"/>
      <c r="L313" s="147"/>
      <c r="M313" s="147"/>
      <c r="N313" s="147"/>
      <c r="O313" s="147"/>
      <c r="P313" s="147"/>
      <c r="Q313" s="147"/>
      <c r="AB313" s="288"/>
    </row>
    <row r="314" spans="2:29">
      <c r="AB314" s="288"/>
    </row>
    <row r="315" spans="2:29">
      <c r="D315" s="161" t="s">
        <v>813</v>
      </c>
      <c r="E315" s="161"/>
      <c r="F315"/>
      <c r="G315"/>
      <c r="H315"/>
      <c r="I315"/>
      <c r="J315"/>
      <c r="K315"/>
      <c r="L315"/>
      <c r="M315"/>
      <c r="N315"/>
      <c r="O315"/>
      <c r="P315"/>
      <c r="Q315"/>
      <c r="R315"/>
      <c r="T315" s="197" t="s">
        <v>216</v>
      </c>
      <c r="U315" s="198" t="s">
        <v>216</v>
      </c>
      <c r="V315" s="198" t="s">
        <v>216</v>
      </c>
      <c r="W315" s="198" t="s">
        <v>216</v>
      </c>
      <c r="X315" s="198" t="s">
        <v>216</v>
      </c>
      <c r="Y315" s="198" t="s">
        <v>216</v>
      </c>
      <c r="Z315" s="198" t="s">
        <v>216</v>
      </c>
      <c r="AA315" s="283" t="s">
        <v>216</v>
      </c>
      <c r="AB315" s="301" t="s">
        <v>216</v>
      </c>
      <c r="AC315" s="198" t="s">
        <v>216</v>
      </c>
    </row>
    <row r="316" spans="2:29">
      <c r="D316" s="1440" t="s">
        <v>814</v>
      </c>
      <c r="E316" s="1440"/>
      <c r="F316" s="1440"/>
      <c r="G316" s="1440"/>
      <c r="H316" s="1440"/>
      <c r="I316" s="1440"/>
      <c r="J316" s="1440"/>
      <c r="K316" s="1440"/>
      <c r="L316" s="1440"/>
      <c r="M316" s="1440"/>
      <c r="N316" s="1440"/>
      <c r="O316" s="1440"/>
      <c r="P316" s="1440"/>
      <c r="Q316" s="1440"/>
      <c r="R316" s="1440"/>
      <c r="T316" s="367"/>
      <c r="U316" s="367"/>
      <c r="V316" s="367"/>
      <c r="W316" s="367"/>
      <c r="X316" s="367"/>
      <c r="Y316" s="367"/>
      <c r="Z316" s="367"/>
      <c r="AA316" s="367"/>
      <c r="AB316" s="367"/>
      <c r="AC316" s="367"/>
    </row>
    <row r="317" spans="2:29">
      <c r="D317" s="1440" t="s">
        <v>815</v>
      </c>
      <c r="E317" s="1440"/>
      <c r="F317" s="1440"/>
      <c r="G317" s="1440"/>
      <c r="H317" s="1440"/>
      <c r="I317" s="1440"/>
      <c r="J317" s="1440"/>
      <c r="K317" s="1440"/>
      <c r="L317" s="1440"/>
      <c r="M317" s="1440"/>
      <c r="N317" s="1440"/>
      <c r="O317" s="1440"/>
      <c r="P317" s="1440"/>
      <c r="Q317" s="1440"/>
      <c r="R317" s="1440"/>
      <c r="T317" s="367">
        <v>1</v>
      </c>
      <c r="U317" s="367">
        <v>1</v>
      </c>
      <c r="V317" s="367">
        <v>1</v>
      </c>
      <c r="W317" s="367">
        <v>1</v>
      </c>
      <c r="X317" s="367">
        <v>1</v>
      </c>
      <c r="Y317" s="367">
        <v>1</v>
      </c>
      <c r="Z317" s="367"/>
      <c r="AA317" s="367"/>
      <c r="AB317" s="367"/>
      <c r="AC317" s="367"/>
    </row>
    <row r="318" spans="2:29">
      <c r="D318" s="1440" t="s">
        <v>816</v>
      </c>
      <c r="E318" s="1440"/>
      <c r="F318" s="1440"/>
      <c r="G318" s="1440"/>
      <c r="H318" s="1440"/>
      <c r="I318" s="1440"/>
      <c r="J318" s="1440"/>
      <c r="K318" s="1440"/>
      <c r="L318" s="1440"/>
      <c r="M318" s="1440"/>
      <c r="N318" s="1440"/>
      <c r="O318" s="1440"/>
      <c r="P318" s="1440"/>
      <c r="Q318" s="1440"/>
      <c r="R318" s="1440"/>
      <c r="T318" s="367"/>
      <c r="U318" s="367"/>
      <c r="V318" s="367"/>
      <c r="W318" s="367"/>
      <c r="X318" s="367"/>
      <c r="Y318" s="367"/>
      <c r="Z318" s="367"/>
      <c r="AA318" s="367"/>
      <c r="AB318" s="367"/>
      <c r="AC318" s="367"/>
    </row>
    <row r="319" spans="2:29">
      <c r="D319" s="1440" t="s">
        <v>817</v>
      </c>
      <c r="E319" s="1440"/>
      <c r="F319" s="1440"/>
      <c r="G319" s="1440"/>
      <c r="H319" s="1440"/>
      <c r="I319" s="1440"/>
      <c r="J319" s="1440"/>
      <c r="K319" s="1440"/>
      <c r="L319" s="1440"/>
      <c r="M319" s="1440"/>
      <c r="N319" s="1440"/>
      <c r="O319" s="1440"/>
      <c r="P319" s="1440"/>
      <c r="Q319" s="1440"/>
      <c r="R319" s="1440"/>
      <c r="T319" s="367"/>
      <c r="U319" s="367"/>
      <c r="V319" s="367"/>
      <c r="W319" s="367"/>
      <c r="X319" s="367"/>
      <c r="Y319" s="367"/>
      <c r="Z319" s="367"/>
      <c r="AA319" s="367"/>
      <c r="AB319" s="367"/>
      <c r="AC319" s="367"/>
    </row>
    <row r="320" spans="2:29">
      <c r="D320" s="1441" t="s">
        <v>339</v>
      </c>
      <c r="E320" s="1441"/>
      <c r="F320" s="1441"/>
      <c r="G320" s="1441"/>
      <c r="H320" s="1441"/>
      <c r="I320" s="1441"/>
      <c r="J320" s="1441"/>
      <c r="K320" s="1441"/>
      <c r="L320" s="1441"/>
      <c r="M320" s="1441"/>
      <c r="N320" s="1441"/>
      <c r="O320" s="1441"/>
      <c r="P320" s="1441"/>
      <c r="Q320" s="1441"/>
      <c r="R320" s="1441"/>
      <c r="T320" s="199">
        <f t="shared" ref="T320:AC320" si="18">SUM(T316:T319)</f>
        <v>1</v>
      </c>
      <c r="U320" s="200">
        <f t="shared" si="18"/>
        <v>1</v>
      </c>
      <c r="V320" s="200">
        <f t="shared" si="18"/>
        <v>1</v>
      </c>
      <c r="W320" s="200">
        <f t="shared" si="18"/>
        <v>1</v>
      </c>
      <c r="X320" s="200">
        <f t="shared" si="18"/>
        <v>1</v>
      </c>
      <c r="Y320" s="200">
        <f t="shared" si="18"/>
        <v>1</v>
      </c>
      <c r="Z320" s="200">
        <f t="shared" si="18"/>
        <v>0</v>
      </c>
      <c r="AA320" s="284">
        <f t="shared" si="18"/>
        <v>0</v>
      </c>
      <c r="AB320" s="303">
        <f t="shared" si="18"/>
        <v>0</v>
      </c>
      <c r="AC320" s="200">
        <f t="shared" si="18"/>
        <v>0</v>
      </c>
    </row>
    <row r="321" spans="4:29">
      <c r="D321" s="175" t="s">
        <v>279</v>
      </c>
      <c r="T321" s="152" t="str">
        <f>IF(T320 = 1, "OK", "Error: should = 100%")</f>
        <v>OK</v>
      </c>
      <c r="U321" s="152" t="str">
        <f t="shared" ref="U321:AC321" si="19">IF(U320 = 1, "OK", "Error: should = 100%")</f>
        <v>OK</v>
      </c>
      <c r="V321" s="152" t="str">
        <f t="shared" si="19"/>
        <v>OK</v>
      </c>
      <c r="W321" s="152" t="str">
        <f t="shared" si="19"/>
        <v>OK</v>
      </c>
      <c r="X321" s="152" t="str">
        <f t="shared" si="19"/>
        <v>OK</v>
      </c>
      <c r="Y321" s="152" t="str">
        <f t="shared" si="19"/>
        <v>OK</v>
      </c>
      <c r="Z321" s="152" t="str">
        <f t="shared" si="19"/>
        <v>Error: should = 100%</v>
      </c>
      <c r="AA321" s="152" t="str">
        <f t="shared" si="19"/>
        <v>Error: should = 100%</v>
      </c>
      <c r="AB321" s="288" t="str">
        <f t="shared" si="19"/>
        <v>Error: should = 100%</v>
      </c>
      <c r="AC321" s="152" t="str">
        <f t="shared" si="19"/>
        <v>Error: should = 100%</v>
      </c>
    </row>
    <row r="322" spans="4:29">
      <c r="AB322" s="288"/>
    </row>
    <row r="323" spans="4:29">
      <c r="D323" s="161" t="s">
        <v>818</v>
      </c>
      <c r="E323" s="161"/>
      <c r="F323"/>
      <c r="G323"/>
      <c r="H323"/>
      <c r="I323"/>
      <c r="J323"/>
      <c r="K323"/>
      <c r="L323"/>
      <c r="M323"/>
      <c r="N323"/>
      <c r="O323"/>
      <c r="P323"/>
      <c r="Q323"/>
      <c r="R323"/>
      <c r="AB323" s="288"/>
    </row>
    <row r="324" spans="4:29">
      <c r="D324" s="1440" t="s">
        <v>814</v>
      </c>
      <c r="E324" s="1440"/>
      <c r="F324" s="1440"/>
      <c r="G324" s="1440"/>
      <c r="H324" s="1440"/>
      <c r="I324" s="1440"/>
      <c r="J324" s="1440"/>
      <c r="K324" s="1440"/>
      <c r="L324" s="1440"/>
      <c r="M324" s="1440"/>
      <c r="N324" s="1440"/>
      <c r="O324" s="1440"/>
      <c r="P324" s="1440"/>
      <c r="Q324" s="1440"/>
      <c r="R324" s="1440"/>
      <c r="T324" s="368"/>
      <c r="U324" s="368"/>
      <c r="V324" s="368"/>
      <c r="W324" s="368"/>
      <c r="X324" s="368"/>
      <c r="Y324" s="368"/>
      <c r="Z324" s="368"/>
      <c r="AA324" s="368"/>
      <c r="AB324" s="368"/>
      <c r="AC324" s="368"/>
    </row>
    <row r="325" spans="4:29">
      <c r="D325" s="1440" t="s">
        <v>815</v>
      </c>
      <c r="E325" s="1440"/>
      <c r="F325" s="1440"/>
      <c r="G325" s="1440"/>
      <c r="H325" s="1440"/>
      <c r="I325" s="1440"/>
      <c r="J325" s="1440"/>
      <c r="K325" s="1440"/>
      <c r="L325" s="1440"/>
      <c r="M325" s="1440"/>
      <c r="N325" s="1440"/>
      <c r="O325" s="1440"/>
      <c r="P325" s="1440"/>
      <c r="Q325" s="1440"/>
      <c r="R325" s="1440"/>
      <c r="T325" s="368">
        <v>1</v>
      </c>
      <c r="U325" s="368">
        <v>1</v>
      </c>
      <c r="V325" s="368">
        <v>1</v>
      </c>
      <c r="W325" s="368">
        <v>1</v>
      </c>
      <c r="X325" s="368">
        <v>1</v>
      </c>
      <c r="Y325" s="368">
        <v>1</v>
      </c>
      <c r="Z325" s="368"/>
      <c r="AA325" s="368"/>
      <c r="AB325" s="368"/>
      <c r="AC325" s="368"/>
    </row>
    <row r="326" spans="4:29">
      <c r="D326" s="1440" t="s">
        <v>816</v>
      </c>
      <c r="E326" s="1440"/>
      <c r="F326" s="1440"/>
      <c r="G326" s="1440"/>
      <c r="H326" s="1440"/>
      <c r="I326" s="1440"/>
      <c r="J326" s="1440"/>
      <c r="K326" s="1440"/>
      <c r="L326" s="1440"/>
      <c r="M326" s="1440"/>
      <c r="N326" s="1440"/>
      <c r="O326" s="1440"/>
      <c r="P326" s="1440"/>
      <c r="Q326" s="1440"/>
      <c r="R326" s="1440"/>
      <c r="T326" s="368"/>
      <c r="U326" s="368"/>
      <c r="V326" s="368"/>
      <c r="W326" s="368"/>
      <c r="X326" s="368"/>
      <c r="Y326" s="368"/>
      <c r="Z326" s="368"/>
      <c r="AA326" s="368"/>
      <c r="AB326" s="368"/>
      <c r="AC326" s="368"/>
    </row>
    <row r="327" spans="4:29">
      <c r="D327" s="1440" t="s">
        <v>817</v>
      </c>
      <c r="E327" s="1440"/>
      <c r="F327" s="1440"/>
      <c r="G327" s="1440"/>
      <c r="H327" s="1440"/>
      <c r="I327" s="1440"/>
      <c r="J327" s="1440"/>
      <c r="K327" s="1440"/>
      <c r="L327" s="1440"/>
      <c r="M327" s="1440"/>
      <c r="N327" s="1440"/>
      <c r="O327" s="1440"/>
      <c r="P327" s="1440"/>
      <c r="Q327" s="1440"/>
      <c r="R327" s="1440"/>
      <c r="T327" s="368"/>
      <c r="U327" s="368"/>
      <c r="V327" s="368"/>
      <c r="W327" s="368"/>
      <c r="X327" s="368"/>
      <c r="Y327" s="368"/>
      <c r="Z327" s="368"/>
      <c r="AA327" s="368"/>
      <c r="AB327" s="368"/>
      <c r="AC327" s="368"/>
    </row>
    <row r="328" spans="4:29">
      <c r="D328" s="1441" t="s">
        <v>339</v>
      </c>
      <c r="E328" s="1441"/>
      <c r="F328" s="1441"/>
      <c r="G328" s="1441"/>
      <c r="H328" s="1441"/>
      <c r="I328" s="1441"/>
      <c r="J328" s="1441"/>
      <c r="K328" s="1441"/>
      <c r="L328" s="1441"/>
      <c r="M328" s="1441"/>
      <c r="N328" s="1441"/>
      <c r="O328" s="1441"/>
      <c r="P328" s="1441"/>
      <c r="Q328" s="1441"/>
      <c r="R328" s="1441"/>
      <c r="T328" s="199">
        <f>SUM(T324:T327)</f>
        <v>1</v>
      </c>
      <c r="U328" s="200">
        <f t="shared" ref="U328:AC328" si="20">SUM(U324:U327)</f>
        <v>1</v>
      </c>
      <c r="V328" s="200">
        <f t="shared" si="20"/>
        <v>1</v>
      </c>
      <c r="W328" s="200">
        <f t="shared" si="20"/>
        <v>1</v>
      </c>
      <c r="X328" s="200">
        <f t="shared" si="20"/>
        <v>1</v>
      </c>
      <c r="Y328" s="200">
        <f t="shared" si="20"/>
        <v>1</v>
      </c>
      <c r="Z328" s="200">
        <f t="shared" si="20"/>
        <v>0</v>
      </c>
      <c r="AA328" s="284">
        <f t="shared" si="20"/>
        <v>0</v>
      </c>
      <c r="AB328" s="303">
        <f t="shared" si="20"/>
        <v>0</v>
      </c>
      <c r="AC328" s="200">
        <f t="shared" si="20"/>
        <v>0</v>
      </c>
    </row>
    <row r="329" spans="4:29">
      <c r="D329" s="175" t="s">
        <v>279</v>
      </c>
      <c r="T329" s="152" t="str">
        <f>IF(T328 = 1, "OK", "Error: should = 100%")</f>
        <v>OK</v>
      </c>
      <c r="U329" s="152" t="str">
        <f t="shared" ref="U329:AC329" si="21">IF(U328 = 1, "OK", "Error: should = 100%")</f>
        <v>OK</v>
      </c>
      <c r="V329" s="152" t="str">
        <f t="shared" si="21"/>
        <v>OK</v>
      </c>
      <c r="W329" s="152" t="str">
        <f t="shared" si="21"/>
        <v>OK</v>
      </c>
      <c r="X329" s="152" t="str">
        <f t="shared" si="21"/>
        <v>OK</v>
      </c>
      <c r="Y329" s="152" t="str">
        <f t="shared" si="21"/>
        <v>OK</v>
      </c>
      <c r="Z329" s="152" t="str">
        <f t="shared" si="21"/>
        <v>Error: should = 100%</v>
      </c>
      <c r="AA329" s="152" t="str">
        <f t="shared" si="21"/>
        <v>Error: should = 100%</v>
      </c>
      <c r="AB329" s="288" t="str">
        <f t="shared" si="21"/>
        <v>Error: should = 100%</v>
      </c>
      <c r="AC329" s="152" t="str">
        <f t="shared" si="21"/>
        <v>Error: should = 100%</v>
      </c>
    </row>
    <row r="330" spans="4:29">
      <c r="AB330" s="288"/>
    </row>
    <row r="331" spans="4:29">
      <c r="D331" s="161" t="s">
        <v>819</v>
      </c>
      <c r="E331" s="161"/>
      <c r="F331"/>
      <c r="G331"/>
      <c r="H331"/>
      <c r="I331"/>
      <c r="J331"/>
      <c r="K331"/>
      <c r="L331"/>
      <c r="M331"/>
      <c r="N331"/>
      <c r="O331"/>
      <c r="P331"/>
      <c r="Q331"/>
      <c r="R331"/>
      <c r="T331" s="197" t="s">
        <v>216</v>
      </c>
      <c r="U331" s="198" t="s">
        <v>216</v>
      </c>
      <c r="V331" s="198" t="s">
        <v>216</v>
      </c>
      <c r="W331" s="198" t="s">
        <v>216</v>
      </c>
      <c r="X331" s="198" t="s">
        <v>216</v>
      </c>
      <c r="Y331" s="198" t="s">
        <v>216</v>
      </c>
      <c r="Z331" s="198" t="s">
        <v>216</v>
      </c>
      <c r="AA331" s="283" t="s">
        <v>216</v>
      </c>
      <c r="AB331" s="301" t="s">
        <v>216</v>
      </c>
      <c r="AC331" s="198" t="s">
        <v>216</v>
      </c>
    </row>
    <row r="332" spans="4:29">
      <c r="D332" s="1440" t="s">
        <v>820</v>
      </c>
      <c r="E332" s="1440"/>
      <c r="F332" s="1440"/>
      <c r="G332" s="1440"/>
      <c r="H332" s="1440"/>
      <c r="I332" s="1440"/>
      <c r="J332" s="1440"/>
      <c r="K332" s="1440"/>
      <c r="L332" s="1440"/>
      <c r="M332" s="1440"/>
      <c r="N332" s="1440"/>
      <c r="O332" s="1440"/>
      <c r="P332" s="1440"/>
      <c r="Q332" s="1440"/>
      <c r="R332" s="1440"/>
      <c r="T332" s="368">
        <v>1</v>
      </c>
      <c r="U332" s="368">
        <v>1</v>
      </c>
      <c r="V332" s="368">
        <v>1</v>
      </c>
      <c r="W332" s="368">
        <v>1</v>
      </c>
      <c r="X332" s="368">
        <v>1</v>
      </c>
      <c r="Y332" s="368">
        <v>1</v>
      </c>
      <c r="Z332" s="368"/>
      <c r="AA332" s="368"/>
      <c r="AB332" s="368"/>
      <c r="AC332" s="368"/>
    </row>
    <row r="333" spans="4:29">
      <c r="D333" s="1440" t="s">
        <v>821</v>
      </c>
      <c r="E333" s="1440"/>
      <c r="F333" s="1440"/>
      <c r="G333" s="1440"/>
      <c r="H333" s="1440"/>
      <c r="I333" s="1440"/>
      <c r="J333" s="1440"/>
      <c r="K333" s="1440"/>
      <c r="L333" s="1440"/>
      <c r="M333" s="1440"/>
      <c r="N333" s="1440"/>
      <c r="O333" s="1440"/>
      <c r="P333" s="1440"/>
      <c r="Q333" s="1440"/>
      <c r="R333" s="1440"/>
      <c r="T333" s="368"/>
      <c r="U333" s="368"/>
      <c r="V333" s="368"/>
      <c r="W333" s="368"/>
      <c r="X333" s="368"/>
      <c r="Y333" s="368"/>
      <c r="Z333" s="368"/>
      <c r="AA333" s="368"/>
      <c r="AB333" s="368"/>
      <c r="AC333" s="368"/>
    </row>
    <row r="334" spans="4:29">
      <c r="D334" s="1441" t="s">
        <v>339</v>
      </c>
      <c r="E334" s="1441"/>
      <c r="F334" s="1441"/>
      <c r="G334" s="1441"/>
      <c r="H334" s="1441"/>
      <c r="I334" s="1441"/>
      <c r="J334" s="1441"/>
      <c r="K334" s="1441"/>
      <c r="L334" s="1441"/>
      <c r="M334" s="1441"/>
      <c r="N334" s="1441"/>
      <c r="O334" s="1441"/>
      <c r="P334" s="1441"/>
      <c r="Q334" s="1441"/>
      <c r="R334" s="1441"/>
      <c r="T334" s="199">
        <f t="shared" ref="T334:AC334" si="22">SUM(T332:T333)</f>
        <v>1</v>
      </c>
      <c r="U334" s="200">
        <f t="shared" si="22"/>
        <v>1</v>
      </c>
      <c r="V334" s="200">
        <f t="shared" si="22"/>
        <v>1</v>
      </c>
      <c r="W334" s="200">
        <f t="shared" si="22"/>
        <v>1</v>
      </c>
      <c r="X334" s="200">
        <f t="shared" si="22"/>
        <v>1</v>
      </c>
      <c r="Y334" s="200">
        <f t="shared" si="22"/>
        <v>1</v>
      </c>
      <c r="Z334" s="200">
        <f t="shared" si="22"/>
        <v>0</v>
      </c>
      <c r="AA334" s="284">
        <f t="shared" si="22"/>
        <v>0</v>
      </c>
      <c r="AB334" s="303">
        <f t="shared" si="22"/>
        <v>0</v>
      </c>
      <c r="AC334" s="200">
        <f t="shared" si="22"/>
        <v>0</v>
      </c>
    </row>
    <row r="335" spans="4:29">
      <c r="D335" s="175" t="s">
        <v>279</v>
      </c>
      <c r="T335" s="152" t="str">
        <f>IF(T334 = 1, "OK", "Error: should = 100%")</f>
        <v>OK</v>
      </c>
      <c r="U335" s="152" t="str">
        <f t="shared" ref="U335:AC335" si="23">IF(U334 = 1, "OK", "Error: should = 100%")</f>
        <v>OK</v>
      </c>
      <c r="V335" s="152" t="str">
        <f t="shared" si="23"/>
        <v>OK</v>
      </c>
      <c r="W335" s="152" t="str">
        <f t="shared" si="23"/>
        <v>OK</v>
      </c>
      <c r="X335" s="152" t="str">
        <f t="shared" si="23"/>
        <v>OK</v>
      </c>
      <c r="Y335" s="152" t="str">
        <f t="shared" si="23"/>
        <v>OK</v>
      </c>
      <c r="Z335" s="152" t="str">
        <f t="shared" si="23"/>
        <v>Error: should = 100%</v>
      </c>
      <c r="AA335" s="152" t="str">
        <f t="shared" si="23"/>
        <v>Error: should = 100%</v>
      </c>
      <c r="AB335" s="288" t="str">
        <f t="shared" si="23"/>
        <v>Error: should = 100%</v>
      </c>
      <c r="AC335" s="152" t="str">
        <f t="shared" si="23"/>
        <v>Error: should = 100%</v>
      </c>
    </row>
    <row r="336" spans="4:29">
      <c r="AB336" s="288"/>
    </row>
    <row r="337" spans="2:38">
      <c r="D337" s="161" t="s">
        <v>822</v>
      </c>
      <c r="E337" s="161"/>
      <c r="F337"/>
      <c r="G337"/>
      <c r="H337"/>
      <c r="I337"/>
      <c r="J337"/>
      <c r="K337"/>
      <c r="L337"/>
      <c r="M337"/>
      <c r="N337"/>
      <c r="O337"/>
      <c r="P337"/>
      <c r="Q337"/>
      <c r="R337"/>
      <c r="AB337" s="288"/>
    </row>
    <row r="338" spans="2:38" ht="12.75" customHeight="1">
      <c r="D338" s="1440" t="s">
        <v>820</v>
      </c>
      <c r="E338" s="1440"/>
      <c r="F338" s="1440"/>
      <c r="G338" s="1440"/>
      <c r="H338" s="1440"/>
      <c r="I338" s="1440"/>
      <c r="J338" s="1440"/>
      <c r="K338" s="1440"/>
      <c r="L338" s="1440"/>
      <c r="M338" s="1440"/>
      <c r="N338" s="1440"/>
      <c r="O338" s="1440"/>
      <c r="P338" s="1440"/>
      <c r="Q338" s="1440"/>
      <c r="R338" s="1440"/>
      <c r="T338" s="368">
        <v>1</v>
      </c>
      <c r="U338" s="368">
        <v>1</v>
      </c>
      <c r="V338" s="368">
        <v>1</v>
      </c>
      <c r="W338" s="368">
        <v>1</v>
      </c>
      <c r="X338" s="368">
        <v>1</v>
      </c>
      <c r="Y338" s="368">
        <v>1</v>
      </c>
      <c r="Z338" s="368"/>
      <c r="AA338" s="368"/>
      <c r="AB338" s="368"/>
      <c r="AC338" s="368"/>
    </row>
    <row r="339" spans="2:38" ht="12.75" customHeight="1">
      <c r="D339" s="1440" t="s">
        <v>821</v>
      </c>
      <c r="E339" s="1440"/>
      <c r="F339" s="1440"/>
      <c r="G339" s="1440"/>
      <c r="H339" s="1440"/>
      <c r="I339" s="1440"/>
      <c r="J339" s="1440"/>
      <c r="K339" s="1440"/>
      <c r="L339" s="1440"/>
      <c r="M339" s="1440"/>
      <c r="N339" s="1440"/>
      <c r="O339" s="1440"/>
      <c r="P339" s="1440"/>
      <c r="Q339" s="1440"/>
      <c r="R339" s="1440"/>
      <c r="T339" s="368"/>
      <c r="U339" s="368"/>
      <c r="V339" s="368"/>
      <c r="W339" s="368"/>
      <c r="X339" s="368"/>
      <c r="Y339" s="368"/>
      <c r="Z339" s="368"/>
      <c r="AA339" s="368"/>
      <c r="AB339" s="368"/>
      <c r="AC339" s="368"/>
    </row>
    <row r="340" spans="2:38">
      <c r="D340" s="1441" t="s">
        <v>339</v>
      </c>
      <c r="E340" s="1441"/>
      <c r="F340" s="1441"/>
      <c r="G340" s="1441"/>
      <c r="H340" s="1441"/>
      <c r="I340" s="1441"/>
      <c r="J340" s="1441"/>
      <c r="K340" s="1441"/>
      <c r="L340" s="1441"/>
      <c r="M340" s="1441"/>
      <c r="N340" s="1441"/>
      <c r="O340" s="1441"/>
      <c r="P340" s="1441"/>
      <c r="Q340" s="1441"/>
      <c r="R340" s="1441"/>
      <c r="T340" s="199">
        <f t="shared" ref="T340:AC340" si="24">SUM(T338:T339)</f>
        <v>1</v>
      </c>
      <c r="U340" s="200">
        <f t="shared" si="24"/>
        <v>1</v>
      </c>
      <c r="V340" s="200">
        <f t="shared" si="24"/>
        <v>1</v>
      </c>
      <c r="W340" s="200">
        <f t="shared" si="24"/>
        <v>1</v>
      </c>
      <c r="X340" s="200">
        <f t="shared" si="24"/>
        <v>1</v>
      </c>
      <c r="Y340" s="200">
        <f t="shared" si="24"/>
        <v>1</v>
      </c>
      <c r="Z340" s="200">
        <f t="shared" si="24"/>
        <v>0</v>
      </c>
      <c r="AA340" s="284">
        <f t="shared" si="24"/>
        <v>0</v>
      </c>
      <c r="AB340" s="303">
        <f t="shared" si="24"/>
        <v>0</v>
      </c>
      <c r="AC340" s="200">
        <f t="shared" si="24"/>
        <v>0</v>
      </c>
    </row>
    <row r="341" spans="2:38">
      <c r="D341" s="175" t="s">
        <v>279</v>
      </c>
      <c r="T341" s="612" t="str">
        <f>IF(T340 = 1, "OK", "Error: should = 100%")</f>
        <v>OK</v>
      </c>
      <c r="U341" s="612" t="str">
        <f t="shared" ref="U341:AC341" si="25">IF(U340 = 1, "OK", "Error: should = 100%")</f>
        <v>OK</v>
      </c>
      <c r="V341" s="612" t="str">
        <f t="shared" si="25"/>
        <v>OK</v>
      </c>
      <c r="W341" s="612" t="str">
        <f t="shared" si="25"/>
        <v>OK</v>
      </c>
      <c r="X341" s="612" t="str">
        <f t="shared" si="25"/>
        <v>OK</v>
      </c>
      <c r="Y341" s="612" t="str">
        <f t="shared" si="25"/>
        <v>OK</v>
      </c>
      <c r="Z341" s="612" t="str">
        <f t="shared" si="25"/>
        <v>Error: should = 100%</v>
      </c>
      <c r="AA341" s="612" t="str">
        <f t="shared" si="25"/>
        <v>Error: should = 100%</v>
      </c>
      <c r="AB341" s="612" t="str">
        <f t="shared" si="25"/>
        <v>Error: should = 100%</v>
      </c>
      <c r="AC341" s="612" t="str">
        <f t="shared" si="25"/>
        <v>Error: should = 100%</v>
      </c>
    </row>
    <row r="342" spans="2:38">
      <c r="D342" s="175"/>
    </row>
    <row r="344" spans="2:38" s="166" customFormat="1" ht="15" customHeight="1">
      <c r="B344" s="318" t="s">
        <v>682</v>
      </c>
      <c r="C344" s="318"/>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c r="AA344" s="164"/>
      <c r="AB344" s="164"/>
      <c r="AC344" s="164"/>
      <c r="AD344" s="165"/>
      <c r="AE344" s="165"/>
      <c r="AF344" s="165"/>
      <c r="AG344" s="165"/>
      <c r="AH344" s="165"/>
      <c r="AI344" s="165"/>
      <c r="AJ344" s="165"/>
      <c r="AK344" s="165"/>
      <c r="AL344" s="165"/>
    </row>
  </sheetData>
  <dataConsolidate/>
  <mergeCells count="160">
    <mergeCell ref="D293:R293"/>
    <mergeCell ref="C266:Q266"/>
    <mergeCell ref="J147:R147"/>
    <mergeCell ref="F120:F121"/>
    <mergeCell ref="D109:N109"/>
    <mergeCell ref="D110:N110"/>
    <mergeCell ref="D111:N111"/>
    <mergeCell ref="D114:N114"/>
    <mergeCell ref="D283:Q283"/>
    <mergeCell ref="D276:Q276"/>
    <mergeCell ref="D286:Q286"/>
    <mergeCell ref="D284:Q284"/>
    <mergeCell ref="D285:Q285"/>
    <mergeCell ref="D292:R292"/>
    <mergeCell ref="D254:Q254"/>
    <mergeCell ref="D278:Q278"/>
    <mergeCell ref="D255:Q255"/>
    <mergeCell ref="D256:Q256"/>
    <mergeCell ref="D257:Q257"/>
    <mergeCell ref="C246:Q246"/>
    <mergeCell ref="C247:Q247"/>
    <mergeCell ref="C248:Q248"/>
    <mergeCell ref="C249:Q249"/>
    <mergeCell ref="C250:Q250"/>
    <mergeCell ref="F148:F149"/>
    <mergeCell ref="F175:F176"/>
    <mergeCell ref="F205:N205"/>
    <mergeCell ref="C197:Q197"/>
    <mergeCell ref="C213:Q213"/>
    <mergeCell ref="C214:Q214"/>
    <mergeCell ref="C215:Q215"/>
    <mergeCell ref="C230:Q230"/>
    <mergeCell ref="F203:N204"/>
    <mergeCell ref="C198:Q198"/>
    <mergeCell ref="C169:Q169"/>
    <mergeCell ref="C170:Q170"/>
    <mergeCell ref="C189:Q189"/>
    <mergeCell ref="C190:Q190"/>
    <mergeCell ref="C216:Q216"/>
    <mergeCell ref="C227:Q227"/>
    <mergeCell ref="C211:Q211"/>
    <mergeCell ref="C229:Q229"/>
    <mergeCell ref="F206:N206"/>
    <mergeCell ref="F207:N207"/>
    <mergeCell ref="F208:N208"/>
    <mergeCell ref="C209:Q209"/>
    <mergeCell ref="C212:Q212"/>
    <mergeCell ref="C188:Q188"/>
    <mergeCell ref="D294:R294"/>
    <mergeCell ref="D295:R295"/>
    <mergeCell ref="D306:R306"/>
    <mergeCell ref="D289:R289"/>
    <mergeCell ref="D291:R291"/>
    <mergeCell ref="D305:R305"/>
    <mergeCell ref="D258:Q258"/>
    <mergeCell ref="D274:Q274"/>
    <mergeCell ref="D275:Q275"/>
    <mergeCell ref="D290:R290"/>
    <mergeCell ref="D301:R301"/>
    <mergeCell ref="D302:R302"/>
    <mergeCell ref="D303:R303"/>
    <mergeCell ref="D304:R304"/>
    <mergeCell ref="D279:Q279"/>
    <mergeCell ref="D280:Q280"/>
    <mergeCell ref="D281:Q281"/>
    <mergeCell ref="D282:Q282"/>
    <mergeCell ref="D296:R296"/>
    <mergeCell ref="D297:R297"/>
    <mergeCell ref="D298:R298"/>
    <mergeCell ref="D299:R299"/>
    <mergeCell ref="D300:R300"/>
    <mergeCell ref="D277:Q277"/>
    <mergeCell ref="D316:R316"/>
    <mergeCell ref="D317:R317"/>
    <mergeCell ref="D318:R318"/>
    <mergeCell ref="D340:R340"/>
    <mergeCell ref="D320:R320"/>
    <mergeCell ref="D324:R324"/>
    <mergeCell ref="D325:R325"/>
    <mergeCell ref="D326:R326"/>
    <mergeCell ref="D327:R327"/>
    <mergeCell ref="D328:R328"/>
    <mergeCell ref="D332:R332"/>
    <mergeCell ref="D333:R333"/>
    <mergeCell ref="D334:R334"/>
    <mergeCell ref="D338:R338"/>
    <mergeCell ref="D339:R339"/>
    <mergeCell ref="D319:R319"/>
    <mergeCell ref="C259:Q259"/>
    <mergeCell ref="C260:Q260"/>
    <mergeCell ref="C261:Q261"/>
    <mergeCell ref="C262:Q262"/>
    <mergeCell ref="C263:Q263"/>
    <mergeCell ref="C264:Q264"/>
    <mergeCell ref="C265:Q265"/>
    <mergeCell ref="C234:Q234"/>
    <mergeCell ref="C231:Q231"/>
    <mergeCell ref="C232:Q232"/>
    <mergeCell ref="C245:Q245"/>
    <mergeCell ref="D240:Q240"/>
    <mergeCell ref="D241:Q241"/>
    <mergeCell ref="D242:Q242"/>
    <mergeCell ref="C243:Q243"/>
    <mergeCell ref="D238:Q238"/>
    <mergeCell ref="D239:Q239"/>
    <mergeCell ref="C233:Q233"/>
    <mergeCell ref="C195:Q195"/>
    <mergeCell ref="C196:Q196"/>
    <mergeCell ref="C191:Q191"/>
    <mergeCell ref="C193:Q193"/>
    <mergeCell ref="C194:Q194"/>
    <mergeCell ref="F221:N222"/>
    <mergeCell ref="F223:N223"/>
    <mergeCell ref="F224:N224"/>
    <mergeCell ref="F225:N225"/>
    <mergeCell ref="F226:N226"/>
    <mergeCell ref="T7:X7"/>
    <mergeCell ref="Y7:AC7"/>
    <mergeCell ref="C192:Q192"/>
    <mergeCell ref="C171:Q171"/>
    <mergeCell ref="C186:Q186"/>
    <mergeCell ref="C161:Q161"/>
    <mergeCell ref="C162:Q162"/>
    <mergeCell ref="C163:Q163"/>
    <mergeCell ref="C164:Q164"/>
    <mergeCell ref="C165:Q165"/>
    <mergeCell ref="C166:Q166"/>
    <mergeCell ref="C167:Q167"/>
    <mergeCell ref="C168:Q168"/>
    <mergeCell ref="C34:S34"/>
    <mergeCell ref="C69:S69"/>
    <mergeCell ref="C84:M84"/>
    <mergeCell ref="C99:Q99"/>
    <mergeCell ref="D96:N96"/>
    <mergeCell ref="D97:N97"/>
    <mergeCell ref="D98:N98"/>
    <mergeCell ref="D107:N107"/>
    <mergeCell ref="D108:N108"/>
    <mergeCell ref="C115:Q115"/>
    <mergeCell ref="D90:N90"/>
    <mergeCell ref="D91:N91"/>
    <mergeCell ref="D92:N92"/>
    <mergeCell ref="D93:N93"/>
    <mergeCell ref="D94:N94"/>
    <mergeCell ref="D95:N95"/>
    <mergeCell ref="C131:Q131"/>
    <mergeCell ref="C143:Q143"/>
    <mergeCell ref="C142:Q142"/>
    <mergeCell ref="C141:Q141"/>
    <mergeCell ref="C135:Q135"/>
    <mergeCell ref="C134:Q134"/>
    <mergeCell ref="C133:Q133"/>
    <mergeCell ref="D106:N106"/>
    <mergeCell ref="D112:N112"/>
    <mergeCell ref="D113:N113"/>
    <mergeCell ref="C140:Q140"/>
    <mergeCell ref="C139:Q139"/>
    <mergeCell ref="C138:Q138"/>
    <mergeCell ref="C137:Q137"/>
    <mergeCell ref="C136:Q136"/>
  </mergeCells>
  <phoneticPr fontId="265" type="noConversion"/>
  <conditionalFormatting sqref="B25:B33 B60:B68 T162:AC171 T205:AC209 T239:AC243 T322:AC322 T236:AC236 T223:AC228 T255:AC260 B90:B98 T177:AC186 B75:B84 U13:AC19 T25:AC33 T150:AC159 T324:AC327">
    <cfRule type="cellIs" priority="173" stopIfTrue="1" operator="greaterThanOrEqual">
      <formula>0</formula>
    </cfRule>
  </conditionalFormatting>
  <conditionalFormatting sqref="T309:AC309">
    <cfRule type="cellIs" priority="171" stopIfTrue="1" operator="greaterThanOrEqual">
      <formula>0</formula>
    </cfRule>
  </conditionalFormatting>
  <conditionalFormatting sqref="B39:B54 T41:AC54 U39:AC40">
    <cfRule type="cellIs" priority="169" stopIfTrue="1" operator="greaterThanOrEqual">
      <formula>0</formula>
    </cfRule>
  </conditionalFormatting>
  <conditionalFormatting sqref="T252:AC252">
    <cfRule type="cellIs" priority="168" stopIfTrue="1" operator="greaterThanOrEqual">
      <formula>0</formula>
    </cfRule>
  </conditionalFormatting>
  <conditionalFormatting sqref="T244:AC244">
    <cfRule type="cellIs" priority="167" stopIfTrue="1" operator="greaterThanOrEqual">
      <formula>0</formula>
    </cfRule>
  </conditionalFormatting>
  <conditionalFormatting sqref="B69">
    <cfRule type="cellIs" priority="166" stopIfTrue="1" operator="greaterThanOrEqual">
      <formula>0</formula>
    </cfRule>
  </conditionalFormatting>
  <conditionalFormatting sqref="B99">
    <cfRule type="cellIs" priority="162" stopIfTrue="1" operator="greaterThanOrEqual">
      <formula>0</formula>
    </cfRule>
  </conditionalFormatting>
  <conditionalFormatting sqref="B34 T34:AC34">
    <cfRule type="cellIs" priority="164" stopIfTrue="1" operator="greaterThanOrEqual">
      <formula>0</formula>
    </cfRule>
  </conditionalFormatting>
  <conditionalFormatting sqref="B115">
    <cfRule type="cellIs" priority="161" stopIfTrue="1" operator="greaterThanOrEqual">
      <formula>0</formula>
    </cfRule>
  </conditionalFormatting>
  <conditionalFormatting sqref="B131">
    <cfRule type="cellIs" priority="160" stopIfTrue="1" operator="greaterThanOrEqual">
      <formula>0</formula>
    </cfRule>
  </conditionalFormatting>
  <conditionalFormatting sqref="C84">
    <cfRule type="cellIs" priority="154" stopIfTrue="1" operator="greaterThanOrEqual">
      <formula>0</formula>
    </cfRule>
  </conditionalFormatting>
  <conditionalFormatting sqref="C143">
    <cfRule type="cellIs" priority="158" stopIfTrue="1" operator="greaterThanOrEqual">
      <formula>0</formula>
    </cfRule>
  </conditionalFormatting>
  <conditionalFormatting sqref="B143">
    <cfRule type="cellIs" priority="159" stopIfTrue="1" operator="greaterThanOrEqual">
      <formula>0</formula>
    </cfRule>
  </conditionalFormatting>
  <conditionalFormatting sqref="C69">
    <cfRule type="cellIs" priority="155" stopIfTrue="1" operator="greaterThanOrEqual">
      <formula>0</formula>
    </cfRule>
  </conditionalFormatting>
  <conditionalFormatting sqref="C99">
    <cfRule type="cellIs" priority="138" stopIfTrue="1" operator="greaterThanOrEqual">
      <formula>0</formula>
    </cfRule>
  </conditionalFormatting>
  <conditionalFormatting sqref="C131">
    <cfRule type="cellIs" priority="116" stopIfTrue="1" operator="greaterThanOrEqual">
      <formula>0</formula>
    </cfRule>
  </conditionalFormatting>
  <conditionalFormatting sqref="C209">
    <cfRule type="cellIs" priority="105" stopIfTrue="1" operator="greaterThanOrEqual">
      <formula>0</formula>
    </cfRule>
  </conditionalFormatting>
  <conditionalFormatting sqref="C243">
    <cfRule type="cellIs" priority="96" stopIfTrue="1" operator="greaterThanOrEqual">
      <formula>0</formula>
    </cfRule>
  </conditionalFormatting>
  <conditionalFormatting sqref="C259">
    <cfRule type="cellIs" priority="94" stopIfTrue="1" operator="greaterThanOrEqual">
      <formula>0</formula>
    </cfRule>
  </conditionalFormatting>
  <conditionalFormatting sqref="C227">
    <cfRule type="cellIs" priority="98" stopIfTrue="1" operator="greaterThanOrEqual">
      <formula>0</formula>
    </cfRule>
  </conditionalFormatting>
  <conditionalFormatting sqref="T329:AC329 T321:AC321 T335:AC335 T341:AC341">
    <cfRule type="expression" dxfId="32" priority="92">
      <formula>T320&lt;&gt;1</formula>
    </cfRule>
  </conditionalFormatting>
  <conditionalFormatting sqref="T338:AC339 T332:AC333">
    <cfRule type="cellIs" priority="3" stopIfTrue="1" operator="greaterThanOrEqual">
      <formula>0</formula>
    </cfRule>
  </conditionalFormatting>
  <conditionalFormatting sqref="T13:T19">
    <cfRule type="cellIs" priority="2" stopIfTrue="1" operator="greaterThanOrEqual">
      <formula>0</formula>
    </cfRule>
  </conditionalFormatting>
  <conditionalFormatting sqref="T39:T40">
    <cfRule type="cellIs" priority="1" stopIfTrue="1" operator="greaterThanOrEqual">
      <formula>0</formula>
    </cfRule>
  </conditionalFormatting>
  <dataValidations xWindow="2494" yWindow="1341" count="7">
    <dataValidation type="list" allowBlank="1" showInputMessage="1" showErrorMessage="1" errorTitle="Bond Type" error="Please select from available options._x000a__x000a_Alternatively, new inputs can be added from the data tab" promptTitle="Bond Type" prompt="Select bond type from drop down options" sqref="G78:G83" xr:uid="{00000000-0002-0000-0B00-000000000000}">
      <formula1>$B$249:$B$251</formula1>
    </dataValidation>
    <dataValidation type="list" allowBlank="1" showInputMessage="1" showErrorMessage="1" promptTitle="Rank" prompt="Select payment rank from available options" sqref="H78:H83" xr:uid="{00000000-0002-0000-0B00-000001000000}">
      <formula1>$B$274:$B$276</formula1>
    </dataValidation>
    <dataValidation type="list" allowBlank="1" showInputMessage="1" showErrorMessage="1" promptTitle="Reference Rate" prompt="Select reference rate from available options" sqref="I78:I83" xr:uid="{00000000-0002-0000-0B00-000002000000}">
      <formula1>$B$255:$B$263</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22:H130 K61:K68 K78:K83" xr:uid="{00000000-0002-0000-0B00-000003000000}">
      <formula1>$B$266:$B$271</formula1>
    </dataValidation>
    <dataValidation type="list" allowBlank="1" showInputMessage="1" showErrorMessage="1" promptTitle="Special Features" prompt="Choose from available options" sqref="P61:P68" xr:uid="{00000000-0002-0000-0B00-000004000000}">
      <formula1>$B$284:$B$287</formula1>
    </dataValidation>
    <dataValidation type="list" allowBlank="1" showInputMessage="1" showErrorMessage="1" promptTitle="Counterparty" prompt="Select counterparty from available options._x000a__x000a_Alternatively, additional options can be included in the Data tab" sqref="Q177:Q185 Q205:Q208 Q90:Q98 Q106:Q114 Q122:Q130 R61:R68" xr:uid="{00000000-0002-0000-0B00-000005000000}">
      <formula1>$B$290:$B$293</formula1>
    </dataValidation>
    <dataValidation type="list" allowBlank="1" showInputMessage="1" showErrorMessage="1" promptTitle="Pay leg type" prompt="Select from available options" sqref="N122:N130" xr:uid="{00000000-0002-0000-0B00-000006000000}">
      <formula1>$B$296:$B$298</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200" max="38" man="1"/>
  </rowBreaks>
  <customProperties>
    <customPr name="EpmWorksheetKeyString_GUID" r:id="rId2"/>
  </customProperties>
  <drawing r:id="rId3"/>
  <legacyDrawingHF r:id="rId4"/>
  <extLst>
    <ext xmlns:x14="http://schemas.microsoft.com/office/spreadsheetml/2009/9/main" uri="{CCE6A557-97BC-4b89-ADB6-D9C93CAAB3DF}">
      <x14:dataValidations xmlns:xm="http://schemas.microsoft.com/office/excel/2006/main" xWindow="2494" yWindow="1341" count="13">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G61:G68</xm:sqref>
        </x14:dataValidation>
        <x14:dataValidation type="list" allowBlank="1" showInputMessage="1" showErrorMessage="1" promptTitle="Rank" prompt="Select payment rank from available options" xr:uid="{00000000-0002-0000-0B00-000008000000}">
          <x14:formula1>
            <xm:f>Data!$B$294:$B$296</xm:f>
          </x14:formula1>
          <xm:sqref>H39:H54 H25:H33 H75:H77 H60:H68</xm:sqref>
        </x14:dataValidation>
        <x14:dataValidation type="list" allowBlank="1" showInputMessage="1" showErrorMessage="1" promptTitle="Reference Rate" prompt="Select reference rate from available options" xr:uid="{00000000-0002-0000-0B00-000009000000}">
          <x14:formula1>
            <xm:f>Data!$B$275:$B$283</xm:f>
          </x14:formula1>
          <xm:sqref>I61:I68</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Data!$B$286:$B$291</xm:f>
          </x14:formula1>
          <xm:sqref>G177:H185</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Data!$B$310:$B$313</xm:f>
          </x14:formula1>
          <xm:sqref>Q223:Q226</xm:sqref>
        </x14:dataValidation>
        <x14:dataValidation type="list" allowBlank="1" showInputMessage="1" showErrorMessage="1" promptTitle="Pay leg type" prompt="Select from available options" xr:uid="{00000000-0002-0000-0B00-00000C000000}">
          <x14:formula1>
            <xm:f>Data!$B$316:$B$318</xm:f>
          </x14:formula1>
          <xm:sqref>N177:N185</xm:sqref>
        </x14:dataValidation>
        <x14:dataValidation type="list" allowBlank="1" showInputMessage="1" showErrorMessage="1" xr:uid="{00000000-0002-0000-0B00-00000D000000}">
          <x14:formula1>
            <xm:f>Data!$B$268:$B$272</xm:f>
          </x14:formula1>
          <xm:sqref>G25:G33 K150:K159 K122:K130 G54 K177:K185 N150:N159</xm:sqref>
        </x14:dataValidation>
        <x14:dataValidation type="list" allowBlank="1" showInputMessage="1" showErrorMessage="1" xr:uid="{00000000-0002-0000-0B00-00000E000000}">
          <x14:formula1>
            <xm:f>Data!$B$275:$B$282</xm:f>
          </x14:formula1>
          <xm:sqref>P177:P185 P150:P159 M150:M159 P122:P130 M122:M130 M177:M185 I54 I31:I33</xm:sqref>
        </x14:dataValidation>
        <x14:dataValidation type="list" allowBlank="1" showInputMessage="1" showErrorMessage="1" xr:uid="{00000000-0002-0000-0B00-00000F000000}">
          <x14:formula1>
            <xm:f>Data!$B$286:$B$291</xm:f>
          </x14:formula1>
          <xm:sqref>G150:H159</xm:sqref>
        </x14:dataValidation>
        <x14:dataValidation type="list" allowBlank="1" showInputMessage="1" showErrorMessage="1" promptTitle="Bond Type" prompt="Select bond type from drop down options" xr:uid="{00000000-0002-0000-0B00-000010000000}">
          <x14:formula1>
            <xm:f>Data!$B$268:$B$272</xm:f>
          </x14:formula1>
          <xm:sqref>G60 G75:G77 G39:G53</xm:sqref>
        </x14:dataValidation>
        <x14:dataValidation type="list" allowBlank="1" showInputMessage="1" showErrorMessage="1" promptTitle="Reference Rate" prompt="Select reference rate from available options" xr:uid="{00000000-0002-0000-0B00-000011000000}">
          <x14:formula1>
            <xm:f>Data!$B$275:$B$282</xm:f>
          </x14:formula1>
          <xm:sqref>I25:I30 I75:I77 I60 I39:I53</xm:sqref>
        </x14:dataValidation>
        <x14:dataValidation type="list" allowBlank="1" showInputMessage="1" showErrorMessage="1" promptTitle="Original Currency" prompt="Select from available options" xr:uid="{00000000-0002-0000-0B00-000012000000}">
          <x14:formula1>
            <xm:f>Data!$B$286:$B$291</xm:f>
          </x14:formula1>
          <xm:sqref>K60 K75:K77 K25:K33 K39:K54</xm:sqref>
        </x14:dataValidation>
        <x14:dataValidation type="list" allowBlank="1" showInputMessage="1" showErrorMessage="1" promptTitle="Special Features" prompt="Choose from available options" xr:uid="{00000000-0002-0000-0B00-000013000000}">
          <x14:formula1>
            <xm:f>Data!$B$304:$B$306</xm:f>
          </x14:formula1>
          <xm:sqref>P60 P25:P33 P39:P54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35" activePane="bottomLeft" state="frozen"/>
      <selection activeCell="B3" sqref="B3:F3"/>
      <selection pane="bottomLeft" activeCell="E15" sqref="E15"/>
    </sheetView>
  </sheetViews>
  <sheetFormatPr defaultRowHeight="13.5"/>
  <cols>
    <col min="1" max="1" width="8.3828125" customWidth="1"/>
    <col min="2" max="2" width="52.15234375" bestFit="1" customWidth="1"/>
    <col min="3" max="3" width="4.23046875" customWidth="1"/>
    <col min="4" max="4" width="14.15234375" style="91" customWidth="1"/>
    <col min="5" max="9" width="11.15234375" customWidth="1"/>
    <col min="10" max="10" width="5" customWidth="1"/>
    <col min="12" max="12" width="9" style="89"/>
  </cols>
  <sheetData>
    <row r="1" spans="1:18" ht="20">
      <c r="A1" s="1275" t="s">
        <v>823</v>
      </c>
      <c r="B1" s="839"/>
      <c r="C1" s="839"/>
      <c r="D1" s="884"/>
      <c r="E1" s="840"/>
      <c r="F1" s="840"/>
      <c r="G1" s="840"/>
      <c r="H1" s="840"/>
      <c r="I1" s="840"/>
      <c r="J1" s="1284"/>
    </row>
    <row r="2" spans="1:18" ht="20">
      <c r="A2" s="712" t="str">
        <f>Licensee</f>
        <v>ESO</v>
      </c>
      <c r="B2" s="707"/>
      <c r="C2" s="707"/>
      <c r="D2" s="101"/>
      <c r="E2" s="16"/>
      <c r="F2" s="16"/>
      <c r="G2" s="16"/>
      <c r="H2" s="16"/>
      <c r="I2" s="16"/>
      <c r="J2" s="66"/>
    </row>
    <row r="3" spans="1:18" ht="20">
      <c r="A3" s="707">
        <f>Reporting_Year</f>
        <v>2022</v>
      </c>
      <c r="B3" s="1054"/>
      <c r="C3" s="1054"/>
      <c r="D3" s="1054"/>
      <c r="E3" s="1054"/>
      <c r="F3" s="1054"/>
      <c r="G3" s="1054"/>
      <c r="H3" s="1054"/>
      <c r="I3" s="1054"/>
      <c r="J3" s="120"/>
    </row>
    <row r="4" spans="1:18" s="2" customFormat="1" ht="12.75" customHeight="1">
      <c r="D4" s="1"/>
      <c r="L4" s="67"/>
    </row>
    <row r="5" spans="1:18" s="2" customFormat="1">
      <c r="B5" s="21"/>
      <c r="C5" s="21"/>
      <c r="D5" s="102"/>
      <c r="E5" s="255" t="str">
        <f t="shared" ref="E5:I5" si="0">IF(E6&lt;=Reporting_Year,"Actuals","Forecast")</f>
        <v>Actuals</v>
      </c>
      <c r="F5" s="255" t="str">
        <f t="shared" si="0"/>
        <v>Forecast</v>
      </c>
      <c r="G5" s="255" t="str">
        <f t="shared" si="0"/>
        <v>Forecast</v>
      </c>
      <c r="H5" s="255" t="str">
        <f t="shared" si="0"/>
        <v>Forecast</v>
      </c>
      <c r="I5" s="255" t="str">
        <f t="shared" si="0"/>
        <v>Forecast</v>
      </c>
      <c r="L5" s="67"/>
    </row>
    <row r="6" spans="1:18" s="2" customFormat="1">
      <c r="D6" s="1"/>
      <c r="E6" s="63">
        <f>'RFPR cover'!$C$6</f>
        <v>2022</v>
      </c>
      <c r="F6" s="64">
        <f>E6+1</f>
        <v>2023</v>
      </c>
      <c r="G6" s="64">
        <f t="shared" ref="G6:I6" si="1">F6+1</f>
        <v>2024</v>
      </c>
      <c r="H6" s="64">
        <f t="shared" si="1"/>
        <v>2025</v>
      </c>
      <c r="I6" s="64">
        <f t="shared" si="1"/>
        <v>2026</v>
      </c>
      <c r="L6" s="67"/>
    </row>
    <row r="7" spans="1:18" s="2" customFormat="1">
      <c r="D7" s="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96" t="str">
        <f>RIIO_2_start_date+3&amp;"/"&amp;RIGHT(RIIO_2_start_date+4,2)</f>
        <v>2025/26</v>
      </c>
      <c r="L7" s="67"/>
    </row>
    <row r="8" spans="1:18" s="2" customFormat="1">
      <c r="D8" s="1"/>
      <c r="E8" s="1"/>
      <c r="F8" s="1"/>
      <c r="G8" s="1"/>
      <c r="H8" s="1"/>
      <c r="I8" s="1"/>
      <c r="J8" s="1"/>
      <c r="K8" s="1"/>
      <c r="L8" s="1"/>
      <c r="M8" s="1"/>
      <c r="N8" s="1"/>
      <c r="O8" s="1"/>
      <c r="P8" s="1"/>
      <c r="Q8" s="1"/>
      <c r="R8" s="1"/>
    </row>
    <row r="9" spans="1:18" s="2" customFormat="1">
      <c r="B9" s="1106" t="s">
        <v>824</v>
      </c>
      <c r="C9" s="1106"/>
      <c r="K9" s="1"/>
      <c r="L9" s="67"/>
    </row>
    <row r="10" spans="1:18" s="2" customFormat="1">
      <c r="K10" s="1"/>
    </row>
    <row r="11" spans="1:18" s="2" customFormat="1">
      <c r="B11" s="376"/>
      <c r="C11" s="376"/>
      <c r="D11" s="376"/>
      <c r="E11" s="376"/>
      <c r="F11" s="376"/>
      <c r="G11" s="376"/>
      <c r="H11" s="376"/>
      <c r="I11" s="376"/>
      <c r="J11" s="376"/>
      <c r="K11" s="1"/>
      <c r="L11" s="67"/>
    </row>
    <row r="12" spans="1:18" s="2" customFormat="1">
      <c r="B12" t="s">
        <v>825</v>
      </c>
      <c r="C12"/>
      <c r="D12" s="95" t="str">
        <f>Data!$C$9</f>
        <v>£m 18/19</v>
      </c>
      <c r="E12" s="767">
        <v>269.61893813647828</v>
      </c>
      <c r="F12" s="767">
        <v>324.2177081068341</v>
      </c>
      <c r="G12" s="767">
        <v>400.98086381345394</v>
      </c>
      <c r="H12" s="767">
        <v>467.68241373769018</v>
      </c>
      <c r="I12" s="767">
        <v>503.88068349677155</v>
      </c>
      <c r="K12" s="1"/>
      <c r="L12" s="67"/>
    </row>
    <row r="13" spans="1:18" s="2" customFormat="1">
      <c r="K13" s="1"/>
      <c r="L13" s="67"/>
    </row>
    <row r="14" spans="1:18" s="2" customFormat="1">
      <c r="B14" s="376"/>
      <c r="C14" s="376"/>
      <c r="D14" s="1"/>
      <c r="E14" s="1"/>
      <c r="F14" s="1"/>
      <c r="G14" s="1"/>
      <c r="H14" s="1"/>
      <c r="I14" s="1"/>
      <c r="K14" s="1"/>
      <c r="L14" s="67"/>
    </row>
    <row r="15" spans="1:18" s="2" customFormat="1" ht="14">
      <c r="B15" s="2" t="s">
        <v>826</v>
      </c>
      <c r="D15" s="95" t="str">
        <f>Data!$C$9</f>
        <v>£m 18/19</v>
      </c>
      <c r="E15" s="767">
        <v>211.84288823755344</v>
      </c>
      <c r="F15" s="1209">
        <f>E24</f>
        <v>269.61893813647828</v>
      </c>
      <c r="G15" s="1209">
        <f>F24</f>
        <v>324.2177081068341</v>
      </c>
      <c r="H15" s="1209">
        <f>G24</f>
        <v>400.98086381345394</v>
      </c>
      <c r="I15" s="1209">
        <f>H24</f>
        <v>467.68241373769018</v>
      </c>
      <c r="K15" s="1"/>
      <c r="L15" s="67"/>
    </row>
    <row r="16" spans="1:18" s="2" customFormat="1">
      <c r="B16" s="2" t="s">
        <v>827</v>
      </c>
      <c r="D16" s="95" t="str">
        <f>Data!$C$9</f>
        <v>£m 18/19</v>
      </c>
      <c r="E16" s="768">
        <v>18.972999999999999</v>
      </c>
      <c r="F16" s="768">
        <v>0</v>
      </c>
      <c r="G16" s="768">
        <v>0</v>
      </c>
      <c r="H16" s="768">
        <v>0</v>
      </c>
      <c r="I16" s="768">
        <v>0</v>
      </c>
      <c r="K16" s="1"/>
      <c r="L16" s="67"/>
    </row>
    <row r="17" spans="1:13" s="2" customFormat="1">
      <c r="B17" s="5" t="s">
        <v>828</v>
      </c>
      <c r="C17" s="5"/>
      <c r="D17" s="95" t="str">
        <f>Data!$C$9</f>
        <v>£m 18/19</v>
      </c>
      <c r="E17" s="908">
        <f>SUM(E15:E16)</f>
        <v>230.81588823755345</v>
      </c>
      <c r="F17" s="909">
        <f t="shared" ref="F17:I17" si="2">SUM(F15:F16)</f>
        <v>269.61893813647828</v>
      </c>
      <c r="G17" s="909">
        <f t="shared" si="2"/>
        <v>324.2177081068341</v>
      </c>
      <c r="H17" s="909">
        <f t="shared" si="2"/>
        <v>400.98086381345394</v>
      </c>
      <c r="I17" s="909">
        <f t="shared" si="2"/>
        <v>467.68241373769018</v>
      </c>
      <c r="K17" s="1"/>
      <c r="L17" s="67"/>
    </row>
    <row r="18" spans="1:13" s="2" customFormat="1">
      <c r="B18" s="755" t="s">
        <v>829</v>
      </c>
      <c r="C18" s="755"/>
      <c r="D18" s="95" t="str">
        <f>Data!$C$9</f>
        <v>£m 18/19</v>
      </c>
      <c r="E18" s="766">
        <v>90.127834755295297</v>
      </c>
      <c r="F18" s="766">
        <v>112.82698366945502</v>
      </c>
      <c r="G18" s="766">
        <v>144.94165196854021</v>
      </c>
      <c r="H18" s="766">
        <v>148.81080096306556</v>
      </c>
      <c r="I18" s="766">
        <v>132.2515274662295</v>
      </c>
      <c r="K18" s="1"/>
      <c r="L18" s="67"/>
    </row>
    <row r="19" spans="1:13" s="2" customFormat="1">
      <c r="B19" s="755" t="s">
        <v>830</v>
      </c>
      <c r="C19" s="755"/>
      <c r="D19" s="95" t="str">
        <f>Data!$C$9</f>
        <v>£m 18/19</v>
      </c>
      <c r="E19" s="1148">
        <v>0</v>
      </c>
      <c r="F19" s="1149">
        <v>0</v>
      </c>
      <c r="G19" s="1149">
        <v>0</v>
      </c>
      <c r="H19" s="1149">
        <v>0</v>
      </c>
      <c r="I19" s="1149">
        <v>0</v>
      </c>
      <c r="K19" s="1"/>
      <c r="L19" s="67"/>
    </row>
    <row r="20" spans="1:13" s="2" customFormat="1">
      <c r="B20" s="1161" t="s">
        <v>831</v>
      </c>
      <c r="C20" s="1161"/>
      <c r="D20" s="95" t="str">
        <f>Data!$C$9</f>
        <v>£m 18/19</v>
      </c>
      <c r="E20" s="1166">
        <f>SUM(E18:E19)</f>
        <v>90.127834755295297</v>
      </c>
      <c r="F20" s="1166">
        <f t="shared" ref="F20:I20" si="3">SUM(F18:F19)</f>
        <v>112.82698366945502</v>
      </c>
      <c r="G20" s="1166">
        <f t="shared" si="3"/>
        <v>144.94165196854021</v>
      </c>
      <c r="H20" s="1166">
        <f t="shared" si="3"/>
        <v>148.81080096306556</v>
      </c>
      <c r="I20" s="1166">
        <f t="shared" si="3"/>
        <v>132.2515274662295</v>
      </c>
      <c r="K20" s="1"/>
      <c r="L20" s="67"/>
    </row>
    <row r="21" spans="1:13" s="2" customFormat="1">
      <c r="B21" s="755" t="s">
        <v>832</v>
      </c>
      <c r="C21" s="755"/>
      <c r="D21" s="95" t="str">
        <f>Data!$C$9</f>
        <v>£m 18/19</v>
      </c>
      <c r="E21" s="1167">
        <v>-51.324784856370442</v>
      </c>
      <c r="F21" s="1167">
        <v>-58.228213699099179</v>
      </c>
      <c r="G21" s="1167">
        <v>-68.178496261920358</v>
      </c>
      <c r="H21" s="1167">
        <v>-82.109251038829314</v>
      </c>
      <c r="I21" s="1167">
        <v>-96.053257707148063</v>
      </c>
      <c r="K21" s="1"/>
      <c r="L21" s="67"/>
    </row>
    <row r="22" spans="1:13" s="2" customFormat="1">
      <c r="B22" s="755" t="s">
        <v>833</v>
      </c>
      <c r="C22" s="755"/>
      <c r="D22" s="95" t="str">
        <f>Data!$C$9</f>
        <v>£m 18/19</v>
      </c>
      <c r="E22" s="1150">
        <v>0</v>
      </c>
      <c r="F22" s="1151">
        <v>0</v>
      </c>
      <c r="G22" s="1151">
        <v>0</v>
      </c>
      <c r="H22" s="1151">
        <v>0</v>
      </c>
      <c r="I22" s="1151">
        <v>0</v>
      </c>
      <c r="K22" s="1"/>
      <c r="L22" s="67"/>
    </row>
    <row r="23" spans="1:13" s="2" customFormat="1">
      <c r="B23" s="371" t="s">
        <v>834</v>
      </c>
      <c r="C23" s="371"/>
      <c r="D23" s="95" t="str">
        <f>Data!$C$9</f>
        <v>£m 18/19</v>
      </c>
      <c r="E23" s="885">
        <f>SUM(E21:E22)</f>
        <v>-51.324784856370442</v>
      </c>
      <c r="F23" s="885">
        <f t="shared" ref="F23:I23" si="4">SUM(F21:F22)</f>
        <v>-58.228213699099179</v>
      </c>
      <c r="G23" s="885">
        <f t="shared" si="4"/>
        <v>-68.178496261920358</v>
      </c>
      <c r="H23" s="885">
        <f t="shared" si="4"/>
        <v>-82.109251038829314</v>
      </c>
      <c r="I23" s="885">
        <f t="shared" si="4"/>
        <v>-96.053257707148063</v>
      </c>
      <c r="K23" s="1"/>
      <c r="L23" s="67"/>
    </row>
    <row r="24" spans="1:13" s="2" customFormat="1">
      <c r="B24" s="5" t="s">
        <v>835</v>
      </c>
      <c r="C24" s="5"/>
      <c r="D24" s="95" t="str">
        <f>Data!$C$9</f>
        <v>£m 18/19</v>
      </c>
      <c r="E24" s="479">
        <f>E17+E20+E23</f>
        <v>269.61893813647828</v>
      </c>
      <c r="F24" s="479">
        <f t="shared" ref="F24:I24" si="5">F17+F20+F23</f>
        <v>324.2177081068341</v>
      </c>
      <c r="G24" s="479">
        <f t="shared" si="5"/>
        <v>400.98086381345394</v>
      </c>
      <c r="H24" s="479">
        <f t="shared" si="5"/>
        <v>467.68241373769018</v>
      </c>
      <c r="I24" s="479">
        <f t="shared" si="5"/>
        <v>503.88068349677155</v>
      </c>
      <c r="K24" s="1"/>
      <c r="L24" s="67"/>
    </row>
    <row r="25" spans="1:13" s="2" customFormat="1">
      <c r="B25" s="5"/>
      <c r="C25" s="5"/>
      <c r="D25" s="95"/>
      <c r="E25" s="95"/>
      <c r="F25" s="95"/>
      <c r="G25" s="95"/>
      <c r="H25" s="95"/>
      <c r="I25" s="95"/>
      <c r="J25" s="95"/>
      <c r="K25" s="1"/>
      <c r="L25" s="95"/>
      <c r="M25" s="95"/>
    </row>
    <row r="26" spans="1:13" s="2" customFormat="1">
      <c r="B26" s="5" t="s">
        <v>836</v>
      </c>
      <c r="C26" s="95"/>
      <c r="D26" s="781"/>
      <c r="E26" s="479">
        <f>E19+E22</f>
        <v>0</v>
      </c>
      <c r="F26" s="1212">
        <f>F19+F22</f>
        <v>0</v>
      </c>
      <c r="G26" s="1212">
        <f t="shared" ref="G26:I26" si="6">G19+G22</f>
        <v>0</v>
      </c>
      <c r="H26" s="1212">
        <f t="shared" si="6"/>
        <v>0</v>
      </c>
      <c r="I26" s="1213">
        <f t="shared" si="6"/>
        <v>0</v>
      </c>
      <c r="J26" s="95"/>
      <c r="K26" s="1"/>
      <c r="L26" s="95"/>
      <c r="M26" s="95"/>
    </row>
    <row r="27" spans="1:13" s="2" customFormat="1">
      <c r="B27" s="5" t="s">
        <v>837</v>
      </c>
      <c r="C27" s="95"/>
      <c r="D27" s="1211"/>
      <c r="E27" s="1214" t="str">
        <f>IF(E5="Actuals",IF(ABS((E24-SUM($E26:E$26))-E12)&lt;0.1,"TRUE","FALSE"),"NA")</f>
        <v>TRUE</v>
      </c>
      <c r="F27" s="1215" t="str">
        <f>IF(F5="Actuals",IF(ABS((F24-SUM($E26:F$26))-F12)&lt;0.1,"TRUE","FALSE"),"NA")</f>
        <v>NA</v>
      </c>
      <c r="G27" s="1215" t="str">
        <f>IF(G5="Actuals",IF(ABS((G24-SUM($E26:G$26))-G12)&lt;0.1,"TRUE","FALSE"),"NA")</f>
        <v>NA</v>
      </c>
      <c r="H27" s="1215" t="str">
        <f>IF(H5="Actuals",IF(ABS((H24-SUM($E26:H$26))-H12)&lt;0.1,"TRUE","FALSE"),"NA")</f>
        <v>NA</v>
      </c>
      <c r="I27" s="1216" t="str">
        <f>IF(I5="Actuals",IF(ABS((I24-SUM($E26:I$26))-I12)&lt;0.1,"TRUE","FALSE"),"NA")</f>
        <v>NA</v>
      </c>
      <c r="J27" s="95"/>
      <c r="K27" s="1"/>
      <c r="L27" s="95"/>
      <c r="M27" s="95"/>
    </row>
    <row r="28" spans="1:13" s="2" customFormat="1">
      <c r="B28" s="5"/>
      <c r="C28" s="5"/>
      <c r="D28" s="95"/>
      <c r="E28" s="95"/>
      <c r="F28" s="95"/>
      <c r="G28" s="95"/>
      <c r="H28" s="95"/>
      <c r="I28" s="95"/>
      <c r="J28" s="95"/>
      <c r="K28" s="1"/>
      <c r="L28" s="95"/>
      <c r="M28" s="95"/>
    </row>
    <row r="29" spans="1:13" s="2" customFormat="1">
      <c r="B29" s="5"/>
      <c r="C29" s="5"/>
      <c r="D29" s="95"/>
      <c r="E29" s="781"/>
      <c r="F29" s="95"/>
      <c r="G29" s="781"/>
      <c r="H29" s="781"/>
      <c r="I29" s="781"/>
      <c r="J29" s="95"/>
      <c r="K29" s="1"/>
      <c r="L29" s="95"/>
      <c r="M29" s="95"/>
    </row>
    <row r="30" spans="1:13" s="2" customFormat="1">
      <c r="A30"/>
      <c r="B30" s="2" t="s">
        <v>838</v>
      </c>
      <c r="D30" s="91" t="s">
        <v>839</v>
      </c>
      <c r="E30" s="1143">
        <f>INDEX(Data!C17:N17,MATCH(RIIO_2_start_date-1,Data!C15:N15,0))/IF(Sector="ED2",Data!$E$16,Data!$C$16)</f>
        <v>1.0533528227824487</v>
      </c>
      <c r="F30" s="95"/>
      <c r="G30" s="781"/>
      <c r="H30" s="781"/>
      <c r="I30" s="1005"/>
      <c r="J30" s="1007"/>
      <c r="K30" s="1"/>
      <c r="L30" s="95"/>
      <c r="M30" s="95"/>
    </row>
    <row r="31" spans="1:13" s="2" customFormat="1">
      <c r="B31" s="5"/>
      <c r="C31" s="5"/>
      <c r="D31" s="95"/>
      <c r="E31" s="409"/>
      <c r="F31" s="409"/>
      <c r="G31" s="409"/>
      <c r="H31" s="409"/>
      <c r="I31" s="409"/>
      <c r="J31" s="95"/>
      <c r="K31" s="1"/>
      <c r="L31" s="95"/>
      <c r="M31" s="95"/>
    </row>
    <row r="32" spans="1:13" s="2" customFormat="1">
      <c r="B32" s="5" t="s">
        <v>835</v>
      </c>
      <c r="C32" s="5"/>
      <c r="D32" s="76" t="s">
        <v>252</v>
      </c>
      <c r="E32" s="1152">
        <f>E24*Combined_real_to_nominal_prices_conversion_factor__financial_year_end</f>
        <v>304.45828298603965</v>
      </c>
      <c r="F32" s="1152">
        <f>F24*Combined_real_to_nominal_prices_conversion_factor__financial_year_end</f>
        <v>386.60213413466698</v>
      </c>
      <c r="G32" s="1152">
        <f>G24*Combined_real_to_nominal_prices_conversion_factor__financial_year_end</f>
        <v>487.94800290806313</v>
      </c>
      <c r="H32" s="1152">
        <f>H24*Combined_real_to_nominal_prices_conversion_factor__financial_year_end</f>
        <v>579.40591687164533</v>
      </c>
      <c r="I32" s="1152">
        <f>I24*Combined_real_to_nominal_prices_conversion_factor__financial_year_end</f>
        <v>636.05511183245176</v>
      </c>
      <c r="K32" s="1"/>
      <c r="L32" s="95"/>
      <c r="M32" s="95"/>
    </row>
    <row r="33" spans="1:13" s="2" customFormat="1">
      <c r="B33" s="5"/>
      <c r="C33" s="5"/>
      <c r="D33" s="95"/>
      <c r="E33" s="95"/>
      <c r="F33" s="95"/>
      <c r="G33" s="95"/>
      <c r="H33" s="95"/>
      <c r="I33" s="95"/>
      <c r="J33" s="95"/>
      <c r="K33" s="1"/>
      <c r="L33" s="95"/>
      <c r="M33" s="95"/>
    </row>
    <row r="34" spans="1:13" s="2" customFormat="1">
      <c r="B34" s="67" t="s">
        <v>840</v>
      </c>
      <c r="C34" s="67"/>
      <c r="D34" s="95" t="s">
        <v>841</v>
      </c>
      <c r="E34" s="374">
        <f>INDEX(Data!$H$55:$P$83,MATCH('RFPR cover'!$C$7,Data!$B$55:$B$83,0),MATCH('R7 - RAV'!E$6,Data!$H$54:$P$54,0))</f>
        <v>-1E-4</v>
      </c>
      <c r="F34" s="374">
        <f>INDEX(Data!$H$55:$P$83,MATCH('RFPR cover'!$C$7,Data!$B$55:$B$83,0),MATCH('R7 - RAV'!F$6,Data!$H$54:$P$54,0))</f>
        <v>9.2999999999999992E-3</v>
      </c>
      <c r="G34" s="374">
        <f>INDEX(Data!$H$55:$P$83,MATCH('RFPR cover'!$C$7,Data!$B$55:$B$83,0),MATCH('R7 - RAV'!G$6,Data!$H$54:$P$54,0))</f>
        <v>1.06E-2</v>
      </c>
      <c r="H34" s="374">
        <f>INDEX(Data!$H$55:$P$83,MATCH('RFPR cover'!$C$7,Data!$B$55:$B$83,0),MATCH('R7 - RAV'!H$6,Data!$H$54:$P$54,0))</f>
        <v>9.1999999999999998E-3</v>
      </c>
      <c r="I34" s="374">
        <f>INDEX(Data!$H$55:$P$83,MATCH('RFPR cover'!$C$7,Data!$B$55:$B$83,0),MATCH('R7 - RAV'!I$6,Data!$H$54:$P$54,0))</f>
        <v>7.7999999999999996E-3</v>
      </c>
      <c r="J34" s="95"/>
      <c r="K34" s="1"/>
      <c r="L34" s="95"/>
      <c r="M34" s="95"/>
    </row>
    <row r="35" spans="1:13" s="2" customFormat="1">
      <c r="B35" s="67" t="s">
        <v>842</v>
      </c>
      <c r="C35" s="67"/>
      <c r="D35" s="95" t="s">
        <v>841</v>
      </c>
      <c r="E35" s="987">
        <f>INDEX(Data!$O$55:$U$83,MATCH('RFPR cover'!$C$7,Data!$B$55:$B$83,0),MATCH('R7 - RAV'!E$6,Data!$O$54:$U$54,0))</f>
        <v>7.5718976000000007E-2</v>
      </c>
      <c r="F35" s="987">
        <f>INDEX(Data!$O$55:$U$83,MATCH('RFPR cover'!$C$7,Data!$B$55:$B$83,0),MATCH('R7 - RAV'!F$6,Data!$O$54:$U$54,0))</f>
        <v>7.5510080000000007E-2</v>
      </c>
      <c r="G35" s="987">
        <f>INDEX(Data!$O$55:$U$83,MATCH('RFPR cover'!$C$7,Data!$B$55:$B$83,0),MATCH('R7 - RAV'!G$6,Data!$O$54:$U$54,0))</f>
        <v>7.5601472000000003E-2</v>
      </c>
      <c r="H35" s="987">
        <f>INDEX(Data!$O$55:$U$83,MATCH('RFPR cover'!$C$7,Data!$B$55:$B$83,0),MATCH('R7 - RAV'!H$6,Data!$O$54:$U$54,0))</f>
        <v>7.5470912000000001E-2</v>
      </c>
      <c r="I35" s="987">
        <f>INDEX(Data!$O$55:$U$83,MATCH('RFPR cover'!$C$7,Data!$B$55:$B$83,0),MATCH('R7 - RAV'!I$6,Data!$O$54:$U$54,0))</f>
        <v>7.5366464000000008E-2</v>
      </c>
      <c r="J35" s="95"/>
      <c r="K35" s="1"/>
      <c r="L35" s="95"/>
      <c r="M35" s="95"/>
    </row>
    <row r="36" spans="1:13">
      <c r="A36" s="2"/>
      <c r="B36" s="67" t="s">
        <v>843</v>
      </c>
      <c r="C36" s="67"/>
      <c r="D36" s="95" t="s">
        <v>216</v>
      </c>
      <c r="E36" s="375">
        <f t="shared" ref="E36:I36" si="7">Notional_Gearing</f>
        <v>0.55000000000000004</v>
      </c>
      <c r="F36" s="375">
        <f t="shared" si="7"/>
        <v>0.55000000000000004</v>
      </c>
      <c r="G36" s="375">
        <f t="shared" si="7"/>
        <v>0.55000000000000004</v>
      </c>
      <c r="H36" s="375">
        <f t="shared" si="7"/>
        <v>0.55000000000000004</v>
      </c>
      <c r="I36" s="375">
        <f t="shared" si="7"/>
        <v>0.55000000000000004</v>
      </c>
      <c r="J36" s="95"/>
      <c r="K36" s="1"/>
      <c r="L36" s="95"/>
      <c r="M36" s="95"/>
    </row>
    <row r="37" spans="1:13">
      <c r="B37" t="s">
        <v>844</v>
      </c>
      <c r="D37" s="95" t="s">
        <v>841</v>
      </c>
      <c r="E37" s="372">
        <f>E34*E36+E35*(1-E36)</f>
        <v>3.4018539200000003E-2</v>
      </c>
      <c r="F37" s="373">
        <f t="shared" ref="F37:I37" si="8">F34*F36+F35*(1-F36)</f>
        <v>3.9094535999999999E-2</v>
      </c>
      <c r="G37" s="373">
        <f t="shared" si="8"/>
        <v>3.98506624E-2</v>
      </c>
      <c r="H37" s="373">
        <f t="shared" si="8"/>
        <v>3.9021910399999998E-2</v>
      </c>
      <c r="I37" s="373">
        <f t="shared" si="8"/>
        <v>3.82049088E-2</v>
      </c>
      <c r="J37" s="95"/>
      <c r="K37" s="1"/>
      <c r="L37" s="95"/>
      <c r="M37" s="95"/>
    </row>
    <row r="38" spans="1:13" s="2" customFormat="1">
      <c r="A38"/>
      <c r="B38"/>
      <c r="C38"/>
      <c r="D38" s="103"/>
      <c r="E38" s="100"/>
      <c r="F38" s="100"/>
      <c r="G38" s="100"/>
      <c r="H38" s="100"/>
      <c r="I38" s="100"/>
      <c r="J38" s="95"/>
      <c r="K38" s="1"/>
      <c r="L38" s="95"/>
      <c r="M38" s="95"/>
    </row>
    <row r="39" spans="1:13" s="2" customFormat="1">
      <c r="A39"/>
      <c r="B39" s="89" t="s">
        <v>845</v>
      </c>
      <c r="C39" s="89"/>
      <c r="D39" s="95" t="str">
        <f>Data!$C$9</f>
        <v>£m 18/19</v>
      </c>
      <c r="E39" s="47">
        <f>E41*E36</f>
        <v>129.96267300604711</v>
      </c>
      <c r="F39" s="48">
        <f t="shared" ref="F39:I39" si="9">F41*F36</f>
        <v>159.95055739548894</v>
      </c>
      <c r="G39" s="48">
        <f t="shared" si="9"/>
        <v>195.20369076632971</v>
      </c>
      <c r="H39" s="48">
        <f t="shared" si="9"/>
        <v>234.05217417542298</v>
      </c>
      <c r="I39" s="48">
        <f t="shared" si="9"/>
        <v>262.08071694067814</v>
      </c>
      <c r="J39" s="95"/>
      <c r="K39" s="1"/>
      <c r="L39" s="95"/>
      <c r="M39" s="95"/>
    </row>
    <row r="40" spans="1:13" s="2" customFormat="1">
      <c r="A40"/>
      <c r="B40" s="89" t="s">
        <v>846</v>
      </c>
      <c r="C40" s="89"/>
      <c r="D40" s="95" t="str">
        <f>Data!$C$9</f>
        <v>£m 18/19</v>
      </c>
      <c r="E40" s="416">
        <f t="shared" ref="E40:I40" si="10">E41*(1-E36)</f>
        <v>106.3330960958567</v>
      </c>
      <c r="F40" s="417">
        <f t="shared" si="10"/>
        <v>130.86863786903638</v>
      </c>
      <c r="G40" s="417">
        <f t="shared" si="10"/>
        <v>159.712110626997</v>
      </c>
      <c r="H40" s="417">
        <f t="shared" si="10"/>
        <v>191.49723341625514</v>
      </c>
      <c r="I40" s="417">
        <f t="shared" si="10"/>
        <v>214.42967749691843</v>
      </c>
      <c r="J40" s="95"/>
      <c r="K40" s="1"/>
      <c r="L40" s="95"/>
      <c r="M40" s="95"/>
    </row>
    <row r="41" spans="1:13" s="2" customFormat="1">
      <c r="A41"/>
      <c r="B41" t="s">
        <v>847</v>
      </c>
      <c r="C41"/>
      <c r="D41" s="95" t="str">
        <f>Data!$C$9</f>
        <v>£m 18/19</v>
      </c>
      <c r="E41" s="51">
        <f>AVERAGE(E15,E24*(1/(1+E37)))</f>
        <v>236.2957691019038</v>
      </c>
      <c r="F41" s="51">
        <f t="shared" ref="F41:I41" si="11">AVERAGE(F15,F24*(1/(1+F37)))</f>
        <v>290.81919526452532</v>
      </c>
      <c r="G41" s="51">
        <f t="shared" si="11"/>
        <v>354.91580139332672</v>
      </c>
      <c r="H41" s="51">
        <f t="shared" si="11"/>
        <v>425.54940759167812</v>
      </c>
      <c r="I41" s="51">
        <f t="shared" si="11"/>
        <v>476.51039443759657</v>
      </c>
      <c r="J41" s="95"/>
      <c r="K41" s="1"/>
      <c r="L41" s="95"/>
      <c r="M41" s="95"/>
    </row>
    <row r="42" spans="1:13" s="2" customFormat="1">
      <c r="A42"/>
      <c r="B42"/>
      <c r="C42"/>
      <c r="D42" s="95"/>
      <c r="E42" s="95"/>
      <c r="F42" s="95"/>
      <c r="G42" s="95"/>
      <c r="H42" s="95"/>
      <c r="I42" s="95"/>
      <c r="J42" s="95"/>
      <c r="K42" s="1"/>
      <c r="L42" s="95"/>
      <c r="M42" s="95"/>
    </row>
    <row r="43" spans="1:13" s="2" customFormat="1">
      <c r="A43"/>
      <c r="B43" s="89" t="s">
        <v>848</v>
      </c>
      <c r="C43" s="89"/>
      <c r="D43" s="95" t="str">
        <f>Data!$C$9</f>
        <v>£m 18/19</v>
      </c>
      <c r="E43" s="886">
        <f>E34*E39</f>
        <v>-1.2996267300604712E-2</v>
      </c>
      <c r="F43" s="887">
        <f t="shared" ref="E43:I44" si="12">F34*F39</f>
        <v>1.4875401837780471</v>
      </c>
      <c r="G43" s="887">
        <f t="shared" si="12"/>
        <v>2.0691591221230952</v>
      </c>
      <c r="H43" s="887">
        <f t="shared" si="12"/>
        <v>2.1532800024138914</v>
      </c>
      <c r="I43" s="887">
        <f t="shared" si="12"/>
        <v>2.0442295921372895</v>
      </c>
      <c r="J43" s="95"/>
      <c r="K43" s="1"/>
      <c r="L43" s="95"/>
      <c r="M43" s="95"/>
    </row>
    <row r="44" spans="1:13">
      <c r="B44" s="89" t="s">
        <v>849</v>
      </c>
      <c r="C44" s="89"/>
      <c r="D44" s="95" t="str">
        <f>Data!$C$9</f>
        <v>£m 18/19</v>
      </c>
      <c r="E44" s="44">
        <f t="shared" si="12"/>
        <v>8.0514331512878687</v>
      </c>
      <c r="F44" s="45">
        <f t="shared" si="12"/>
        <v>9.8819013149819668</v>
      </c>
      <c r="G44" s="45">
        <f t="shared" si="12"/>
        <v>12.074470659627817</v>
      </c>
      <c r="H44" s="45">
        <f t="shared" si="12"/>
        <v>14.452470851401651</v>
      </c>
      <c r="I44" s="45">
        <f t="shared" si="12"/>
        <v>16.160806569603114</v>
      </c>
      <c r="J44" s="95"/>
      <c r="K44" s="1"/>
      <c r="L44" s="95"/>
      <c r="M44" s="95"/>
    </row>
    <row r="45" spans="1:13">
      <c r="B45" t="s">
        <v>850</v>
      </c>
      <c r="D45" s="95" t="str">
        <f>Data!$C$9</f>
        <v>£m 18/19</v>
      </c>
      <c r="E45" s="51">
        <f>SUM(E43:E44)</f>
        <v>8.0384368839872646</v>
      </c>
      <c r="F45" s="52">
        <f t="shared" ref="F45:I45" si="13">SUM(F43:F44)</f>
        <v>11.369441498760015</v>
      </c>
      <c r="G45" s="52">
        <f t="shared" si="13"/>
        <v>14.143629781750912</v>
      </c>
      <c r="H45" s="52">
        <f t="shared" si="13"/>
        <v>16.605750853815543</v>
      </c>
      <c r="I45" s="52">
        <f t="shared" si="13"/>
        <v>18.205036161740402</v>
      </c>
      <c r="J45" s="95"/>
      <c r="K45" s="1"/>
      <c r="L45" s="95"/>
      <c r="M45" s="95"/>
    </row>
    <row r="46" spans="1:13">
      <c r="J46" s="95"/>
      <c r="K46" s="1"/>
      <c r="L46" s="95"/>
      <c r="M46" s="95"/>
    </row>
    <row r="47" spans="1:13">
      <c r="B47" s="89"/>
      <c r="C47" s="89"/>
      <c r="D47" s="76"/>
      <c r="E47" s="554"/>
      <c r="F47" s="554"/>
      <c r="G47" s="554"/>
      <c r="H47" s="554"/>
      <c r="I47" s="554"/>
      <c r="J47" s="95"/>
      <c r="K47" s="1"/>
      <c r="L47" s="95"/>
      <c r="M47" s="95"/>
    </row>
    <row r="48" spans="1:13">
      <c r="B48" s="89"/>
      <c r="C48" s="89"/>
      <c r="D48" s="76"/>
      <c r="E48" s="554"/>
      <c r="F48" s="554"/>
      <c r="G48" s="554"/>
      <c r="H48" s="554"/>
      <c r="I48" s="554"/>
      <c r="J48" s="95"/>
      <c r="K48" s="1"/>
      <c r="L48" s="95"/>
      <c r="M48" s="95"/>
    </row>
    <row r="49" spans="2:13">
      <c r="D49" s="76"/>
      <c r="E49" s="481"/>
      <c r="F49" s="481"/>
      <c r="G49" s="481"/>
      <c r="H49" s="481"/>
      <c r="I49" s="481"/>
      <c r="J49" s="95"/>
      <c r="K49" s="1"/>
      <c r="L49" s="95"/>
      <c r="M49" s="95"/>
    </row>
    <row r="50" spans="2:13">
      <c r="D50" s="95"/>
      <c r="E50" s="95"/>
      <c r="F50" s="95"/>
      <c r="G50" s="95"/>
      <c r="H50" s="95"/>
      <c r="I50" s="95"/>
      <c r="J50" s="95"/>
      <c r="K50" s="1"/>
      <c r="L50" s="95"/>
      <c r="M50" s="95"/>
    </row>
    <row r="54" spans="2:13">
      <c r="D54"/>
      <c r="L54"/>
    </row>
    <row r="55" spans="2:13">
      <c r="D55"/>
      <c r="L55"/>
    </row>
    <row r="56" spans="2:13">
      <c r="B56" s="89"/>
      <c r="C56" s="89"/>
      <c r="D56" s="76"/>
      <c r="E56" s="554"/>
      <c r="F56" s="554"/>
      <c r="G56" s="554"/>
      <c r="H56" s="554"/>
      <c r="I56" s="554"/>
      <c r="J56" s="6"/>
    </row>
    <row r="57" spans="2:13">
      <c r="B57" s="89"/>
      <c r="C57" s="89"/>
      <c r="D57" s="76"/>
      <c r="E57" s="481"/>
      <c r="F57" s="481"/>
      <c r="G57" s="481"/>
      <c r="H57" s="481"/>
      <c r="I57" s="481"/>
    </row>
    <row r="58" spans="2:13">
      <c r="D58" s="76"/>
      <c r="E58" s="554"/>
      <c r="F58" s="554"/>
      <c r="G58" s="554"/>
      <c r="H58" s="554"/>
      <c r="I58" s="554"/>
    </row>
    <row r="59" spans="2:13">
      <c r="B59" s="6"/>
      <c r="C59" s="6"/>
      <c r="D59" s="110"/>
      <c r="E59" s="110"/>
      <c r="F59" s="110"/>
      <c r="G59" s="110"/>
      <c r="H59" s="110"/>
      <c r="I59" s="110"/>
    </row>
    <row r="60" spans="2:13">
      <c r="B60" s="6"/>
      <c r="C60" s="6"/>
      <c r="D60" s="110"/>
      <c r="E60" s="110"/>
      <c r="F60" s="110"/>
      <c r="G60" s="110"/>
      <c r="H60" s="110"/>
      <c r="I60" s="110"/>
    </row>
    <row r="61" spans="2:13">
      <c r="B61" s="6"/>
      <c r="C61" s="6"/>
      <c r="D61" s="110"/>
      <c r="E61" s="110"/>
      <c r="F61" s="110"/>
      <c r="G61" s="110"/>
      <c r="H61" s="110"/>
      <c r="I61" s="110"/>
    </row>
    <row r="64" spans="2:13">
      <c r="B64" s="6"/>
      <c r="C64" s="6"/>
      <c r="D64" s="110"/>
      <c r="E64" s="110"/>
      <c r="F64" s="110"/>
      <c r="G64" s="110"/>
      <c r="H64" s="110"/>
      <c r="I64" s="110"/>
    </row>
  </sheetData>
  <sheetProtection algorithmName="SHA-512" hashValue="XdRCsaygcN6/QKApS9fn5k7HUFtKUa2l1sKw50rGi1Emq45S1d6a3WLsIZsERQG9284kEtHLtpFC3Vp2z6JGTw==" saltValue="HY8Q6qdrg/MIXW216DhQtA==" spinCount="100000" sheet="1" objects="1" scenarios="1"/>
  <conditionalFormatting sqref="E5:H6">
    <cfRule type="expression" dxfId="31" priority="15">
      <formula>AND(E$5="Actuals",F$5="Forecast")</formula>
    </cfRule>
  </conditionalFormatting>
  <conditionalFormatting sqref="I5:I6">
    <cfRule type="expression" dxfId="30" priority="256">
      <formula>AND(I$5="Actuals",#REF!="Forecast")</formula>
    </cfRule>
  </conditionalFormatting>
  <conditionalFormatting sqref="E7:I7">
    <cfRule type="expression" dxfId="29"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80" zoomScaleNormal="80" workbookViewId="0">
      <pane ySplit="7" topLeftCell="A53" activePane="bottomLeft" state="frozen"/>
      <selection activeCell="B3" sqref="B3:F3"/>
      <selection pane="bottomLeft" activeCell="I33" sqref="I33"/>
    </sheetView>
  </sheetViews>
  <sheetFormatPr defaultRowHeight="13.5"/>
  <cols>
    <col min="1" max="1" width="8.3828125" customWidth="1"/>
    <col min="2" max="2" width="62.765625" customWidth="1"/>
    <col min="3" max="3" width="5.15234375" customWidth="1"/>
    <col min="4" max="4" width="14.15234375" customWidth="1"/>
    <col min="5" max="9" width="11.15234375" customWidth="1"/>
    <col min="10" max="10" width="7.765625" customWidth="1"/>
  </cols>
  <sheetData>
    <row r="1" spans="1:14" ht="20">
      <c r="A1" s="1275" t="s">
        <v>185</v>
      </c>
      <c r="B1" s="839"/>
      <c r="C1" s="839"/>
      <c r="D1" s="840"/>
      <c r="E1" s="840"/>
      <c r="F1" s="840"/>
      <c r="G1" s="840"/>
      <c r="H1" s="840"/>
      <c r="I1" s="840"/>
      <c r="J1" s="1284"/>
    </row>
    <row r="2" spans="1:14" ht="20">
      <c r="A2" s="712" t="str">
        <f>Licensee</f>
        <v>ESO</v>
      </c>
      <c r="B2" s="16"/>
      <c r="C2" s="16"/>
      <c r="D2" s="16"/>
      <c r="E2" s="16"/>
      <c r="F2" s="16"/>
      <c r="G2" s="16"/>
      <c r="H2" s="16"/>
      <c r="I2" s="16"/>
      <c r="J2" s="66"/>
    </row>
    <row r="3" spans="1:14" ht="20">
      <c r="A3" s="707">
        <f>Reporting_Year</f>
        <v>2022</v>
      </c>
      <c r="B3" s="1054"/>
      <c r="C3" s="1054"/>
      <c r="D3" s="1054"/>
      <c r="E3" s="1087"/>
      <c r="F3" s="1087"/>
      <c r="G3" s="1087"/>
      <c r="H3" s="1087"/>
      <c r="I3" s="1087"/>
      <c r="J3" s="120"/>
    </row>
    <row r="4" spans="1:14" ht="12.75" customHeight="1">
      <c r="A4" s="121"/>
      <c r="B4" s="122"/>
      <c r="C4" s="122"/>
      <c r="D4" s="121"/>
      <c r="E4" s="1009">
        <f>IF(E5="Actuals",1,0)</f>
        <v>0</v>
      </c>
      <c r="F4" s="1009">
        <f t="shared" ref="F4:I4" si="0">IF(F5="Actuals",1,0)</f>
        <v>0</v>
      </c>
      <c r="G4" s="1009">
        <f t="shared" si="0"/>
        <v>0</v>
      </c>
      <c r="H4" s="1009">
        <f t="shared" si="0"/>
        <v>0</v>
      </c>
      <c r="I4" s="1009">
        <f t="shared" si="0"/>
        <v>0</v>
      </c>
      <c r="J4" s="123"/>
      <c r="K4" s="122"/>
    </row>
    <row r="5" spans="1:14" s="2" customFormat="1">
      <c r="B5" s="3"/>
      <c r="C5" s="3"/>
      <c r="D5" s="3"/>
      <c r="E5" s="254" t="str">
        <f>IF(E6+1&lt;=Reporting_Year,"Actuals","Forecast")</f>
        <v>Forecast</v>
      </c>
      <c r="F5" s="254" t="str">
        <f>IF(F6+1&lt;=Reporting_Year,"Actuals","Forecast")</f>
        <v>Forecast</v>
      </c>
      <c r="G5" s="254" t="str">
        <f>IF(G6+1&lt;=Reporting_Year,"Actuals","Forecast")</f>
        <v>Forecast</v>
      </c>
      <c r="H5" s="254" t="str">
        <f>IF(H6+1&lt;=Reporting_Year,"Actuals","Forecast")</f>
        <v>Forecast</v>
      </c>
      <c r="I5" s="254" t="str">
        <f>IF(I6+1&lt;=Reporting_Year,"Actuals","Forecast")</f>
        <v>Forecast</v>
      </c>
    </row>
    <row r="6" spans="1:14" s="2" customFormat="1">
      <c r="E6" s="63">
        <f>'RFPR cover'!$C$6</f>
        <v>2022</v>
      </c>
      <c r="F6" s="64">
        <f>E6+1</f>
        <v>2023</v>
      </c>
      <c r="G6" s="64">
        <f t="shared" ref="G6:I6" si="1">F6+1</f>
        <v>2024</v>
      </c>
      <c r="H6" s="64">
        <f t="shared" si="1"/>
        <v>2025</v>
      </c>
      <c r="I6" s="64">
        <f t="shared" si="1"/>
        <v>2026</v>
      </c>
    </row>
    <row r="7" spans="1:14" s="2" customFormat="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896" t="str">
        <f>RIIO_2_start_date+3&amp;"/"&amp;RIGHT(RIIO_2_start_date+4,2)</f>
        <v>2025/26</v>
      </c>
    </row>
    <row r="8" spans="1:14" s="2" customFormat="1">
      <c r="B8" s="1131" t="s">
        <v>851</v>
      </c>
      <c r="C8" s="183"/>
      <c r="D8" s="1126"/>
      <c r="E8" s="1126"/>
      <c r="F8" s="1126"/>
      <c r="G8" s="1126"/>
      <c r="H8" s="1126"/>
      <c r="I8" s="1126"/>
    </row>
    <row r="9" spans="1:14" s="2" customFormat="1" ht="34.5" customHeight="1">
      <c r="B9" s="1456" t="s">
        <v>852</v>
      </c>
      <c r="C9" s="1456"/>
      <c r="D9" s="1456"/>
      <c r="E9" s="1456"/>
      <c r="F9" s="1456"/>
      <c r="G9" s="1456"/>
      <c r="H9" s="1456"/>
      <c r="I9" s="1456"/>
    </row>
    <row r="10" spans="1:14" s="2" customFormat="1">
      <c r="B10" s="376"/>
      <c r="C10" s="376"/>
    </row>
    <row r="11" spans="1:14" s="2" customFormat="1">
      <c r="B11" s="6" t="s">
        <v>853</v>
      </c>
      <c r="C11" s="6"/>
      <c r="D11" s="76" t="s">
        <v>252</v>
      </c>
      <c r="E11" s="1110"/>
      <c r="F11" s="1110"/>
      <c r="G11" s="1110"/>
      <c r="H11" s="1110"/>
      <c r="I11" s="1110"/>
      <c r="J11" t="s">
        <v>854</v>
      </c>
    </row>
    <row r="12" spans="1:14" s="2" customFormat="1">
      <c r="B12" s="1168"/>
      <c r="C12" s="6"/>
      <c r="D12" s="76"/>
      <c r="E12" s="1008"/>
      <c r="F12" s="1008"/>
      <c r="G12" s="1008"/>
      <c r="H12" s="1008"/>
      <c r="I12" s="1008"/>
      <c r="J12"/>
    </row>
    <row r="13" spans="1:14">
      <c r="B13" s="6" t="s">
        <v>855</v>
      </c>
      <c r="C13" s="6"/>
      <c r="D13" s="76"/>
      <c r="E13" s="76"/>
      <c r="F13" s="76"/>
      <c r="G13" s="76"/>
      <c r="H13" s="76"/>
      <c r="I13" s="76"/>
      <c r="M13" s="2"/>
      <c r="N13" s="2"/>
    </row>
    <row r="14" spans="1:14">
      <c r="B14" s="184" t="s">
        <v>856</v>
      </c>
      <c r="C14" s="184"/>
      <c r="D14" s="76" t="s">
        <v>252</v>
      </c>
      <c r="E14" s="1110"/>
      <c r="F14" s="1110"/>
      <c r="G14" s="1110"/>
      <c r="H14" s="1110"/>
      <c r="I14" s="1110"/>
      <c r="M14" s="2"/>
      <c r="N14" s="2"/>
    </row>
    <row r="15" spans="1:14">
      <c r="B15" s="184" t="s">
        <v>857</v>
      </c>
      <c r="C15" s="184"/>
      <c r="D15" s="76" t="s">
        <v>252</v>
      </c>
      <c r="E15" s="1110"/>
      <c r="F15" s="1110"/>
      <c r="G15" s="1110"/>
      <c r="H15" s="1110"/>
      <c r="I15" s="1110"/>
      <c r="M15" s="2"/>
      <c r="N15" s="2"/>
    </row>
    <row r="16" spans="1:14">
      <c r="B16" s="184" t="s">
        <v>858</v>
      </c>
      <c r="C16" s="184"/>
      <c r="D16" s="76" t="s">
        <v>252</v>
      </c>
      <c r="E16" s="1110"/>
      <c r="F16" s="1110"/>
      <c r="G16" s="1110"/>
      <c r="H16" s="1110"/>
      <c r="I16" s="1110"/>
      <c r="M16" s="2"/>
      <c r="N16" s="2"/>
    </row>
    <row r="17" spans="2:38">
      <c r="B17" s="184" t="s">
        <v>859</v>
      </c>
      <c r="C17" s="184"/>
      <c r="D17" s="76" t="s">
        <v>252</v>
      </c>
      <c r="E17" s="1110"/>
      <c r="F17" s="1110"/>
      <c r="G17" s="1110"/>
      <c r="H17" s="1110"/>
      <c r="I17" s="1110"/>
      <c r="M17" s="2"/>
      <c r="N17" s="2"/>
    </row>
    <row r="18" spans="2:38">
      <c r="B18" s="1121" t="s">
        <v>860</v>
      </c>
      <c r="C18" s="1121"/>
      <c r="D18" s="76" t="s">
        <v>252</v>
      </c>
      <c r="E18" s="456">
        <f>SUM(E14:E17)</f>
        <v>0</v>
      </c>
      <c r="F18" s="457">
        <f t="shared" ref="F18:I18" si="2">SUM(F14:F17)</f>
        <v>0</v>
      </c>
      <c r="G18" s="457">
        <f t="shared" si="2"/>
        <v>0</v>
      </c>
      <c r="H18" s="457">
        <f t="shared" si="2"/>
        <v>0</v>
      </c>
      <c r="I18" s="457">
        <f t="shared" si="2"/>
        <v>0</v>
      </c>
      <c r="M18" s="2"/>
      <c r="N18" s="2"/>
    </row>
    <row r="19" spans="2:38">
      <c r="B19" s="184"/>
      <c r="C19" s="184"/>
      <c r="D19" s="184"/>
      <c r="E19" s="1122"/>
      <c r="F19" s="1122"/>
      <c r="G19" s="1122"/>
      <c r="H19" s="1122"/>
      <c r="I19" s="1122"/>
    </row>
    <row r="20" spans="2:38">
      <c r="B20" s="6" t="s">
        <v>627</v>
      </c>
      <c r="C20" s="6"/>
      <c r="D20" s="76"/>
      <c r="E20" s="76"/>
      <c r="F20" s="1123"/>
      <c r="G20" s="1123"/>
      <c r="H20" s="1123"/>
      <c r="I20" s="1123"/>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row>
    <row r="21" spans="2:38">
      <c r="B21" s="184" t="s">
        <v>861</v>
      </c>
      <c r="C21" s="1124"/>
      <c r="D21" s="76" t="s">
        <v>252</v>
      </c>
      <c r="E21" s="999">
        <f>('R4 - Incentives and Other Rev'!D67+'R4 - Incentives and Other Rev'!D41+'R4 - Incentives and Other Rev'!D48)/(1-INDEX(Corporate_Tax,MATCH($E$6,Data!$C$15:$N$15,0)))*INDEX(Corporate_Tax,MATCH($E$6,Data!$C$15:$N$15,0))</f>
        <v>0</v>
      </c>
      <c r="F21" s="999">
        <f>('R4 - Incentives and Other Rev'!E67+'R4 - Incentives and Other Rev'!E41+'R4 - Incentives and Other Rev'!E48)/(1-INDEX(Corporate_Tax,MATCH($E$6,Data!$C$15:$N$15,0)))*INDEX(Corporate_Tax,MATCH($E$6,Data!$C$15:$N$15,0))</f>
        <v>0</v>
      </c>
      <c r="G21" s="999">
        <f>('R4 - Incentives and Other Rev'!F67+'R4 - Incentives and Other Rev'!F41+'R4 - Incentives and Other Rev'!F48)/(1-INDEX(Corporate_Tax,MATCH($E$6,Data!$C$15:$N$15,0)))*INDEX(Corporate_Tax,MATCH($E$6,Data!$C$15:$N$15,0))</f>
        <v>0</v>
      </c>
      <c r="H21" s="999">
        <f>('R4 - Incentives and Other Rev'!G67+'R4 - Incentives and Other Rev'!G41+'R4 - Incentives and Other Rev'!G48)/(1-INDEX(Corporate_Tax,MATCH($E$6,Data!$C$15:$N$15,0)))*INDEX(Corporate_Tax,MATCH($E$6,Data!$C$15:$N$15,0))</f>
        <v>0</v>
      </c>
      <c r="I21" s="999">
        <f>('R4 - Incentives and Other Rev'!H67+'R4 - Incentives and Other Rev'!H41+'R4 - Incentives and Other Rev'!H48)/(1-INDEX(Corporate_Tax,MATCH($E$6,Data!$C$15:$N$15,0)))*INDEX(Corporate_Tax,MATCH($E$6,Data!$C$15:$N$15,0))</f>
        <v>0</v>
      </c>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row>
    <row r="22" spans="2:38">
      <c r="B22" s="184" t="s">
        <v>862</v>
      </c>
      <c r="C22" s="184"/>
      <c r="D22" s="76" t="s">
        <v>252</v>
      </c>
      <c r="E22" s="1110"/>
      <c r="F22" s="1110"/>
      <c r="G22" s="1110"/>
      <c r="H22" s="1110"/>
      <c r="I22" s="1110"/>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row>
    <row r="23" spans="2:38">
      <c r="B23" s="184" t="s">
        <v>863</v>
      </c>
      <c r="C23" s="184"/>
      <c r="D23" s="76" t="s">
        <v>252</v>
      </c>
      <c r="E23" s="1110"/>
      <c r="F23" s="1110"/>
      <c r="G23" s="1110"/>
      <c r="H23" s="1110"/>
      <c r="I23" s="1110"/>
    </row>
    <row r="24" spans="2:38">
      <c r="B24" s="184" t="s">
        <v>864</v>
      </c>
      <c r="C24" s="184"/>
      <c r="D24" s="76" t="s">
        <v>252</v>
      </c>
      <c r="E24" s="1110"/>
      <c r="F24" s="1110"/>
      <c r="G24" s="1110"/>
      <c r="H24" s="1110"/>
      <c r="I24" s="1110"/>
    </row>
    <row r="25" spans="2:38">
      <c r="B25" s="184" t="s">
        <v>865</v>
      </c>
      <c r="C25" s="184"/>
      <c r="D25" s="76" t="s">
        <v>252</v>
      </c>
      <c r="E25" s="1110"/>
      <c r="F25" s="1110"/>
      <c r="G25" s="1110"/>
      <c r="H25" s="1110"/>
      <c r="I25" s="1110"/>
    </row>
    <row r="26" spans="2:38">
      <c r="B26" s="184" t="s">
        <v>866</v>
      </c>
      <c r="C26" s="184"/>
      <c r="D26" s="76" t="s">
        <v>252</v>
      </c>
      <c r="E26" s="1110"/>
      <c r="F26" s="1110"/>
      <c r="G26" s="1110"/>
      <c r="H26" s="1110"/>
      <c r="I26" s="1110"/>
    </row>
    <row r="27" spans="2:38">
      <c r="B27" s="184" t="s">
        <v>866</v>
      </c>
      <c r="C27" s="184"/>
      <c r="D27" s="76" t="s">
        <v>252</v>
      </c>
      <c r="E27" s="1110"/>
      <c r="F27" s="1110"/>
      <c r="G27" s="1110"/>
      <c r="H27" s="1110"/>
      <c r="I27" s="1110"/>
    </row>
    <row r="28" spans="2:38">
      <c r="B28" s="184" t="s">
        <v>866</v>
      </c>
      <c r="C28" s="184"/>
      <c r="D28" s="76" t="s">
        <v>252</v>
      </c>
      <c r="E28" s="1110"/>
      <c r="F28" s="1110"/>
      <c r="G28" s="1110"/>
      <c r="H28" s="1110"/>
      <c r="I28" s="1110"/>
    </row>
    <row r="29" spans="2:38">
      <c r="B29" s="184" t="s">
        <v>866</v>
      </c>
      <c r="C29" s="184"/>
      <c r="D29" s="76" t="s">
        <v>252</v>
      </c>
      <c r="E29" s="1110"/>
      <c r="F29" s="1110"/>
      <c r="G29" s="1110"/>
      <c r="H29" s="1110"/>
      <c r="I29" s="1110"/>
    </row>
    <row r="30" spans="2:38">
      <c r="B30" s="184" t="s">
        <v>867</v>
      </c>
      <c r="C30" s="184"/>
      <c r="D30" s="76" t="s">
        <v>252</v>
      </c>
      <c r="E30" s="1110"/>
      <c r="F30" s="1110"/>
      <c r="G30" s="1110"/>
      <c r="H30" s="1110"/>
      <c r="I30" s="1110"/>
    </row>
    <row r="31" spans="2:38">
      <c r="B31" s="6" t="s">
        <v>276</v>
      </c>
      <c r="C31" s="6"/>
      <c r="D31" s="76" t="s">
        <v>252</v>
      </c>
      <c r="E31" s="480">
        <f>SUM(E21:E30)</f>
        <v>0</v>
      </c>
      <c r="F31" s="1125">
        <f>SUM(F21:F30)</f>
        <v>0</v>
      </c>
      <c r="G31" s="1125">
        <f>SUM(G21:G30)</f>
        <v>0</v>
      </c>
      <c r="H31" s="1125">
        <f>SUM(H21:H30)</f>
        <v>0</v>
      </c>
      <c r="I31" s="1125">
        <f>SUM(I21:I30)</f>
        <v>0</v>
      </c>
    </row>
    <row r="33" spans="2:11" ht="25.5" customHeight="1">
      <c r="B33" s="817" t="s">
        <v>868</v>
      </c>
      <c r="D33" s="76" t="s">
        <v>252</v>
      </c>
      <c r="E33" s="1110">
        <v>5.9371481266330175</v>
      </c>
      <c r="F33" s="1110">
        <v>11.499102672517532</v>
      </c>
      <c r="G33" s="1110">
        <v>8.2387165794254749</v>
      </c>
      <c r="H33" s="1110">
        <v>8.2676510568632011</v>
      </c>
      <c r="I33" s="1110">
        <v>7.1101050821386211</v>
      </c>
    </row>
    <row r="34" spans="2:11" ht="12.75" customHeight="1">
      <c r="B34" s="817" t="s">
        <v>869</v>
      </c>
      <c r="C34" s="817"/>
      <c r="D34" s="76" t="s">
        <v>252</v>
      </c>
      <c r="E34" s="480">
        <f>E11+E33-E18-E31</f>
        <v>5.9371481266330175</v>
      </c>
      <c r="F34" s="480">
        <f>F11+F33-F18-F31</f>
        <v>11.499102672517532</v>
      </c>
      <c r="G34" s="480">
        <f>G11+G33-G18-G31</f>
        <v>8.2387165794254749</v>
      </c>
      <c r="H34" s="480">
        <f>H11+H33-H18-H31</f>
        <v>8.2676510568632011</v>
      </c>
      <c r="I34" s="480">
        <f>I11+I33-I18-I31</f>
        <v>7.1101050821386211</v>
      </c>
    </row>
    <row r="35" spans="2:11" ht="12.75" customHeight="1">
      <c r="B35" s="816"/>
      <c r="C35" s="816"/>
      <c r="D35" s="76"/>
      <c r="E35" s="1008"/>
      <c r="F35" s="1008"/>
      <c r="G35" s="1008"/>
      <c r="H35" s="1008"/>
      <c r="I35" s="1008"/>
    </row>
    <row r="36" spans="2:11">
      <c r="B36" t="s">
        <v>424</v>
      </c>
      <c r="D36" s="91" t="s">
        <v>425</v>
      </c>
      <c r="E36" s="60">
        <f t="shared" ref="E36:I36" si="3">INDEX(real_to_nominal_CF,MATCH(E$6,calendar_year,0))</f>
        <v>1.0847835302284383</v>
      </c>
      <c r="F36" s="60">
        <f t="shared" si="3"/>
        <v>1.1682111694202062</v>
      </c>
      <c r="G36" s="60">
        <f t="shared" si="3"/>
        <v>1.2070548174037865</v>
      </c>
      <c r="H36" s="60">
        <f t="shared" si="3"/>
        <v>1.2275072378847331</v>
      </c>
      <c r="I36" s="60">
        <f t="shared" si="3"/>
        <v>1.2509585044470788</v>
      </c>
    </row>
    <row r="37" spans="2:11">
      <c r="B37" s="816"/>
      <c r="C37" s="816"/>
      <c r="D37" s="76"/>
      <c r="E37" s="76"/>
      <c r="F37" s="76"/>
      <c r="G37" s="76"/>
      <c r="H37" s="76"/>
      <c r="I37" s="76"/>
    </row>
    <row r="38" spans="2:11">
      <c r="B38" s="817" t="s">
        <v>870</v>
      </c>
      <c r="C38" s="817"/>
      <c r="D38" s="95" t="str">
        <f>Data!$C$9</f>
        <v>£m 18/19</v>
      </c>
      <c r="E38" s="480">
        <f>Adjusted_regulated_tax_liability/E36</f>
        <v>5.4731178720815823</v>
      </c>
      <c r="F38" s="480">
        <f>Adjusted_regulated_tax_liability/F36</f>
        <v>9.8433425167683009</v>
      </c>
      <c r="G38" s="480">
        <f>Adjusted_regulated_tax_liability/G36</f>
        <v>6.8254701117434351</v>
      </c>
      <c r="H38" s="480">
        <f>Adjusted_regulated_tax_liability/H36</f>
        <v>6.7353175620456582</v>
      </c>
      <c r="I38" s="480">
        <f>Adjusted_regulated_tax_liability/I36</f>
        <v>5.6837257645738406</v>
      </c>
    </row>
    <row r="39" spans="2:11">
      <c r="B39" s="817"/>
      <c r="C39" s="817"/>
      <c r="D39" s="817"/>
      <c r="E39" s="817"/>
      <c r="F39" s="817"/>
      <c r="G39" s="817"/>
      <c r="H39" s="817"/>
      <c r="I39" s="817"/>
    </row>
    <row r="40" spans="2:11">
      <c r="B40" s="592" t="s">
        <v>871</v>
      </c>
      <c r="C40" s="592"/>
      <c r="D40" s="95"/>
      <c r="E40" s="95"/>
      <c r="F40" s="95"/>
      <c r="G40" s="95"/>
      <c r="H40" s="95"/>
      <c r="I40" s="95"/>
    </row>
    <row r="41" spans="2:11">
      <c r="B41" s="183" t="s">
        <v>431</v>
      </c>
      <c r="C41" s="183"/>
      <c r="D41" s="817"/>
      <c r="E41" s="817"/>
      <c r="F41" s="817"/>
      <c r="G41" s="817"/>
      <c r="H41" s="817"/>
      <c r="I41" s="817"/>
      <c r="K41" s="817"/>
    </row>
    <row r="42" spans="2:11">
      <c r="K42" s="817"/>
    </row>
    <row r="43" spans="2:11" ht="12.75" customHeight="1">
      <c r="B43" s="89" t="s">
        <v>24</v>
      </c>
      <c r="C43" s="89"/>
      <c r="D43" s="39" t="s">
        <v>216</v>
      </c>
      <c r="E43" s="703">
        <f>Data!$C$8</f>
        <v>0.55000000000000004</v>
      </c>
      <c r="F43" s="704">
        <f>Data!$C$8</f>
        <v>0.55000000000000004</v>
      </c>
      <c r="G43" s="704">
        <f>Data!$C$8</f>
        <v>0.55000000000000004</v>
      </c>
      <c r="H43" s="704">
        <f>Data!$C$8</f>
        <v>0.55000000000000004</v>
      </c>
      <c r="I43" s="704">
        <f>Data!$C$8</f>
        <v>0.55000000000000004</v>
      </c>
      <c r="K43" s="817"/>
    </row>
    <row r="44" spans="2:11" ht="12.75" customHeight="1">
      <c r="B44" s="89" t="s">
        <v>432</v>
      </c>
      <c r="C44" s="89"/>
      <c r="D44" s="39" t="s">
        <v>216</v>
      </c>
      <c r="E44" s="703">
        <f>'R6 - Net Debt'!D58</f>
        <v>0.40022041296118049</v>
      </c>
      <c r="F44" s="704">
        <f>'R6 - Net Debt'!E58</f>
        <v>0.34796490153768761</v>
      </c>
      <c r="G44" s="704">
        <f>'R6 - Net Debt'!F58</f>
        <v>0.27570288973406132</v>
      </c>
      <c r="H44" s="704">
        <f>'R6 - Net Debt'!G58</f>
        <v>0.22590070222421069</v>
      </c>
      <c r="I44" s="704">
        <f>'R6 - Net Debt'!H58</f>
        <v>0.19837411015725745</v>
      </c>
      <c r="K44" s="817"/>
    </row>
    <row r="45" spans="2:11" ht="12.75" customHeight="1">
      <c r="B45" s="89"/>
      <c r="C45" s="89"/>
      <c r="D45" s="39"/>
      <c r="E45" s="39"/>
      <c r="F45" s="39"/>
      <c r="G45" s="39"/>
      <c r="H45" s="39"/>
      <c r="I45" s="39"/>
      <c r="K45" s="817"/>
    </row>
    <row r="46" spans="2:11" ht="12.75" customHeight="1">
      <c r="B46" s="817" t="s">
        <v>870</v>
      </c>
      <c r="C46" s="817"/>
      <c r="D46" s="76" t="s">
        <v>252</v>
      </c>
      <c r="E46" s="480">
        <f>E34</f>
        <v>5.9371481266330175</v>
      </c>
      <c r="F46" s="480">
        <f>F34</f>
        <v>11.499102672517532</v>
      </c>
      <c r="G46" s="480">
        <f>G34</f>
        <v>8.2387165794254749</v>
      </c>
      <c r="H46" s="480">
        <f>H34</f>
        <v>8.2676510568632011</v>
      </c>
      <c r="I46" s="480">
        <f>I34</f>
        <v>7.1101050821386211</v>
      </c>
      <c r="K46" s="817"/>
    </row>
    <row r="47" spans="2:11">
      <c r="B47" s="89" t="s">
        <v>872</v>
      </c>
      <c r="C47" s="89"/>
      <c r="D47" s="76" t="s">
        <v>252</v>
      </c>
      <c r="E47" s="480">
        <f>E64-E66</f>
        <v>-0.27706210810720322</v>
      </c>
      <c r="F47" s="480">
        <f t="shared" ref="F47:I47" si="4">F64-F66</f>
        <v>-0.84706607161878322</v>
      </c>
      <c r="G47" s="480">
        <f t="shared" si="4"/>
        <v>-0.70210840816124032</v>
      </c>
      <c r="H47" s="480">
        <f t="shared" si="4"/>
        <v>-0.30736679398677902</v>
      </c>
      <c r="I47" s="480">
        <f t="shared" si="4"/>
        <v>-0.49517827996408603</v>
      </c>
      <c r="K47" s="817"/>
    </row>
    <row r="48" spans="2:11">
      <c r="B48" s="89" t="s">
        <v>873</v>
      </c>
      <c r="C48" s="89"/>
      <c r="D48" s="76" t="s">
        <v>252</v>
      </c>
      <c r="E48" s="480">
        <f>SUM(E46:E47)</f>
        <v>5.6600860185258144</v>
      </c>
      <c r="F48" s="480">
        <f t="shared" ref="F48:I48" si="5">SUM(F46:F47)</f>
        <v>10.652036600898748</v>
      </c>
      <c r="G48" s="480">
        <f t="shared" si="5"/>
        <v>7.5366081712642341</v>
      </c>
      <c r="H48" s="480">
        <f t="shared" si="5"/>
        <v>7.9602842628764225</v>
      </c>
      <c r="I48" s="480">
        <f t="shared" si="5"/>
        <v>6.6149268021745353</v>
      </c>
    </row>
    <row r="50" spans="2:11">
      <c r="B50" s="89" t="s">
        <v>873</v>
      </c>
      <c r="C50" s="89"/>
      <c r="D50" s="95" t="str">
        <f>Data!$C$9</f>
        <v>£m 18/19</v>
      </c>
      <c r="E50" s="480">
        <f>E48/E36</f>
        <v>5.2177101336834362</v>
      </c>
      <c r="F50" s="480">
        <f t="shared" ref="F50:I50" si="6">F48/F36</f>
        <v>9.1182458101179176</v>
      </c>
      <c r="G50" s="480">
        <f t="shared" si="6"/>
        <v>6.2437994220299542</v>
      </c>
      <c r="H50" s="480">
        <f t="shared" si="6"/>
        <v>6.4849183916778816</v>
      </c>
      <c r="I50" s="480">
        <f t="shared" si="6"/>
        <v>5.2878866714274588</v>
      </c>
    </row>
    <row r="52" spans="2:11">
      <c r="B52" s="547" t="s">
        <v>874</v>
      </c>
      <c r="C52" s="547"/>
      <c r="D52" s="548"/>
      <c r="E52" s="548"/>
      <c r="F52" s="548"/>
      <c r="G52" s="548"/>
      <c r="H52" s="548"/>
      <c r="I52" s="548"/>
      <c r="J52" s="548"/>
      <c r="K52" s="817"/>
    </row>
    <row r="53" spans="2:11" ht="12.65" customHeight="1">
      <c r="D53" s="95"/>
      <c r="E53" s="1236"/>
      <c r="F53" s="1236"/>
      <c r="G53" s="1236"/>
      <c r="H53" s="1236"/>
      <c r="I53" s="1236"/>
    </row>
    <row r="54" spans="2:11">
      <c r="B54" t="s">
        <v>875</v>
      </c>
      <c r="D54" s="95" t="str">
        <f>Data!$C$9</f>
        <v>£m 18/19</v>
      </c>
      <c r="E54" s="1094">
        <v>5.4729077860326258</v>
      </c>
      <c r="F54" s="1094">
        <v>9.8431352588491006</v>
      </c>
      <c r="G54" s="1094">
        <v>6.8251763625053972</v>
      </c>
      <c r="H54" s="1094">
        <v>6.735065958701111</v>
      </c>
      <c r="I54" s="1094">
        <v>5.6834511869928708</v>
      </c>
    </row>
    <row r="55" spans="2:11">
      <c r="D55" s="95"/>
      <c r="E55" s="95"/>
      <c r="F55" s="95"/>
      <c r="G55" s="95"/>
      <c r="H55" s="95"/>
      <c r="I55" s="95"/>
      <c r="J55" s="95"/>
    </row>
    <row r="56" spans="2:11">
      <c r="B56" s="595" t="s">
        <v>440</v>
      </c>
      <c r="C56" s="595"/>
      <c r="D56" s="595"/>
      <c r="E56" s="595"/>
      <c r="F56" s="595"/>
      <c r="G56" s="595"/>
      <c r="H56" s="595"/>
      <c r="I56" s="595"/>
      <c r="J56" s="595"/>
    </row>
    <row r="58" spans="2:11">
      <c r="B58" s="6" t="s">
        <v>876</v>
      </c>
      <c r="C58" s="6"/>
      <c r="D58" s="96" t="str">
        <f>Data!$C$9</f>
        <v>£m 18/19</v>
      </c>
      <c r="E58" s="450">
        <f>E$54-E38</f>
        <v>-2.1008604895644822E-4</v>
      </c>
      <c r="F58" s="450">
        <f>F$54-F38</f>
        <v>-2.0725791920028769E-4</v>
      </c>
      <c r="G58" s="450">
        <f>G$54-G38</f>
        <v>-2.9374923803793251E-4</v>
      </c>
      <c r="H58" s="450">
        <f>H$54-H38</f>
        <v>-2.5160334454721323E-4</v>
      </c>
      <c r="I58" s="450">
        <f>I$54-I38</f>
        <v>-2.7457758096982587E-4</v>
      </c>
    </row>
    <row r="59" spans="2:11">
      <c r="B59" s="6"/>
      <c r="C59" s="6"/>
      <c r="D59" s="6"/>
      <c r="E59" s="6"/>
      <c r="F59" s="6"/>
      <c r="G59" s="6"/>
      <c r="H59" s="6"/>
      <c r="I59" s="6"/>
    </row>
    <row r="60" spans="2:11">
      <c r="B60" s="6" t="s">
        <v>877</v>
      </c>
      <c r="C60" s="6"/>
      <c r="D60" s="96" t="str">
        <f>Data!$C$9</f>
        <v>£m 18/19</v>
      </c>
      <c r="E60" s="450">
        <f>E$54-E50</f>
        <v>0.25519765234918967</v>
      </c>
      <c r="F60" s="450">
        <f>F$54-F50</f>
        <v>0.72488944873118299</v>
      </c>
      <c r="G60" s="450">
        <f>G$54-G50</f>
        <v>0.58137694047544297</v>
      </c>
      <c r="H60" s="450">
        <f>H$54-H50</f>
        <v>0.25014756702322938</v>
      </c>
      <c r="I60" s="450">
        <f>I$54-I50</f>
        <v>0.39556451556541194</v>
      </c>
    </row>
    <row r="62" spans="2:11">
      <c r="B62" s="6" t="s">
        <v>878</v>
      </c>
      <c r="C62" s="6"/>
      <c r="D62" s="96" t="str">
        <f>Data!$C$9</f>
        <v>£m 18/19</v>
      </c>
      <c r="E62" s="450">
        <f>E58-E60</f>
        <v>-0.25540773839814612</v>
      </c>
      <c r="F62" s="451">
        <f t="shared" ref="F62:I62" si="7">F58-F60</f>
        <v>-0.72509670665038328</v>
      </c>
      <c r="G62" s="451">
        <f t="shared" si="7"/>
        <v>-0.5816706897134809</v>
      </c>
      <c r="H62" s="451">
        <f t="shared" si="7"/>
        <v>-0.25039917036777659</v>
      </c>
      <c r="I62" s="451">
        <f t="shared" si="7"/>
        <v>-0.39583909314638177</v>
      </c>
    </row>
    <row r="64" spans="2:11">
      <c r="B64" t="s">
        <v>879</v>
      </c>
      <c r="D64" s="76" t="s">
        <v>252</v>
      </c>
      <c r="E64" s="1163">
        <f>('R5 - Financing'!D83*INDEX(Corporate_Tax,MATCH(E$6,Data!$C$15:$N$15,0))*'R8 - Tax'!E$36)</f>
        <v>0.73764861433110795</v>
      </c>
      <c r="F64" s="1163">
        <f>('R5 - Financing'!E83*INDEX(Corporate_Tax,MATCH(F$6,Data!$C$15:$N$15,0))*'R8 - Tax'!F$36)</f>
        <v>1.7890758733072376</v>
      </c>
      <c r="G64" s="1163">
        <f>('R5 - Financing'!F83*INDEX(Corporate_Tax,MATCH(G$6,Data!$C$15:$N$15,0))*'R8 - Tax'!G$36)</f>
        <v>1.330103852685911</v>
      </c>
      <c r="H64" s="1163">
        <f>('R5 - Financing'!G83*INDEX(Corporate_Tax,MATCH(H$6,Data!$C$15:$N$15,0))*'R8 - Tax'!H$36)</f>
        <v>0.87502966385499792</v>
      </c>
      <c r="I64" s="1163">
        <f>('R5 - Financing'!H83*INDEX(Corporate_Tax,MATCH(I$6,Data!$C$15:$N$15,0))*'R8 - Tax'!I$36)</f>
        <v>0.9186725711570638</v>
      </c>
      <c r="J64" t="s">
        <v>880</v>
      </c>
    </row>
    <row r="65" spans="2:10">
      <c r="B65" t="s">
        <v>879</v>
      </c>
      <c r="D65" s="95" t="str">
        <f>Data!$C$9</f>
        <v>£m 18/19</v>
      </c>
      <c r="E65" s="480">
        <f>E64/E$36</f>
        <v>0.67999614095889782</v>
      </c>
      <c r="F65" s="480">
        <f t="shared" ref="F65:I65" si="8">F64/F$36</f>
        <v>1.5314661596628734</v>
      </c>
      <c r="G65" s="480">
        <f t="shared" si="8"/>
        <v>1.1019415469023905</v>
      </c>
      <c r="H65" s="480">
        <f t="shared" si="8"/>
        <v>0.71285092001809114</v>
      </c>
      <c r="I65" s="480">
        <f t="shared" si="8"/>
        <v>0.73437493561236489</v>
      </c>
    </row>
    <row r="66" spans="2:10">
      <c r="B66" t="s">
        <v>881</v>
      </c>
      <c r="D66" s="76" t="s">
        <v>252</v>
      </c>
      <c r="E66" s="1163">
        <f>('R5 - Financing'!D85*INDEX(Corporate_Tax,MATCH(E$6,Data!$C$15:$N$15,0))*'R8 - Tax'!E$36)</f>
        <v>1.0147107224383112</v>
      </c>
      <c r="F66" s="1163">
        <f>('R5 - Financing'!E85*INDEX(Corporate_Tax,MATCH(F$6,Data!$C$15:$N$15,0))*'R8 - Tax'!F$36)</f>
        <v>2.6361419449260208</v>
      </c>
      <c r="G66" s="1163">
        <f>('R5 - Financing'!F85*INDEX(Corporate_Tax,MATCH(G$6,Data!$C$15:$N$15,0))*'R8 - Tax'!G$36)</f>
        <v>2.0322122608471513</v>
      </c>
      <c r="H66" s="1163">
        <f>('R5 - Financing'!G85*INDEX(Corporate_Tax,MATCH(H$6,Data!$C$15:$N$15,0))*'R8 - Tax'!H$36)</f>
        <v>1.1823964578417769</v>
      </c>
      <c r="I66" s="1163">
        <f>('R5 - Financing'!H85*INDEX(Corporate_Tax,MATCH(I$6,Data!$C$15:$N$15,0))*'R8 - Tax'!I$36)</f>
        <v>1.4138508511211498</v>
      </c>
      <c r="J66" t="s">
        <v>880</v>
      </c>
    </row>
    <row r="67" spans="2:10">
      <c r="B67" t="s">
        <v>881</v>
      </c>
      <c r="D67" s="95" t="str">
        <f>Data!$C$9</f>
        <v>£m 18/19</v>
      </c>
      <c r="E67" s="480">
        <f>E66/E$36</f>
        <v>0.93540387935704472</v>
      </c>
      <c r="F67" s="480">
        <f t="shared" ref="F67:I67" si="9">F66/F$36</f>
        <v>2.2565628663132555</v>
      </c>
      <c r="G67" s="480">
        <f t="shared" si="9"/>
        <v>1.6836122366158714</v>
      </c>
      <c r="H67" s="480">
        <f t="shared" si="9"/>
        <v>0.96325009038586851</v>
      </c>
      <c r="I67" s="480">
        <f t="shared" si="9"/>
        <v>1.130214028758747</v>
      </c>
    </row>
    <row r="68" spans="2:10">
      <c r="B68" t="s">
        <v>882</v>
      </c>
      <c r="D68" s="95" t="str">
        <f>Data!$C$9</f>
        <v>£m 18/19</v>
      </c>
      <c r="E68" s="480">
        <f>E65-E67</f>
        <v>-0.2554077383981469</v>
      </c>
      <c r="F68" s="480">
        <f t="shared" ref="F68:I68" si="10">F65-F67</f>
        <v>-0.72509670665038217</v>
      </c>
      <c r="G68" s="480">
        <f t="shared" si="10"/>
        <v>-0.5816706897134809</v>
      </c>
      <c r="H68" s="480">
        <f t="shared" si="10"/>
        <v>-0.25039917036777737</v>
      </c>
      <c r="I68" s="480">
        <f t="shared" si="10"/>
        <v>-0.3958390931463821</v>
      </c>
    </row>
  </sheetData>
  <sheetProtection algorithmName="SHA-512" hashValue="B2XwzTymx0F0PCPhBdVScVqOt/jmdAOMjGBNl+DDNQiqOR5qfBCP/A1ZVuFzkPUd5DfwT1iUVYnMWisw2MGAcg==" saltValue="c/KELFDWTdqIt4qzlhvYOg==" spinCount="100000" sheet="1" objects="1" scenarios="1"/>
  <mergeCells count="1">
    <mergeCell ref="B9:I9"/>
  </mergeCells>
  <phoneticPr fontId="265" type="noConversion"/>
  <conditionalFormatting sqref="E7:I7">
    <cfRule type="expression" dxfId="28" priority="15">
      <formula>AND(E$5="Actuals",F$5="Forecast")</formula>
    </cfRule>
  </conditionalFormatting>
  <conditionalFormatting sqref="E21:I30">
    <cfRule type="expression" dxfId="27" priority="13">
      <formula>E$5="Forecast"</formula>
    </cfRule>
  </conditionalFormatting>
  <conditionalFormatting sqref="E11:I11">
    <cfRule type="expression" dxfId="26" priority="10">
      <formula>E$5="Forecast"</formula>
    </cfRule>
  </conditionalFormatting>
  <conditionalFormatting sqref="E14:I17">
    <cfRule type="expression" dxfId="25" priority="7">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codeName="Sheet9">
    <tabColor rgb="FFFFFFCC"/>
    <pageSetUpPr fitToPage="1"/>
  </sheetPr>
  <dimension ref="A1:W101"/>
  <sheetViews>
    <sheetView showGridLines="0" view="pageBreakPreview" zoomScale="85" zoomScaleNormal="85" zoomScaleSheetLayoutView="85" workbookViewId="0">
      <pane xSplit="2" ySplit="9" topLeftCell="C12" activePane="bottomRight" state="frozen"/>
      <selection pane="topRight" activeCell="B27" sqref="B27"/>
      <selection pane="bottomLeft" activeCell="B27" sqref="B27"/>
      <selection pane="bottomRight" activeCell="A8" sqref="A8:B9"/>
    </sheetView>
  </sheetViews>
  <sheetFormatPr defaultColWidth="9.23046875" defaultRowHeight="14.5"/>
  <cols>
    <col min="1" max="1" width="27" style="1171" customWidth="1"/>
    <col min="2" max="2" width="51.23046875" style="1171" customWidth="1"/>
    <col min="3" max="3" width="14.15234375" style="1171" customWidth="1"/>
    <col min="4" max="5" width="16.23046875" style="1171" customWidth="1"/>
    <col min="6" max="6" width="3.765625" style="1171" customWidth="1"/>
    <col min="7" max="7" width="48.84375" style="1171" customWidth="1"/>
    <col min="8" max="9" width="15.61328125" style="1171" customWidth="1"/>
    <col min="10" max="10" width="3.23046875" style="1171" customWidth="1"/>
    <col min="11" max="11" width="17.4609375" style="1171" customWidth="1"/>
    <col min="12" max="12" width="3.15234375" style="1171" customWidth="1"/>
    <col min="13" max="13" width="56.23046875" style="1171" customWidth="1"/>
    <col min="14" max="14" width="2.23046875" style="1171" customWidth="1"/>
    <col min="15" max="16384" width="9.23046875" style="1171"/>
  </cols>
  <sheetData>
    <row r="1" spans="1:13" ht="20">
      <c r="A1" s="1275" t="s">
        <v>883</v>
      </c>
      <c r="B1" s="1275"/>
      <c r="C1" s="707"/>
      <c r="D1" s="707"/>
      <c r="E1" s="707"/>
      <c r="F1" s="1170"/>
      <c r="G1" s="707"/>
      <c r="H1" s="707"/>
      <c r="I1" s="1267"/>
      <c r="K1" s="707"/>
      <c r="L1" s="1170"/>
      <c r="M1" s="707"/>
    </row>
    <row r="2" spans="1:13" ht="20">
      <c r="A2" s="707"/>
      <c r="B2" s="707"/>
      <c r="C2" s="707"/>
      <c r="D2" s="707"/>
      <c r="E2" s="707"/>
      <c r="F2" s="1170"/>
      <c r="G2" s="707"/>
      <c r="H2" s="707"/>
      <c r="I2" s="1268"/>
      <c r="K2" s="707"/>
      <c r="L2" s="1170"/>
      <c r="M2" s="707"/>
    </row>
    <row r="3" spans="1:13" ht="20">
      <c r="A3" s="707" t="s">
        <v>884</v>
      </c>
      <c r="B3" s="707" t="str">
        <f>Licensee</f>
        <v>ESO</v>
      </c>
      <c r="C3" s="707"/>
      <c r="D3" s="707"/>
      <c r="E3" s="707"/>
      <c r="F3" s="1170"/>
      <c r="G3" s="707"/>
      <c r="H3" s="707"/>
      <c r="I3" s="1268"/>
      <c r="K3" s="707"/>
      <c r="L3" s="1170"/>
      <c r="M3" s="707"/>
    </row>
    <row r="4" spans="1:13" ht="20">
      <c r="A4" s="707" t="s">
        <v>6</v>
      </c>
      <c r="B4" s="707" t="str">
        <f>Sector</f>
        <v>ESO2</v>
      </c>
      <c r="C4" s="707"/>
      <c r="D4" s="707"/>
      <c r="E4" s="707"/>
      <c r="F4" s="1170"/>
      <c r="G4" s="707"/>
      <c r="H4" s="707"/>
      <c r="I4" s="1268"/>
      <c r="K4" s="707"/>
      <c r="L4" s="1170"/>
      <c r="M4" s="707"/>
    </row>
    <row r="5" spans="1:13" ht="20">
      <c r="A5" s="707" t="s">
        <v>885</v>
      </c>
      <c r="B5" s="1001">
        <f>INDEX(Data!$C$14:$N$14,MATCH($B$6,Data!$C$15:$N$15,0))</f>
        <v>44286</v>
      </c>
      <c r="C5" s="707"/>
      <c r="D5" s="707"/>
      <c r="E5" s="707"/>
      <c r="F5" s="1170"/>
      <c r="G5" s="707"/>
      <c r="H5" s="707"/>
      <c r="I5" s="1268"/>
      <c r="K5" s="707"/>
      <c r="L5" s="1170"/>
      <c r="M5" s="707"/>
    </row>
    <row r="6" spans="1:13" ht="20">
      <c r="A6" s="707" t="s">
        <v>31</v>
      </c>
      <c r="B6" s="707">
        <f>Reporting_Year-1</f>
        <v>2021</v>
      </c>
      <c r="C6" s="707"/>
      <c r="D6" s="707"/>
      <c r="E6" s="707"/>
      <c r="F6" s="1170"/>
      <c r="G6" s="707"/>
      <c r="H6" s="707"/>
      <c r="I6" s="1268"/>
      <c r="K6" s="707"/>
      <c r="L6" s="1170"/>
      <c r="M6" s="707"/>
    </row>
    <row r="7" spans="1:13" ht="28.5" customHeight="1">
      <c r="A7" s="1463" t="s">
        <v>886</v>
      </c>
      <c r="B7" s="1463"/>
      <c r="C7" s="707"/>
      <c r="D7" s="707"/>
      <c r="E7" s="707"/>
      <c r="F7" s="1170"/>
      <c r="G7" s="707"/>
      <c r="H7" s="707"/>
      <c r="I7" s="1269"/>
      <c r="K7" s="707"/>
      <c r="L7" s="1170"/>
      <c r="M7" s="707"/>
    </row>
    <row r="8" spans="1:13" ht="86.25" customHeight="1">
      <c r="A8" s="1464" t="s">
        <v>887</v>
      </c>
      <c r="B8" s="1465"/>
      <c r="C8" s="1457" t="s">
        <v>888</v>
      </c>
      <c r="D8" s="1292" t="s">
        <v>889</v>
      </c>
      <c r="E8" s="1292" t="s">
        <v>890</v>
      </c>
      <c r="F8" s="1172"/>
      <c r="G8" s="1468" t="s">
        <v>891</v>
      </c>
      <c r="H8" s="1270" t="s">
        <v>892</v>
      </c>
      <c r="I8" s="1270" t="s">
        <v>893</v>
      </c>
      <c r="J8" s="1172"/>
      <c r="K8" s="1270" t="s">
        <v>894</v>
      </c>
      <c r="L8" s="1172"/>
      <c r="M8" s="1457" t="s">
        <v>895</v>
      </c>
    </row>
    <row r="9" spans="1:13" ht="15.65" customHeight="1">
      <c r="A9" s="1466"/>
      <c r="B9" s="1467"/>
      <c r="C9" s="1458"/>
      <c r="D9" s="1173" t="s">
        <v>454</v>
      </c>
      <c r="E9" s="1173" t="s">
        <v>454</v>
      </c>
      <c r="F9" s="1174"/>
      <c r="G9" s="1469"/>
      <c r="H9" s="1173" t="s">
        <v>454</v>
      </c>
      <c r="I9" s="1173" t="s">
        <v>454</v>
      </c>
      <c r="J9" s="1174"/>
      <c r="K9" s="1173" t="s">
        <v>454</v>
      </c>
      <c r="M9" s="1458"/>
    </row>
    <row r="10" spans="1:13" ht="15.65" customHeight="1">
      <c r="A10" s="1175"/>
      <c r="B10" s="1175"/>
      <c r="C10" s="1175"/>
      <c r="D10" s="1174"/>
      <c r="E10" s="1174"/>
      <c r="F10" s="1174"/>
      <c r="G10" s="1176"/>
      <c r="H10" s="1174"/>
      <c r="I10" s="1174"/>
      <c r="J10" s="1174"/>
      <c r="K10" s="1174"/>
      <c r="M10" s="1175"/>
    </row>
    <row r="11" spans="1:13" ht="29">
      <c r="A11" s="1175" t="s">
        <v>896</v>
      </c>
      <c r="B11" s="1265" t="str">
        <f>IF(AND(D11="",E11=""),"No Filing Date",IF(AND(D11="",E11&lt;&gt;""),"Enter Original Filing Date",IF(AND(D11&lt;&gt;"",E11=""),"Original Filing","Re-filed")))</f>
        <v>Original Filing</v>
      </c>
      <c r="C11" s="1175"/>
      <c r="D11" s="1222">
        <v>44561</v>
      </c>
      <c r="E11" s="1222"/>
      <c r="F11" s="1174"/>
      <c r="G11" s="1176"/>
      <c r="H11" s="1174"/>
      <c r="I11" s="1174"/>
      <c r="J11" s="1174"/>
      <c r="M11" s="1175"/>
    </row>
    <row r="12" spans="1:13" s="1178" customFormat="1" ht="17.5" customHeight="1">
      <c r="A12" s="1177"/>
    </row>
    <row r="13" spans="1:13" ht="15.4" customHeight="1">
      <c r="A13" s="1459" t="s">
        <v>897</v>
      </c>
      <c r="B13" s="1460"/>
      <c r="D13" s="1179">
        <v>0.2</v>
      </c>
      <c r="E13" s="1179">
        <v>0.2</v>
      </c>
      <c r="F13" s="1180"/>
      <c r="G13" s="1180"/>
      <c r="H13" s="1179">
        <v>0.2</v>
      </c>
      <c r="I13" s="1179">
        <v>0.2</v>
      </c>
      <c r="J13" s="1181"/>
      <c r="K13" s="1181"/>
    </row>
    <row r="14" spans="1:13" ht="15.4" customHeight="1">
      <c r="B14" s="1182"/>
      <c r="D14" s="1180"/>
      <c r="E14" s="1180"/>
      <c r="F14" s="1180"/>
      <c r="G14" s="1180"/>
      <c r="H14" s="1180"/>
      <c r="I14" s="1180"/>
      <c r="J14" s="1181"/>
      <c r="K14" s="1181"/>
    </row>
    <row r="15" spans="1:13" ht="15.4" customHeight="1">
      <c r="A15" s="1191"/>
      <c r="B15" s="1191"/>
      <c r="C15" s="1184"/>
      <c r="D15" s="1188"/>
      <c r="E15" s="998"/>
      <c r="F15" s="998"/>
      <c r="G15" s="1154"/>
      <c r="H15" s="998"/>
      <c r="I15" s="998"/>
      <c r="J15" s="1185"/>
      <c r="K15" s="1185"/>
      <c r="L15" s="1237"/>
      <c r="M15" s="1238"/>
    </row>
    <row r="16" spans="1:13" ht="15.4" customHeight="1">
      <c r="A16" s="1293" t="s">
        <v>898</v>
      </c>
      <c r="B16" s="1294"/>
      <c r="C16" s="1184" t="s">
        <v>899</v>
      </c>
      <c r="D16" s="1266">
        <f>IFERROR(0,INDEX('R2 - Rec to Revenue and Profit'!$E$58:$I$58,MATCH('R8a - Tax Reconciliation'!$B$6,'R2 - Rec to Revenue and Profit'!$E$6:$I$6,0)))</f>
        <v>0</v>
      </c>
      <c r="E16" s="996"/>
      <c r="F16" s="998"/>
      <c r="G16" s="1154" t="str">
        <f>IF($B$4="ESO2", $B$4&amp; " " &amp;"PCFM - see Tax Allowance in 'System Operator' worksheet",  $B$4&amp; " " &amp;"PCFM - see Tax Allowance in 'Finance &amp;Tax' worksheet")</f>
        <v>ESO2 PCFM - see Tax Allowance in 'System Operator' worksheet</v>
      </c>
      <c r="H16" s="1120"/>
      <c r="I16" s="1266">
        <f>1/(1-H$13)*H16</f>
        <v>0</v>
      </c>
      <c r="J16" s="1185"/>
      <c r="K16" s="1185"/>
      <c r="L16" s="1237"/>
      <c r="M16" s="1238"/>
    </row>
    <row r="17" spans="1:17" ht="15.4" customHeight="1">
      <c r="A17" s="1461" t="s">
        <v>900</v>
      </c>
      <c r="B17" s="1462"/>
      <c r="C17" s="1184"/>
      <c r="D17" s="998"/>
      <c r="E17" s="998"/>
      <c r="F17" s="998"/>
      <c r="G17" s="1154" t="str">
        <f t="shared" ref="G17:G20" si="0">IF($B$4="ESO2", $B$4&amp; " " &amp;"PCFM - see Tax Allowance in 'System Operator' worksheet",  $B$4&amp; " " &amp;"PCFM - see Tax Allowance in 'Finance &amp;Tax' worksheet")</f>
        <v>ESO2 PCFM - see Tax Allowance in 'System Operator' worksheet</v>
      </c>
      <c r="H17" s="1120"/>
      <c r="I17" s="1266">
        <f t="shared" ref="I17:I20" si="1">1/(1-H$13)*H17</f>
        <v>0</v>
      </c>
      <c r="J17" s="1185"/>
      <c r="K17" s="1185"/>
      <c r="L17" s="1237"/>
      <c r="M17" s="1238"/>
    </row>
    <row r="18" spans="1:17" ht="15.4" customHeight="1">
      <c r="A18" s="1217" t="s">
        <v>901</v>
      </c>
      <c r="B18" s="1218"/>
      <c r="C18" s="1184"/>
      <c r="D18" s="998"/>
      <c r="E18" s="998"/>
      <c r="F18" s="998"/>
      <c r="G18" s="1154" t="str">
        <f t="shared" si="0"/>
        <v>ESO2 PCFM - see Tax Allowance in 'System Operator' worksheet</v>
      </c>
      <c r="H18" s="1120"/>
      <c r="I18" s="1266">
        <f t="shared" si="1"/>
        <v>0</v>
      </c>
      <c r="J18" s="1185"/>
      <c r="K18" s="1185"/>
      <c r="L18" s="1237"/>
      <c r="M18" s="1238"/>
    </row>
    <row r="19" spans="1:17" s="1184" customFormat="1">
      <c r="A19" s="1217" t="s">
        <v>902</v>
      </c>
      <c r="B19" s="1218"/>
      <c r="D19" s="998"/>
      <c r="E19" s="998"/>
      <c r="F19" s="998"/>
      <c r="G19" s="1154" t="str">
        <f t="shared" si="0"/>
        <v>ESO2 PCFM - see Tax Allowance in 'System Operator' worksheet</v>
      </c>
      <c r="H19" s="1120"/>
      <c r="I19" s="1266">
        <f t="shared" si="1"/>
        <v>0</v>
      </c>
      <c r="J19" s="1185"/>
      <c r="K19" s="1185"/>
      <c r="L19" s="1237"/>
      <c r="M19" s="1238"/>
      <c r="N19" s="1295"/>
      <c r="O19" s="1295"/>
      <c r="P19" s="1295"/>
      <c r="Q19" s="1295"/>
    </row>
    <row r="20" spans="1:17" s="1184" customFormat="1">
      <c r="A20" s="1217" t="s">
        <v>903</v>
      </c>
      <c r="B20" s="1218"/>
      <c r="D20" s="998"/>
      <c r="E20" s="998"/>
      <c r="F20" s="998"/>
      <c r="G20" s="1154" t="str">
        <f t="shared" si="0"/>
        <v>ESO2 PCFM - see Tax Allowance in 'System Operator' worksheet</v>
      </c>
      <c r="H20" s="1120"/>
      <c r="I20" s="1266">
        <f t="shared" si="1"/>
        <v>0</v>
      </c>
      <c r="J20" s="1185"/>
      <c r="K20" s="1185"/>
      <c r="L20" s="1237"/>
      <c r="M20" s="1238"/>
      <c r="N20" s="1295"/>
      <c r="O20" s="1295"/>
      <c r="P20" s="1295"/>
      <c r="Q20" s="1295"/>
    </row>
    <row r="21" spans="1:17">
      <c r="A21" s="1217" t="s">
        <v>904</v>
      </c>
      <c r="B21" s="1218"/>
      <c r="C21" s="1184" t="s">
        <v>899</v>
      </c>
      <c r="D21" s="996"/>
      <c r="E21" s="996"/>
      <c r="F21" s="998"/>
      <c r="G21" s="1154"/>
      <c r="H21" s="998"/>
      <c r="I21" s="998"/>
      <c r="J21" s="1185"/>
      <c r="K21" s="1185"/>
      <c r="L21" s="1237"/>
      <c r="M21" s="1238"/>
    </row>
    <row r="22" spans="1:17">
      <c r="A22" s="1217"/>
      <c r="B22" s="1218"/>
      <c r="C22" s="1184"/>
      <c r="D22" s="998"/>
      <c r="E22" s="998"/>
      <c r="F22" s="998"/>
      <c r="G22" s="1154"/>
      <c r="H22" s="998"/>
      <c r="I22" s="998"/>
      <c r="J22" s="1185"/>
      <c r="K22" s="1185"/>
      <c r="L22" s="1237"/>
      <c r="M22" s="1238"/>
    </row>
    <row r="23" spans="1:17">
      <c r="A23" s="1223" t="s">
        <v>905</v>
      </c>
      <c r="B23" s="1224"/>
      <c r="C23" s="1239" t="s">
        <v>899</v>
      </c>
      <c r="D23" s="1225">
        <f>SUM(D16:D21)</f>
        <v>0</v>
      </c>
      <c r="E23" s="1225">
        <f>SUM(E16:E21)</f>
        <v>0</v>
      </c>
      <c r="F23" s="998"/>
      <c r="G23" s="1154"/>
      <c r="H23" s="1225">
        <f>SUM(H16:H21)</f>
        <v>0</v>
      </c>
      <c r="I23" s="1225">
        <f>SUM(I16:I21)</f>
        <v>0</v>
      </c>
      <c r="J23" s="1185"/>
      <c r="K23" s="1225">
        <f>IF(E$11&lt;&gt;"",IF(OR(B$11="No Filing Date","Enter Filing Date",E$11&lt;D$11),"Error in Filing Date",IF('R8a - Tax Reconciliation'!B$11="Original Filing",D23-I23,E23-I23)),IF(OR(B$11="No Filing Date","Enter Filing Date"),"Error in Filing Date",IF('R8a - Tax Reconciliation'!B$11="Original Filing",D23-I23,E23-I23)))</f>
        <v>0</v>
      </c>
      <c r="L23" s="1237"/>
      <c r="M23" s="1238"/>
    </row>
    <row r="24" spans="1:17">
      <c r="A24" s="1226"/>
      <c r="B24" s="1218"/>
      <c r="C24" s="1184"/>
      <c r="D24" s="1227"/>
      <c r="E24" s="1227"/>
      <c r="F24" s="998"/>
      <c r="G24" s="1154"/>
      <c r="H24" s="1227"/>
      <c r="I24" s="1242"/>
      <c r="J24" s="1185"/>
      <c r="K24" s="1227"/>
      <c r="L24" s="1237"/>
      <c r="M24" s="1238"/>
    </row>
    <row r="25" spans="1:17">
      <c r="A25" s="1210" t="s">
        <v>906</v>
      </c>
      <c r="B25" s="1218"/>
      <c r="C25" s="1184" t="s">
        <v>899</v>
      </c>
      <c r="D25" s="996"/>
      <c r="E25" s="996"/>
      <c r="F25" s="998"/>
      <c r="G25" s="1154" t="str">
        <f t="shared" ref="G25:G26" si="2">IF($B$4="ESO2", $B$4&amp; " " &amp;"PCFM - see Tax Allowance in 'System Operator' worksheet",  $B$4&amp; " " &amp;"PCFM - see Tax Allowance in 'Finance &amp;Tax' worksheet")</f>
        <v>ESO2 PCFM - see Tax Allowance in 'System Operator' worksheet</v>
      </c>
      <c r="H25" s="1120"/>
      <c r="I25" s="1266">
        <f t="shared" ref="I25:I26" si="3">1/(1-H$13)*H25</f>
        <v>0</v>
      </c>
      <c r="J25" s="1185"/>
      <c r="K25" s="1264">
        <f>IF(E$11&lt;&gt;"",IF(OR(B$11="No Filing Date","Enter Filing Date",E$11&lt;D$11),"Error in Filing Date",IF('R8a - Tax Reconciliation'!B$11="Original Filing",D25-I25,E25-I25)),IF(OR(B$11="No Filing Date","Enter Filing Date"),"Error in Filing Date",IF('R8a - Tax Reconciliation'!B$11="Original Filing",D25-I25,E25-I25)))</f>
        <v>0</v>
      </c>
      <c r="L25" s="1237"/>
      <c r="M25" s="1238"/>
      <c r="N25" s="1295"/>
      <c r="O25" s="1295"/>
      <c r="P25" s="1295"/>
    </row>
    <row r="26" spans="1:17">
      <c r="A26" s="1210" t="s">
        <v>907</v>
      </c>
      <c r="B26" s="1218"/>
      <c r="C26" s="1184" t="s">
        <v>899</v>
      </c>
      <c r="D26" s="996"/>
      <c r="E26" s="996"/>
      <c r="F26" s="998"/>
      <c r="G26" s="1154" t="str">
        <f t="shared" si="2"/>
        <v>ESO2 PCFM - see Tax Allowance in 'System Operator' worksheet</v>
      </c>
      <c r="H26" s="1120"/>
      <c r="I26" s="1266">
        <f t="shared" si="3"/>
        <v>0</v>
      </c>
      <c r="J26" s="1185"/>
      <c r="K26" s="1264">
        <f>IF(E$11&lt;&gt;"",IF(OR(B$11="No Filing Date","Enter Filing Date",E$11&lt;D$11),"Error in Filing Date",IF('R8a - Tax Reconciliation'!B$11="Original Filing",D26-I26,E26-I26)),IF(OR(B$11="No Filing Date","Enter Filing Date"),"Error in Filing Date",IF('R8a - Tax Reconciliation'!B$11="Original Filing",D26-I26,E26-I26)))</f>
        <v>0</v>
      </c>
      <c r="L26" s="1237"/>
      <c r="M26" s="1238"/>
      <c r="N26" s="1295"/>
      <c r="O26" s="1295"/>
      <c r="P26" s="1295"/>
    </row>
    <row r="27" spans="1:17">
      <c r="A27" s="1461" t="s">
        <v>908</v>
      </c>
      <c r="B27" s="1462"/>
      <c r="C27" s="1184" t="s">
        <v>899</v>
      </c>
      <c r="D27" s="996"/>
      <c r="E27" s="996"/>
      <c r="F27" s="998"/>
      <c r="G27" s="1154"/>
      <c r="H27" s="998"/>
      <c r="I27" s="998"/>
      <c r="J27" s="1185"/>
      <c r="K27" s="1185"/>
      <c r="L27" s="1237"/>
      <c r="M27" s="1238"/>
      <c r="N27" s="1295"/>
      <c r="O27" s="1295"/>
      <c r="P27" s="1295"/>
    </row>
    <row r="28" spans="1:17">
      <c r="A28" s="1461" t="s">
        <v>909</v>
      </c>
      <c r="B28" s="1462"/>
      <c r="C28" s="1184" t="s">
        <v>899</v>
      </c>
      <c r="D28" s="996"/>
      <c r="E28" s="996"/>
      <c r="F28" s="998"/>
      <c r="G28" s="1154"/>
      <c r="H28" s="998"/>
      <c r="I28" s="998"/>
      <c r="J28" s="1185"/>
      <c r="K28" s="1185"/>
      <c r="L28" s="1237"/>
      <c r="M28" s="1238"/>
      <c r="N28" s="1295"/>
      <c r="O28" s="1295"/>
      <c r="P28" s="1295"/>
    </row>
    <row r="29" spans="1:17">
      <c r="A29" s="1217" t="s">
        <v>910</v>
      </c>
      <c r="B29" s="1218"/>
      <c r="C29" s="1184" t="s">
        <v>899</v>
      </c>
      <c r="D29" s="996"/>
      <c r="E29" s="996"/>
      <c r="F29" s="998"/>
      <c r="G29" s="1154"/>
      <c r="H29" s="998"/>
      <c r="I29" s="998"/>
      <c r="J29" s="1185"/>
      <c r="K29" s="1185"/>
      <c r="L29" s="1237"/>
      <c r="M29" s="1238"/>
      <c r="N29" s="1295"/>
      <c r="O29" s="1295"/>
      <c r="P29" s="1295"/>
    </row>
    <row r="30" spans="1:17">
      <c r="A30" s="1217" t="s">
        <v>911</v>
      </c>
      <c r="B30" s="1218"/>
      <c r="C30" s="1184" t="s">
        <v>899</v>
      </c>
      <c r="D30" s="996"/>
      <c r="E30" s="996"/>
      <c r="F30" s="998"/>
      <c r="G30" s="1154"/>
      <c r="H30" s="998"/>
      <c r="I30" s="998"/>
      <c r="J30" s="1185"/>
      <c r="K30" s="1185"/>
      <c r="L30" s="1237"/>
      <c r="M30" s="1238"/>
      <c r="N30" s="1295"/>
      <c r="O30" s="1295"/>
      <c r="P30" s="1295"/>
    </row>
    <row r="31" spans="1:17">
      <c r="A31" s="1217"/>
      <c r="B31" s="1218"/>
      <c r="C31" s="1184"/>
      <c r="D31" s="1188"/>
      <c r="E31" s="1188"/>
      <c r="F31" s="998"/>
      <c r="G31" s="1154"/>
      <c r="H31" s="998"/>
      <c r="I31" s="998"/>
      <c r="J31" s="1185"/>
      <c r="K31" s="1185"/>
      <c r="L31" s="1237"/>
      <c r="M31" s="1238"/>
      <c r="N31" s="1295"/>
      <c r="O31" s="1295"/>
      <c r="P31" s="1295"/>
    </row>
    <row r="32" spans="1:17">
      <c r="A32" s="1228" t="s">
        <v>912</v>
      </c>
      <c r="B32" s="1224"/>
      <c r="C32" s="1239" t="s">
        <v>899</v>
      </c>
      <c r="D32" s="1225">
        <f>SUM(D23:D31)</f>
        <v>0</v>
      </c>
      <c r="E32" s="1225">
        <f>SUM(E23:E31)</f>
        <v>0</v>
      </c>
      <c r="F32" s="998"/>
      <c r="G32" s="1240" t="s">
        <v>913</v>
      </c>
      <c r="H32" s="1225">
        <f>SUM(H23:H31)</f>
        <v>0</v>
      </c>
      <c r="I32" s="1225">
        <f>SUM(I23:I31)</f>
        <v>0</v>
      </c>
      <c r="J32" s="1185"/>
      <c r="K32" s="1225">
        <f>IF(E$11&lt;&gt;"",IF(OR(B$11="No Filing Date","Enter Filing Date",E$11&lt;D$11),"Error in Filing Date",IF('R8a - Tax Reconciliation'!B$11="Original Filing",D32-I32,E32-I32)),IF(OR(B$11="No Filing Date","Enter Filing Date"),"Error in Filing Date",IF('R8a - Tax Reconciliation'!B$11="Original Filing",D32-I32,E32-I32)))</f>
        <v>0</v>
      </c>
      <c r="L32" s="1237"/>
      <c r="M32" s="1241"/>
    </row>
    <row r="33" spans="1:17">
      <c r="A33" s="1229"/>
      <c r="B33" s="1191"/>
      <c r="C33" s="1184"/>
      <c r="D33" s="1185"/>
      <c r="E33" s="1185"/>
      <c r="F33" s="998"/>
      <c r="G33" s="1154"/>
      <c r="J33" s="1185"/>
      <c r="K33" s="1242"/>
      <c r="L33" s="1237"/>
      <c r="M33" s="1238"/>
      <c r="N33" s="1296"/>
      <c r="O33" s="1296"/>
      <c r="P33" s="1296"/>
    </row>
    <row r="34" spans="1:17">
      <c r="A34" s="1297" t="s">
        <v>914</v>
      </c>
      <c r="B34" s="1294"/>
      <c r="C34" s="1184"/>
      <c r="D34" s="1188"/>
      <c r="E34" s="1188"/>
      <c r="F34" s="998"/>
      <c r="G34" s="1154"/>
      <c r="H34" s="998"/>
      <c r="I34" s="998"/>
      <c r="J34" s="1185"/>
      <c r="K34" s="1185"/>
      <c r="L34" s="1237"/>
      <c r="M34" s="1238"/>
      <c r="N34" s="1295"/>
      <c r="O34" s="1295"/>
      <c r="P34" s="1295"/>
    </row>
    <row r="35" spans="1:17">
      <c r="A35" s="1217"/>
      <c r="B35" s="1218"/>
      <c r="C35" s="1184"/>
      <c r="D35" s="1188"/>
      <c r="E35" s="1188"/>
      <c r="F35" s="998"/>
      <c r="G35" s="1154"/>
      <c r="H35" s="998"/>
      <c r="I35" s="998"/>
      <c r="J35" s="1185"/>
      <c r="K35" s="1185"/>
      <c r="L35" s="1237"/>
      <c r="M35" s="1238"/>
      <c r="N35" s="1295"/>
      <c r="O35" s="1295"/>
      <c r="P35" s="1295"/>
    </row>
    <row r="36" spans="1:17">
      <c r="A36" s="1471" t="s">
        <v>915</v>
      </c>
      <c r="B36" s="1472"/>
      <c r="D36" s="1186"/>
      <c r="E36" s="1186"/>
      <c r="F36" s="1186"/>
      <c r="G36" s="1189"/>
      <c r="H36" s="1186"/>
      <c r="I36" s="1186"/>
      <c r="J36" s="1186"/>
      <c r="K36" s="1186"/>
      <c r="L36" s="1243"/>
      <c r="M36" s="1244"/>
      <c r="N36" s="1239"/>
      <c r="O36" s="1239"/>
      <c r="P36" s="1239"/>
      <c r="Q36" s="1239"/>
    </row>
    <row r="37" spans="1:17">
      <c r="A37" s="1461" t="s">
        <v>916</v>
      </c>
      <c r="B37" s="1462"/>
      <c r="C37" s="1184" t="s">
        <v>899</v>
      </c>
      <c r="D37" s="996"/>
      <c r="E37" s="996"/>
      <c r="F37" s="998"/>
      <c r="G37" s="1154"/>
      <c r="H37" s="998"/>
      <c r="I37" s="998"/>
      <c r="J37" s="1185"/>
      <c r="K37" s="998"/>
      <c r="L37" s="998"/>
      <c r="M37" s="998"/>
      <c r="N37" s="1239"/>
      <c r="O37" s="1239"/>
      <c r="P37" s="1239"/>
      <c r="Q37" s="1239"/>
    </row>
    <row r="38" spans="1:17">
      <c r="A38" s="1245"/>
      <c r="B38" s="1190"/>
      <c r="D38" s="1186"/>
      <c r="E38" s="1186"/>
      <c r="F38" s="1186"/>
      <c r="G38" s="1189"/>
      <c r="H38" s="1186"/>
      <c r="I38" s="1186"/>
      <c r="J38" s="1186"/>
      <c r="K38" s="998"/>
      <c r="L38" s="998"/>
      <c r="M38" s="998"/>
      <c r="N38" s="1239"/>
      <c r="O38" s="1239"/>
      <c r="P38" s="1239"/>
      <c r="Q38" s="1239"/>
    </row>
    <row r="39" spans="1:17" s="1184" customFormat="1">
      <c r="A39" s="1471" t="s">
        <v>917</v>
      </c>
      <c r="B39" s="1472"/>
      <c r="C39" s="1171"/>
      <c r="D39" s="1186"/>
      <c r="E39" s="1186"/>
      <c r="F39" s="1186"/>
      <c r="G39" s="1189"/>
      <c r="H39" s="1186"/>
      <c r="I39" s="1186"/>
      <c r="J39" s="1186"/>
      <c r="K39" s="998"/>
      <c r="L39" s="998"/>
      <c r="M39" s="998"/>
    </row>
    <row r="40" spans="1:17" s="1184" customFormat="1">
      <c r="A40" s="1461" t="s">
        <v>916</v>
      </c>
      <c r="B40" s="1462"/>
      <c r="C40" s="1184" t="s">
        <v>899</v>
      </c>
      <c r="D40" s="996"/>
      <c r="E40" s="996"/>
      <c r="F40" s="998"/>
      <c r="G40" s="1154"/>
      <c r="H40" s="998"/>
      <c r="I40" s="998"/>
      <c r="J40" s="1185"/>
      <c r="K40" s="998"/>
      <c r="L40" s="998"/>
      <c r="M40" s="998"/>
    </row>
    <row r="41" spans="1:17">
      <c r="A41" s="1245"/>
      <c r="B41" s="1246"/>
      <c r="D41" s="1186"/>
      <c r="E41" s="1186"/>
      <c r="F41" s="1186"/>
      <c r="G41" s="1189"/>
      <c r="H41" s="1186"/>
      <c r="I41" s="1186"/>
      <c r="J41" s="1186"/>
      <c r="K41" s="998"/>
      <c r="L41" s="998"/>
      <c r="M41" s="998"/>
      <c r="N41" s="1239"/>
      <c r="O41" s="1239"/>
      <c r="P41" s="1239"/>
      <c r="Q41" s="1239"/>
    </row>
    <row r="42" spans="1:17">
      <c r="A42" s="1471" t="s">
        <v>918</v>
      </c>
      <c r="B42" s="1472"/>
      <c r="D42" s="1186"/>
      <c r="E42" s="1186"/>
      <c r="F42" s="1186"/>
      <c r="G42" s="1189"/>
      <c r="H42" s="1186"/>
      <c r="I42" s="1186"/>
      <c r="J42" s="1186"/>
      <c r="K42" s="998"/>
      <c r="L42" s="998"/>
      <c r="M42" s="998"/>
      <c r="N42" s="1239"/>
      <c r="O42" s="1239"/>
      <c r="P42" s="1239"/>
      <c r="Q42" s="1239"/>
    </row>
    <row r="43" spans="1:17" s="1184" customFormat="1">
      <c r="A43" s="1473" t="s">
        <v>916</v>
      </c>
      <c r="B43" s="1474"/>
      <c r="C43" s="1184" t="s">
        <v>899</v>
      </c>
      <c r="D43" s="996"/>
      <c r="E43" s="996"/>
      <c r="F43" s="998"/>
      <c r="G43" s="1154"/>
      <c r="H43" s="998"/>
      <c r="I43" s="998"/>
      <c r="J43" s="1185"/>
      <c r="K43" s="998"/>
      <c r="L43" s="998"/>
      <c r="M43" s="998"/>
    </row>
    <row r="44" spans="1:17" s="1184" customFormat="1">
      <c r="A44" s="1191"/>
      <c r="B44" s="1191"/>
      <c r="D44" s="998"/>
      <c r="E44" s="998"/>
      <c r="F44" s="998"/>
      <c r="G44" s="1154"/>
      <c r="H44" s="998"/>
      <c r="I44" s="998"/>
      <c r="J44" s="1185"/>
      <c r="K44" s="1185"/>
      <c r="L44" s="1237"/>
      <c r="M44" s="1238"/>
      <c r="N44" s="1295"/>
      <c r="O44" s="1295"/>
      <c r="P44" s="1295"/>
      <c r="Q44" s="1295"/>
    </row>
    <row r="45" spans="1:17" s="1184" customFormat="1">
      <c r="A45" s="1228" t="s">
        <v>919</v>
      </c>
      <c r="B45" s="1224"/>
      <c r="C45" s="1239" t="s">
        <v>899</v>
      </c>
      <c r="D45" s="1225">
        <f>SUM(D32:D44)</f>
        <v>0</v>
      </c>
      <c r="E45" s="1225">
        <f>SUM(E32:E44)</f>
        <v>0</v>
      </c>
      <c r="F45" s="998"/>
      <c r="G45" s="1154"/>
      <c r="H45" s="1225">
        <f>SUM(H32:H44)</f>
        <v>0</v>
      </c>
      <c r="I45" s="1225">
        <f>SUM(I32:I44)</f>
        <v>0</v>
      </c>
      <c r="J45" s="1185"/>
      <c r="K45" s="1225">
        <f>IF(E$11&lt;&gt;"",IF(OR(B$11="No Filing Date","Enter Filing Date",E$11&lt;D$11),"Error in Filing Date",IF('R8a - Tax Reconciliation'!B$11="Original Filing",D45-I45,E45-I45)),IF(OR(B$11="No Filing Date","Enter Filing Date"),"Error in Filing Date",IF('R8a - Tax Reconciliation'!B$11="Original Filing",D45-I45,E45-I45)))</f>
        <v>0</v>
      </c>
      <c r="L45" s="1237"/>
      <c r="M45" s="1241"/>
      <c r="N45" s="1295"/>
      <c r="O45" s="1295"/>
      <c r="P45" s="1295"/>
      <c r="Q45" s="1295"/>
    </row>
    <row r="46" spans="1:17" s="1184" customFormat="1">
      <c r="A46" s="1192"/>
      <c r="B46" s="1192"/>
      <c r="C46" s="1171"/>
      <c r="D46" s="994"/>
      <c r="E46" s="994"/>
      <c r="F46" s="994"/>
      <c r="G46" s="1155"/>
      <c r="H46" s="994"/>
      <c r="I46" s="994"/>
      <c r="J46" s="1186"/>
      <c r="K46" s="1186"/>
      <c r="L46" s="1243"/>
      <c r="M46" s="1244"/>
      <c r="N46" s="1295"/>
      <c r="O46" s="1295"/>
      <c r="P46" s="1295"/>
      <c r="Q46" s="1295"/>
    </row>
    <row r="47" spans="1:17" s="1184" customFormat="1">
      <c r="A47" s="1298" t="s">
        <v>920</v>
      </c>
      <c r="B47" s="1299"/>
      <c r="C47" s="1171"/>
      <c r="D47" s="994"/>
      <c r="E47" s="994"/>
      <c r="F47" s="994"/>
      <c r="G47" s="1155"/>
      <c r="H47" s="994"/>
      <c r="I47" s="994"/>
      <c r="J47" s="1186"/>
      <c r="K47" s="1186"/>
      <c r="L47" s="1243"/>
      <c r="M47" s="1244"/>
      <c r="N47" s="1295"/>
      <c r="O47" s="1295"/>
      <c r="P47" s="1295"/>
      <c r="Q47" s="1295"/>
    </row>
    <row r="48" spans="1:17" s="1184" customFormat="1">
      <c r="A48" s="1193"/>
      <c r="B48" s="1194"/>
      <c r="C48" s="1171"/>
      <c r="D48" s="994"/>
      <c r="E48" s="994"/>
      <c r="F48" s="994"/>
      <c r="G48" s="1155"/>
      <c r="H48" s="994"/>
      <c r="I48" s="994"/>
      <c r="J48" s="1186"/>
      <c r="K48" s="1186"/>
      <c r="L48" s="1243"/>
      <c r="M48" s="1244"/>
      <c r="N48" s="1295"/>
      <c r="O48" s="1295"/>
      <c r="P48" s="1295"/>
      <c r="Q48" s="1295"/>
    </row>
    <row r="49" spans="1:23" s="1184" customFormat="1">
      <c r="A49" s="1219" t="s">
        <v>921</v>
      </c>
      <c r="B49" s="1194"/>
      <c r="C49" s="1171"/>
      <c r="D49" s="994"/>
      <c r="E49" s="994"/>
      <c r="F49" s="994"/>
      <c r="G49" s="1155"/>
      <c r="H49" s="994"/>
      <c r="I49" s="994"/>
      <c r="J49" s="1186"/>
      <c r="K49" s="1186"/>
      <c r="L49" s="1243"/>
      <c r="M49" s="1244"/>
      <c r="N49" s="1295"/>
      <c r="O49" s="1295"/>
      <c r="P49" s="1295"/>
      <c r="Q49" s="1295"/>
    </row>
    <row r="50" spans="1:23" s="1184" customFormat="1">
      <c r="A50" s="1217" t="s">
        <v>922</v>
      </c>
      <c r="B50" s="1218"/>
      <c r="C50" s="1184" t="s">
        <v>899</v>
      </c>
      <c r="D50" s="996"/>
      <c r="E50" s="996"/>
      <c r="F50" s="998"/>
      <c r="G50" s="1154"/>
      <c r="H50" s="996"/>
      <c r="I50" s="1266">
        <f t="shared" ref="I50:I62" si="4">1/(1-H$13)*H50</f>
        <v>0</v>
      </c>
      <c r="J50" s="1185"/>
      <c r="K50" s="1264">
        <f>IF(E$11&lt;&gt;"",IF(OR(B$11="No Filing Date","Enter Filing Date",E$11&lt;D$11),"Error in Filing Date",IF('R8a - Tax Reconciliation'!B$11="Original Filing",D50-I50,E50-I50)),IF(OR(B$11="No Filing Date","Enter Filing Date"),"Error in Filing Date",IF('R8a - Tax Reconciliation'!B$11="Original Filing",D50-I50,E50-I50)))</f>
        <v>0</v>
      </c>
      <c r="L50" s="1237"/>
      <c r="M50" s="1247"/>
    </row>
    <row r="51" spans="1:23" s="1184" customFormat="1">
      <c r="A51" s="1217" t="s">
        <v>923</v>
      </c>
      <c r="B51" s="1218"/>
      <c r="C51" s="1184" t="s">
        <v>899</v>
      </c>
      <c r="D51" s="996"/>
      <c r="E51" s="996"/>
      <c r="F51" s="998"/>
      <c r="G51" s="1154"/>
      <c r="H51" s="996"/>
      <c r="I51" s="1266">
        <f t="shared" si="4"/>
        <v>0</v>
      </c>
      <c r="J51" s="1185"/>
      <c r="K51" s="1264">
        <f>IF(E$11&lt;&gt;"",IF(OR(B$11="No Filing Date","Enter Filing Date",E$11&lt;D$11),"Error in Filing Date",IF('R8a - Tax Reconciliation'!B$11="Original Filing",D51-I51,E51-I51)),IF(OR(B$11="No Filing Date","Enter Filing Date"),"Error in Filing Date",IF('R8a - Tax Reconciliation'!B$11="Original Filing",D51-I51,E51-I51)))</f>
        <v>0</v>
      </c>
      <c r="L51" s="1237"/>
      <c r="M51" s="1247"/>
      <c r="N51" s="1295"/>
      <c r="O51" s="1295"/>
      <c r="P51" s="1295"/>
      <c r="Q51" s="1295"/>
    </row>
    <row r="52" spans="1:23" s="1184" customFormat="1">
      <c r="A52" s="1217" t="s">
        <v>924</v>
      </c>
      <c r="B52" s="1218"/>
      <c r="C52" s="1184" t="s">
        <v>899</v>
      </c>
      <c r="D52" s="996"/>
      <c r="E52" s="996"/>
      <c r="F52" s="998"/>
      <c r="G52" s="1154"/>
      <c r="H52" s="996"/>
      <c r="I52" s="1266">
        <f t="shared" si="4"/>
        <v>0</v>
      </c>
      <c r="J52" s="1185"/>
      <c r="K52" s="1264">
        <f>IF(E$11&lt;&gt;"",IF(OR(B$11="No Filing Date","Enter Filing Date",E$11&lt;D$11),"Error in Filing Date",IF('R8a - Tax Reconciliation'!B$11="Original Filing",D52-I52,E52-I52)),IF(OR(B$11="No Filing Date","Enter Filing Date"),"Error in Filing Date",IF('R8a - Tax Reconciliation'!B$11="Original Filing",D52-I52,E52-I52)))</f>
        <v>0</v>
      </c>
      <c r="L52" s="1237"/>
      <c r="M52" s="1247"/>
    </row>
    <row r="53" spans="1:23">
      <c r="A53" s="1217" t="s">
        <v>911</v>
      </c>
      <c r="B53" s="1218"/>
      <c r="C53" s="1184" t="s">
        <v>899</v>
      </c>
      <c r="D53" s="996"/>
      <c r="E53" s="996"/>
      <c r="F53" s="998"/>
      <c r="G53" s="1154"/>
      <c r="H53" s="996"/>
      <c r="I53" s="1266">
        <f t="shared" si="4"/>
        <v>0</v>
      </c>
      <c r="J53" s="1185"/>
      <c r="K53" s="1264">
        <f>IF(E$11&lt;&gt;"",IF(OR(B$11="No Filing Date","Enter Filing Date",E$11&lt;D$11),"Error in Filing Date",IF('R8a - Tax Reconciliation'!B$11="Original Filing",D53-I53,E53-I53)),IF(OR(B$11="No Filing Date","Enter Filing Date"),"Error in Filing Date",IF('R8a - Tax Reconciliation'!B$11="Original Filing",D53-I53,E53-I53)))</f>
        <v>0</v>
      </c>
      <c r="L53" s="1237"/>
      <c r="M53" s="1247"/>
      <c r="N53" s="1239"/>
      <c r="O53" s="1239"/>
      <c r="P53" s="1239"/>
      <c r="Q53" s="1239"/>
    </row>
    <row r="54" spans="1:23">
      <c r="A54" s="1195" t="s">
        <v>925</v>
      </c>
      <c r="B54" s="1248"/>
      <c r="C54" s="1184" t="s">
        <v>899</v>
      </c>
      <c r="D54" s="996"/>
      <c r="E54" s="996"/>
      <c r="F54" s="998"/>
      <c r="G54" s="1154"/>
      <c r="H54" s="996"/>
      <c r="I54" s="1266">
        <f t="shared" si="4"/>
        <v>0</v>
      </c>
      <c r="J54" s="1185"/>
      <c r="K54" s="1264">
        <f>IF(E$11&lt;&gt;"",IF(OR(B$11="No Filing Date","Enter Filing Date",E$11&lt;D$11),"Error in Filing Date",IF('R8a - Tax Reconciliation'!B$11="Original Filing",D54-I54,E54-I54)),IF(OR(B$11="No Filing Date","Enter Filing Date"),"Error in Filing Date",IF('R8a - Tax Reconciliation'!B$11="Original Filing",D54-I54,E54-I54)))</f>
        <v>0</v>
      </c>
      <c r="L54" s="1184"/>
      <c r="M54" s="1247"/>
    </row>
    <row r="55" spans="1:23">
      <c r="A55" s="1461" t="s">
        <v>926</v>
      </c>
      <c r="B55" s="1462"/>
      <c r="C55" s="1184" t="s">
        <v>899</v>
      </c>
      <c r="D55" s="996"/>
      <c r="E55" s="996"/>
      <c r="F55" s="997"/>
      <c r="G55" s="1154"/>
      <c r="H55" s="996"/>
      <c r="I55" s="1266">
        <f t="shared" si="4"/>
        <v>0</v>
      </c>
      <c r="J55" s="1249"/>
      <c r="K55" s="1264">
        <f>IF(E$11&lt;&gt;"",IF(OR(B$11="No Filing Date","Enter Filing Date",E$11&lt;D$11),"Error in Filing Date",IF('R8a - Tax Reconciliation'!B$11="Original Filing",D55-I55,E55-I55)),IF(OR(B$11="No Filing Date","Enter Filing Date"),"Error in Filing Date",IF('R8a - Tax Reconciliation'!B$11="Original Filing",D55-I55,E55-I55)))</f>
        <v>0</v>
      </c>
      <c r="L55" s="1237"/>
      <c r="M55" s="1247"/>
    </row>
    <row r="56" spans="1:23">
      <c r="A56" s="1196" t="s">
        <v>927</v>
      </c>
      <c r="B56" s="1248"/>
      <c r="C56" s="1184" t="s">
        <v>899</v>
      </c>
      <c r="D56" s="996"/>
      <c r="E56" s="996"/>
      <c r="F56" s="1185"/>
      <c r="G56" s="1154" t="str">
        <f t="shared" ref="G56" si="5">IF($B$4="ESO2", $B$4&amp; " " &amp;"PCFM - see Tax Allowance in 'System Operator' worksheet",  $B$4&amp; " " &amp;"PCFM - see Tax Allowance in 'Finance &amp;Tax' worksheet")</f>
        <v>ESO2 PCFM - see Tax Allowance in 'System Operator' worksheet</v>
      </c>
      <c r="H56" s="1120"/>
      <c r="I56" s="1266">
        <f t="shared" si="4"/>
        <v>0</v>
      </c>
      <c r="J56" s="1250"/>
      <c r="K56" s="1264">
        <f>IF(E$11&lt;&gt;"",IF(OR(B$11="No Filing Date","Enter Filing Date",E$11&lt;D$11),"Error in Filing Date",IF('R8a - Tax Reconciliation'!B$11="Original Filing",D56-I56,E56-I56)),IF(OR(B$11="No Filing Date","Enter Filing Date"),"Error in Filing Date",IF('R8a - Tax Reconciliation'!B$11="Original Filing",D56-I56,E56-I56)))</f>
        <v>0</v>
      </c>
      <c r="L56" s="1237"/>
      <c r="M56" s="1247"/>
    </row>
    <row r="57" spans="1:23">
      <c r="A57" s="1217" t="s">
        <v>928</v>
      </c>
      <c r="B57" s="1218"/>
      <c r="C57" s="1184" t="s">
        <v>899</v>
      </c>
      <c r="D57" s="996"/>
      <c r="E57" s="996"/>
      <c r="F57" s="998"/>
      <c r="G57" s="1154"/>
      <c r="H57" s="996"/>
      <c r="I57" s="1266">
        <f t="shared" si="4"/>
        <v>0</v>
      </c>
      <c r="J57" s="1185"/>
      <c r="K57" s="1264">
        <f>IF(E$11&lt;&gt;"",IF(OR(B$11="No Filing Date","Enter Filing Date",E$11&lt;D$11),"Error in Filing Date",IF('R8a - Tax Reconciliation'!B$11="Original Filing",D57-I57,E57-I57)),IF(OR(B$11="No Filing Date","Enter Filing Date"),"Error in Filing Date",IF('R8a - Tax Reconciliation'!B$11="Original Filing",D57-I57,E57-I57)))</f>
        <v>0</v>
      </c>
      <c r="L57" s="1237"/>
      <c r="M57" s="1247"/>
      <c r="N57" s="1239"/>
      <c r="O57" s="1239"/>
      <c r="P57" s="1239"/>
      <c r="Q57" s="1239"/>
    </row>
    <row r="58" spans="1:23">
      <c r="A58" s="1217" t="s">
        <v>929</v>
      </c>
      <c r="B58" s="1218"/>
      <c r="C58" s="1184" t="s">
        <v>899</v>
      </c>
      <c r="D58" s="996"/>
      <c r="E58" s="996"/>
      <c r="F58" s="998"/>
      <c r="G58" s="1154"/>
      <c r="H58" s="996"/>
      <c r="I58" s="1266">
        <f t="shared" si="4"/>
        <v>0</v>
      </c>
      <c r="J58" s="1185"/>
      <c r="K58" s="1264">
        <f>IF(E$11&lt;&gt;"",IF(OR(B$11="No Filing Date","Enter Filing Date",E$11&lt;D$11),"Error in Filing Date",IF('R8a - Tax Reconciliation'!B$11="Original Filing",D58-I58,E58-I58)),IF(OR(B$11="No Filing Date","Enter Filing Date"),"Error in Filing Date",IF('R8a - Tax Reconciliation'!B$11="Original Filing",D58-I58,E58-I58)))</f>
        <v>0</v>
      </c>
      <c r="L58" s="1237"/>
      <c r="M58" s="1247"/>
      <c r="N58" s="1295"/>
      <c r="O58" s="1295"/>
      <c r="P58" s="1295"/>
      <c r="Q58" s="1295"/>
      <c r="R58" s="1184"/>
      <c r="S58" s="1184"/>
      <c r="T58" s="1184"/>
      <c r="U58" s="1184"/>
      <c r="V58" s="1184"/>
      <c r="W58" s="1184"/>
    </row>
    <row r="59" spans="1:23">
      <c r="A59" s="1217" t="s">
        <v>930</v>
      </c>
      <c r="B59" s="1218"/>
      <c r="C59" s="1184" t="s">
        <v>899</v>
      </c>
      <c r="D59" s="996"/>
      <c r="E59" s="996"/>
      <c r="F59" s="998"/>
      <c r="G59" s="1154"/>
      <c r="H59" s="996"/>
      <c r="I59" s="1266">
        <f t="shared" si="4"/>
        <v>0</v>
      </c>
      <c r="J59" s="1185"/>
      <c r="K59" s="1264">
        <f>IF(E$11&lt;&gt;"",IF(OR(B$11="No Filing Date","Enter Filing Date",E$11&lt;D$11),"Error in Filing Date",IF('R8a - Tax Reconciliation'!B$11="Original Filing",D59-I59,E59-I59)),IF(OR(B$11="No Filing Date","Enter Filing Date"),"Error in Filing Date",IF('R8a - Tax Reconciliation'!B$11="Original Filing",D59-I59,E59-I59)))</f>
        <v>0</v>
      </c>
      <c r="L59" s="1237"/>
      <c r="M59" s="1247"/>
      <c r="N59" s="1295"/>
      <c r="O59" s="1295"/>
      <c r="P59" s="1295"/>
      <c r="Q59" s="1295"/>
      <c r="R59" s="1184"/>
      <c r="S59" s="1184"/>
      <c r="T59" s="1184"/>
      <c r="U59" s="1184"/>
      <c r="V59" s="1184"/>
      <c r="W59" s="1184"/>
    </row>
    <row r="60" spans="1:23">
      <c r="A60" s="1217" t="s">
        <v>931</v>
      </c>
      <c r="B60" s="1218"/>
      <c r="C60" s="1184" t="s">
        <v>899</v>
      </c>
      <c r="D60" s="996"/>
      <c r="E60" s="996"/>
      <c r="F60" s="998"/>
      <c r="G60" s="1154"/>
      <c r="H60" s="996"/>
      <c r="I60" s="1266">
        <f t="shared" si="4"/>
        <v>0</v>
      </c>
      <c r="J60" s="1185"/>
      <c r="K60" s="1264">
        <f>IF(E$11&lt;&gt;"",IF(OR(B$11="No Filing Date","Enter Filing Date",E$11&lt;D$11),"Error in Filing Date",IF('R8a - Tax Reconciliation'!B$11="Original Filing",D60-I60,E60-I60)),IF(OR(B$11="No Filing Date","Enter Filing Date"),"Error in Filing Date",IF('R8a - Tax Reconciliation'!B$11="Original Filing",D60-I60,E60-I60)))</f>
        <v>0</v>
      </c>
      <c r="L60" s="1237"/>
      <c r="M60" s="1247"/>
    </row>
    <row r="61" spans="1:23">
      <c r="A61" s="1217" t="s">
        <v>932</v>
      </c>
      <c r="B61" s="1218"/>
      <c r="C61" s="1184" t="s">
        <v>899</v>
      </c>
      <c r="D61" s="996"/>
      <c r="E61" s="996"/>
      <c r="F61" s="998"/>
      <c r="G61" s="1154"/>
      <c r="H61" s="996"/>
      <c r="I61" s="1266">
        <f t="shared" si="4"/>
        <v>0</v>
      </c>
      <c r="J61" s="1185"/>
      <c r="K61" s="1264">
        <f>IF(E$11&lt;&gt;"",IF(OR(B$11="No Filing Date","Enter Filing Date",E$11&lt;D$11),"Error in Filing Date",IF('R8a - Tax Reconciliation'!B$11="Original Filing",D61-I61,E61-I61)),IF(OR(B$11="No Filing Date","Enter Filing Date"),"Error in Filing Date",IF('R8a - Tax Reconciliation'!B$11="Original Filing",D61-I61,E61-I61)))</f>
        <v>0</v>
      </c>
      <c r="L61" s="1237"/>
      <c r="M61" s="1247"/>
    </row>
    <row r="62" spans="1:23">
      <c r="A62" s="1196" t="s">
        <v>916</v>
      </c>
      <c r="B62" s="1248"/>
      <c r="C62" s="1184" t="s">
        <v>899</v>
      </c>
      <c r="D62" s="996"/>
      <c r="E62" s="996"/>
      <c r="F62" s="1185"/>
      <c r="G62" s="1154"/>
      <c r="H62" s="996"/>
      <c r="I62" s="1266">
        <f t="shared" si="4"/>
        <v>0</v>
      </c>
      <c r="J62" s="1185"/>
      <c r="K62" s="1264">
        <f>IF(E$11&lt;&gt;"",IF(OR(B$11="No Filing Date","Enter Filing Date",E$11&lt;D$11),"Error in Filing Date",IF('R8a - Tax Reconciliation'!B$11="Original Filing",D62-I62,E62-I62)),IF(OR(B$11="No Filing Date","Enter Filing Date"),"Error in Filing Date",IF('R8a - Tax Reconciliation'!B$11="Original Filing",D62-I62,E62-I62)))</f>
        <v>0</v>
      </c>
      <c r="L62" s="1237"/>
      <c r="M62" s="1241"/>
    </row>
    <row r="63" spans="1:23">
      <c r="A63" s="1245"/>
      <c r="B63" s="1246"/>
      <c r="D63" s="1186"/>
      <c r="E63" s="1186"/>
      <c r="F63" s="1186"/>
      <c r="G63" s="1189"/>
      <c r="H63" s="1186"/>
      <c r="I63" s="1186"/>
      <c r="J63" s="1186"/>
      <c r="K63" s="1186"/>
      <c r="L63" s="1243"/>
      <c r="M63" s="1244"/>
      <c r="N63" s="1239"/>
      <c r="O63" s="1239"/>
      <c r="P63" s="1239"/>
      <c r="Q63" s="1239"/>
    </row>
    <row r="64" spans="1:23">
      <c r="A64" s="1187" t="s">
        <v>933</v>
      </c>
      <c r="B64" s="1246"/>
      <c r="D64" s="1186"/>
      <c r="E64" s="1186"/>
      <c r="F64" s="1186"/>
      <c r="G64" s="1189"/>
      <c r="H64" s="1186"/>
      <c r="I64" s="1186"/>
      <c r="J64" s="1186"/>
      <c r="K64" s="1186"/>
      <c r="L64" s="1243"/>
      <c r="M64" s="1244"/>
    </row>
    <row r="65" spans="1:18">
      <c r="A65" s="1196" t="s">
        <v>934</v>
      </c>
      <c r="B65" s="1248"/>
      <c r="C65" s="1184" t="s">
        <v>899</v>
      </c>
      <c r="D65" s="996"/>
      <c r="E65" s="996"/>
      <c r="F65" s="1185"/>
      <c r="G65" s="1154" t="str">
        <f t="shared" ref="G65:G67" si="6">IF($B$4="ESO2", $B$4&amp; " " &amp;"PCFM - see Tax Allowance in 'System Operator' worksheet",  $B$4&amp; " " &amp;"PCFM - see Tax Allowance in 'Finance &amp;Tax' worksheet")</f>
        <v>ESO2 PCFM - see Tax Allowance in 'System Operator' worksheet</v>
      </c>
      <c r="H65" s="1120"/>
      <c r="I65" s="1266">
        <f>1/(1-H$13)*H65</f>
        <v>0</v>
      </c>
      <c r="J65" s="1250"/>
      <c r="K65" s="1264">
        <f>IF(E$11&lt;&gt;"",IF(OR(B$11="No Filing Date","Enter Filing Date",E$11&lt;D$11),"Error in Filing Date",IF('R8a - Tax Reconciliation'!B$11="Original Filing",D65-I65,E65-I65)),IF(OR(B$11="No Filing Date","Enter Filing Date"),"Error in Filing Date",IF('R8a - Tax Reconciliation'!B$11="Original Filing",D65-I65,E65-I65)))</f>
        <v>0</v>
      </c>
      <c r="L65" s="1237"/>
      <c r="M65" s="1247"/>
      <c r="N65" s="1239"/>
      <c r="O65" s="1239"/>
      <c r="P65" s="1239"/>
      <c r="Q65" s="1239"/>
    </row>
    <row r="66" spans="1:18">
      <c r="A66" s="1196" t="s">
        <v>935</v>
      </c>
      <c r="B66" s="1248"/>
      <c r="C66" s="1184" t="s">
        <v>899</v>
      </c>
      <c r="D66" s="996"/>
      <c r="E66" s="996"/>
      <c r="F66" s="1185"/>
      <c r="G66" s="1154" t="str">
        <f t="shared" si="6"/>
        <v>ESO2 PCFM - see Tax Allowance in 'System Operator' worksheet</v>
      </c>
      <c r="H66" s="1120"/>
      <c r="I66" s="1266">
        <f t="shared" ref="I66:I67" si="7">1/(1-H$13)*H66</f>
        <v>0</v>
      </c>
      <c r="J66" s="1250"/>
      <c r="K66" s="1264">
        <f>IF(E$11&lt;&gt;"",IF(OR(B$11="No Filing Date","Enter Filing Date",E$11&lt;D$11),"Error in Filing Date",IF('R8a - Tax Reconciliation'!B$11="Original Filing",D66-I66,E66-I66)),IF(OR(B$11="No Filing Date","Enter Filing Date"),"Error in Filing Date",IF('R8a - Tax Reconciliation'!B$11="Original Filing",D66-I66,E66-I66)))</f>
        <v>0</v>
      </c>
      <c r="L66" s="1237"/>
      <c r="M66" s="1247"/>
      <c r="N66" s="1239"/>
      <c r="O66" s="1239"/>
      <c r="P66" s="1239"/>
      <c r="Q66" s="1239"/>
    </row>
    <row r="67" spans="1:18">
      <c r="A67" s="1196" t="s">
        <v>936</v>
      </c>
      <c r="B67" s="1248"/>
      <c r="C67" s="1184" t="s">
        <v>899</v>
      </c>
      <c r="D67" s="996"/>
      <c r="E67" s="996"/>
      <c r="F67" s="1185"/>
      <c r="G67" s="1154" t="str">
        <f t="shared" si="6"/>
        <v>ESO2 PCFM - see Tax Allowance in 'System Operator' worksheet</v>
      </c>
      <c r="H67" s="1120"/>
      <c r="I67" s="1266">
        <f t="shared" si="7"/>
        <v>0</v>
      </c>
      <c r="J67" s="1250"/>
      <c r="K67" s="1264">
        <f>IF(E$11&lt;&gt;"",IF(OR(B$11="No Filing Date","Enter Filing Date",E$11&lt;D$11),"Error in Filing Date",IF('R8a - Tax Reconciliation'!B$11="Original Filing",D67-I67,E67-I67)),IF(OR(B$11="No Filing Date","Enter Filing Date"),"Error in Filing Date",IF('R8a - Tax Reconciliation'!B$11="Original Filing",D67-I67,E67-I67)))</f>
        <v>0</v>
      </c>
      <c r="L67" s="1237"/>
      <c r="M67" s="1247"/>
      <c r="N67" s="1239"/>
      <c r="O67" s="1239"/>
      <c r="P67" s="1239"/>
      <c r="Q67" s="1239"/>
    </row>
    <row r="68" spans="1:18">
      <c r="A68" s="1196" t="s">
        <v>937</v>
      </c>
      <c r="B68" s="1248"/>
      <c r="C68" s="1184" t="s">
        <v>899</v>
      </c>
      <c r="D68" s="996"/>
      <c r="E68" s="996"/>
      <c r="F68" s="1185"/>
      <c r="G68" s="1154"/>
      <c r="H68" s="996"/>
      <c r="I68" s="1266">
        <f>1/(1-H$13)*H68</f>
        <v>0</v>
      </c>
      <c r="J68" s="1185"/>
      <c r="K68" s="1264">
        <f>IF(E$11&lt;&gt;"",IF(OR(B$11="No Filing Date","Enter Filing Date",E$11&lt;D$11),"Error in Filing Date",IF('R8a - Tax Reconciliation'!B$11="Original Filing",D68-I68,E68-I68)),IF(OR(B$11="No Filing Date","Enter Filing Date"),"Error in Filing Date",IF('R8a - Tax Reconciliation'!B$11="Original Filing",D68-I68,E68-I68)))</f>
        <v>0</v>
      </c>
      <c r="L68" s="1237"/>
      <c r="M68" s="1247"/>
      <c r="N68" s="1239"/>
      <c r="O68" s="1239"/>
      <c r="P68" s="1239"/>
      <c r="Q68" s="1239"/>
    </row>
    <row r="69" spans="1:18" s="1184" customFormat="1">
      <c r="A69" s="1196" t="s">
        <v>938</v>
      </c>
      <c r="B69" s="1248"/>
      <c r="C69" s="1184" t="s">
        <v>899</v>
      </c>
      <c r="D69" s="996"/>
      <c r="E69" s="996"/>
      <c r="F69" s="1185"/>
      <c r="G69" s="1154"/>
      <c r="H69" s="996"/>
      <c r="I69" s="1266">
        <f>1/(1-H$13)*H69</f>
        <v>0</v>
      </c>
      <c r="J69" s="1185"/>
      <c r="K69" s="1264">
        <f>IF(E$11&lt;&gt;"",IF(OR(B$11="No Filing Date","Enter Filing Date",E$11&lt;D$11),"Error in Filing Date",IF('R8a - Tax Reconciliation'!B$11="Original Filing",D69-I69,E69-I69)),IF(OR(B$11="No Filing Date","Enter Filing Date"),"Error in Filing Date",IF('R8a - Tax Reconciliation'!B$11="Original Filing",D69-I69,E69-I69)))</f>
        <v>0</v>
      </c>
      <c r="L69" s="1237"/>
      <c r="M69" s="1247"/>
    </row>
    <row r="70" spans="1:18">
      <c r="A70" s="1196" t="s">
        <v>939</v>
      </c>
      <c r="B70" s="1248"/>
      <c r="C70" s="1184" t="s">
        <v>899</v>
      </c>
      <c r="D70" s="996"/>
      <c r="E70" s="996"/>
      <c r="F70" s="1185"/>
      <c r="G70" s="1154"/>
      <c r="H70" s="996"/>
      <c r="I70" s="1266">
        <f>1/(1-H$13)*H70</f>
        <v>0</v>
      </c>
      <c r="J70" s="1185"/>
      <c r="K70" s="1264">
        <f>IF(E$11&lt;&gt;"",IF(OR(B$11="No Filing Date","Enter Filing Date",E$11&lt;D$11),"Error in Filing Date",IF('R8a - Tax Reconciliation'!B$11="Original Filing",D70-I70,E70-I70)),IF(OR(B$11="No Filing Date","Enter Filing Date"),"Error in Filing Date",IF('R8a - Tax Reconciliation'!B$11="Original Filing",D70-I70,E70-I70)))</f>
        <v>0</v>
      </c>
      <c r="L70" s="1237"/>
      <c r="M70" s="1247"/>
      <c r="N70" s="1239"/>
      <c r="O70" s="1239"/>
      <c r="P70" s="1239"/>
      <c r="Q70" s="1239"/>
    </row>
    <row r="71" spans="1:18">
      <c r="A71" s="1196" t="s">
        <v>916</v>
      </c>
      <c r="B71" s="1248"/>
      <c r="C71" s="1239" t="s">
        <v>899</v>
      </c>
      <c r="D71" s="996"/>
      <c r="E71" s="996"/>
      <c r="F71" s="1185"/>
      <c r="G71" s="1154"/>
      <c r="H71" s="996"/>
      <c r="I71" s="1266">
        <f>1/(1-H$13)*H71</f>
        <v>0</v>
      </c>
      <c r="J71" s="1185"/>
      <c r="K71" s="1264">
        <f>IF(E$11&lt;&gt;"",IF(OR(B$11="No Filing Date","Enter Filing Date",E$11&lt;D$11),"Error in Filing Date",IF('R8a - Tax Reconciliation'!B$11="Original Filing",D71-I71,E71-I71)),IF(OR(B$11="No Filing Date","Enter Filing Date"),"Error in Filing Date",IF('R8a - Tax Reconciliation'!B$11="Original Filing",D71-I71,E71-I71)))</f>
        <v>0</v>
      </c>
      <c r="L71" s="1237"/>
      <c r="M71" s="1241"/>
      <c r="N71" s="1239"/>
      <c r="O71" s="1239"/>
      <c r="P71" s="1239"/>
      <c r="Q71" s="1239"/>
    </row>
    <row r="72" spans="1:18" s="1184" customFormat="1">
      <c r="A72" s="1475"/>
      <c r="B72" s="1476"/>
      <c r="C72" s="1171"/>
      <c r="D72" s="1186"/>
      <c r="E72" s="1186"/>
      <c r="F72" s="1186"/>
      <c r="G72" s="1189"/>
      <c r="H72" s="1186"/>
      <c r="I72" s="1186"/>
      <c r="J72" s="1186"/>
      <c r="K72" s="1186"/>
      <c r="L72" s="1243"/>
      <c r="M72" s="1244"/>
    </row>
    <row r="73" spans="1:18" s="1184" customFormat="1">
      <c r="A73" s="1471" t="s">
        <v>940</v>
      </c>
      <c r="B73" s="1472"/>
      <c r="C73" s="1171"/>
      <c r="D73" s="1186"/>
      <c r="E73" s="1186"/>
      <c r="F73" s="1186"/>
      <c r="G73" s="1189"/>
      <c r="H73" s="1186"/>
      <c r="I73" s="1186"/>
      <c r="J73" s="1186"/>
      <c r="K73" s="1186"/>
      <c r="L73" s="1243"/>
      <c r="M73" s="1244"/>
    </row>
    <row r="74" spans="1:18">
      <c r="A74" s="1183" t="s">
        <v>941</v>
      </c>
      <c r="B74" s="1220"/>
      <c r="C74" s="1184" t="s">
        <v>899</v>
      </c>
      <c r="D74" s="996"/>
      <c r="E74" s="996"/>
      <c r="F74" s="998"/>
      <c r="G74" s="1154"/>
      <c r="H74" s="996"/>
      <c r="I74" s="1266">
        <f t="shared" ref="I74:I80" si="8">1/(1-H$13)*H74</f>
        <v>0</v>
      </c>
      <c r="J74" s="1185"/>
      <c r="K74" s="1264">
        <f>IF(E$11&lt;&gt;"",IF(OR(B$11="No Filing Date","Enter Filing Date",E$11&lt;D$11),"Error in Filing Date",IF('R8a - Tax Reconciliation'!B$11="Original Filing",D74-I74,E74-I74)),IF(OR(B$11="No Filing Date","Enter Filing Date"),"Error in Filing Date",IF('R8a - Tax Reconciliation'!B$11="Original Filing",D74-I74,E74-I74)))</f>
        <v>0</v>
      </c>
      <c r="L74" s="1237"/>
      <c r="M74" s="1247"/>
      <c r="N74" s="1239"/>
      <c r="O74" s="1239"/>
      <c r="P74" s="1239"/>
      <c r="Q74" s="1239"/>
    </row>
    <row r="75" spans="1:18">
      <c r="A75" s="1183" t="s">
        <v>942</v>
      </c>
      <c r="B75" s="1220"/>
      <c r="C75" s="1184" t="s">
        <v>899</v>
      </c>
      <c r="D75" s="996"/>
      <c r="E75" s="996"/>
      <c r="F75" s="998"/>
      <c r="G75" s="1154"/>
      <c r="H75" s="996"/>
      <c r="I75" s="1266">
        <f t="shared" si="8"/>
        <v>0</v>
      </c>
      <c r="J75" s="1185"/>
      <c r="K75" s="1264">
        <f>IF(E$11&lt;&gt;"",IF(OR(B$11="No Filing Date","Enter Filing Date",E$11&lt;D$11),"Error in Filing Date",IF('R8a - Tax Reconciliation'!B$11="Original Filing",D75-I75,E75-I75)),IF(OR(B$11="No Filing Date","Enter Filing Date"),"Error in Filing Date",IF('R8a - Tax Reconciliation'!B$11="Original Filing",D75-I75,E75-I75)))</f>
        <v>0</v>
      </c>
      <c r="L75" s="1237"/>
      <c r="M75" s="1247"/>
      <c r="N75" s="1239"/>
      <c r="O75" s="1239"/>
      <c r="P75" s="1239"/>
      <c r="Q75" s="1239"/>
    </row>
    <row r="76" spans="1:18">
      <c r="A76" s="1217" t="s">
        <v>943</v>
      </c>
      <c r="B76" s="1218"/>
      <c r="C76" s="1184" t="s">
        <v>899</v>
      </c>
      <c r="D76" s="996"/>
      <c r="E76" s="996"/>
      <c r="F76" s="998"/>
      <c r="G76" s="1154"/>
      <c r="H76" s="996"/>
      <c r="I76" s="1266">
        <f t="shared" si="8"/>
        <v>0</v>
      </c>
      <c r="J76" s="1185"/>
      <c r="K76" s="1264">
        <f>IF(E$11&lt;&gt;"",IF(OR(B$11="No Filing Date","Enter Filing Date",E$11&lt;D$11),"Error in Filing Date",IF('R8a - Tax Reconciliation'!B$11="Original Filing",D76-I76,E76-I76)),IF(OR(B$11="No Filing Date","Enter Filing Date"),"Error in Filing Date",IF('R8a - Tax Reconciliation'!B$11="Original Filing",D76-I76,E76-I76)))</f>
        <v>0</v>
      </c>
      <c r="L76" s="1237"/>
      <c r="M76" s="1247"/>
      <c r="N76" s="1239"/>
      <c r="O76" s="1239"/>
      <c r="P76" s="1239"/>
      <c r="Q76" s="1239"/>
    </row>
    <row r="77" spans="1:18">
      <c r="A77" s="1217" t="s">
        <v>944</v>
      </c>
      <c r="B77" s="1218"/>
      <c r="C77" s="1184" t="s">
        <v>899</v>
      </c>
      <c r="D77" s="996"/>
      <c r="E77" s="996"/>
      <c r="F77" s="998"/>
      <c r="G77" s="1154"/>
      <c r="H77" s="996"/>
      <c r="I77" s="1266">
        <f t="shared" si="8"/>
        <v>0</v>
      </c>
      <c r="J77" s="1185"/>
      <c r="K77" s="1264">
        <f>IF(E$11&lt;&gt;"",IF(OR(B$11="No Filing Date","Enter Filing Date",E$11&lt;D$11),"Error in Filing Date",IF('R8a - Tax Reconciliation'!B$11="Original Filing",D77-I77,E77-I77)),IF(OR(B$11="No Filing Date","Enter Filing Date"),"Error in Filing Date",IF('R8a - Tax Reconciliation'!B$11="Original Filing",D77-I77,E77-I77)))</f>
        <v>0</v>
      </c>
      <c r="L77" s="1237"/>
      <c r="M77" s="1247"/>
      <c r="N77" s="1239"/>
      <c r="O77" s="1239"/>
      <c r="P77" s="1239"/>
      <c r="Q77" s="1239"/>
    </row>
    <row r="78" spans="1:18">
      <c r="A78" s="1217" t="s">
        <v>945</v>
      </c>
      <c r="B78" s="1218"/>
      <c r="C78" s="1184" t="s">
        <v>899</v>
      </c>
      <c r="D78" s="996"/>
      <c r="E78" s="996"/>
      <c r="F78" s="998"/>
      <c r="G78" s="1154"/>
      <c r="H78" s="996"/>
      <c r="I78" s="1266">
        <f t="shared" si="8"/>
        <v>0</v>
      </c>
      <c r="J78" s="1185"/>
      <c r="K78" s="1264">
        <f>IF(E$11&lt;&gt;"",IF(OR(B$11="No Filing Date","Enter Filing Date",E$11&lt;D$11),"Error in Filing Date",IF('R8a - Tax Reconciliation'!B$11="Original Filing",D78-I78,E78-I78)),IF(OR(B$11="No Filing Date","Enter Filing Date"),"Error in Filing Date",IF('R8a - Tax Reconciliation'!B$11="Original Filing",D78-I78,E78-I78)))</f>
        <v>0</v>
      </c>
      <c r="L78" s="1237"/>
      <c r="M78" s="1247"/>
      <c r="N78" s="1184"/>
      <c r="O78" s="1184"/>
      <c r="P78" s="1184"/>
      <c r="Q78" s="1184"/>
      <c r="R78" s="1184"/>
    </row>
    <row r="79" spans="1:18">
      <c r="A79" s="1217" t="s">
        <v>946</v>
      </c>
      <c r="B79" s="1218"/>
      <c r="C79" s="1184" t="s">
        <v>899</v>
      </c>
      <c r="D79" s="996"/>
      <c r="E79" s="996"/>
      <c r="F79" s="998"/>
      <c r="G79" s="1154"/>
      <c r="H79" s="996"/>
      <c r="I79" s="1266">
        <f t="shared" si="8"/>
        <v>0</v>
      </c>
      <c r="J79" s="1185"/>
      <c r="K79" s="1264">
        <f>IF(E$11&lt;&gt;"",IF(OR(B$11="No Filing Date","Enter Filing Date",E$11&lt;D$11),"Error in Filing Date",IF('R8a - Tax Reconciliation'!B$11="Original Filing",D79-I79,E79-I79)),IF(OR(B$11="No Filing Date","Enter Filing Date"),"Error in Filing Date",IF('R8a - Tax Reconciliation'!B$11="Original Filing",D79-I79,E79-I79)))</f>
        <v>0</v>
      </c>
      <c r="L79" s="1237"/>
      <c r="M79" s="1247"/>
      <c r="N79" s="1239"/>
      <c r="O79" s="1239"/>
      <c r="P79" s="1239"/>
      <c r="Q79" s="1239"/>
    </row>
    <row r="80" spans="1:18">
      <c r="A80" s="1232" t="s">
        <v>916</v>
      </c>
      <c r="B80" s="1233"/>
      <c r="C80" s="1184" t="s">
        <v>899</v>
      </c>
      <c r="D80" s="996"/>
      <c r="E80" s="996"/>
      <c r="F80" s="998"/>
      <c r="G80" s="1154"/>
      <c r="H80" s="996"/>
      <c r="I80" s="1266">
        <f t="shared" si="8"/>
        <v>0</v>
      </c>
      <c r="J80" s="1185"/>
      <c r="K80" s="1264">
        <f>IF(E$11&lt;&gt;"",IF(OR(B$11="No Filing Date","Enter Filing Date",E$11&lt;D$11),"Error in Filing Date",IF('R8a - Tax Reconciliation'!B$11="Original Filing",D80-I80,E80-I80)),IF(OR(B$11="No Filing Date","Enter Filing Date"),"Error in Filing Date",IF('R8a - Tax Reconciliation'!B$11="Original Filing",D80-I80,E80-I80)))</f>
        <v>0</v>
      </c>
      <c r="L80" s="1237"/>
      <c r="M80" s="1241"/>
      <c r="N80" s="1239"/>
      <c r="O80" s="1239"/>
      <c r="P80" s="1239"/>
      <c r="Q80" s="1239"/>
    </row>
    <row r="81" spans="1:18">
      <c r="D81" s="1251"/>
      <c r="E81" s="1251"/>
      <c r="F81" s="1186"/>
      <c r="G81" s="1189"/>
      <c r="H81" s="1251"/>
      <c r="I81" s="1186"/>
      <c r="J81" s="1186"/>
      <c r="K81" s="1186"/>
      <c r="L81" s="1243"/>
      <c r="M81" s="1244"/>
      <c r="N81" s="1239"/>
      <c r="O81" s="1239"/>
      <c r="P81" s="1239"/>
      <c r="Q81" s="1239"/>
    </row>
    <row r="82" spans="1:18">
      <c r="A82" s="1477" t="s">
        <v>947</v>
      </c>
      <c r="B82" s="1478"/>
      <c r="C82" s="1248" t="s">
        <v>899</v>
      </c>
      <c r="D82" s="1230">
        <f>SUM(D45:D81)</f>
        <v>0</v>
      </c>
      <c r="E82" s="1230">
        <f>SUM(E45:E81)</f>
        <v>0</v>
      </c>
      <c r="F82" s="997"/>
      <c r="G82" s="1252" t="s">
        <v>948</v>
      </c>
      <c r="H82" s="1230">
        <f>SUM(H45:H81)</f>
        <v>0</v>
      </c>
      <c r="I82" s="1230">
        <f>SUM(I45:I81)</f>
        <v>0</v>
      </c>
      <c r="J82" s="1250"/>
      <c r="K82" s="1225">
        <f>IF(E$11&lt;&gt;"",IF(OR(B$11="No Filing Date","Enter Filing Date",E$11&lt;D$11),"Error in Filing Date",IF('R8a - Tax Reconciliation'!B$11="Original Filing",D82-I82,E82-I82)),IF(OR(B$11="No Filing Date","Enter Filing Date"),"Error in Filing Date",IF('R8a - Tax Reconciliation'!B$11="Original Filing",D82-I82,E82-I82)))</f>
        <v>0</v>
      </c>
      <c r="L82" s="1237"/>
      <c r="M82" s="1241"/>
      <c r="N82" s="1296"/>
      <c r="O82" s="1296"/>
      <c r="P82" s="1296"/>
      <c r="Q82" s="1296"/>
    </row>
    <row r="83" spans="1:18">
      <c r="A83" s="1253"/>
      <c r="B83" s="1253"/>
      <c r="C83" s="1184"/>
      <c r="D83" s="1197"/>
      <c r="E83" s="1197"/>
      <c r="F83" s="998"/>
      <c r="G83" s="998"/>
      <c r="H83" s="1197"/>
      <c r="I83" s="998"/>
      <c r="J83" s="1185"/>
      <c r="K83" s="1254"/>
      <c r="L83" s="1237"/>
      <c r="M83" s="1238"/>
      <c r="N83" s="1296"/>
      <c r="O83" s="1296"/>
      <c r="P83" s="1296"/>
      <c r="Q83" s="1296"/>
    </row>
    <row r="84" spans="1:18">
      <c r="A84" s="1297" t="s">
        <v>949</v>
      </c>
      <c r="B84" s="1300"/>
      <c r="C84" s="1184"/>
      <c r="D84" s="998"/>
      <c r="E84" s="998"/>
      <c r="F84" s="998"/>
      <c r="G84" s="998"/>
      <c r="H84" s="998"/>
      <c r="I84" s="998"/>
      <c r="J84" s="1185"/>
      <c r="K84" s="1185"/>
      <c r="L84" s="1237"/>
      <c r="M84" s="1238"/>
      <c r="N84" s="1296"/>
      <c r="O84" s="1296"/>
      <c r="P84" s="1296"/>
      <c r="Q84" s="1296"/>
    </row>
    <row r="85" spans="1:18">
      <c r="A85" s="1255"/>
      <c r="B85" s="1256"/>
      <c r="C85" s="1184"/>
      <c r="D85" s="998"/>
      <c r="E85" s="998"/>
      <c r="F85" s="998"/>
      <c r="G85" s="998"/>
      <c r="H85" s="998"/>
      <c r="I85" s="998"/>
      <c r="J85" s="1185"/>
      <c r="K85" s="1185"/>
      <c r="L85" s="1237"/>
      <c r="M85" s="1238"/>
      <c r="N85" s="1296"/>
      <c r="O85" s="1296"/>
      <c r="P85" s="1296"/>
      <c r="Q85" s="1296"/>
      <c r="R85" s="1184"/>
    </row>
    <row r="86" spans="1:18">
      <c r="A86" s="1219" t="s">
        <v>950</v>
      </c>
      <c r="B86" s="1257"/>
      <c r="D86" s="994"/>
      <c r="E86" s="995"/>
      <c r="F86" s="994"/>
      <c r="G86" s="1155"/>
      <c r="H86" s="995"/>
      <c r="I86" s="994"/>
      <c r="J86" s="1186"/>
      <c r="K86" s="1186"/>
      <c r="L86" s="1243"/>
      <c r="M86" s="1258"/>
      <c r="N86" s="1296"/>
      <c r="O86" s="1296"/>
      <c r="P86" s="1296"/>
      <c r="Q86" s="1296"/>
    </row>
    <row r="87" spans="1:18" s="1184" customFormat="1">
      <c r="A87" s="1217" t="s">
        <v>951</v>
      </c>
      <c r="B87" s="1256"/>
      <c r="C87" s="1184" t="s">
        <v>899</v>
      </c>
      <c r="D87" s="996"/>
      <c r="E87" s="996"/>
      <c r="F87" s="998"/>
      <c r="G87" s="1154" t="str">
        <f t="shared" ref="G87:G91" si="9">IF($B$4="ESO2", $B$4&amp; " " &amp;"PCFM - see Tax Allowance in 'System Operator' worksheet",  $B$4&amp; " " &amp;"PCFM - see Tax Allowance in 'Finance &amp;Tax' worksheet")</f>
        <v>ESO2 PCFM - see Tax Allowance in 'System Operator' worksheet</v>
      </c>
      <c r="H87" s="1120"/>
      <c r="I87" s="1266">
        <f t="shared" ref="I87:I91" si="10">1/(1-H$13)*H87</f>
        <v>0</v>
      </c>
      <c r="J87" s="1185"/>
      <c r="K87" s="1264">
        <f>IF(E$11&lt;&gt;"",IF(OR(B$11="No Filing Date","Enter Filing Date",E$11&lt;D$11),"Error in Filing Date",IF('R8a - Tax Reconciliation'!B$11="Original Filing",D87-I87,E87-I87)),IF(OR(B$11="No Filing Date","Enter Filing Date"),"Error in Filing Date",IF('R8a - Tax Reconciliation'!B$11="Original Filing",D87-I87,E87-I87)))</f>
        <v>0</v>
      </c>
      <c r="L87" s="1237"/>
      <c r="M87" s="1247"/>
      <c r="N87" s="1296"/>
      <c r="O87" s="1296"/>
      <c r="P87" s="1296"/>
      <c r="Q87" s="1296"/>
    </row>
    <row r="88" spans="1:18" s="1184" customFormat="1">
      <c r="A88" s="1217" t="s">
        <v>952</v>
      </c>
      <c r="B88" s="1256"/>
      <c r="C88" s="1184" t="s">
        <v>899</v>
      </c>
      <c r="D88" s="996"/>
      <c r="E88" s="996"/>
      <c r="F88" s="998"/>
      <c r="G88" s="1154" t="str">
        <f t="shared" si="9"/>
        <v>ESO2 PCFM - see Tax Allowance in 'System Operator' worksheet</v>
      </c>
      <c r="H88" s="1120"/>
      <c r="I88" s="1266">
        <f t="shared" si="10"/>
        <v>0</v>
      </c>
      <c r="J88" s="1185"/>
      <c r="K88" s="1264">
        <f>IF(E$11&lt;&gt;"",IF(OR(B$11="No Filing Date","Enter Filing Date",E$11&lt;D$11),"Error in Filing Date",IF('R8a - Tax Reconciliation'!B$11="Original Filing",D88-I88,E88-I88)),IF(OR(B$11="No Filing Date","Enter Filing Date"),"Error in Filing Date",IF('R8a - Tax Reconciliation'!B$11="Original Filing",D88-I88,E88-I88)))</f>
        <v>0</v>
      </c>
      <c r="L88" s="1237"/>
      <c r="M88" s="1247"/>
      <c r="N88" s="1296"/>
      <c r="O88" s="1296"/>
      <c r="P88" s="1296"/>
      <c r="Q88" s="1296"/>
    </row>
    <row r="89" spans="1:18" s="1184" customFormat="1">
      <c r="A89" s="1217" t="s">
        <v>953</v>
      </c>
      <c r="B89" s="1256"/>
      <c r="C89" s="1184" t="s">
        <v>899</v>
      </c>
      <c r="D89" s="996"/>
      <c r="E89" s="996"/>
      <c r="F89" s="998"/>
      <c r="G89" s="1154" t="str">
        <f t="shared" si="9"/>
        <v>ESO2 PCFM - see Tax Allowance in 'System Operator' worksheet</v>
      </c>
      <c r="H89" s="1120"/>
      <c r="I89" s="1266">
        <f t="shared" si="10"/>
        <v>0</v>
      </c>
      <c r="J89" s="1185"/>
      <c r="K89" s="1264">
        <f>IF(E$11&lt;&gt;"",IF(OR(B$11="No Filing Date","Enter Filing Date",E$11&lt;D$11),"Error in Filing Date",IF('R8a - Tax Reconciliation'!B$11="Original Filing",D89-I89,E89-I89)),IF(OR(B$11="No Filing Date","Enter Filing Date"),"Error in Filing Date",IF('R8a - Tax Reconciliation'!B$11="Original Filing",D89-I89,E89-I89)))</f>
        <v>0</v>
      </c>
      <c r="L89" s="1237"/>
      <c r="M89" s="1247"/>
      <c r="N89" s="1296"/>
      <c r="O89" s="1296"/>
      <c r="P89" s="1296"/>
      <c r="Q89" s="1296"/>
    </row>
    <row r="90" spans="1:18" s="1184" customFormat="1">
      <c r="A90" s="1217" t="s">
        <v>954</v>
      </c>
      <c r="B90" s="1256"/>
      <c r="C90" s="1184" t="s">
        <v>899</v>
      </c>
      <c r="D90" s="996"/>
      <c r="E90" s="996"/>
      <c r="F90" s="998"/>
      <c r="G90" s="1154" t="str">
        <f t="shared" si="9"/>
        <v>ESO2 PCFM - see Tax Allowance in 'System Operator' worksheet</v>
      </c>
      <c r="H90" s="1120"/>
      <c r="I90" s="1266">
        <f t="shared" si="10"/>
        <v>0</v>
      </c>
      <c r="J90" s="1185"/>
      <c r="K90" s="1264">
        <f>IF(E$11&lt;&gt;"",IF(OR(B$11="No Filing Date","Enter Filing Date",E$11&lt;D$11),"Error in Filing Date",IF('R8a - Tax Reconciliation'!B$11="Original Filing",D90-I90,E90-I90)),IF(OR(B$11="No Filing Date","Enter Filing Date"),"Error in Filing Date",IF('R8a - Tax Reconciliation'!B$11="Original Filing",D90-I90,E90-I90)))</f>
        <v>0</v>
      </c>
      <c r="L90" s="1237"/>
      <c r="M90" s="1247"/>
      <c r="N90" s="1296"/>
      <c r="O90" s="1296"/>
      <c r="P90" s="1296"/>
      <c r="Q90" s="1296"/>
    </row>
    <row r="91" spans="1:18" s="1184" customFormat="1">
      <c r="A91" s="1217" t="s">
        <v>955</v>
      </c>
      <c r="B91" s="1256"/>
      <c r="C91" s="1184" t="s">
        <v>899</v>
      </c>
      <c r="D91" s="996"/>
      <c r="E91" s="996"/>
      <c r="F91" s="998"/>
      <c r="G91" s="1154" t="str">
        <f t="shared" si="9"/>
        <v>ESO2 PCFM - see Tax Allowance in 'System Operator' worksheet</v>
      </c>
      <c r="H91" s="1120"/>
      <c r="I91" s="1266">
        <f t="shared" si="10"/>
        <v>0</v>
      </c>
      <c r="J91" s="1185"/>
      <c r="K91" s="1264">
        <f>IF(E$11&lt;&gt;"",IF(OR(B$11="No Filing Date","Enter Filing Date",E$11&lt;D$11),"Error in Filing Date",IF('R8a - Tax Reconciliation'!B$11="Original Filing",D91-I91,E91-I91)),IF(OR(B$11="No Filing Date","Enter Filing Date"),"Error in Filing Date",IF('R8a - Tax Reconciliation'!B$11="Original Filing",D91-I91,E91-I91)))</f>
        <v>0</v>
      </c>
      <c r="L91" s="1237"/>
      <c r="M91" s="1247"/>
      <c r="N91" s="1296"/>
      <c r="O91" s="1296"/>
      <c r="P91" s="1296"/>
      <c r="Q91" s="1296"/>
    </row>
    <row r="92" spans="1:18" s="1184" customFormat="1">
      <c r="A92" s="1232" t="s">
        <v>956</v>
      </c>
      <c r="B92" s="1233"/>
      <c r="C92" s="1184" t="s">
        <v>899</v>
      </c>
      <c r="D92" s="996"/>
      <c r="E92" s="996"/>
      <c r="F92" s="998"/>
      <c r="G92" s="1154"/>
      <c r="H92" s="996"/>
      <c r="I92" s="1266">
        <f>1/(1-H$13)*H92</f>
        <v>0</v>
      </c>
      <c r="J92" s="1185"/>
      <c r="K92" s="1264">
        <f>IF(E$11&lt;&gt;"",IF(OR(B$11="No Filing Date","Enter Filing Date",E$11&lt;D$11),"Error in Filing Date",IF('R8a - Tax Reconciliation'!B$11="Original Filing",D92-I92,E92-I92)),IF(OR(B$11="No Filing Date","Enter Filing Date"),"Error in Filing Date",IF('R8a - Tax Reconciliation'!B$11="Original Filing",D92-I92,E92-I92)))</f>
        <v>0</v>
      </c>
      <c r="L92" s="1237"/>
      <c r="M92" s="1241"/>
      <c r="N92" s="1296"/>
      <c r="O92" s="1296"/>
      <c r="P92" s="1296"/>
      <c r="Q92" s="1296"/>
    </row>
    <row r="93" spans="1:18" s="1184" customFormat="1">
      <c r="A93" s="1171"/>
      <c r="B93" s="1171"/>
      <c r="C93" s="1171"/>
      <c r="D93" s="1251"/>
      <c r="E93" s="1251"/>
      <c r="F93" s="1186"/>
      <c r="G93" s="1189"/>
      <c r="H93" s="1251"/>
      <c r="I93" s="1186"/>
      <c r="J93" s="1186"/>
      <c r="K93" s="1251"/>
      <c r="L93" s="1243"/>
      <c r="M93" s="1244"/>
      <c r="N93" s="1296"/>
      <c r="O93" s="1296"/>
      <c r="P93" s="1296"/>
      <c r="Q93" s="1296"/>
    </row>
    <row r="94" spans="1:18" s="1184" customFormat="1">
      <c r="A94" s="1231" t="s">
        <v>957</v>
      </c>
      <c r="B94" s="1259"/>
      <c r="C94" s="1248" t="s">
        <v>899</v>
      </c>
      <c r="D94" s="1225">
        <f>SUM(D82:D93)</f>
        <v>0</v>
      </c>
      <c r="E94" s="1225">
        <f>SUM(E82:E93)</f>
        <v>0</v>
      </c>
      <c r="F94" s="1260"/>
      <c r="G94" s="1252" t="s">
        <v>958</v>
      </c>
      <c r="H94" s="1225">
        <f>SUM(H82:H93)</f>
        <v>0</v>
      </c>
      <c r="I94" s="1225">
        <f>SUM(I82:I93)</f>
        <v>0</v>
      </c>
      <c r="J94" s="1250"/>
      <c r="K94" s="1225">
        <f>IF(E$11&lt;&gt;"",IF(OR(B$11="No Filing Date","Enter Filing Date",E$11&lt;D$11),"Error in Filing Date",IF('R8a - Tax Reconciliation'!B$11="Original Filing",D94-I94,E94-I94)),IF(OR(B$11="No Filing Date","Enter Filing Date"),"Error in Filing Date",IF('R8a - Tax Reconciliation'!B$11="Original Filing",D94-I94,E94-I94)))</f>
        <v>0</v>
      </c>
      <c r="L94" s="1237"/>
      <c r="M94" s="1241"/>
      <c r="N94" s="1296"/>
      <c r="O94" s="1296"/>
      <c r="P94" s="1296"/>
      <c r="Q94" s="1296"/>
    </row>
    <row r="95" spans="1:18" s="1184" customFormat="1">
      <c r="A95" s="1261"/>
      <c r="B95" s="1262"/>
      <c r="C95" s="1171"/>
      <c r="D95" s="1186"/>
      <c r="E95" s="1186"/>
      <c r="F95" s="1186"/>
      <c r="G95" s="1186"/>
      <c r="H95" s="1189"/>
      <c r="I95" s="1189"/>
      <c r="J95" s="1189"/>
      <c r="K95" s="1189"/>
      <c r="L95" s="1243"/>
      <c r="M95" s="1244"/>
      <c r="N95" s="1296"/>
      <c r="O95" s="1296"/>
      <c r="P95" s="1296"/>
      <c r="Q95" s="1296"/>
    </row>
    <row r="96" spans="1:18" s="1184" customFormat="1">
      <c r="A96" s="1234" t="s">
        <v>959</v>
      </c>
      <c r="B96" s="1263"/>
      <c r="C96" s="1239" t="s">
        <v>899</v>
      </c>
      <c r="D96" s="1225">
        <f>+D94*D13</f>
        <v>0</v>
      </c>
      <c r="E96" s="1225">
        <f>+E94*E13</f>
        <v>0</v>
      </c>
      <c r="F96" s="1185"/>
      <c r="G96" s="1240" t="s">
        <v>960</v>
      </c>
      <c r="H96" s="1225">
        <f>+H94*H13</f>
        <v>0</v>
      </c>
      <c r="I96" s="1225">
        <f>+I94*I13</f>
        <v>0</v>
      </c>
      <c r="J96" s="1185"/>
      <c r="K96" s="1189"/>
      <c r="L96" s="1189"/>
      <c r="M96" s="1189"/>
      <c r="N96" s="1295"/>
      <c r="O96" s="1295"/>
      <c r="P96" s="1295"/>
      <c r="Q96" s="1295"/>
    </row>
    <row r="97" spans="1:13" s="1240" customFormat="1">
      <c r="H97" s="1271"/>
      <c r="I97" s="1186"/>
    </row>
    <row r="98" spans="1:13">
      <c r="A98" s="1470" t="s">
        <v>961</v>
      </c>
      <c r="B98" s="1470"/>
      <c r="C98" s="1171" t="s">
        <v>839</v>
      </c>
      <c r="D98" s="1198">
        <f>INDEX(Data!$D$26:$K$26,MATCH($B$6,Data!$D$25:$K$25,0))</f>
        <v>1.0383269111980469</v>
      </c>
      <c r="E98" s="1198">
        <f>INDEX(Data!$D$26:$K$26,MATCH($B$6,Data!$D$25:$K$25,0))</f>
        <v>1.0383269111980469</v>
      </c>
      <c r="F98" s="1199"/>
      <c r="G98" s="1155" t="s">
        <v>962</v>
      </c>
      <c r="H98" s="1198">
        <f>INDEX(Data!$D$26:$K$26,MATCH($B$6,Data!$D$25:$K$25,0))</f>
        <v>1.0383269111980469</v>
      </c>
      <c r="I98" s="1198">
        <f>INDEX(Data!$D$26:$K$26,MATCH($B$6,Data!$D$25:$K$25,0))</f>
        <v>1.0383269111980469</v>
      </c>
      <c r="J98" s="1199"/>
      <c r="K98" s="1199"/>
    </row>
    <row r="99" spans="1:13" ht="21" customHeight="1">
      <c r="A99" s="1200" t="s">
        <v>963</v>
      </c>
      <c r="B99" s="1201"/>
      <c r="C99" s="1235" t="str">
        <f>IF($B$4="ED","20/21 Prices","18/19 Prices")</f>
        <v>18/19 Prices</v>
      </c>
      <c r="D99" s="1202">
        <f>D96/D98</f>
        <v>0</v>
      </c>
      <c r="E99" s="1202">
        <f>E96/E98</f>
        <v>0</v>
      </c>
      <c r="F99" s="1203"/>
      <c r="G99" s="1204" t="s">
        <v>964</v>
      </c>
      <c r="H99" s="1202">
        <f>H96/H98</f>
        <v>0</v>
      </c>
      <c r="I99" s="1202">
        <f>I96/I98</f>
        <v>0</v>
      </c>
      <c r="J99" s="1203"/>
      <c r="K99" s="1225">
        <f>IF(OR(B$11="No Filing Date","Enter Filing Date"),"Error in Filing Date",IF('R8a - Tax Reconciliation'!B$11="Original Filing",D99-I99,E99-I99))</f>
        <v>0</v>
      </c>
      <c r="M99" s="1247"/>
    </row>
    <row r="100" spans="1:13">
      <c r="C100" s="1205"/>
      <c r="D100" s="1186"/>
      <c r="E100" s="1186"/>
      <c r="F100" s="1186"/>
      <c r="G100" s="1189"/>
      <c r="H100" s="1186"/>
      <c r="I100" s="1206"/>
      <c r="J100" s="1186"/>
      <c r="K100" s="1186"/>
    </row>
    <row r="101" spans="1:13">
      <c r="D101" s="1206"/>
      <c r="E101" s="1206"/>
      <c r="F101" s="1206"/>
      <c r="G101" s="1207"/>
      <c r="H101" s="1206"/>
      <c r="J101" s="1206"/>
      <c r="K101" s="1206"/>
    </row>
  </sheetData>
  <mergeCells count="20">
    <mergeCell ref="A98:B98"/>
    <mergeCell ref="A73:B73"/>
    <mergeCell ref="A36:B36"/>
    <mergeCell ref="A37:B37"/>
    <mergeCell ref="A40:B40"/>
    <mergeCell ref="A42:B42"/>
    <mergeCell ref="A43:B43"/>
    <mergeCell ref="A39:B39"/>
    <mergeCell ref="A72:B72"/>
    <mergeCell ref="A82:B82"/>
    <mergeCell ref="A55:B55"/>
    <mergeCell ref="M8:M9"/>
    <mergeCell ref="A13:B13"/>
    <mergeCell ref="A27:B27"/>
    <mergeCell ref="A28:B28"/>
    <mergeCell ref="A7:B7"/>
    <mergeCell ref="A8:B9"/>
    <mergeCell ref="C8:C9"/>
    <mergeCell ref="G8:G9"/>
    <mergeCell ref="A17:B17"/>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83"/>
  <sheetViews>
    <sheetView showGridLines="0" zoomScaleNormal="100" workbookViewId="0">
      <pane ySplit="3" topLeftCell="A58" activePane="bottomLeft" state="frozen"/>
      <selection activeCell="B3" sqref="B3:F3"/>
      <selection pane="bottomLeft" activeCell="D71" sqref="D71"/>
    </sheetView>
  </sheetViews>
  <sheetFormatPr defaultRowHeight="13.5"/>
  <cols>
    <col min="1" max="1" width="8.3828125" customWidth="1"/>
    <col min="2" max="2" width="44.4609375" customWidth="1"/>
    <col min="3" max="3" width="15.15234375" customWidth="1"/>
    <col min="4" max="4" width="14.765625" customWidth="1"/>
    <col min="5" max="5" width="14.84375" customWidth="1"/>
    <col min="6" max="6" width="14.3828125" customWidth="1"/>
    <col min="7" max="8" width="11.15234375" customWidth="1"/>
    <col min="9" max="9" width="5" customWidth="1"/>
    <col min="14" max="14" width="13.15234375" customWidth="1"/>
  </cols>
  <sheetData>
    <row r="1" spans="1:15" ht="20">
      <c r="A1" s="1275" t="s">
        <v>187</v>
      </c>
      <c r="B1" s="839"/>
      <c r="C1" s="840"/>
      <c r="D1" s="840"/>
      <c r="E1" s="840"/>
      <c r="F1" s="840"/>
      <c r="G1" s="840"/>
      <c r="H1" s="840"/>
      <c r="I1" s="1284"/>
    </row>
    <row r="2" spans="1:15" ht="20">
      <c r="A2" s="712" t="str">
        <f>Licensee</f>
        <v>ESO</v>
      </c>
      <c r="B2" s="707"/>
      <c r="C2" s="16"/>
      <c r="D2" s="16"/>
      <c r="E2" s="16"/>
      <c r="F2" s="16"/>
      <c r="G2" s="16"/>
      <c r="H2" s="16"/>
      <c r="I2" s="66"/>
    </row>
    <row r="3" spans="1:15" ht="20">
      <c r="A3" s="707">
        <f>Reporting_Year</f>
        <v>2022</v>
      </c>
      <c r="B3" s="1054"/>
      <c r="C3" s="1054"/>
      <c r="D3" s="1054"/>
      <c r="E3" s="1054"/>
      <c r="F3" s="1054"/>
      <c r="G3" s="1054"/>
      <c r="H3" s="1054"/>
      <c r="I3" s="120"/>
    </row>
    <row r="4" spans="1:15" s="2" customFormat="1" ht="12.75" customHeight="1"/>
    <row r="5" spans="1:15" s="2" customFormat="1">
      <c r="B5" s="3"/>
      <c r="C5" s="3"/>
      <c r="D5" s="254" t="str">
        <f t="shared" ref="D5:H5" si="0">IF(D6&lt;=Reporting_Year,"Actuals","Forecast")</f>
        <v>Actuals</v>
      </c>
      <c r="E5" s="254" t="str">
        <f t="shared" si="0"/>
        <v>Forecast</v>
      </c>
      <c r="F5" s="254" t="str">
        <f t="shared" si="0"/>
        <v>Forecast</v>
      </c>
      <c r="G5" s="254" t="str">
        <f t="shared" si="0"/>
        <v>Forecast</v>
      </c>
      <c r="H5" s="254" t="str">
        <f t="shared" si="0"/>
        <v>Forecast</v>
      </c>
    </row>
    <row r="6" spans="1:15" s="2" customFormat="1">
      <c r="D6" s="63">
        <f>'RFPR cover'!$C$6</f>
        <v>2022</v>
      </c>
      <c r="E6" s="64">
        <f>D6+1</f>
        <v>2023</v>
      </c>
      <c r="F6" s="64">
        <f t="shared" ref="F6:H6" si="1">E6+1</f>
        <v>2024</v>
      </c>
      <c r="G6" s="64">
        <f t="shared" si="1"/>
        <v>2025</v>
      </c>
      <c r="H6" s="64">
        <f t="shared" si="1"/>
        <v>2026</v>
      </c>
    </row>
    <row r="7" spans="1:15"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96" t="str">
        <f>RIIO_2_start_date+3&amp;"/"&amp;RIGHT(RIIO_2_start_date+4,2)</f>
        <v>2025/26</v>
      </c>
    </row>
    <row r="8" spans="1:15" s="2" customFormat="1"/>
    <row r="9" spans="1:15" s="2" customFormat="1">
      <c r="A9" s="803" t="s">
        <v>965</v>
      </c>
      <c r="B9" s="804"/>
      <c r="C9" s="99"/>
      <c r="D9" s="99"/>
      <c r="E9" s="99"/>
      <c r="F9" s="99"/>
      <c r="G9" s="99"/>
      <c r="H9" s="99"/>
    </row>
    <row r="10" spans="1:15" s="2" customFormat="1"/>
    <row r="11" spans="1:15">
      <c r="B11" s="6" t="s">
        <v>966</v>
      </c>
      <c r="C11" s="76" t="s">
        <v>252</v>
      </c>
      <c r="D11" s="1110">
        <v>67</v>
      </c>
      <c r="E11" s="1110"/>
      <c r="F11" s="1110"/>
      <c r="G11" s="1110"/>
      <c r="H11" s="1110"/>
      <c r="J11" s="2"/>
    </row>
    <row r="12" spans="1:15">
      <c r="B12" s="7" t="s">
        <v>967</v>
      </c>
      <c r="C12" s="6"/>
      <c r="D12" s="481"/>
      <c r="E12" s="481"/>
      <c r="F12" s="481"/>
      <c r="G12" s="481"/>
      <c r="H12" s="481"/>
      <c r="J12" s="2"/>
    </row>
    <row r="13" spans="1:15">
      <c r="B13" s="184" t="s">
        <v>866</v>
      </c>
      <c r="C13" s="76" t="s">
        <v>252</v>
      </c>
      <c r="D13" s="1110"/>
      <c r="E13" s="1110"/>
      <c r="F13" s="1110"/>
      <c r="G13" s="1110"/>
      <c r="H13" s="1110"/>
      <c r="J13" s="2"/>
    </row>
    <row r="14" spans="1:15">
      <c r="B14" s="184" t="s">
        <v>866</v>
      </c>
      <c r="C14" s="76" t="s">
        <v>252</v>
      </c>
      <c r="D14" s="1110"/>
      <c r="E14" s="1110"/>
      <c r="F14" s="1110"/>
      <c r="G14" s="1110"/>
      <c r="H14" s="1110"/>
      <c r="J14" s="2"/>
    </row>
    <row r="15" spans="1:15">
      <c r="B15" s="184" t="s">
        <v>867</v>
      </c>
      <c r="C15" s="76" t="s">
        <v>252</v>
      </c>
      <c r="D15" s="1110"/>
      <c r="E15" s="1110"/>
      <c r="F15" s="1110"/>
      <c r="G15" s="1110"/>
      <c r="H15" s="1110"/>
      <c r="J15" s="2"/>
      <c r="N15" s="98"/>
    </row>
    <row r="16" spans="1:15">
      <c r="B16" s="6" t="s">
        <v>968</v>
      </c>
      <c r="C16" s="76" t="s">
        <v>252</v>
      </c>
      <c r="D16" s="480">
        <f>D11-SUM(D13:D15)</f>
        <v>67</v>
      </c>
      <c r="E16" s="480">
        <f t="shared" ref="E16:H16" si="2">E11-SUM(E13:E15)</f>
        <v>0</v>
      </c>
      <c r="F16" s="480">
        <f t="shared" si="2"/>
        <v>0</v>
      </c>
      <c r="G16" s="480">
        <f t="shared" si="2"/>
        <v>0</v>
      </c>
      <c r="H16" s="480">
        <f t="shared" si="2"/>
        <v>0</v>
      </c>
      <c r="J16" s="2"/>
      <c r="O16" s="97"/>
    </row>
    <row r="17" spans="1:14">
      <c r="C17" s="6"/>
      <c r="J17" s="2"/>
      <c r="N17" s="98"/>
    </row>
    <row r="18" spans="1:14">
      <c r="B18" s="6" t="s">
        <v>969</v>
      </c>
      <c r="C18" s="76" t="s">
        <v>252</v>
      </c>
      <c r="D18" s="1110">
        <v>0</v>
      </c>
      <c r="E18" s="1110"/>
      <c r="F18" s="1110"/>
      <c r="G18" s="1110"/>
      <c r="H18" s="1110"/>
      <c r="J18" s="2"/>
    </row>
    <row r="19" spans="1:14">
      <c r="J19" s="2"/>
    </row>
    <row r="22" spans="1:14">
      <c r="A22" s="803" t="s">
        <v>970</v>
      </c>
      <c r="B22" s="805"/>
      <c r="C22" s="99"/>
      <c r="D22" s="99"/>
      <c r="E22" s="99"/>
      <c r="F22" s="99"/>
      <c r="G22" s="99"/>
      <c r="H22" s="99"/>
    </row>
    <row r="23" spans="1:14">
      <c r="D23" s="1479" t="str">
        <f>Reporting_Year&amp;" "&amp;"- Actuals"</f>
        <v>2022 - Actuals</v>
      </c>
      <c r="E23" s="1480"/>
      <c r="F23" s="1480"/>
      <c r="G23" s="1480"/>
      <c r="H23" s="1481"/>
    </row>
    <row r="24" spans="1:14">
      <c r="D24" s="1088" t="s">
        <v>971</v>
      </c>
      <c r="E24" s="1088" t="s">
        <v>972</v>
      </c>
      <c r="F24" s="1088" t="s">
        <v>973</v>
      </c>
      <c r="G24" s="1088" t="s">
        <v>974</v>
      </c>
      <c r="H24" s="1088" t="s">
        <v>975</v>
      </c>
    </row>
    <row r="25" spans="1:14" ht="35.15" customHeight="1">
      <c r="C25" t="s">
        <v>976</v>
      </c>
      <c r="D25" s="1089" t="s">
        <v>977</v>
      </c>
      <c r="E25" s="1089" t="s">
        <v>978</v>
      </c>
      <c r="F25" s="1089" t="s">
        <v>979</v>
      </c>
      <c r="G25" s="1089"/>
      <c r="H25" s="1089"/>
    </row>
    <row r="26" spans="1:14" ht="44.5" customHeight="1">
      <c r="B26" s="6" t="s">
        <v>980</v>
      </c>
    </row>
    <row r="27" spans="1:14">
      <c r="B27" t="s">
        <v>981</v>
      </c>
      <c r="C27" s="76" t="s">
        <v>252</v>
      </c>
      <c r="D27" s="443">
        <v>0.23615235000000001</v>
      </c>
      <c r="E27" s="443">
        <v>0.15493000000000001</v>
      </c>
      <c r="F27" s="443">
        <v>0.15026300000000001</v>
      </c>
      <c r="G27" s="443"/>
      <c r="H27" s="443"/>
    </row>
    <row r="28" spans="1:14">
      <c r="B28" t="s">
        <v>982</v>
      </c>
      <c r="C28" s="76" t="s">
        <v>252</v>
      </c>
      <c r="D28" s="763">
        <v>0.12018369999999999</v>
      </c>
      <c r="E28" s="443">
        <v>5.5138800000000002E-2</v>
      </c>
      <c r="F28" s="443">
        <v>3.3133099999999999E-2</v>
      </c>
      <c r="G28" s="443"/>
      <c r="H28" s="443"/>
    </row>
    <row r="29" spans="1:14">
      <c r="B29" s="184" t="s">
        <v>867</v>
      </c>
      <c r="C29" s="76" t="s">
        <v>252</v>
      </c>
      <c r="D29" s="763"/>
      <c r="E29" s="443"/>
      <c r="F29" s="443"/>
      <c r="G29" s="443"/>
      <c r="H29" s="443"/>
    </row>
    <row r="30" spans="1:14">
      <c r="B30" t="s">
        <v>983</v>
      </c>
      <c r="C30" s="76" t="s">
        <v>252</v>
      </c>
      <c r="D30" s="445">
        <v>0</v>
      </c>
      <c r="E30" s="443">
        <v>0</v>
      </c>
      <c r="F30" s="443">
        <v>0</v>
      </c>
      <c r="G30" s="443"/>
      <c r="H30" s="443"/>
    </row>
    <row r="31" spans="1:14">
      <c r="B31" t="s">
        <v>984</v>
      </c>
      <c r="C31" s="76" t="s">
        <v>252</v>
      </c>
      <c r="D31" s="448">
        <v>0</v>
      </c>
      <c r="E31" s="443">
        <v>0</v>
      </c>
      <c r="F31" s="443">
        <v>-7.0830000000000003E-4</v>
      </c>
      <c r="G31" s="443"/>
      <c r="H31" s="443"/>
    </row>
    <row r="32" spans="1:14">
      <c r="B32" s="184" t="s">
        <v>985</v>
      </c>
      <c r="C32" s="76" t="s">
        <v>252</v>
      </c>
      <c r="D32" s="448">
        <v>1.5962999999999999E-3</v>
      </c>
      <c r="E32" s="443">
        <v>1.5818E-3</v>
      </c>
      <c r="F32" s="443">
        <v>9.7780000000000002E-4</v>
      </c>
      <c r="G32" s="443"/>
      <c r="H32" s="443"/>
    </row>
    <row r="33" spans="2:8">
      <c r="B33" t="s">
        <v>986</v>
      </c>
      <c r="C33" s="76" t="s">
        <v>252</v>
      </c>
      <c r="D33" s="448">
        <v>5.4050000000000001E-2</v>
      </c>
      <c r="E33" s="443">
        <v>7.64706E-2</v>
      </c>
      <c r="F33" s="443">
        <v>2.97912E-2</v>
      </c>
      <c r="G33" s="443"/>
      <c r="H33" s="443"/>
    </row>
    <row r="34" spans="2:8">
      <c r="B34" s="184" t="s">
        <v>867</v>
      </c>
      <c r="C34" s="76" t="s">
        <v>252</v>
      </c>
      <c r="D34" s="443"/>
      <c r="E34" s="443"/>
      <c r="F34" s="443"/>
      <c r="G34" s="443"/>
      <c r="H34" s="443"/>
    </row>
    <row r="35" spans="2:8">
      <c r="B35" s="6" t="s">
        <v>987</v>
      </c>
      <c r="C35" s="76" t="s">
        <v>252</v>
      </c>
      <c r="D35" s="888">
        <f>SUM(D27:D34)</f>
        <v>0.41198235</v>
      </c>
      <c r="E35" s="888">
        <f>SUM(E27:E34)</f>
        <v>0.28812119999999997</v>
      </c>
      <c r="F35" s="888">
        <f>SUM(F27:F34)</f>
        <v>0.2134568</v>
      </c>
      <c r="G35" s="888">
        <f>SUM(G27:G34)</f>
        <v>0</v>
      </c>
      <c r="H35" s="888">
        <f>SUM(H27:H34)</f>
        <v>0</v>
      </c>
    </row>
    <row r="36" spans="2:8">
      <c r="B36" s="6" t="s">
        <v>988</v>
      </c>
      <c r="C36" s="76" t="s">
        <v>252</v>
      </c>
      <c r="D36" s="1090">
        <v>0.41198235</v>
      </c>
      <c r="E36" s="1090">
        <v>0.28812119999999997</v>
      </c>
      <c r="F36" s="1090">
        <v>0.21487339999999999</v>
      </c>
      <c r="G36" s="1090"/>
      <c r="H36" s="1090"/>
    </row>
    <row r="37" spans="2:8">
      <c r="B37" s="184"/>
    </row>
    <row r="38" spans="2:8">
      <c r="B38" s="6" t="s">
        <v>989</v>
      </c>
    </row>
    <row r="39" spans="2:8">
      <c r="B39" t="s">
        <v>990</v>
      </c>
      <c r="C39" s="76" t="s">
        <v>252</v>
      </c>
      <c r="D39" s="443">
        <v>0</v>
      </c>
      <c r="E39" s="444">
        <v>0</v>
      </c>
      <c r="F39" s="444">
        <v>0</v>
      </c>
      <c r="G39" s="444"/>
      <c r="H39" s="444"/>
    </row>
    <row r="40" spans="2:8">
      <c r="B40" s="184" t="s">
        <v>867</v>
      </c>
      <c r="C40" s="76" t="s">
        <v>252</v>
      </c>
      <c r="D40" s="448"/>
      <c r="E40" s="449"/>
      <c r="F40" s="449"/>
      <c r="G40" s="449"/>
      <c r="H40" s="449"/>
    </row>
    <row r="41" spans="2:8">
      <c r="B41" t="s">
        <v>991</v>
      </c>
      <c r="C41" s="76" t="s">
        <v>252</v>
      </c>
      <c r="D41" s="445">
        <v>0.2105031</v>
      </c>
      <c r="E41" s="446">
        <v>0.116865</v>
      </c>
      <c r="F41" s="446">
        <v>0</v>
      </c>
      <c r="G41" s="446"/>
      <c r="H41" s="446"/>
    </row>
    <row r="42" spans="2:8">
      <c r="B42" s="184" t="s">
        <v>867</v>
      </c>
      <c r="C42" s="76" t="s">
        <v>252</v>
      </c>
      <c r="D42" s="448"/>
      <c r="E42" s="449"/>
      <c r="F42" s="449"/>
      <c r="G42" s="449"/>
      <c r="H42" s="449"/>
    </row>
    <row r="43" spans="2:8">
      <c r="B43" s="6" t="s">
        <v>992</v>
      </c>
      <c r="C43" s="76" t="s">
        <v>252</v>
      </c>
      <c r="D43" s="1091">
        <f t="shared" ref="D43:H43" si="3">SUM(D39:D42)</f>
        <v>0.2105031</v>
      </c>
      <c r="E43" s="1091">
        <f t="shared" si="3"/>
        <v>0.116865</v>
      </c>
      <c r="F43" s="1091">
        <f t="shared" si="3"/>
        <v>0</v>
      </c>
      <c r="G43" s="1091">
        <f t="shared" si="3"/>
        <v>0</v>
      </c>
      <c r="H43" s="1091">
        <f t="shared" si="3"/>
        <v>0</v>
      </c>
    </row>
    <row r="44" spans="2:8">
      <c r="B44" s="6" t="s">
        <v>988</v>
      </c>
      <c r="C44" s="76" t="s">
        <v>252</v>
      </c>
      <c r="D44" s="1090">
        <v>0.2105031</v>
      </c>
      <c r="E44" s="1090">
        <v>0.116865</v>
      </c>
      <c r="F44" s="1090">
        <v>0</v>
      </c>
      <c r="G44" s="1090"/>
      <c r="H44" s="1090"/>
    </row>
    <row r="46" spans="2:8">
      <c r="B46" s="6" t="s">
        <v>993</v>
      </c>
      <c r="C46" s="76" t="s">
        <v>252</v>
      </c>
      <c r="D46" s="1091">
        <f t="shared" ref="D46:H46" si="4">SUM(D35,D43)</f>
        <v>0.62248545</v>
      </c>
      <c r="E46" s="1091">
        <f t="shared" si="4"/>
        <v>0.40498619999999996</v>
      </c>
      <c r="F46" s="1091">
        <f t="shared" si="4"/>
        <v>0.2134568</v>
      </c>
      <c r="G46" s="1091">
        <f t="shared" si="4"/>
        <v>0</v>
      </c>
      <c r="H46" s="1091">
        <f t="shared" si="4"/>
        <v>0</v>
      </c>
    </row>
    <row r="47" spans="2:8">
      <c r="B47" s="6" t="s">
        <v>994</v>
      </c>
      <c r="C47" s="76" t="s">
        <v>252</v>
      </c>
      <c r="D47" s="1091">
        <f>D36+D44</f>
        <v>0.62248545</v>
      </c>
      <c r="E47" s="1091">
        <f t="shared" ref="E47:H47" si="5">E36+E44</f>
        <v>0.40498619999999996</v>
      </c>
      <c r="F47" s="1091">
        <f t="shared" si="5"/>
        <v>0.21487339999999999</v>
      </c>
      <c r="G47" s="1091">
        <f t="shared" si="5"/>
        <v>0</v>
      </c>
      <c r="H47" s="1091">
        <f t="shared" si="5"/>
        <v>0</v>
      </c>
    </row>
    <row r="49" spans="2:14">
      <c r="B49" s="6" t="s">
        <v>995</v>
      </c>
    </row>
    <row r="50" spans="2:14">
      <c r="B50" t="s">
        <v>996</v>
      </c>
      <c r="C50" s="76" t="s">
        <v>997</v>
      </c>
      <c r="D50" s="443">
        <v>0</v>
      </c>
      <c r="E50" s="443">
        <v>0</v>
      </c>
      <c r="F50" s="443">
        <v>0</v>
      </c>
      <c r="G50" s="444"/>
      <c r="H50" s="444"/>
    </row>
    <row r="51" spans="2:14">
      <c r="B51" s="184" t="s">
        <v>867</v>
      </c>
      <c r="C51" s="76"/>
      <c r="D51" s="443"/>
      <c r="E51" s="443"/>
      <c r="F51" s="443"/>
      <c r="G51" s="444"/>
      <c r="H51" s="444"/>
    </row>
    <row r="52" spans="2:14">
      <c r="B52" t="s">
        <v>998</v>
      </c>
      <c r="C52" s="76" t="s">
        <v>216</v>
      </c>
      <c r="D52" s="443">
        <v>0</v>
      </c>
      <c r="E52" s="443">
        <v>0</v>
      </c>
      <c r="F52" s="443">
        <v>0</v>
      </c>
      <c r="G52" s="444"/>
      <c r="H52" s="444"/>
    </row>
    <row r="53" spans="2:14">
      <c r="B53" s="1000" t="s">
        <v>999</v>
      </c>
      <c r="C53" s="76" t="s">
        <v>216</v>
      </c>
      <c r="D53" s="443">
        <v>0</v>
      </c>
      <c r="E53" s="443">
        <v>0</v>
      </c>
      <c r="F53" s="443">
        <v>0</v>
      </c>
      <c r="G53" s="444"/>
      <c r="H53" s="444"/>
    </row>
    <row r="54" spans="2:14">
      <c r="B54" s="6" t="s">
        <v>1000</v>
      </c>
      <c r="C54" s="76" t="s">
        <v>252</v>
      </c>
      <c r="D54" s="443">
        <v>0</v>
      </c>
      <c r="E54" s="443">
        <v>0</v>
      </c>
      <c r="F54" s="443">
        <v>0</v>
      </c>
      <c r="G54" s="444"/>
      <c r="H54" s="444"/>
    </row>
    <row r="55" spans="2:14">
      <c r="B55" s="1000" t="s">
        <v>1001</v>
      </c>
      <c r="C55" s="76" t="s">
        <v>1002</v>
      </c>
      <c r="D55" s="443">
        <v>0</v>
      </c>
      <c r="E55" s="443">
        <v>0</v>
      </c>
      <c r="F55" s="443">
        <v>0</v>
      </c>
      <c r="G55" s="444"/>
      <c r="H55" s="444"/>
    </row>
    <row r="56" spans="2:14">
      <c r="B56" s="1000" t="s">
        <v>1003</v>
      </c>
      <c r="C56" s="76" t="s">
        <v>1004</v>
      </c>
      <c r="D56" s="443">
        <v>0</v>
      </c>
      <c r="E56" s="443">
        <v>0</v>
      </c>
      <c r="F56" s="443">
        <v>0</v>
      </c>
      <c r="G56" s="444"/>
      <c r="H56" s="444"/>
    </row>
    <row r="57" spans="2:14">
      <c r="B57" s="1000" t="s">
        <v>1005</v>
      </c>
      <c r="C57" s="76" t="s">
        <v>1002</v>
      </c>
      <c r="D57" s="443">
        <v>0</v>
      </c>
      <c r="E57" s="443">
        <v>0</v>
      </c>
      <c r="F57" s="443">
        <v>0</v>
      </c>
      <c r="G57" s="444"/>
      <c r="H57" s="444"/>
    </row>
    <row r="58" spans="2:14">
      <c r="B58" s="6" t="s">
        <v>1006</v>
      </c>
      <c r="C58" s="76" t="s">
        <v>252</v>
      </c>
      <c r="D58" s="464">
        <f>D56*D57</f>
        <v>0</v>
      </c>
      <c r="E58" s="464">
        <f t="shared" ref="E58:H58" si="6">E56*E57</f>
        <v>0</v>
      </c>
      <c r="F58" s="464">
        <f t="shared" si="6"/>
        <v>0</v>
      </c>
      <c r="G58" s="464">
        <f t="shared" si="6"/>
        <v>0</v>
      </c>
      <c r="H58" s="464">
        <f t="shared" si="6"/>
        <v>0</v>
      </c>
    </row>
    <row r="59" spans="2:14">
      <c r="C59" s="76"/>
    </row>
    <row r="60" spans="2:14">
      <c r="B60" s="6" t="s">
        <v>1007</v>
      </c>
      <c r="C60" s="76" t="s">
        <v>252</v>
      </c>
      <c r="D60" s="443">
        <v>0</v>
      </c>
      <c r="E60" s="444">
        <v>0</v>
      </c>
      <c r="F60" s="444">
        <v>0</v>
      </c>
      <c r="G60" s="444"/>
      <c r="H60" s="444"/>
    </row>
    <row r="61" spans="2:14">
      <c r="B61" s="6"/>
      <c r="C61" s="6"/>
      <c r="D61" s="6"/>
      <c r="E61" s="6"/>
      <c r="F61" s="6"/>
      <c r="G61" s="6"/>
      <c r="H61" s="6"/>
      <c r="I61" s="6"/>
      <c r="J61" s="6"/>
      <c r="K61" s="6"/>
      <c r="L61" s="6"/>
      <c r="M61" s="6"/>
      <c r="N61" s="6"/>
    </row>
    <row r="62" spans="2:14">
      <c r="B62" s="6" t="s">
        <v>1008</v>
      </c>
      <c r="C62" s="76"/>
      <c r="D62" s="464">
        <f>D54+D58+D60</f>
        <v>0</v>
      </c>
      <c r="E62" s="464">
        <f>E54+E58+E60</f>
        <v>0</v>
      </c>
      <c r="F62" s="464">
        <f>F54+F58+F60</f>
        <v>0</v>
      </c>
      <c r="G62" s="464">
        <f>G54+G58+G60</f>
        <v>0</v>
      </c>
      <c r="H62" s="464">
        <f>H54+H58+H60</f>
        <v>0</v>
      </c>
    </row>
    <row r="63" spans="2:14">
      <c r="B63" s="6" t="s">
        <v>988</v>
      </c>
      <c r="C63" s="76" t="s">
        <v>252</v>
      </c>
      <c r="D63" s="443">
        <v>0</v>
      </c>
      <c r="E63" s="444">
        <v>0</v>
      </c>
      <c r="F63" s="444">
        <v>0</v>
      </c>
      <c r="G63" s="444"/>
      <c r="H63" s="444"/>
    </row>
    <row r="64" spans="2:14">
      <c r="B64" s="6"/>
      <c r="C64" s="76"/>
      <c r="D64" s="6"/>
      <c r="E64" s="6"/>
      <c r="F64" s="6"/>
      <c r="G64" s="6"/>
      <c r="H64" s="6"/>
      <c r="J64" s="6"/>
      <c r="K64" s="6"/>
    </row>
    <row r="65" spans="1:12">
      <c r="B65" s="6" t="s">
        <v>1009</v>
      </c>
      <c r="C65" s="76" t="s">
        <v>252</v>
      </c>
      <c r="D65" s="464">
        <f>D46+D62</f>
        <v>0.62248545</v>
      </c>
      <c r="E65" s="464">
        <f t="shared" ref="E65:H65" si="7">E46+E62</f>
        <v>0.40498619999999996</v>
      </c>
      <c r="F65" s="464">
        <f t="shared" si="7"/>
        <v>0.2134568</v>
      </c>
      <c r="G65" s="464">
        <f t="shared" si="7"/>
        <v>0</v>
      </c>
      <c r="H65" s="464">
        <f t="shared" si="7"/>
        <v>0</v>
      </c>
    </row>
    <row r="66" spans="1:12">
      <c r="B66" s="6" t="s">
        <v>1010</v>
      </c>
      <c r="C66" s="76" t="s">
        <v>252</v>
      </c>
      <c r="D66" s="464">
        <f>D47+D63</f>
        <v>0.62248545</v>
      </c>
      <c r="E66" s="464">
        <f t="shared" ref="E66:H66" si="8">E47+E63</f>
        <v>0.40498619999999996</v>
      </c>
      <c r="F66" s="464">
        <f t="shared" si="8"/>
        <v>0.21487339999999999</v>
      </c>
      <c r="G66" s="464">
        <f t="shared" si="8"/>
        <v>0</v>
      </c>
      <c r="H66" s="464">
        <f t="shared" si="8"/>
        <v>0</v>
      </c>
      <c r="J66" s="6"/>
    </row>
    <row r="67" spans="1:12">
      <c r="B67" s="6"/>
      <c r="C67" s="76"/>
      <c r="D67" s="890"/>
      <c r="E67" s="890"/>
      <c r="F67" s="890"/>
      <c r="G67" s="890"/>
      <c r="H67" s="890"/>
      <c r="J67" s="6"/>
    </row>
    <row r="68" spans="1:12">
      <c r="B68" s="6" t="s">
        <v>1011</v>
      </c>
      <c r="C68" s="76"/>
      <c r="D68" s="890"/>
      <c r="E68" s="890"/>
      <c r="F68" s="890"/>
      <c r="G68" s="890"/>
      <c r="H68" s="890"/>
      <c r="J68" s="6"/>
    </row>
    <row r="69" spans="1:12">
      <c r="B69" t="s">
        <v>1012</v>
      </c>
      <c r="C69" s="76"/>
      <c r="D69" s="1090">
        <v>12.7</v>
      </c>
      <c r="E69" s="890"/>
      <c r="F69" s="890"/>
      <c r="G69" s="890"/>
      <c r="H69" s="890"/>
      <c r="J69" s="6"/>
    </row>
    <row r="70" spans="1:12">
      <c r="B70" t="s">
        <v>1013</v>
      </c>
      <c r="C70" s="76"/>
      <c r="D70" s="1090">
        <v>9.8000000000000007</v>
      </c>
      <c r="E70" s="890"/>
      <c r="F70" s="890"/>
      <c r="G70" s="890"/>
      <c r="H70" s="890"/>
      <c r="J70" s="6"/>
    </row>
    <row r="71" spans="1:12">
      <c r="B71" t="s">
        <v>1014</v>
      </c>
      <c r="C71" s="76"/>
      <c r="D71" s="1090">
        <v>7.4</v>
      </c>
      <c r="E71" s="890"/>
      <c r="F71" s="890"/>
      <c r="G71" s="890"/>
      <c r="H71" s="890"/>
      <c r="J71" s="6"/>
    </row>
    <row r="72" spans="1:12">
      <c r="B72" s="6"/>
      <c r="C72" s="76"/>
      <c r="D72" s="890"/>
      <c r="E72" s="890"/>
      <c r="F72" s="890"/>
      <c r="G72" s="890"/>
      <c r="H72" s="890"/>
      <c r="J72" s="6"/>
    </row>
    <row r="73" spans="1:12">
      <c r="A73" s="780" t="s">
        <v>1015</v>
      </c>
      <c r="B73" s="6"/>
      <c r="C73" s="76"/>
      <c r="D73" s="76"/>
      <c r="E73" s="76"/>
      <c r="F73" s="76"/>
      <c r="G73" s="76"/>
      <c r="H73" s="76"/>
      <c r="I73" s="76"/>
      <c r="J73" s="76"/>
      <c r="K73" s="76"/>
      <c r="L73" s="76"/>
    </row>
    <row r="74" spans="1:12">
      <c r="A74" s="780" t="s">
        <v>1016</v>
      </c>
      <c r="B74" s="6"/>
      <c r="C74" s="6"/>
      <c r="D74" s="6"/>
      <c r="E74" s="6"/>
      <c r="F74" s="6"/>
      <c r="G74" s="6"/>
      <c r="H74" s="6"/>
      <c r="I74" s="6"/>
      <c r="J74" s="6"/>
    </row>
    <row r="75" spans="1:12">
      <c r="A75" s="780"/>
      <c r="B75" s="6"/>
      <c r="C75" s="6"/>
      <c r="D75" s="6"/>
      <c r="E75" s="6"/>
      <c r="F75" s="6"/>
      <c r="G75" s="6"/>
      <c r="H75" s="6"/>
      <c r="I75" s="6"/>
      <c r="J75" s="6"/>
    </row>
    <row r="76" spans="1:12">
      <c r="B76" s="6" t="s">
        <v>1017</v>
      </c>
    </row>
    <row r="77" spans="1:12">
      <c r="B77" s="6"/>
    </row>
    <row r="78" spans="1:12">
      <c r="B78" s="1320" t="s">
        <v>1018</v>
      </c>
      <c r="C78" s="1301"/>
      <c r="D78" s="1301"/>
      <c r="E78" s="1301"/>
      <c r="F78" s="1301"/>
      <c r="G78" s="1272"/>
      <c r="H78" s="1302"/>
    </row>
    <row r="79" spans="1:12">
      <c r="B79" s="1127"/>
      <c r="C79" s="1128"/>
      <c r="D79" s="794"/>
      <c r="E79" s="765"/>
      <c r="F79" s="765"/>
      <c r="G79" s="765"/>
      <c r="H79" s="795"/>
    </row>
    <row r="80" spans="1:12">
      <c r="B80" s="1127"/>
      <c r="C80" s="1128"/>
      <c r="D80" s="794"/>
      <c r="E80" s="765"/>
      <c r="F80" s="765"/>
      <c r="G80" s="765"/>
      <c r="H80" s="795"/>
    </row>
    <row r="81" spans="2:8">
      <c r="B81" s="1127"/>
      <c r="C81" s="1128"/>
      <c r="D81" s="794"/>
      <c r="E81" s="765"/>
      <c r="F81" s="765"/>
      <c r="G81" s="765"/>
      <c r="H81" s="795"/>
    </row>
    <row r="82" spans="2:8">
      <c r="B82" s="1127"/>
      <c r="C82" s="1128"/>
      <c r="D82" s="794"/>
      <c r="E82" s="765"/>
      <c r="F82" s="765"/>
      <c r="G82" s="765"/>
      <c r="H82" s="795"/>
    </row>
    <row r="83" spans="2:8">
      <c r="B83" s="1129"/>
      <c r="C83" s="1130"/>
      <c r="D83" s="1060"/>
      <c r="E83" s="1061"/>
      <c r="F83" s="1061"/>
      <c r="G83" s="1061"/>
      <c r="H83" s="797"/>
    </row>
  </sheetData>
  <sheetProtection algorithmName="SHA-512" hashValue="qi6ldUH6JuiwcskN6qxl3fQNT+rEtz6WtXhY3yA36z9ekea+kFMSVldVbMTAiPLyjH/ncUvWo6gW6x2Knl4SrA==" saltValue="AEs9KuYX/okicRJcr+z34Q==" spinCount="100000" sheet="1" objects="1" scenarios="1"/>
  <mergeCells count="1">
    <mergeCell ref="D23:H23"/>
  </mergeCells>
  <phoneticPr fontId="265" type="noConversion"/>
  <conditionalFormatting sqref="D5:G6">
    <cfRule type="expression" dxfId="24" priority="36">
      <formula>AND(D$5="Actuals",E$5="N/A")</formula>
    </cfRule>
  </conditionalFormatting>
  <conditionalFormatting sqref="D5:H6 D63:H63 D39:H39 D44:H44 D41:H42 D65:H72 D27:H36 D50:H58">
    <cfRule type="expression" dxfId="23" priority="28">
      <formula>D$5="N/A"</formula>
    </cfRule>
  </conditionalFormatting>
  <conditionalFormatting sqref="D20:H20">
    <cfRule type="expression" priority="22">
      <formula>D$5="N/A"</formula>
    </cfRule>
  </conditionalFormatting>
  <conditionalFormatting sqref="H5:H6">
    <cfRule type="expression" dxfId="22" priority="275">
      <formula>AND(H$5="Actuals",#REF!="N/A")</formula>
    </cfRule>
  </conditionalFormatting>
  <conditionalFormatting sqref="D60:H60 D62:H62">
    <cfRule type="expression" dxfId="21" priority="14">
      <formula>D$5="N/A"</formula>
    </cfRule>
  </conditionalFormatting>
  <conditionalFormatting sqref="D40:H40">
    <cfRule type="expression" dxfId="20" priority="12">
      <formula>D$5="N/A"</formula>
    </cfRule>
  </conditionalFormatting>
  <conditionalFormatting sqref="D7:H7">
    <cfRule type="expression" dxfId="19" priority="11">
      <formula>AND(D$5="Actuals",E$5="Forecast")</formula>
    </cfRule>
  </conditionalFormatting>
  <conditionalFormatting sqref="E11:H11">
    <cfRule type="expression" dxfId="18" priority="6">
      <formula>E$5="Forecast"</formula>
    </cfRule>
  </conditionalFormatting>
  <conditionalFormatting sqref="D13:H14">
    <cfRule type="expression" dxfId="17" priority="5">
      <formula>D$5="Forecast"</formula>
    </cfRule>
  </conditionalFormatting>
  <conditionalFormatting sqref="D15:H15">
    <cfRule type="expression" dxfId="16" priority="4">
      <formula>D$5="Forecast"</formula>
    </cfRule>
  </conditionalFormatting>
  <conditionalFormatting sqref="D18:H18">
    <cfRule type="expression" dxfId="15" priority="3">
      <formula>D$5="Forecast"</formula>
    </cfRule>
  </conditionalFormatting>
  <conditionalFormatting sqref="D16:H16">
    <cfRule type="expression" dxfId="14" priority="2">
      <formula>D$5="Forecast"</formula>
    </cfRule>
  </conditionalFormatting>
  <conditionalFormatting sqref="D11">
    <cfRule type="expression" dxfId="13" priority="1">
      <formula>D$5="Forecast"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80" zoomScaleNormal="70" workbookViewId="0">
      <pane ySplit="6" topLeftCell="A7" activePane="bottomLeft" state="frozen"/>
      <selection activeCell="D15" sqref="D15"/>
      <selection pane="bottomLeft" activeCell="F33" sqref="F33"/>
    </sheetView>
  </sheetViews>
  <sheetFormatPr defaultRowHeight="13.5"/>
  <cols>
    <col min="1" max="1" width="8.3828125" customWidth="1"/>
    <col min="2" max="2" width="82" customWidth="1"/>
    <col min="3" max="3" width="14.15234375" customWidth="1"/>
    <col min="4" max="8" width="11.15234375" customWidth="1"/>
    <col min="9" max="9" width="6.61328125" bestFit="1" customWidth="1"/>
  </cols>
  <sheetData>
    <row r="1" spans="1:10" ht="20">
      <c r="A1" s="1275" t="s">
        <v>1019</v>
      </c>
      <c r="B1" s="839"/>
      <c r="C1" s="840"/>
      <c r="D1" s="840"/>
      <c r="E1" s="840"/>
      <c r="F1" s="840"/>
      <c r="G1" s="840"/>
      <c r="H1" s="840"/>
      <c r="I1" s="1284"/>
    </row>
    <row r="2" spans="1:10" ht="20">
      <c r="A2" s="712" t="str">
        <f>Licensee</f>
        <v>ESO</v>
      </c>
      <c r="B2" s="707"/>
      <c r="C2" s="16"/>
      <c r="D2" s="16"/>
      <c r="E2" s="16"/>
      <c r="F2" s="16"/>
      <c r="G2" s="16"/>
      <c r="H2" s="16"/>
      <c r="I2" s="66"/>
    </row>
    <row r="3" spans="1:10" ht="20">
      <c r="A3" s="707">
        <f>Reporting_Year</f>
        <v>2022</v>
      </c>
      <c r="B3" s="1068"/>
      <c r="C3" s="1054"/>
      <c r="D3" s="1054"/>
      <c r="E3" s="1054"/>
      <c r="F3" s="1054"/>
      <c r="G3" s="1054"/>
      <c r="H3" s="1054"/>
      <c r="I3" s="120"/>
    </row>
    <row r="4" spans="1:10" s="2" customFormat="1" ht="12.75" customHeight="1">
      <c r="B4" s="3"/>
      <c r="C4"/>
      <c r="D4" s="124"/>
      <c r="E4" s="124"/>
    </row>
    <row r="5" spans="1:10" s="2" customFormat="1" ht="12.75" customHeight="1">
      <c r="B5" s="3"/>
      <c r="C5"/>
      <c r="D5" s="1092" t="str">
        <f t="shared" ref="D5:H5" si="0">IF(D6&lt;=Reporting_Year,"Actuals","Forecast")</f>
        <v>Actuals</v>
      </c>
      <c r="E5" s="1092" t="str">
        <f t="shared" si="0"/>
        <v>Forecast</v>
      </c>
      <c r="F5" s="1092" t="str">
        <f t="shared" si="0"/>
        <v>Forecast</v>
      </c>
      <c r="G5" s="1092" t="str">
        <f t="shared" si="0"/>
        <v>Forecast</v>
      </c>
      <c r="H5" s="1092" t="str">
        <f t="shared" si="0"/>
        <v>Forecast</v>
      </c>
      <c r="I5" s="1"/>
    </row>
    <row r="6" spans="1:10" s="2" customFormat="1">
      <c r="C6"/>
      <c r="D6" s="896">
        <f>'RFPR cover'!$C$6</f>
        <v>2022</v>
      </c>
      <c r="E6" s="896">
        <f>D6+1</f>
        <v>2023</v>
      </c>
      <c r="F6" s="896">
        <f t="shared" ref="F6:H6" si="1">E6+1</f>
        <v>2024</v>
      </c>
      <c r="G6" s="896">
        <f t="shared" si="1"/>
        <v>2025</v>
      </c>
      <c r="H6" s="896">
        <f t="shared" si="1"/>
        <v>2026</v>
      </c>
      <c r="I6" s="1"/>
    </row>
    <row r="7" spans="1:10"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96" t="str">
        <f>RIIO_2_start_date+3&amp;"/"&amp;RIGHT(RIIO_2_start_date+4,2)</f>
        <v>2025/26</v>
      </c>
      <c r="I7" s="1"/>
    </row>
    <row r="8" spans="1:10" s="2" customFormat="1">
      <c r="I8" s="1"/>
    </row>
    <row r="9" spans="1:10" s="2" customFormat="1">
      <c r="B9" s="62" t="s">
        <v>1020</v>
      </c>
      <c r="C9" s="74"/>
      <c r="D9" s="41"/>
      <c r="E9" s="41"/>
      <c r="F9" s="41"/>
      <c r="G9" s="41"/>
      <c r="H9" s="41"/>
      <c r="I9" s="1"/>
    </row>
    <row r="10" spans="1:10" s="2" customFormat="1">
      <c r="B10" s="5"/>
      <c r="C10" s="70"/>
      <c r="I10" s="1"/>
    </row>
    <row r="11" spans="1:10" s="2" customFormat="1">
      <c r="B11" s="5"/>
      <c r="C11" s="70"/>
      <c r="I11" s="1"/>
    </row>
    <row r="12" spans="1:10">
      <c r="B12" s="6" t="s">
        <v>1021</v>
      </c>
      <c r="C12" s="76" t="s">
        <v>252</v>
      </c>
      <c r="D12" s="1093">
        <v>11.955286812163436</v>
      </c>
      <c r="E12" s="1093"/>
      <c r="F12" s="1093"/>
      <c r="G12" s="1093"/>
      <c r="H12" s="1093"/>
      <c r="I12" s="1"/>
      <c r="J12" s="2"/>
    </row>
    <row r="13" spans="1:10">
      <c r="B13" s="8" t="s">
        <v>1022</v>
      </c>
      <c r="D13" s="481"/>
      <c r="E13" s="481"/>
      <c r="F13" s="481"/>
      <c r="G13" s="481"/>
      <c r="H13" s="481"/>
      <c r="J13" s="2"/>
    </row>
    <row r="14" spans="1:10">
      <c r="B14" t="s">
        <v>1023</v>
      </c>
      <c r="C14" s="76" t="s">
        <v>252</v>
      </c>
      <c r="D14" s="1093">
        <v>11.955286812163436</v>
      </c>
      <c r="E14" s="1093"/>
      <c r="F14" s="1093"/>
      <c r="G14" s="1093"/>
      <c r="H14" s="1093"/>
      <c r="I14" s="1"/>
      <c r="J14" s="2"/>
    </row>
    <row r="15" spans="1:10">
      <c r="B15" t="s">
        <v>1024</v>
      </c>
      <c r="C15" s="76" t="s">
        <v>252</v>
      </c>
      <c r="D15" s="1093">
        <v>0</v>
      </c>
      <c r="E15" s="1093"/>
      <c r="F15" s="1093"/>
      <c r="G15" s="1093"/>
      <c r="H15" s="1093"/>
      <c r="I15" s="1"/>
      <c r="J15" s="2"/>
    </row>
    <row r="16" spans="1:10">
      <c r="D16" s="481"/>
      <c r="E16" s="481"/>
      <c r="F16" s="481"/>
      <c r="G16" s="481"/>
      <c r="H16" s="481"/>
      <c r="I16" s="1"/>
      <c r="J16" s="2"/>
    </row>
    <row r="17" spans="2:10">
      <c r="D17" s="481"/>
      <c r="E17" s="481"/>
      <c r="F17" s="481"/>
      <c r="G17" s="481"/>
      <c r="H17" s="481"/>
      <c r="I17" s="1"/>
      <c r="J17" s="2"/>
    </row>
    <row r="18" spans="2:10">
      <c r="B18" t="s">
        <v>1023</v>
      </c>
      <c r="C18" s="95" t="str">
        <f>Data!$C$9</f>
        <v>£m 18/19</v>
      </c>
      <c r="D18" s="1062">
        <f t="shared" ref="D18:H18" si="2">D$14/INDEX(real_to_nominal_CF,MATCH(D6,calendar_year,0))</f>
        <v>11.020896316194847</v>
      </c>
      <c r="E18" s="1062">
        <f t="shared" si="2"/>
        <v>0</v>
      </c>
      <c r="F18" s="1062">
        <f t="shared" si="2"/>
        <v>0</v>
      </c>
      <c r="G18" s="1062">
        <f t="shared" si="2"/>
        <v>0</v>
      </c>
      <c r="H18" s="1062">
        <f t="shared" si="2"/>
        <v>0</v>
      </c>
      <c r="I18" s="1"/>
      <c r="J18" s="2"/>
    </row>
    <row r="19" spans="2:10">
      <c r="D19" s="481"/>
      <c r="E19" s="481"/>
      <c r="F19" s="481"/>
      <c r="G19" s="481"/>
      <c r="H19" s="481"/>
      <c r="I19" s="1"/>
      <c r="J19" s="2"/>
    </row>
    <row r="20" spans="2:10">
      <c r="D20" s="481"/>
      <c r="E20" s="481"/>
      <c r="F20" s="481"/>
      <c r="G20" s="481"/>
      <c r="H20" s="481"/>
      <c r="I20" s="1"/>
      <c r="J20" s="2"/>
    </row>
    <row r="21" spans="2:10" s="2" customFormat="1">
      <c r="B21" s="6" t="s">
        <v>1025</v>
      </c>
      <c r="C21" s="95" t="str">
        <f>Data!$C$9</f>
        <v>£m 18/19</v>
      </c>
      <c r="D21" s="1094">
        <v>9.5676825700000006</v>
      </c>
      <c r="E21" s="1094">
        <v>9.4432707600000008</v>
      </c>
      <c r="F21" s="1094">
        <v>3.7830286800000001</v>
      </c>
      <c r="G21" s="1094"/>
      <c r="H21" s="1094"/>
      <c r="I21" s="1"/>
    </row>
    <row r="22" spans="2:10" s="2" customFormat="1">
      <c r="B22" t="s">
        <v>1026</v>
      </c>
      <c r="C22" s="95" t="str">
        <f>Data!$C$9</f>
        <v>£m 18/19</v>
      </c>
      <c r="D22" s="1079">
        <v>-1.7</v>
      </c>
      <c r="E22" s="1079">
        <v>-1.7</v>
      </c>
      <c r="F22" s="1079">
        <v>-1.7</v>
      </c>
      <c r="G22" s="1079">
        <v>0</v>
      </c>
      <c r="H22" s="1079">
        <v>0</v>
      </c>
      <c r="I22" s="1"/>
    </row>
    <row r="23" spans="2:10" s="2" customFormat="1">
      <c r="B23" s="6" t="s">
        <v>1027</v>
      </c>
      <c r="C23" s="95" t="str">
        <f>Data!$C$9</f>
        <v>£m 18/19</v>
      </c>
      <c r="D23" s="1062">
        <f>D21-D22</f>
        <v>11.26768257</v>
      </c>
      <c r="E23" s="1062">
        <f t="shared" ref="E23:H23" si="3">E21-E22</f>
        <v>11.14327076</v>
      </c>
      <c r="F23" s="1062">
        <f t="shared" si="3"/>
        <v>5.4830286800000003</v>
      </c>
      <c r="G23" s="1062">
        <f t="shared" si="3"/>
        <v>0</v>
      </c>
      <c r="H23" s="1062">
        <f t="shared" si="3"/>
        <v>0</v>
      </c>
      <c r="I23" s="1"/>
    </row>
    <row r="24" spans="2:10" s="2" customFormat="1">
      <c r="B24" s="6"/>
      <c r="C24" s="6"/>
      <c r="D24" s="6"/>
      <c r="E24" s="6"/>
      <c r="F24" s="6"/>
      <c r="G24" s="6"/>
      <c r="H24" s="6"/>
      <c r="I24" s="1"/>
    </row>
    <row r="25" spans="2:10" s="2" customFormat="1">
      <c r="B25" s="6"/>
      <c r="C25" s="6"/>
      <c r="D25" s="1482" t="s">
        <v>1028</v>
      </c>
      <c r="E25" s="6"/>
      <c r="F25" s="6"/>
      <c r="G25" s="6"/>
      <c r="H25" s="6"/>
      <c r="I25" s="1"/>
    </row>
    <row r="26" spans="2:10" s="2" customFormat="1" ht="12.75" customHeight="1">
      <c r="B26" s="6"/>
      <c r="C26" s="6"/>
      <c r="D26" s="1483"/>
      <c r="E26" s="6"/>
      <c r="F26" s="6"/>
      <c r="G26" s="6"/>
      <c r="H26" s="6"/>
      <c r="I26" s="1"/>
    </row>
    <row r="27" spans="2:10">
      <c r="C27" s="6"/>
      <c r="D27" s="1484"/>
      <c r="E27" s="6"/>
      <c r="I27" s="1"/>
    </row>
    <row r="28" spans="2:10">
      <c r="B28" s="6" t="s">
        <v>1029</v>
      </c>
      <c r="C28" s="6"/>
      <c r="D28" s="1095">
        <v>43555</v>
      </c>
      <c r="I28" s="1"/>
    </row>
    <row r="29" spans="2:10">
      <c r="B29" s="6"/>
      <c r="C29" s="6"/>
      <c r="D29" s="23"/>
      <c r="E29" s="24"/>
      <c r="F29" s="24"/>
      <c r="I29" s="1"/>
    </row>
    <row r="30" spans="2:10">
      <c r="B30" t="s">
        <v>888</v>
      </c>
      <c r="C30" s="6"/>
      <c r="D30" s="1306">
        <v>43555</v>
      </c>
      <c r="E30" s="24"/>
      <c r="F30" s="24"/>
      <c r="I30" s="1"/>
    </row>
    <row r="31" spans="2:10">
      <c r="C31" s="6"/>
      <c r="D31" s="23"/>
      <c r="E31" s="24"/>
      <c r="F31" s="24"/>
      <c r="I31" s="1"/>
    </row>
    <row r="32" spans="2:10">
      <c r="B32" s="6"/>
      <c r="D32" s="179"/>
      <c r="E32" s="24"/>
      <c r="F32" s="24"/>
      <c r="I32" s="1"/>
    </row>
    <row r="33" spans="2:9">
      <c r="B33" t="s">
        <v>1030</v>
      </c>
      <c r="C33" s="1144" t="str">
        <f>"£m "&amp;$D$30</f>
        <v>£m 43555</v>
      </c>
      <c r="D33" s="1079">
        <v>300.22987840000002</v>
      </c>
      <c r="I33" s="1"/>
    </row>
    <row r="34" spans="2:9">
      <c r="B34" t="s">
        <v>1031</v>
      </c>
      <c r="C34" s="1144" t="str">
        <f>"£m "&amp;$D$30</f>
        <v>£m 43555</v>
      </c>
      <c r="D34" s="1079">
        <v>3080.6701216000001</v>
      </c>
      <c r="I34" s="1"/>
    </row>
    <row r="35" spans="2:9">
      <c r="C35" s="179"/>
      <c r="D35" s="481"/>
      <c r="I35" s="1"/>
    </row>
    <row r="36" spans="2:9">
      <c r="B36" t="s">
        <v>1032</v>
      </c>
      <c r="C36" s="1144" t="str">
        <f>"£m "&amp;$D$30</f>
        <v>£m 43555</v>
      </c>
      <c r="D36" s="1079">
        <v>301.8</v>
      </c>
      <c r="I36" s="1"/>
    </row>
    <row r="37" spans="2:9">
      <c r="B37" t="s">
        <v>1033</v>
      </c>
      <c r="C37" s="1144" t="str">
        <f>"£m "&amp;$D$30</f>
        <v>£m 43555</v>
      </c>
      <c r="D37" s="1079">
        <v>2841.6999999999994</v>
      </c>
      <c r="I37" s="1"/>
    </row>
    <row r="38" spans="2:9">
      <c r="C38" s="179"/>
      <c r="D38" s="481"/>
      <c r="I38" s="1"/>
    </row>
    <row r="39" spans="2:9">
      <c r="B39" s="25" t="s">
        <v>1034</v>
      </c>
      <c r="C39" s="1144" t="str">
        <f>"£m "&amp;$D$30</f>
        <v>£m 43555</v>
      </c>
      <c r="D39" s="1062">
        <f>D33-D36</f>
        <v>-1.5701215999999931</v>
      </c>
      <c r="I39" s="1"/>
    </row>
    <row r="40" spans="2:9">
      <c r="B40" s="25" t="s">
        <v>1035</v>
      </c>
      <c r="C40" s="1144" t="str">
        <f>"£m "&amp;$D$30</f>
        <v>£m 43555</v>
      </c>
      <c r="D40" s="1062">
        <f>D34-D37</f>
        <v>238.97012160000077</v>
      </c>
      <c r="I40" s="1"/>
    </row>
    <row r="41" spans="2:9">
      <c r="C41" s="179"/>
      <c r="D41" s="481"/>
      <c r="I41" s="1"/>
    </row>
    <row r="42" spans="2:9">
      <c r="B42" t="s">
        <v>1036</v>
      </c>
      <c r="C42" s="1144" t="str">
        <f>"£m "&amp;$D$30</f>
        <v>£m 43555</v>
      </c>
      <c r="D42" s="1079">
        <v>51.833839096225802</v>
      </c>
      <c r="I42" s="1"/>
    </row>
    <row r="43" spans="2:9">
      <c r="B43" t="s">
        <v>1037</v>
      </c>
      <c r="C43" s="1144" t="str">
        <f>"£m "&amp;$D$30</f>
        <v>£m 43555</v>
      </c>
      <c r="D43" s="1079">
        <v>-0.42389420040990999</v>
      </c>
      <c r="I43" s="1"/>
    </row>
    <row r="44" spans="2:9">
      <c r="I44" s="1"/>
    </row>
    <row r="45" spans="2:9">
      <c r="I45" s="1"/>
    </row>
    <row r="46" spans="2:9">
      <c r="I46" s="1"/>
    </row>
    <row r="47" spans="2:9">
      <c r="B47" s="62" t="s">
        <v>1038</v>
      </c>
      <c r="C47" s="74"/>
      <c r="D47" s="41"/>
      <c r="E47" s="41"/>
      <c r="F47" s="41"/>
      <c r="G47" s="41"/>
      <c r="H47" s="41"/>
      <c r="I47" s="1"/>
    </row>
    <row r="48" spans="2:9">
      <c r="I48" s="1"/>
    </row>
    <row r="49" spans="1:9">
      <c r="I49" s="1"/>
    </row>
    <row r="50" spans="1:9">
      <c r="I50" s="1"/>
    </row>
    <row r="51" spans="1:9">
      <c r="A51" s="2"/>
      <c r="B51" s="3"/>
      <c r="C51" s="3"/>
      <c r="D51" s="1092" t="str">
        <f t="shared" ref="D51:H51" si="4">IF(D52&lt;=Reporting_Year,"Actuals","Forecast")</f>
        <v>Actuals</v>
      </c>
      <c r="E51" s="1092" t="str">
        <f t="shared" si="4"/>
        <v>Forecast</v>
      </c>
      <c r="F51" s="1092" t="str">
        <f t="shared" si="4"/>
        <v>Forecast</v>
      </c>
      <c r="G51" s="1092" t="str">
        <f t="shared" si="4"/>
        <v>Forecast</v>
      </c>
      <c r="H51" s="1092" t="str">
        <f t="shared" si="4"/>
        <v>Forecast</v>
      </c>
      <c r="I51" s="1"/>
    </row>
    <row r="52" spans="1:9">
      <c r="A52" s="2"/>
      <c r="B52" s="2"/>
      <c r="C52" s="6"/>
      <c r="D52" s="896">
        <f>'RFPR cover'!$C$6</f>
        <v>2022</v>
      </c>
      <c r="E52" s="896">
        <f t="shared" ref="E52:H52" si="5">D52+1</f>
        <v>2023</v>
      </c>
      <c r="F52" s="896">
        <f t="shared" si="5"/>
        <v>2024</v>
      </c>
      <c r="G52" s="896">
        <f t="shared" si="5"/>
        <v>2025</v>
      </c>
      <c r="H52" s="896">
        <f t="shared" si="5"/>
        <v>2026</v>
      </c>
      <c r="I52" s="1"/>
    </row>
    <row r="53" spans="1:9">
      <c r="D53" s="482"/>
      <c r="E53" s="482"/>
      <c r="F53" s="482"/>
      <c r="G53" s="482"/>
      <c r="H53" s="482"/>
      <c r="I53" s="1"/>
    </row>
    <row r="54" spans="1:9">
      <c r="B54" s="5" t="s">
        <v>1039</v>
      </c>
      <c r="C54" s="95" t="str">
        <f>Data!$C$9</f>
        <v>£m 18/19</v>
      </c>
      <c r="D54" s="1096">
        <f>(D$62+D$67)/INDEX(real_to_nominal_CF,MATCH('R10 - Pensions &amp; Oth Activities'!D52,calendar_year,0))</f>
        <v>0</v>
      </c>
      <c r="E54" s="1096">
        <f>(E$62+E$67)/INDEX(real_to_nominal_CF,MATCH('R10 - Pensions &amp; Oth Activities'!E52,calendar_year,0))</f>
        <v>0</v>
      </c>
      <c r="F54" s="1096">
        <f>(F$62+F$67)/INDEX(real_to_nominal_CF,MATCH('R10 - Pensions &amp; Oth Activities'!F52,calendar_year,0))</f>
        <v>0</v>
      </c>
      <c r="G54" s="1096">
        <f>(G$62+G$67)/INDEX(real_to_nominal_CF,MATCH('R10 - Pensions &amp; Oth Activities'!G52,calendar_year,0))</f>
        <v>0</v>
      </c>
      <c r="H54" s="1096">
        <f>(H$62+H$67)/INDEX(real_to_nominal_CF,MATCH('R10 - Pensions &amp; Oth Activities'!H52,calendar_year,0))</f>
        <v>0</v>
      </c>
      <c r="I54" s="1"/>
    </row>
    <row r="55" spans="1:9">
      <c r="D55" s="482"/>
      <c r="E55" s="482"/>
      <c r="F55" s="482"/>
      <c r="G55" s="482"/>
      <c r="H55" s="482"/>
    </row>
    <row r="56" spans="1:9">
      <c r="B56" s="6" t="s">
        <v>1040</v>
      </c>
      <c r="D56" s="482"/>
      <c r="E56" s="482"/>
      <c r="F56" s="482"/>
      <c r="G56" s="482"/>
      <c r="H56" s="482"/>
    </row>
    <row r="57" spans="1:9">
      <c r="B57" s="1160" t="s">
        <v>1041</v>
      </c>
      <c r="C57" s="76" t="s">
        <v>252</v>
      </c>
      <c r="D57" s="1090"/>
      <c r="E57" s="1090"/>
      <c r="F57" s="1090"/>
      <c r="G57" s="1090"/>
      <c r="H57" s="1090"/>
    </row>
    <row r="58" spans="1:9">
      <c r="B58" s="1160" t="s">
        <v>1041</v>
      </c>
      <c r="C58" s="76" t="s">
        <v>252</v>
      </c>
      <c r="D58" s="1090"/>
      <c r="E58" s="1090"/>
      <c r="F58" s="1090"/>
      <c r="G58" s="1090"/>
      <c r="H58" s="1090"/>
    </row>
    <row r="59" spans="1:9">
      <c r="B59" s="1160" t="s">
        <v>867</v>
      </c>
      <c r="C59" s="76" t="s">
        <v>252</v>
      </c>
      <c r="D59" s="1090"/>
      <c r="E59" s="1090"/>
      <c r="F59" s="1090"/>
      <c r="G59" s="1090"/>
      <c r="H59" s="1090"/>
    </row>
    <row r="60" spans="1:9">
      <c r="B60" s="6" t="s">
        <v>1042</v>
      </c>
      <c r="C60" s="76" t="s">
        <v>252</v>
      </c>
      <c r="D60" s="1096">
        <f t="shared" ref="D60:H60" si="6">SUM(D57:D59)</f>
        <v>0</v>
      </c>
      <c r="E60" s="1096">
        <f t="shared" si="6"/>
        <v>0</v>
      </c>
      <c r="F60" s="1096">
        <f t="shared" si="6"/>
        <v>0</v>
      </c>
      <c r="G60" s="1096">
        <f t="shared" si="6"/>
        <v>0</v>
      </c>
      <c r="H60" s="1096">
        <f t="shared" si="6"/>
        <v>0</v>
      </c>
    </row>
    <row r="61" spans="1:9">
      <c r="B61" s="2" t="s">
        <v>1043</v>
      </c>
      <c r="C61" s="76" t="s">
        <v>252</v>
      </c>
      <c r="D61" s="1090">
        <v>0</v>
      </c>
      <c r="E61" s="1090">
        <v>0</v>
      </c>
      <c r="F61" s="1090">
        <v>0</v>
      </c>
      <c r="G61" s="1090">
        <v>0</v>
      </c>
      <c r="H61" s="1090">
        <v>0</v>
      </c>
    </row>
    <row r="62" spans="1:9">
      <c r="B62" s="5" t="s">
        <v>1044</v>
      </c>
      <c r="C62" s="76" t="s">
        <v>252</v>
      </c>
      <c r="D62" s="1096">
        <f t="shared" ref="D62:H62" si="7">D60-D61</f>
        <v>0</v>
      </c>
      <c r="E62" s="1096">
        <f t="shared" si="7"/>
        <v>0</v>
      </c>
      <c r="F62" s="1096">
        <f t="shared" si="7"/>
        <v>0</v>
      </c>
      <c r="G62" s="1096">
        <f t="shared" si="7"/>
        <v>0</v>
      </c>
      <c r="H62" s="1096">
        <f t="shared" si="7"/>
        <v>0</v>
      </c>
    </row>
    <row r="64" spans="1:9">
      <c r="B64" s="6" t="s">
        <v>1045</v>
      </c>
      <c r="D64" s="482"/>
      <c r="E64" s="482"/>
      <c r="F64" s="482"/>
      <c r="G64" s="482"/>
      <c r="H64" s="482"/>
    </row>
    <row r="65" spans="2:8">
      <c r="B65" s="1160" t="s">
        <v>1046</v>
      </c>
      <c r="C65" s="76" t="s">
        <v>252</v>
      </c>
      <c r="D65" s="1090">
        <v>0</v>
      </c>
      <c r="E65" s="1090">
        <v>0</v>
      </c>
      <c r="F65" s="1090">
        <v>0</v>
      </c>
      <c r="G65" s="1090">
        <v>0</v>
      </c>
      <c r="H65" s="1090">
        <v>0</v>
      </c>
    </row>
    <row r="66" spans="2:8">
      <c r="B66" s="2" t="s">
        <v>1043</v>
      </c>
      <c r="C66" s="76" t="s">
        <v>252</v>
      </c>
      <c r="D66" s="1090">
        <v>0</v>
      </c>
      <c r="E66" s="1090">
        <v>0</v>
      </c>
      <c r="F66" s="1090">
        <v>0</v>
      </c>
      <c r="G66" s="1090">
        <v>0</v>
      </c>
      <c r="H66" s="1090">
        <v>0</v>
      </c>
    </row>
    <row r="67" spans="2:8">
      <c r="B67" s="5" t="s">
        <v>1047</v>
      </c>
      <c r="C67" s="76" t="s">
        <v>252</v>
      </c>
      <c r="D67" s="1096">
        <f t="shared" ref="D67:H67" si="8">D65-D66</f>
        <v>0</v>
      </c>
      <c r="E67" s="1096">
        <f t="shared" si="8"/>
        <v>0</v>
      </c>
      <c r="F67" s="1096">
        <f t="shared" si="8"/>
        <v>0</v>
      </c>
      <c r="G67" s="1096">
        <f t="shared" si="8"/>
        <v>0</v>
      </c>
      <c r="H67" s="1096">
        <f t="shared" si="8"/>
        <v>0</v>
      </c>
    </row>
  </sheetData>
  <sheetProtection algorithmName="SHA-512" hashValue="najOemH3DZ9v7sh/V+evXCpvQLdx9VKdgdsBg8yMczY3tehIwoUCjXTwJJMZAWs1VDY+Or7BIeMjNOmAXXSqwQ==" saltValue="oFO4E4TOSffj55TvDfXApg==" spinCount="100000" sheet="1" objects="1" scenarios="1"/>
  <mergeCells count="1">
    <mergeCell ref="D25:D27"/>
  </mergeCells>
  <conditionalFormatting sqref="D6:G6 D52:G52">
    <cfRule type="expression" dxfId="12" priority="24">
      <formula>AND(D$4="Actuals",E$4="Forecast")</formula>
    </cfRule>
  </conditionalFormatting>
  <conditionalFormatting sqref="E12:H12 E14:H15">
    <cfRule type="expression" dxfId="11" priority="18">
      <formula>E$5="Forecast"</formula>
    </cfRule>
    <cfRule type="expression" dxfId="10" priority="19">
      <formula>E$5="Actuals"</formula>
    </cfRule>
  </conditionalFormatting>
  <conditionalFormatting sqref="D5:G6 D51:G52 I5:I12 I14:I54">
    <cfRule type="expression" dxfId="9" priority="17">
      <formula>AND(D$5="Actuals",E$5="Forecast")</formula>
    </cfRule>
  </conditionalFormatting>
  <conditionalFormatting sqref="D25">
    <cfRule type="expression" dxfId="8" priority="14">
      <formula>AND(E$4="Actuals",F$4="Forecast")</formula>
    </cfRule>
  </conditionalFormatting>
  <conditionalFormatting sqref="H6 H52">
    <cfRule type="expression" dxfId="7" priority="270">
      <formula>AND(H$4="Actuals",#REF!="Forecast")</formula>
    </cfRule>
  </conditionalFormatting>
  <conditionalFormatting sqref="H5:H6 H51:H52">
    <cfRule type="expression" dxfId="6" priority="278">
      <formula>AND(H$5="Actuals",#REF!="Forecast")</formula>
    </cfRule>
  </conditionalFormatting>
  <conditionalFormatting sqref="D7:H7">
    <cfRule type="expression" dxfId="5" priority="5">
      <formula>AND(D$5="Actuals",E$5="Forecast")</formula>
    </cfRule>
  </conditionalFormatting>
  <conditionalFormatting sqref="J17:J22">
    <cfRule type="expression" dxfId="4" priority="290">
      <formula>AND(I$5="Actuals",J$5="Forecast")</formula>
    </cfRule>
  </conditionalFormatting>
  <conditionalFormatting sqref="D12">
    <cfRule type="expression" dxfId="3" priority="3">
      <formula>D$5="Forecast"</formula>
    </cfRule>
    <cfRule type="expression" dxfId="2" priority="4">
      <formula>D$5="Actuals"</formula>
    </cfRule>
  </conditionalFormatting>
  <conditionalFormatting sqref="D14:D15">
    <cfRule type="expression" dxfId="1" priority="1">
      <formula>D$5="Forecast"</formula>
    </cfRule>
    <cfRule type="expression" dxfId="0" priority="2">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18"/>
  <sheetViews>
    <sheetView showGridLines="0" topLeftCell="B1" zoomScale="90" zoomScaleNormal="90" workbookViewId="0">
      <pane ySplit="4" topLeftCell="A5" activePane="bottomLeft" state="frozen"/>
      <selection activeCell="B26" sqref="B26"/>
      <selection pane="bottomLeft" activeCell="B26" sqref="B26"/>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4" ht="20">
      <c r="A1" s="1275" t="s">
        <v>16</v>
      </c>
      <c r="B1" s="832"/>
      <c r="C1" s="832"/>
      <c r="D1" s="832"/>
      <c r="E1" s="832"/>
      <c r="F1" s="832"/>
      <c r="G1" s="832"/>
      <c r="H1" s="832"/>
      <c r="I1" s="832"/>
      <c r="J1" s="832"/>
      <c r="K1" s="832"/>
      <c r="L1" s="832"/>
      <c r="M1" s="832"/>
      <c r="N1" s="1276"/>
    </row>
    <row r="2" spans="1:14" ht="20">
      <c r="A2" s="712" t="str">
        <f>Licensee</f>
        <v>ESO</v>
      </c>
      <c r="B2" s="710"/>
      <c r="C2" s="710"/>
      <c r="D2" s="710"/>
      <c r="E2" s="710"/>
      <c r="F2" s="710"/>
      <c r="G2" s="710"/>
      <c r="H2" s="710"/>
      <c r="I2" s="710"/>
      <c r="J2" s="710"/>
      <c r="K2" s="710"/>
      <c r="L2" s="710"/>
      <c r="M2" s="710"/>
      <c r="N2" s="713"/>
    </row>
    <row r="3" spans="1:14" ht="20">
      <c r="A3" s="707">
        <f>Reporting_Year</f>
        <v>2022</v>
      </c>
      <c r="B3" s="1035"/>
      <c r="C3" s="1035"/>
      <c r="D3" s="1035"/>
      <c r="E3" s="1035"/>
      <c r="F3" s="1035"/>
      <c r="G3" s="1035"/>
      <c r="H3" s="1035"/>
      <c r="I3" s="1035"/>
      <c r="J3" s="1035"/>
      <c r="K3" s="1035"/>
      <c r="L3" s="1035"/>
      <c r="M3" s="1035"/>
      <c r="N3" s="714"/>
    </row>
    <row r="6" spans="1:14" ht="27">
      <c r="B6" s="1021" t="s">
        <v>17</v>
      </c>
      <c r="C6" s="1038">
        <f>INDEX(O55:U83,MATCH(Licensee,Data!B55:B83,0),MATCH(Reporting_Year,Data!O54:U54,0))</f>
        <v>7.5718976000000007E-2</v>
      </c>
      <c r="F6" s="1006" t="s">
        <v>18</v>
      </c>
      <c r="G6" s="89"/>
      <c r="H6" s="985" t="s">
        <v>19</v>
      </c>
      <c r="I6" s="1037" t="s">
        <v>20</v>
      </c>
    </row>
    <row r="7" spans="1:14">
      <c r="B7" s="1021" t="s">
        <v>21</v>
      </c>
      <c r="C7" s="1038">
        <f>SUMIF(Data!$B$54:$B$83,'RFPR cover'!C7,Data!$C$54:$C$83)</f>
        <v>1</v>
      </c>
      <c r="F7" s="1039">
        <v>0.1</v>
      </c>
      <c r="G7" s="434"/>
      <c r="H7" s="985" t="s">
        <v>22</v>
      </c>
      <c r="I7" s="986" t="s">
        <v>23</v>
      </c>
    </row>
    <row r="8" spans="1:14">
      <c r="B8" s="1021" t="s">
        <v>24</v>
      </c>
      <c r="C8" s="1036">
        <f>SUMIF(Data!$B$54:$B$83,'RFPR cover'!C7,Data!$D$54:$D$83)</f>
        <v>0.55000000000000004</v>
      </c>
      <c r="H8" s="985" t="s">
        <v>25</v>
      </c>
      <c r="I8" s="986" t="s">
        <v>23</v>
      </c>
    </row>
    <row r="9" spans="1:14">
      <c r="B9" s="833" t="s">
        <v>26</v>
      </c>
      <c r="C9" s="1025" t="str">
        <f>INDEX(Data!$F$55:$F$83,MATCH('RFPR cover'!$C$7,Data!$B$55:$B$83,0),0)</f>
        <v>£m 18/19</v>
      </c>
      <c r="H9" s="985" t="s">
        <v>27</v>
      </c>
      <c r="I9" s="986" t="s">
        <v>23</v>
      </c>
    </row>
    <row r="10" spans="1:14">
      <c r="H10" s="985" t="s">
        <v>4</v>
      </c>
      <c r="I10" s="986" t="s">
        <v>23</v>
      </c>
    </row>
    <row r="12" spans="1:14">
      <c r="B12" s="6" t="s">
        <v>28</v>
      </c>
    </row>
    <row r="13" spans="1:14">
      <c r="A13" s="17"/>
      <c r="B13" s="1040" t="s">
        <v>29</v>
      </c>
      <c r="C13" s="1041" t="str">
        <f t="shared" ref="C13:N13" si="0">IF(VALUE(C15)&lt;=Reporting_Year,"Actual","Forecast")</f>
        <v>Actual</v>
      </c>
      <c r="D13" s="1041" t="str">
        <f t="shared" si="0"/>
        <v>Actual</v>
      </c>
      <c r="E13" s="1041" t="str">
        <f t="shared" si="0"/>
        <v>Actual</v>
      </c>
      <c r="F13" s="1041" t="str">
        <f t="shared" si="0"/>
        <v>Actual</v>
      </c>
      <c r="G13" s="1041" t="str">
        <f t="shared" si="0"/>
        <v>Forecast</v>
      </c>
      <c r="H13" s="1041" t="str">
        <f t="shared" si="0"/>
        <v>Forecast</v>
      </c>
      <c r="I13" s="1041" t="str">
        <f t="shared" si="0"/>
        <v>Forecast</v>
      </c>
      <c r="J13" s="1041" t="str">
        <f t="shared" si="0"/>
        <v>Forecast</v>
      </c>
      <c r="K13" s="1041" t="str">
        <f t="shared" si="0"/>
        <v>Forecast</v>
      </c>
      <c r="L13" s="1041" t="str">
        <f t="shared" si="0"/>
        <v>Forecast</v>
      </c>
      <c r="M13" s="1041" t="str">
        <f t="shared" si="0"/>
        <v>Forecast</v>
      </c>
      <c r="N13" s="1041" t="str">
        <f t="shared" si="0"/>
        <v>Forecast</v>
      </c>
    </row>
    <row r="14" spans="1:14">
      <c r="A14" s="17"/>
      <c r="B14" s="1040" t="s">
        <v>30</v>
      </c>
      <c r="C14" s="1042">
        <v>43555</v>
      </c>
      <c r="D14" s="1043">
        <v>43921</v>
      </c>
      <c r="E14" s="1043">
        <v>44286</v>
      </c>
      <c r="F14" s="1043">
        <v>44651</v>
      </c>
      <c r="G14" s="1043">
        <v>45016</v>
      </c>
      <c r="H14" s="1042">
        <v>45382</v>
      </c>
      <c r="I14" s="1042">
        <v>45747</v>
      </c>
      <c r="J14" s="1042">
        <v>46112</v>
      </c>
      <c r="K14" s="1042">
        <v>46477</v>
      </c>
      <c r="L14" s="1042">
        <v>46843</v>
      </c>
      <c r="M14" s="1042">
        <v>47208</v>
      </c>
      <c r="N14" s="1042">
        <v>47573</v>
      </c>
    </row>
    <row r="15" spans="1:14">
      <c r="A15" s="17"/>
      <c r="B15" s="1040" t="s">
        <v>31</v>
      </c>
      <c r="C15" s="1044">
        <v>2019</v>
      </c>
      <c r="D15" s="1045">
        <v>2020</v>
      </c>
      <c r="E15" s="1044">
        <v>2021</v>
      </c>
      <c r="F15" s="1045">
        <v>2022</v>
      </c>
      <c r="G15" s="1044">
        <v>2023</v>
      </c>
      <c r="H15" s="1045">
        <v>2024</v>
      </c>
      <c r="I15" s="1044">
        <v>2025</v>
      </c>
      <c r="J15" s="1045">
        <v>2026</v>
      </c>
      <c r="K15" s="1044">
        <v>2027</v>
      </c>
      <c r="L15" s="1045">
        <v>2028</v>
      </c>
      <c r="M15" s="1044">
        <v>2029</v>
      </c>
      <c r="N15" s="1045">
        <v>2030</v>
      </c>
    </row>
    <row r="16" spans="1:14">
      <c r="A16" s="17"/>
      <c r="B16" s="1046" t="s">
        <v>32</v>
      </c>
      <c r="C16" s="1111">
        <v>283.30833333333334</v>
      </c>
      <c r="D16" s="1112">
        <v>290.64166666666665</v>
      </c>
      <c r="E16" s="1112">
        <v>294.16666666666669</v>
      </c>
      <c r="F16" s="1112">
        <v>307.32821397646848</v>
      </c>
      <c r="G16" s="1112">
        <v>330.96395938982295</v>
      </c>
      <c r="H16" s="1112">
        <v>341.96868856063776</v>
      </c>
      <c r="I16" s="1112">
        <v>347.76302971972729</v>
      </c>
      <c r="J16" s="1112">
        <v>354.40696896406115</v>
      </c>
      <c r="K16" s="900">
        <f t="shared" ref="K16:N17" si="1">J16*(1+K$20)</f>
        <v>361.49510834334239</v>
      </c>
      <c r="L16" s="900">
        <f t="shared" si="1"/>
        <v>368.72501051020924</v>
      </c>
      <c r="M16" s="900">
        <f t="shared" si="1"/>
        <v>376.09951072041343</v>
      </c>
      <c r="N16" s="900">
        <f t="shared" si="1"/>
        <v>383.62150093482171</v>
      </c>
    </row>
    <row r="17" spans="1:23">
      <c r="A17" s="17"/>
      <c r="B17" s="1040" t="s">
        <v>33</v>
      </c>
      <c r="C17" s="1111">
        <v>286.64999999999998</v>
      </c>
      <c r="D17" s="1112">
        <v>292.60000000000002</v>
      </c>
      <c r="E17" s="1112">
        <v>298.42363263445759</v>
      </c>
      <c r="F17" s="1112">
        <v>319.91658048382931</v>
      </c>
      <c r="G17" s="1112">
        <v>337.82117245956056</v>
      </c>
      <c r="H17" s="1112">
        <v>344.75394696522062</v>
      </c>
      <c r="I17" s="1112">
        <v>350.98716524424435</v>
      </c>
      <c r="J17" s="1112">
        <v>357.62377789692238</v>
      </c>
      <c r="K17" s="900">
        <f t="shared" si="1"/>
        <v>364.77625345486081</v>
      </c>
      <c r="L17" s="900">
        <f t="shared" si="1"/>
        <v>372.07177852395802</v>
      </c>
      <c r="M17" s="900">
        <f t="shared" si="1"/>
        <v>379.51321409443716</v>
      </c>
      <c r="N17" s="900">
        <f t="shared" si="1"/>
        <v>387.10347837632588</v>
      </c>
    </row>
    <row r="18" spans="1:23">
      <c r="A18" s="17"/>
      <c r="B18" s="1040" t="s">
        <v>34</v>
      </c>
      <c r="C18" s="925">
        <v>0.19</v>
      </c>
      <c r="D18" s="1113">
        <v>0.19</v>
      </c>
      <c r="E18" s="1113">
        <v>0.19</v>
      </c>
      <c r="F18" s="1113">
        <v>0.19</v>
      </c>
      <c r="G18" s="925">
        <v>0.19</v>
      </c>
      <c r="H18" s="925">
        <v>0.25</v>
      </c>
      <c r="I18" s="925">
        <v>0.25</v>
      </c>
      <c r="J18" s="925">
        <v>0.25</v>
      </c>
      <c r="K18" s="924">
        <v>0.25</v>
      </c>
      <c r="L18" s="924">
        <v>0.25</v>
      </c>
      <c r="M18" s="924">
        <v>0.25</v>
      </c>
      <c r="N18" s="924">
        <v>0.25</v>
      </c>
    </row>
    <row r="19" spans="1:23">
      <c r="A19" s="17"/>
      <c r="B19" s="761" t="s">
        <v>35</v>
      </c>
      <c r="C19" s="1114">
        <v>106.43333333333334</v>
      </c>
      <c r="D19" s="1114">
        <v>108.24166666666663</v>
      </c>
      <c r="E19" s="1114">
        <v>109.10833333333335</v>
      </c>
      <c r="F19" s="1114">
        <v>113.11666666666667</v>
      </c>
      <c r="G19" s="1114">
        <v>121.81615019519597</v>
      </c>
      <c r="H19" s="1114">
        <v>125.86660252843778</v>
      </c>
      <c r="I19" s="1114">
        <v>127.99929496485652</v>
      </c>
      <c r="J19" s="1114">
        <v>130.44469446505488</v>
      </c>
      <c r="K19" s="900">
        <f>J19*(1+K$20)</f>
        <v>133.05358835435598</v>
      </c>
      <c r="L19" s="900">
        <f>K19*(1+L$20)</f>
        <v>135.7146601214431</v>
      </c>
      <c r="M19" s="900">
        <f>L19*(1+M$20)</f>
        <v>138.42895332387198</v>
      </c>
      <c r="N19" s="900">
        <f>M19*(1+N$20)</f>
        <v>141.19753239034941</v>
      </c>
      <c r="U19" s="753"/>
      <c r="V19" s="753"/>
    </row>
    <row r="20" spans="1:23" ht="16">
      <c r="A20" s="17"/>
      <c r="B20" s="1040" t="s">
        <v>36</v>
      </c>
      <c r="C20" s="761"/>
      <c r="D20" s="761"/>
      <c r="E20" s="761"/>
      <c r="F20" s="761"/>
      <c r="G20" s="761"/>
      <c r="H20" s="762"/>
      <c r="I20" s="761"/>
      <c r="J20" s="761"/>
      <c r="K20" s="925">
        <v>0.02</v>
      </c>
      <c r="L20" s="925">
        <v>0.02</v>
      </c>
      <c r="M20" s="925">
        <v>0.02</v>
      </c>
      <c r="N20" s="925">
        <v>0.02</v>
      </c>
      <c r="O20" s="801" t="s">
        <v>37</v>
      </c>
      <c r="U20" s="753"/>
      <c r="V20" s="753"/>
    </row>
    <row r="21" spans="1:23" ht="16">
      <c r="A21" s="17"/>
      <c r="B21" s="758"/>
      <c r="C21" s="754"/>
      <c r="D21" s="754"/>
      <c r="E21" s="754"/>
      <c r="F21" s="754"/>
      <c r="G21" s="754"/>
      <c r="U21" s="753"/>
      <c r="V21" s="753"/>
    </row>
    <row r="22" spans="1:23" ht="16">
      <c r="A22" s="17"/>
      <c r="B22" s="771"/>
      <c r="C22" s="772"/>
      <c r="D22" s="1169"/>
      <c r="E22" s="772"/>
      <c r="F22" s="772"/>
      <c r="G22" s="772"/>
      <c r="U22" s="753"/>
      <c r="V22" s="753"/>
    </row>
    <row r="23" spans="1:23">
      <c r="B23" s="748"/>
      <c r="C23" s="1002"/>
      <c r="D23" s="749"/>
      <c r="E23" s="750"/>
      <c r="F23" s="750"/>
      <c r="G23" s="751"/>
    </row>
    <row r="24" spans="1:23">
      <c r="D24" s="1041" t="str">
        <f>IF(D25&lt;='RFPR cover'!$C$9,"Actuals","Forecast")</f>
        <v>Actuals</v>
      </c>
      <c r="E24" s="1041" t="str">
        <f>IF(E25&lt;='RFPR cover'!$C$9,"Actuals","Forecast")</f>
        <v>Actuals</v>
      </c>
      <c r="F24" s="1041" t="str">
        <f>IF(F25&lt;='RFPR cover'!$C$9,"Actuals","Forecast")</f>
        <v>Forecast</v>
      </c>
      <c r="G24" s="1041" t="str">
        <f>IF(G25&lt;='RFPR cover'!$C$9,"Actuals","Forecast")</f>
        <v>Forecast</v>
      </c>
      <c r="H24" s="1041" t="str">
        <f>IF(H25&lt;='RFPR cover'!$C$9,"Actuals","Forecast")</f>
        <v>Forecast</v>
      </c>
      <c r="I24" s="1041" t="str">
        <f>IF(I25&lt;='RFPR cover'!$C$9,"Actuals","Forecast")</f>
        <v>Forecast</v>
      </c>
      <c r="J24" s="1041" t="str">
        <f>IF(J25&lt;='RFPR cover'!$C$9,"Actuals","Forecast")</f>
        <v>Forecast</v>
      </c>
      <c r="K24" s="1041" t="str">
        <f>IF(K25&lt;='RFPR cover'!$C$9,"Actuals","Forecast")</f>
        <v>Forecast</v>
      </c>
    </row>
    <row r="25" spans="1:23" ht="14.25" customHeight="1">
      <c r="D25" s="834">
        <v>2021</v>
      </c>
      <c r="E25" s="835">
        <f t="shared" ref="E25:K25" si="2">D25+1</f>
        <v>2022</v>
      </c>
      <c r="F25" s="835">
        <f t="shared" si="2"/>
        <v>2023</v>
      </c>
      <c r="G25" s="835">
        <f t="shared" si="2"/>
        <v>2024</v>
      </c>
      <c r="H25" s="835">
        <f t="shared" si="2"/>
        <v>2025</v>
      </c>
      <c r="I25" s="835">
        <f t="shared" si="2"/>
        <v>2026</v>
      </c>
      <c r="J25" s="835">
        <f t="shared" si="2"/>
        <v>2027</v>
      </c>
      <c r="K25" s="835">
        <f t="shared" si="2"/>
        <v>2028</v>
      </c>
      <c r="M25" s="28"/>
    </row>
    <row r="26" spans="1:23" ht="48.65" customHeight="1">
      <c r="C26" s="1047" t="s">
        <v>38</v>
      </c>
      <c r="D26" s="910">
        <f t="shared" ref="D26:K26" si="3">IF(SectorCov="ED2",G16/INDEX($C$16:$N$16,MATCH($E$15,$C$15:$N$15,0)),E16/INDEX($C$16:$N$16,MATCH($C$15,$C$15:$N$15,0)))</f>
        <v>1.0383269111980469</v>
      </c>
      <c r="E26" s="910">
        <f t="shared" si="3"/>
        <v>1.0847835302284383</v>
      </c>
      <c r="F26" s="910">
        <f t="shared" si="3"/>
        <v>1.1682111694202062</v>
      </c>
      <c r="G26" s="910">
        <f t="shared" si="3"/>
        <v>1.2070548174037865</v>
      </c>
      <c r="H26" s="910">
        <f t="shared" si="3"/>
        <v>1.2275072378847331</v>
      </c>
      <c r="I26" s="910">
        <f t="shared" si="3"/>
        <v>1.2509585044470788</v>
      </c>
      <c r="J26" s="910">
        <f t="shared" si="3"/>
        <v>1.2759776745360205</v>
      </c>
      <c r="K26" s="910">
        <f t="shared" si="3"/>
        <v>1.3014972280267409</v>
      </c>
      <c r="M26" s="776"/>
      <c r="N26" s="776"/>
      <c r="O26" s="776"/>
      <c r="P26" s="776"/>
      <c r="Q26" s="776"/>
      <c r="R26" s="776"/>
    </row>
    <row r="27" spans="1:23" ht="58.5" customHeight="1">
      <c r="C27" s="821" t="s">
        <v>39</v>
      </c>
      <c r="D27" s="910">
        <f>INDEX(Data!$C$16:$N$16,MATCH(D$25,Data!$C$15:$N$15,0))/INDEX(Data!$C$16:$N$16,MATCH(D$25-1,Data!$C$15:$N$15,0))</f>
        <v>1.0121283367262093</v>
      </c>
      <c r="E27" s="910">
        <f>INDEX(Data!$C$16:$N$16,MATCH(E$25,Data!$C$15:$N$15,0))/INDEX(Data!$C$16:$N$16,MATCH(E$25-1,Data!$C$15:$N$15,0))</f>
        <v>1.0447418038860117</v>
      </c>
      <c r="F27" s="910">
        <f>INDEX(Data!$C$16:$N$16,MATCH(F$25,Data!$C$15:$N$15,0))/INDEX(Data!$C$16:$N$16,MATCH(F$25-1,Data!$C$15:$N$15,0))</f>
        <v>1.0769071772081564</v>
      </c>
      <c r="G27" s="910">
        <f>INDEX(Data!$C$16:$N$16,MATCH(G$25,Data!$C$15:$N$15,0))/INDEX(Data!$C$16:$N$16,MATCH(G$25-1,Data!$C$15:$N$15,0))</f>
        <v>1.033250536375935</v>
      </c>
      <c r="H27" s="910">
        <f>INDEX(Data!$C$16:$N$16,MATCH(H$25,Data!$C$15:$N$15,0))/INDEX(Data!$C$16:$N$16,MATCH(H$25-1,Data!$C$15:$N$15,0))</f>
        <v>1.0169440693049361</v>
      </c>
      <c r="I27" s="910">
        <f>INDEX(Data!$C$16:$N$16,MATCH(I$25,Data!$C$15:$N$15,0))/INDEX(Data!$C$16:$N$16,MATCH(I$25-1,Data!$C$15:$N$15,0))</f>
        <v>1.0191047888261395</v>
      </c>
      <c r="J27" s="910">
        <f>INDEX(Data!$C$16:$N$16,MATCH(J$25,Data!$C$15:$N$15,0))/INDEX(Data!$C$16:$N$16,MATCH(J$25-1,Data!$C$15:$N$15,0))</f>
        <v>1.02</v>
      </c>
      <c r="K27" s="910">
        <f>INDEX(Data!$C$16:$N$16,MATCH(K$25,Data!$C$15:$N$15,0))/INDEX(Data!$C$16:$N$16,MATCH(K$25-1,Data!$C$15:$N$15,0))</f>
        <v>1.02</v>
      </c>
      <c r="M27" s="776"/>
    </row>
    <row r="28" spans="1:23" ht="71.150000000000006" customHeight="1">
      <c r="C28" s="821" t="s">
        <v>40</v>
      </c>
      <c r="D28" s="910">
        <f>IF(SectorCov="ED2",INDEX(Data!$C$17:$N$17,MATCH(D$25,Data!$C$15:$N$15,0))/Data!$E$16,INDEX(Data!$C$17:$N$17,MATCH(D$25,Data!$C$15:$N$15,0))/Data!$C$16)</f>
        <v>1.0533528227824487</v>
      </c>
      <c r="E28" s="910">
        <f>IF(SectorCov="ED2",INDEX(Data!$C$17:$N$17,MATCH(E$25,Data!$C$15:$N$15,0))/Data!$E$16,INDEX(Data!$C$17:$N$17,MATCH(E$25,Data!$C$15:$N$15,0))/Data!$C$16)</f>
        <v>1.1292169796764278</v>
      </c>
      <c r="F28" s="910">
        <f>IF(SectorCov="ED2",INDEX(Data!$C$17:$N$17,MATCH(F$25,Data!$C$15:$N$15,0))/Data!$E$16,INDEX(Data!$C$17:$N$17,MATCH(F$25,Data!$C$15:$N$15,0))/Data!$C$16)</f>
        <v>1.192415233554351</v>
      </c>
      <c r="G28" s="910">
        <f>IF(SectorCov="ED2",INDEX(Data!$C$17:$N$17,MATCH(G$25,Data!$C$15:$N$15,0))/Data!$E$16,INDEX(Data!$C$17:$N$17,MATCH(G$25,Data!$C$15:$N$15,0))/Data!$C$16)</f>
        <v>1.2168860086427178</v>
      </c>
      <c r="H28" s="910">
        <f>IF(SectorCov="ED2",INDEX(Data!$C$17:$N$17,MATCH(H$25,Data!$C$15:$N$15,0))/Data!$E$16,INDEX(Data!$C$17:$N$17,MATCH(H$25,Data!$C$15:$N$15,0))/Data!$C$16)</f>
        <v>1.2388875438806166</v>
      </c>
      <c r="I28" s="910">
        <f>IF(SectorCov="ED2",INDEX(Data!$C$17:$N$17,MATCH(I$25,Data!$C$15:$N$15,0))/Data!$E$16,INDEX(Data!$C$17:$N$17,MATCH(I$25,Data!$C$15:$N$15,0))/Data!$C$16)</f>
        <v>1.262312949602338</v>
      </c>
      <c r="J28" s="910">
        <f>IF(SectorCov="ED2",INDEX(Data!$C$17:$N$17,MATCH(J$25,Data!$C$15:$N$15,0))/Data!$E$16,INDEX(Data!$C$17:$N$17,MATCH(J$25,Data!$C$15:$N$15,0))/Data!$C$16)</f>
        <v>1.2875592085943848</v>
      </c>
      <c r="K28" s="910">
        <f>IF(SectorCov="ED2",INDEX(Data!$C$17:$N$17,MATCH(K$25,Data!$C$15:$N$15,0))/Data!$E$16,INDEX(Data!$C$17:$N$17,MATCH(K$25,Data!$C$15:$N$15,0))/Data!$C$16)</f>
        <v>1.3133103927662724</v>
      </c>
      <c r="M28" s="776"/>
    </row>
    <row r="29" spans="1:23">
      <c r="A29" s="759"/>
      <c r="B29" s="759"/>
      <c r="C29" s="759"/>
      <c r="M29" s="776"/>
      <c r="N29" s="759"/>
      <c r="O29" s="759"/>
      <c r="P29" s="759"/>
      <c r="Q29" s="759"/>
      <c r="R29" s="759"/>
      <c r="S29" s="759"/>
      <c r="T29" s="759"/>
      <c r="U29" s="759"/>
      <c r="V29" s="759"/>
      <c r="W29" s="759"/>
    </row>
    <row r="30" spans="1:23">
      <c r="B30" s="636"/>
      <c r="C30" s="752"/>
      <c r="D30" s="752"/>
      <c r="E30" s="752"/>
      <c r="F30" s="752"/>
      <c r="G30" s="752"/>
      <c r="H30" s="752"/>
      <c r="I30" s="752"/>
      <c r="J30" s="752"/>
      <c r="K30" s="752"/>
      <c r="M30" s="776"/>
    </row>
    <row r="31" spans="1:23">
      <c r="E31" s="800"/>
      <c r="F31" s="800"/>
      <c r="G31" s="800"/>
      <c r="H31" s="800"/>
      <c r="I31" s="800"/>
      <c r="J31" s="800"/>
      <c r="K31" s="800"/>
      <c r="L31" s="800"/>
      <c r="M31" s="776"/>
    </row>
    <row r="32" spans="1:23">
      <c r="B32" s="636"/>
      <c r="C32" s="752"/>
      <c r="D32" s="752"/>
      <c r="E32" s="752"/>
      <c r="F32" s="752"/>
      <c r="G32" s="752"/>
      <c r="H32" s="752"/>
      <c r="I32" s="752"/>
      <c r="J32" s="752"/>
    </row>
    <row r="33" spans="1:20">
      <c r="B33" s="382"/>
      <c r="C33" s="382"/>
      <c r="D33" s="99"/>
      <c r="E33" s="382"/>
      <c r="F33" s="383"/>
      <c r="G33" s="384"/>
      <c r="H33" s="384"/>
      <c r="I33" s="384"/>
      <c r="J33" s="385"/>
      <c r="K33" s="385"/>
      <c r="L33" s="99"/>
      <c r="M33" s="99"/>
      <c r="N33" s="99"/>
      <c r="O33" s="99"/>
      <c r="P33" s="99"/>
      <c r="Q33" s="99"/>
      <c r="R33" s="99"/>
      <c r="S33" s="99"/>
      <c r="T33" s="99"/>
    </row>
    <row r="34" spans="1:20">
      <c r="B34" s="381" t="s">
        <v>41</v>
      </c>
      <c r="C34" s="89"/>
      <c r="I34" s="40"/>
    </row>
    <row r="35" spans="1:20">
      <c r="C35" s="834">
        <f>RIIO_2_start_date</f>
        <v>2022</v>
      </c>
      <c r="D35" s="835">
        <f t="shared" ref="D35" si="4">C35+1</f>
        <v>2023</v>
      </c>
      <c r="E35" s="835">
        <f t="shared" ref="E35" si="5">D35+1</f>
        <v>2024</v>
      </c>
      <c r="F35" s="835">
        <f t="shared" ref="F35" si="6">E35+1</f>
        <v>2025</v>
      </c>
      <c r="G35" s="835">
        <f t="shared" ref="G35" si="7">F35+1</f>
        <v>2026</v>
      </c>
      <c r="H35" s="835">
        <f t="shared" ref="H35" si="8">G35+1</f>
        <v>2027</v>
      </c>
      <c r="I35" s="835">
        <f t="shared" ref="I35" si="9">H35+1</f>
        <v>2028</v>
      </c>
      <c r="J35" s="835">
        <f t="shared" ref="J35" si="10">I35+1</f>
        <v>2029</v>
      </c>
    </row>
    <row r="36" spans="1:20">
      <c r="B36" s="831" t="s">
        <v>42</v>
      </c>
      <c r="C36" s="822"/>
      <c r="D36" s="823"/>
      <c r="E36" s="782"/>
      <c r="F36" s="782"/>
      <c r="G36" s="782"/>
      <c r="H36" s="782"/>
      <c r="I36" s="783"/>
    </row>
    <row r="37" spans="1:20">
      <c r="A37" s="769"/>
      <c r="B37" s="825" t="s">
        <v>43</v>
      </c>
      <c r="C37" s="824"/>
      <c r="D37" s="435"/>
      <c r="E37" s="784"/>
      <c r="F37" s="784"/>
      <c r="G37" s="784"/>
      <c r="H37" s="784"/>
      <c r="I37" s="380"/>
    </row>
    <row r="38" spans="1:20">
      <c r="A38" s="769"/>
      <c r="B38" s="825" t="s">
        <v>44</v>
      </c>
      <c r="C38" s="825">
        <v>1.8143044979056552E-2</v>
      </c>
      <c r="D38" s="784">
        <v>1.5909426602326575E-2</v>
      </c>
      <c r="E38" s="784">
        <v>1.5486013713550701E-2</v>
      </c>
      <c r="F38" s="784">
        <v>1.4921786215027617E-2</v>
      </c>
      <c r="G38" s="784">
        <v>1.4560675534238218E-2</v>
      </c>
      <c r="H38" s="435"/>
      <c r="I38" s="826"/>
    </row>
    <row r="39" spans="1:20">
      <c r="A39" s="770"/>
      <c r="B39" s="825" t="s">
        <v>45</v>
      </c>
      <c r="C39" s="825">
        <v>2.0500000000000001E-2</v>
      </c>
      <c r="D39" s="784">
        <v>1.9E-2</v>
      </c>
      <c r="E39" s="784">
        <v>1.83E-2</v>
      </c>
      <c r="F39" s="784">
        <v>1.78E-2</v>
      </c>
      <c r="G39" s="784">
        <v>1.7500000000000002E-2</v>
      </c>
      <c r="H39" s="435"/>
      <c r="I39" s="826"/>
      <c r="N39" s="734"/>
      <c r="O39" s="734"/>
      <c r="P39" s="734"/>
      <c r="Q39" s="734"/>
      <c r="R39" s="734"/>
    </row>
    <row r="40" spans="1:20">
      <c r="A40" s="769"/>
      <c r="B40" s="825" t="s">
        <v>25</v>
      </c>
      <c r="C40" s="825">
        <v>2.0500000000000001E-2</v>
      </c>
      <c r="D40" s="784">
        <v>1.9E-2</v>
      </c>
      <c r="E40" s="784">
        <v>1.83E-2</v>
      </c>
      <c r="F40" s="784">
        <v>1.78E-2</v>
      </c>
      <c r="G40" s="784">
        <v>1.7500000000000002E-2</v>
      </c>
      <c r="H40" s="435"/>
      <c r="I40" s="826"/>
    </row>
    <row r="41" spans="1:20">
      <c r="A41" s="769"/>
      <c r="B41" s="825" t="s">
        <v>46</v>
      </c>
      <c r="C41" s="825">
        <v>2.1100000000000001E-2</v>
      </c>
      <c r="D41" s="784">
        <v>1.9599999999999999E-2</v>
      </c>
      <c r="E41" s="784">
        <v>1.89E-2</v>
      </c>
      <c r="F41" s="784">
        <v>1.84E-2</v>
      </c>
      <c r="G41" s="784">
        <v>1.8100000000000002E-2</v>
      </c>
      <c r="H41" s="435"/>
      <c r="I41" s="826"/>
    </row>
    <row r="42" spans="1:20">
      <c r="A42" s="769"/>
      <c r="B42" s="825" t="s">
        <v>27</v>
      </c>
      <c r="C42" s="825">
        <v>2.0500000000000001E-2</v>
      </c>
      <c r="D42" s="784">
        <v>1.9E-2</v>
      </c>
      <c r="E42" s="784">
        <v>1.83E-2</v>
      </c>
      <c r="F42" s="784">
        <v>1.78E-2</v>
      </c>
      <c r="G42" s="784">
        <v>1.7500000000000002E-2</v>
      </c>
      <c r="H42" s="435"/>
      <c r="I42" s="826"/>
    </row>
    <row r="43" spans="1:20">
      <c r="A43" s="769"/>
      <c r="B43" s="827" t="s">
        <v>4</v>
      </c>
      <c r="C43" s="827">
        <v>-1E-4</v>
      </c>
      <c r="D43" s="828">
        <v>9.2999999999999992E-3</v>
      </c>
      <c r="E43" s="828">
        <v>1.06E-2</v>
      </c>
      <c r="F43" s="828">
        <v>9.1999999999999998E-3</v>
      </c>
      <c r="G43" s="828">
        <v>7.7999999999999996E-3</v>
      </c>
      <c r="H43" s="829"/>
      <c r="I43" s="830"/>
    </row>
    <row r="44" spans="1:20">
      <c r="H44" s="40"/>
    </row>
    <row r="45" spans="1:20">
      <c r="B45" s="381" t="s">
        <v>47</v>
      </c>
      <c r="C45" s="89"/>
      <c r="I45" s="40"/>
    </row>
    <row r="46" spans="1:20">
      <c r="A46" s="34" t="s">
        <v>6</v>
      </c>
      <c r="C46" s="834">
        <f>RIIO_2_start_date</f>
        <v>2022</v>
      </c>
      <c r="D46" s="835">
        <f t="shared" ref="D46:J46" si="11">C46+1</f>
        <v>2023</v>
      </c>
      <c r="E46" s="835">
        <f t="shared" si="11"/>
        <v>2024</v>
      </c>
      <c r="F46" s="835">
        <f t="shared" si="11"/>
        <v>2025</v>
      </c>
      <c r="G46" s="835">
        <f t="shared" si="11"/>
        <v>2026</v>
      </c>
      <c r="H46" s="835">
        <f t="shared" si="11"/>
        <v>2027</v>
      </c>
      <c r="I46" s="835">
        <f t="shared" si="11"/>
        <v>2028</v>
      </c>
      <c r="J46" s="835">
        <f t="shared" si="11"/>
        <v>2029</v>
      </c>
    </row>
    <row r="47" spans="1:20">
      <c r="A47" s="34" t="s">
        <v>48</v>
      </c>
      <c r="B47" s="825" t="s">
        <v>19</v>
      </c>
      <c r="C47" s="824"/>
      <c r="D47" s="435"/>
      <c r="E47" s="784"/>
      <c r="F47" s="784"/>
      <c r="G47" s="784"/>
      <c r="H47" s="784"/>
      <c r="I47" s="380"/>
    </row>
    <row r="48" spans="1:20">
      <c r="A48" s="34" t="s">
        <v>49</v>
      </c>
      <c r="B48" s="825" t="s">
        <v>22</v>
      </c>
      <c r="C48" s="825">
        <v>4.2439449777777784E-2</v>
      </c>
      <c r="D48" s="784">
        <v>4.2616093333333334E-2</v>
      </c>
      <c r="E48" s="784">
        <v>4.2388117333333329E-2</v>
      </c>
      <c r="F48" s="784">
        <v>4.2547130666666676E-2</v>
      </c>
      <c r="G48" s="784">
        <v>4.2685452444444452E-2</v>
      </c>
      <c r="H48" s="435"/>
      <c r="I48" s="826"/>
      <c r="N48" s="734"/>
      <c r="O48" s="734"/>
      <c r="P48" s="734"/>
      <c r="Q48" s="734"/>
      <c r="R48" s="734"/>
    </row>
    <row r="49" spans="1:23">
      <c r="A49" s="34" t="s">
        <v>50</v>
      </c>
      <c r="B49" s="825" t="s">
        <v>25</v>
      </c>
      <c r="C49" s="825">
        <v>4.5181881000000007E-2</v>
      </c>
      <c r="D49" s="784">
        <v>4.5568105000000005E-2</v>
      </c>
      <c r="E49" s="784">
        <v>4.5399131999999995E-2</v>
      </c>
      <c r="F49" s="784">
        <v>4.564052200000001E-2</v>
      </c>
      <c r="G49" s="784">
        <v>4.5833633999999998E-2</v>
      </c>
      <c r="H49" s="435"/>
      <c r="I49" s="826"/>
    </row>
    <row r="50" spans="1:23">
      <c r="A50" s="34" t="s">
        <v>51</v>
      </c>
      <c r="B50" s="825" t="s">
        <v>27</v>
      </c>
      <c r="C50" s="1115">
        <v>4.5181881000000007E-2</v>
      </c>
      <c r="D50" s="1116">
        <v>4.5568105000000005E-2</v>
      </c>
      <c r="E50" s="1116">
        <v>4.5399131999999995E-2</v>
      </c>
      <c r="F50" s="1116">
        <v>4.564052200000001E-2</v>
      </c>
      <c r="G50" s="1116">
        <v>4.5833633999999998E-2</v>
      </c>
      <c r="H50" s="435"/>
      <c r="I50" s="826"/>
    </row>
    <row r="51" spans="1:23">
      <c r="A51" s="34" t="s">
        <v>52</v>
      </c>
      <c r="B51" s="827" t="s">
        <v>4</v>
      </c>
      <c r="C51" s="1117">
        <v>7.5718976000000007E-2</v>
      </c>
      <c r="D51" s="1117">
        <v>7.5510080000000007E-2</v>
      </c>
      <c r="E51" s="1117">
        <v>7.5601472000000003E-2</v>
      </c>
      <c r="F51" s="1117">
        <v>7.5470912000000001E-2</v>
      </c>
      <c r="G51" s="1117">
        <v>7.5366464000000008E-2</v>
      </c>
      <c r="H51" s="949"/>
      <c r="I51" s="830"/>
    </row>
    <row r="52" spans="1:23" ht="14" thickBot="1">
      <c r="A52" s="769"/>
      <c r="B52" s="947"/>
      <c r="C52" s="947"/>
      <c r="D52" s="947"/>
      <c r="E52" s="947"/>
      <c r="F52" s="947"/>
      <c r="G52" s="947"/>
      <c r="H52" s="948"/>
      <c r="I52" s="948"/>
    </row>
    <row r="53" spans="1:23" s="759" customFormat="1" ht="41" thickBot="1">
      <c r="A53"/>
      <c r="B53" s="11"/>
      <c r="C53" s="983" t="s">
        <v>53</v>
      </c>
      <c r="D53" s="983" t="s">
        <v>54</v>
      </c>
      <c r="E53" s="983" t="s">
        <v>55</v>
      </c>
      <c r="F53" s="983" t="s">
        <v>56</v>
      </c>
      <c r="G53" s="984" t="s">
        <v>57</v>
      </c>
      <c r="H53" s="1347" t="s">
        <v>58</v>
      </c>
      <c r="I53" s="1348"/>
      <c r="J53" s="1348"/>
      <c r="K53" s="1348"/>
      <c r="L53" s="1348"/>
      <c r="M53" s="1348"/>
      <c r="N53" s="1349"/>
      <c r="O53" s="1347" t="s">
        <v>59</v>
      </c>
      <c r="P53" s="1348"/>
      <c r="Q53" s="1348"/>
      <c r="R53" s="1348"/>
      <c r="S53" s="1348"/>
      <c r="T53" s="1348"/>
      <c r="U53" s="1349"/>
      <c r="V53"/>
      <c r="W53"/>
    </row>
    <row r="54" spans="1:23" ht="14" thickBot="1">
      <c r="A54" s="132" t="s">
        <v>6</v>
      </c>
      <c r="B54" s="978" t="s">
        <v>60</v>
      </c>
      <c r="C54" s="979"/>
      <c r="D54" s="979"/>
      <c r="E54" s="980"/>
      <c r="F54" s="981"/>
      <c r="G54" s="982"/>
      <c r="H54" s="959">
        <v>2022</v>
      </c>
      <c r="I54" s="960">
        <f t="shared" ref="I54:N54" si="12">H54+1</f>
        <v>2023</v>
      </c>
      <c r="J54" s="960">
        <f t="shared" si="12"/>
        <v>2024</v>
      </c>
      <c r="K54" s="961">
        <f t="shared" si="12"/>
        <v>2025</v>
      </c>
      <c r="L54" s="961">
        <f t="shared" si="12"/>
        <v>2026</v>
      </c>
      <c r="M54" s="961">
        <f t="shared" si="12"/>
        <v>2027</v>
      </c>
      <c r="N54" s="962">
        <f t="shared" si="12"/>
        <v>2028</v>
      </c>
      <c r="O54" s="959">
        <v>2022</v>
      </c>
      <c r="P54" s="960">
        <f t="shared" ref="P54:U54" si="13">O54+1</f>
        <v>2023</v>
      </c>
      <c r="Q54" s="960">
        <f t="shared" si="13"/>
        <v>2024</v>
      </c>
      <c r="R54" s="961">
        <f t="shared" si="13"/>
        <v>2025</v>
      </c>
      <c r="S54" s="961">
        <f t="shared" si="13"/>
        <v>2026</v>
      </c>
      <c r="T54" s="961">
        <f t="shared" si="13"/>
        <v>2027</v>
      </c>
      <c r="U54" s="962">
        <f t="shared" si="13"/>
        <v>2028</v>
      </c>
    </row>
    <row r="55" spans="1:23">
      <c r="A55" s="34" t="s">
        <v>19</v>
      </c>
      <c r="B55" s="968" t="s">
        <v>61</v>
      </c>
      <c r="C55" s="965"/>
      <c r="D55" s="965"/>
      <c r="E55" s="969">
        <v>2024</v>
      </c>
      <c r="F55" s="970" t="str">
        <f t="shared" ref="F55:F83" si="14">VLOOKUP($A55,$H$6:$I$10,2,FALSE)</f>
        <v>£m 20/21</v>
      </c>
      <c r="G55" s="971" t="s">
        <v>43</v>
      </c>
      <c r="H55" s="963"/>
      <c r="I55" s="964"/>
      <c r="J55" s="965">
        <f t="shared" ref="J55:N68" si="15">INDEX($C$36:$I$43,MATCH($G55,$B$36:$B$43,0),MATCH(J$54,$C$35:$I$35))</f>
        <v>0</v>
      </c>
      <c r="K55" s="965">
        <f t="shared" si="15"/>
        <v>0</v>
      </c>
      <c r="L55" s="965">
        <f t="shared" si="15"/>
        <v>0</v>
      </c>
      <c r="M55" s="966">
        <f t="shared" si="15"/>
        <v>0</v>
      </c>
      <c r="N55" s="967">
        <f t="shared" si="15"/>
        <v>0</v>
      </c>
      <c r="O55" s="950"/>
      <c r="P55" s="823"/>
      <c r="Q55" s="782">
        <f t="shared" ref="Q55:U68" si="16">INDEX($C$47:$I$51,MATCH($A55,$B$47:$B$51,0),MATCH(Q$54,$C$46:$I$46))</f>
        <v>0</v>
      </c>
      <c r="R55" s="782">
        <f t="shared" si="16"/>
        <v>0</v>
      </c>
      <c r="S55" s="782">
        <f t="shared" si="16"/>
        <v>0</v>
      </c>
      <c r="T55" s="889">
        <f t="shared" si="16"/>
        <v>0</v>
      </c>
      <c r="U55" s="951">
        <f t="shared" si="16"/>
        <v>0</v>
      </c>
    </row>
    <row r="56" spans="1:23">
      <c r="A56" s="34" t="s">
        <v>19</v>
      </c>
      <c r="B56" s="972" t="s">
        <v>62</v>
      </c>
      <c r="C56" s="784"/>
      <c r="D56" s="784"/>
      <c r="E56" s="138">
        <v>2024</v>
      </c>
      <c r="F56" s="139" t="str">
        <f t="shared" si="14"/>
        <v>£m 20/21</v>
      </c>
      <c r="G56" s="973" t="s">
        <v>43</v>
      </c>
      <c r="H56" s="952"/>
      <c r="I56" s="435"/>
      <c r="J56" s="784">
        <f t="shared" si="15"/>
        <v>0</v>
      </c>
      <c r="K56" s="784">
        <f t="shared" si="15"/>
        <v>0</v>
      </c>
      <c r="L56" s="784">
        <f t="shared" si="15"/>
        <v>0</v>
      </c>
      <c r="M56" s="889">
        <f t="shared" si="15"/>
        <v>0</v>
      </c>
      <c r="N56" s="951">
        <f t="shared" si="15"/>
        <v>0</v>
      </c>
      <c r="O56" s="952"/>
      <c r="P56" s="435"/>
      <c r="Q56" s="784">
        <f t="shared" si="16"/>
        <v>0</v>
      </c>
      <c r="R56" s="784">
        <f t="shared" si="16"/>
        <v>0</v>
      </c>
      <c r="S56" s="784">
        <f t="shared" si="16"/>
        <v>0</v>
      </c>
      <c r="T56" s="889">
        <f t="shared" si="16"/>
        <v>0</v>
      </c>
      <c r="U56" s="951">
        <f t="shared" si="16"/>
        <v>0</v>
      </c>
    </row>
    <row r="57" spans="1:23">
      <c r="A57" s="34" t="s">
        <v>19</v>
      </c>
      <c r="B57" s="972" t="s">
        <v>63</v>
      </c>
      <c r="C57" s="784"/>
      <c r="D57" s="784"/>
      <c r="E57" s="138">
        <v>2024</v>
      </c>
      <c r="F57" s="139" t="str">
        <f t="shared" si="14"/>
        <v>£m 20/21</v>
      </c>
      <c r="G57" s="973" t="s">
        <v>43</v>
      </c>
      <c r="H57" s="952"/>
      <c r="I57" s="435"/>
      <c r="J57" s="784">
        <f t="shared" si="15"/>
        <v>0</v>
      </c>
      <c r="K57" s="784">
        <f t="shared" si="15"/>
        <v>0</v>
      </c>
      <c r="L57" s="784">
        <f t="shared" si="15"/>
        <v>0</v>
      </c>
      <c r="M57" s="889">
        <f t="shared" si="15"/>
        <v>0</v>
      </c>
      <c r="N57" s="951">
        <f t="shared" si="15"/>
        <v>0</v>
      </c>
      <c r="O57" s="952"/>
      <c r="P57" s="435"/>
      <c r="Q57" s="784">
        <f t="shared" si="16"/>
        <v>0</v>
      </c>
      <c r="R57" s="784">
        <f t="shared" si="16"/>
        <v>0</v>
      </c>
      <c r="S57" s="784">
        <f t="shared" si="16"/>
        <v>0</v>
      </c>
      <c r="T57" s="889">
        <f t="shared" si="16"/>
        <v>0</v>
      </c>
      <c r="U57" s="951">
        <f t="shared" si="16"/>
        <v>0</v>
      </c>
    </row>
    <row r="58" spans="1:23">
      <c r="A58" s="34" t="s">
        <v>19</v>
      </c>
      <c r="B58" s="972" t="s">
        <v>64</v>
      </c>
      <c r="C58" s="784"/>
      <c r="D58" s="784"/>
      <c r="E58" s="138">
        <v>2024</v>
      </c>
      <c r="F58" s="139" t="str">
        <f t="shared" si="14"/>
        <v>£m 20/21</v>
      </c>
      <c r="G58" s="973" t="s">
        <v>43</v>
      </c>
      <c r="H58" s="952"/>
      <c r="I58" s="435"/>
      <c r="J58" s="784">
        <f t="shared" si="15"/>
        <v>0</v>
      </c>
      <c r="K58" s="784">
        <f t="shared" si="15"/>
        <v>0</v>
      </c>
      <c r="L58" s="784">
        <f t="shared" si="15"/>
        <v>0</v>
      </c>
      <c r="M58" s="889">
        <f t="shared" si="15"/>
        <v>0</v>
      </c>
      <c r="N58" s="951">
        <f t="shared" si="15"/>
        <v>0</v>
      </c>
      <c r="O58" s="952"/>
      <c r="P58" s="435"/>
      <c r="Q58" s="784">
        <f t="shared" si="16"/>
        <v>0</v>
      </c>
      <c r="R58" s="784">
        <f t="shared" si="16"/>
        <v>0</v>
      </c>
      <c r="S58" s="784">
        <f t="shared" si="16"/>
        <v>0</v>
      </c>
      <c r="T58" s="889">
        <f t="shared" si="16"/>
        <v>0</v>
      </c>
      <c r="U58" s="951">
        <f t="shared" si="16"/>
        <v>0</v>
      </c>
    </row>
    <row r="59" spans="1:23">
      <c r="A59" s="34" t="s">
        <v>19</v>
      </c>
      <c r="B59" s="972" t="s">
        <v>65</v>
      </c>
      <c r="C59" s="784"/>
      <c r="D59" s="784"/>
      <c r="E59" s="138">
        <v>2024</v>
      </c>
      <c r="F59" s="139" t="str">
        <f t="shared" si="14"/>
        <v>£m 20/21</v>
      </c>
      <c r="G59" s="973" t="s">
        <v>43</v>
      </c>
      <c r="H59" s="952"/>
      <c r="I59" s="435"/>
      <c r="J59" s="784">
        <f t="shared" si="15"/>
        <v>0</v>
      </c>
      <c r="K59" s="784">
        <f t="shared" si="15"/>
        <v>0</v>
      </c>
      <c r="L59" s="784">
        <f t="shared" si="15"/>
        <v>0</v>
      </c>
      <c r="M59" s="889">
        <f t="shared" si="15"/>
        <v>0</v>
      </c>
      <c r="N59" s="951">
        <f t="shared" si="15"/>
        <v>0</v>
      </c>
      <c r="O59" s="952"/>
      <c r="P59" s="435"/>
      <c r="Q59" s="784">
        <f t="shared" si="16"/>
        <v>0</v>
      </c>
      <c r="R59" s="784">
        <f t="shared" si="16"/>
        <v>0</v>
      </c>
      <c r="S59" s="784">
        <f t="shared" si="16"/>
        <v>0</v>
      </c>
      <c r="T59" s="889">
        <f t="shared" si="16"/>
        <v>0</v>
      </c>
      <c r="U59" s="951">
        <f t="shared" si="16"/>
        <v>0</v>
      </c>
    </row>
    <row r="60" spans="1:23">
      <c r="A60" s="34" t="s">
        <v>19</v>
      </c>
      <c r="B60" s="972" t="s">
        <v>66</v>
      </c>
      <c r="C60" s="784"/>
      <c r="D60" s="784"/>
      <c r="E60" s="138">
        <v>2024</v>
      </c>
      <c r="F60" s="139" t="str">
        <f t="shared" si="14"/>
        <v>£m 20/21</v>
      </c>
      <c r="G60" s="973" t="s">
        <v>43</v>
      </c>
      <c r="H60" s="952"/>
      <c r="I60" s="435"/>
      <c r="J60" s="784">
        <f t="shared" si="15"/>
        <v>0</v>
      </c>
      <c r="K60" s="784">
        <f t="shared" si="15"/>
        <v>0</v>
      </c>
      <c r="L60" s="784">
        <f t="shared" si="15"/>
        <v>0</v>
      </c>
      <c r="M60" s="889">
        <f t="shared" si="15"/>
        <v>0</v>
      </c>
      <c r="N60" s="951">
        <f t="shared" si="15"/>
        <v>0</v>
      </c>
      <c r="O60" s="952"/>
      <c r="P60" s="435"/>
      <c r="Q60" s="784">
        <f t="shared" si="16"/>
        <v>0</v>
      </c>
      <c r="R60" s="784">
        <f t="shared" si="16"/>
        <v>0</v>
      </c>
      <c r="S60" s="784">
        <f t="shared" si="16"/>
        <v>0</v>
      </c>
      <c r="T60" s="889">
        <f t="shared" si="16"/>
        <v>0</v>
      </c>
      <c r="U60" s="951">
        <f t="shared" si="16"/>
        <v>0</v>
      </c>
    </row>
    <row r="61" spans="1:23">
      <c r="A61" s="34" t="s">
        <v>19</v>
      </c>
      <c r="B61" s="972" t="s">
        <v>67</v>
      </c>
      <c r="C61" s="784"/>
      <c r="D61" s="784"/>
      <c r="E61" s="138">
        <v>2024</v>
      </c>
      <c r="F61" s="139" t="str">
        <f t="shared" si="14"/>
        <v>£m 20/21</v>
      </c>
      <c r="G61" s="973" t="s">
        <v>43</v>
      </c>
      <c r="H61" s="952"/>
      <c r="I61" s="435"/>
      <c r="J61" s="784">
        <f t="shared" si="15"/>
        <v>0</v>
      </c>
      <c r="K61" s="784">
        <f t="shared" si="15"/>
        <v>0</v>
      </c>
      <c r="L61" s="784">
        <f t="shared" si="15"/>
        <v>0</v>
      </c>
      <c r="M61" s="889">
        <f t="shared" si="15"/>
        <v>0</v>
      </c>
      <c r="N61" s="951">
        <f t="shared" si="15"/>
        <v>0</v>
      </c>
      <c r="O61" s="952"/>
      <c r="P61" s="435"/>
      <c r="Q61" s="784">
        <f t="shared" si="16"/>
        <v>0</v>
      </c>
      <c r="R61" s="784">
        <f t="shared" si="16"/>
        <v>0</v>
      </c>
      <c r="S61" s="784">
        <f t="shared" si="16"/>
        <v>0</v>
      </c>
      <c r="T61" s="889">
        <f t="shared" si="16"/>
        <v>0</v>
      </c>
      <c r="U61" s="951">
        <f t="shared" si="16"/>
        <v>0</v>
      </c>
    </row>
    <row r="62" spans="1:23">
      <c r="A62" s="34" t="s">
        <v>19</v>
      </c>
      <c r="B62" s="972" t="s">
        <v>68</v>
      </c>
      <c r="C62" s="784"/>
      <c r="D62" s="784"/>
      <c r="E62" s="138">
        <v>2024</v>
      </c>
      <c r="F62" s="139" t="str">
        <f t="shared" si="14"/>
        <v>£m 20/21</v>
      </c>
      <c r="G62" s="973" t="s">
        <v>43</v>
      </c>
      <c r="H62" s="952"/>
      <c r="I62" s="435"/>
      <c r="J62" s="784">
        <f t="shared" si="15"/>
        <v>0</v>
      </c>
      <c r="K62" s="784">
        <f t="shared" si="15"/>
        <v>0</v>
      </c>
      <c r="L62" s="784">
        <f t="shared" si="15"/>
        <v>0</v>
      </c>
      <c r="M62" s="889">
        <f t="shared" si="15"/>
        <v>0</v>
      </c>
      <c r="N62" s="951">
        <f t="shared" si="15"/>
        <v>0</v>
      </c>
      <c r="O62" s="952"/>
      <c r="P62" s="435"/>
      <c r="Q62" s="784">
        <f t="shared" si="16"/>
        <v>0</v>
      </c>
      <c r="R62" s="784">
        <f t="shared" si="16"/>
        <v>0</v>
      </c>
      <c r="S62" s="784">
        <f t="shared" si="16"/>
        <v>0</v>
      </c>
      <c r="T62" s="889">
        <f t="shared" si="16"/>
        <v>0</v>
      </c>
      <c r="U62" s="951">
        <f t="shared" si="16"/>
        <v>0</v>
      </c>
    </row>
    <row r="63" spans="1:23">
      <c r="A63" s="34" t="s">
        <v>19</v>
      </c>
      <c r="B63" s="972" t="s">
        <v>69</v>
      </c>
      <c r="C63" s="784"/>
      <c r="D63" s="784"/>
      <c r="E63" s="138">
        <v>2024</v>
      </c>
      <c r="F63" s="139" t="str">
        <f t="shared" si="14"/>
        <v>£m 20/21</v>
      </c>
      <c r="G63" s="973" t="s">
        <v>43</v>
      </c>
      <c r="H63" s="952"/>
      <c r="I63" s="435"/>
      <c r="J63" s="784">
        <f t="shared" si="15"/>
        <v>0</v>
      </c>
      <c r="K63" s="784">
        <f t="shared" si="15"/>
        <v>0</v>
      </c>
      <c r="L63" s="784">
        <f t="shared" si="15"/>
        <v>0</v>
      </c>
      <c r="M63" s="889">
        <f t="shared" si="15"/>
        <v>0</v>
      </c>
      <c r="N63" s="951">
        <f t="shared" si="15"/>
        <v>0</v>
      </c>
      <c r="O63" s="952"/>
      <c r="P63" s="435"/>
      <c r="Q63" s="784">
        <f t="shared" si="16"/>
        <v>0</v>
      </c>
      <c r="R63" s="784">
        <f t="shared" si="16"/>
        <v>0</v>
      </c>
      <c r="S63" s="784">
        <f t="shared" si="16"/>
        <v>0</v>
      </c>
      <c r="T63" s="889">
        <f t="shared" si="16"/>
        <v>0</v>
      </c>
      <c r="U63" s="951">
        <f t="shared" si="16"/>
        <v>0</v>
      </c>
    </row>
    <row r="64" spans="1:23">
      <c r="A64" s="34" t="s">
        <v>19</v>
      </c>
      <c r="B64" s="972" t="s">
        <v>70</v>
      </c>
      <c r="C64" s="784"/>
      <c r="D64" s="784"/>
      <c r="E64" s="138">
        <v>2024</v>
      </c>
      <c r="F64" s="139" t="str">
        <f t="shared" si="14"/>
        <v>£m 20/21</v>
      </c>
      <c r="G64" s="973" t="s">
        <v>43</v>
      </c>
      <c r="H64" s="952"/>
      <c r="I64" s="435"/>
      <c r="J64" s="784">
        <f t="shared" si="15"/>
        <v>0</v>
      </c>
      <c r="K64" s="784">
        <f t="shared" si="15"/>
        <v>0</v>
      </c>
      <c r="L64" s="784">
        <f t="shared" si="15"/>
        <v>0</v>
      </c>
      <c r="M64" s="889">
        <f t="shared" si="15"/>
        <v>0</v>
      </c>
      <c r="N64" s="951">
        <f t="shared" si="15"/>
        <v>0</v>
      </c>
      <c r="O64" s="952"/>
      <c r="P64" s="435"/>
      <c r="Q64" s="784">
        <f t="shared" si="16"/>
        <v>0</v>
      </c>
      <c r="R64" s="784">
        <f t="shared" si="16"/>
        <v>0</v>
      </c>
      <c r="S64" s="784">
        <f t="shared" si="16"/>
        <v>0</v>
      </c>
      <c r="T64" s="889">
        <f t="shared" si="16"/>
        <v>0</v>
      </c>
      <c r="U64" s="951">
        <f t="shared" si="16"/>
        <v>0</v>
      </c>
    </row>
    <row r="65" spans="1:21">
      <c r="A65" s="34" t="s">
        <v>19</v>
      </c>
      <c r="B65" s="972" t="s">
        <v>71</v>
      </c>
      <c r="C65" s="784"/>
      <c r="D65" s="784"/>
      <c r="E65" s="138">
        <v>2024</v>
      </c>
      <c r="F65" s="139" t="str">
        <f t="shared" si="14"/>
        <v>£m 20/21</v>
      </c>
      <c r="G65" s="973" t="s">
        <v>42</v>
      </c>
      <c r="H65" s="952"/>
      <c r="I65" s="435"/>
      <c r="J65" s="784">
        <f t="shared" si="15"/>
        <v>0</v>
      </c>
      <c r="K65" s="784">
        <f t="shared" si="15"/>
        <v>0</v>
      </c>
      <c r="L65" s="784">
        <f t="shared" si="15"/>
        <v>0</v>
      </c>
      <c r="M65" s="889">
        <f t="shared" si="15"/>
        <v>0</v>
      </c>
      <c r="N65" s="951">
        <f t="shared" si="15"/>
        <v>0</v>
      </c>
      <c r="O65" s="952"/>
      <c r="P65" s="435"/>
      <c r="Q65" s="784">
        <f t="shared" si="16"/>
        <v>0</v>
      </c>
      <c r="R65" s="784">
        <f t="shared" si="16"/>
        <v>0</v>
      </c>
      <c r="S65" s="784">
        <f t="shared" si="16"/>
        <v>0</v>
      </c>
      <c r="T65" s="889">
        <f t="shared" si="16"/>
        <v>0</v>
      </c>
      <c r="U65" s="951">
        <f t="shared" si="16"/>
        <v>0</v>
      </c>
    </row>
    <row r="66" spans="1:21">
      <c r="A66" s="34" t="s">
        <v>19</v>
      </c>
      <c r="B66" s="972" t="s">
        <v>72</v>
      </c>
      <c r="C66" s="784"/>
      <c r="D66" s="784"/>
      <c r="E66" s="138">
        <v>2024</v>
      </c>
      <c r="F66" s="139" t="str">
        <f t="shared" si="14"/>
        <v>£m 20/21</v>
      </c>
      <c r="G66" s="973" t="s">
        <v>42</v>
      </c>
      <c r="H66" s="952"/>
      <c r="I66" s="435"/>
      <c r="J66" s="784">
        <f t="shared" si="15"/>
        <v>0</v>
      </c>
      <c r="K66" s="784">
        <f t="shared" si="15"/>
        <v>0</v>
      </c>
      <c r="L66" s="784">
        <f t="shared" si="15"/>
        <v>0</v>
      </c>
      <c r="M66" s="889">
        <f t="shared" si="15"/>
        <v>0</v>
      </c>
      <c r="N66" s="951">
        <f t="shared" si="15"/>
        <v>0</v>
      </c>
      <c r="O66" s="952"/>
      <c r="P66" s="435"/>
      <c r="Q66" s="784">
        <f t="shared" si="16"/>
        <v>0</v>
      </c>
      <c r="R66" s="784">
        <f t="shared" si="16"/>
        <v>0</v>
      </c>
      <c r="S66" s="784">
        <f t="shared" si="16"/>
        <v>0</v>
      </c>
      <c r="T66" s="889">
        <f t="shared" si="16"/>
        <v>0</v>
      </c>
      <c r="U66" s="951">
        <f t="shared" si="16"/>
        <v>0</v>
      </c>
    </row>
    <row r="67" spans="1:21">
      <c r="A67" s="34" t="s">
        <v>19</v>
      </c>
      <c r="B67" s="972" t="s">
        <v>73</v>
      </c>
      <c r="C67" s="784"/>
      <c r="D67" s="784"/>
      <c r="E67" s="138">
        <v>2024</v>
      </c>
      <c r="F67" s="139" t="str">
        <f t="shared" si="14"/>
        <v>£m 20/21</v>
      </c>
      <c r="G67" s="973" t="s">
        <v>42</v>
      </c>
      <c r="H67" s="952"/>
      <c r="I67" s="435"/>
      <c r="J67" s="784">
        <f t="shared" si="15"/>
        <v>0</v>
      </c>
      <c r="K67" s="784">
        <f t="shared" si="15"/>
        <v>0</v>
      </c>
      <c r="L67" s="784">
        <f t="shared" si="15"/>
        <v>0</v>
      </c>
      <c r="M67" s="889">
        <f t="shared" si="15"/>
        <v>0</v>
      </c>
      <c r="N67" s="951">
        <f t="shared" si="15"/>
        <v>0</v>
      </c>
      <c r="O67" s="952"/>
      <c r="P67" s="435"/>
      <c r="Q67" s="784">
        <f t="shared" si="16"/>
        <v>0</v>
      </c>
      <c r="R67" s="784">
        <f t="shared" si="16"/>
        <v>0</v>
      </c>
      <c r="S67" s="784">
        <f t="shared" si="16"/>
        <v>0</v>
      </c>
      <c r="T67" s="889">
        <f t="shared" si="16"/>
        <v>0</v>
      </c>
      <c r="U67" s="951">
        <f t="shared" si="16"/>
        <v>0</v>
      </c>
    </row>
    <row r="68" spans="1:21">
      <c r="A68" s="34" t="s">
        <v>19</v>
      </c>
      <c r="B68" s="972" t="s">
        <v>74</v>
      </c>
      <c r="C68" s="784"/>
      <c r="D68" s="784"/>
      <c r="E68" s="138">
        <v>2024</v>
      </c>
      <c r="F68" s="139" t="str">
        <f t="shared" si="14"/>
        <v>£m 20/21</v>
      </c>
      <c r="G68" s="973" t="s">
        <v>42</v>
      </c>
      <c r="H68" s="952"/>
      <c r="I68" s="435"/>
      <c r="J68" s="784">
        <f t="shared" si="15"/>
        <v>0</v>
      </c>
      <c r="K68" s="784">
        <f t="shared" si="15"/>
        <v>0</v>
      </c>
      <c r="L68" s="784">
        <f t="shared" si="15"/>
        <v>0</v>
      </c>
      <c r="M68" s="889">
        <f t="shared" si="15"/>
        <v>0</v>
      </c>
      <c r="N68" s="951">
        <f t="shared" si="15"/>
        <v>0</v>
      </c>
      <c r="O68" s="952"/>
      <c r="P68" s="435"/>
      <c r="Q68" s="784">
        <f t="shared" si="16"/>
        <v>0</v>
      </c>
      <c r="R68" s="784">
        <f t="shared" si="16"/>
        <v>0</v>
      </c>
      <c r="S68" s="784">
        <f t="shared" si="16"/>
        <v>0</v>
      </c>
      <c r="T68" s="889">
        <f t="shared" si="16"/>
        <v>0</v>
      </c>
      <c r="U68" s="951">
        <f t="shared" si="16"/>
        <v>0</v>
      </c>
    </row>
    <row r="69" spans="1:21">
      <c r="A69" s="34" t="s">
        <v>25</v>
      </c>
      <c r="B69" s="972" t="s">
        <v>75</v>
      </c>
      <c r="C69" s="784">
        <v>0.5</v>
      </c>
      <c r="D69" s="784">
        <v>0.6</v>
      </c>
      <c r="E69" s="138">
        <v>2022</v>
      </c>
      <c r="F69" s="139" t="str">
        <f t="shared" si="14"/>
        <v>£m 18/19</v>
      </c>
      <c r="G69" s="973" t="s">
        <v>25</v>
      </c>
      <c r="H69" s="953">
        <f t="shared" ref="H69:L83" si="17">INDEX($C$36:$I$43,MATCH($G69,$B$36:$B$43,0),MATCH(H$54,$C$35:$I$35))</f>
        <v>2.0500000000000001E-2</v>
      </c>
      <c r="I69" s="784">
        <f t="shared" si="17"/>
        <v>1.9E-2</v>
      </c>
      <c r="J69" s="784">
        <f t="shared" si="17"/>
        <v>1.83E-2</v>
      </c>
      <c r="K69" s="784">
        <f t="shared" si="17"/>
        <v>1.78E-2</v>
      </c>
      <c r="L69" s="784">
        <f t="shared" si="17"/>
        <v>1.7500000000000002E-2</v>
      </c>
      <c r="M69" s="435"/>
      <c r="N69" s="954"/>
      <c r="O69" s="953">
        <f t="shared" ref="O69:S83" si="18">INDEX($C$47:$I$51,MATCH($A69,$B$47:$B$51,0),MATCH(O$54,$C$46:$I$46))</f>
        <v>4.5181881000000007E-2</v>
      </c>
      <c r="P69" s="784">
        <f t="shared" si="18"/>
        <v>4.5568105000000005E-2</v>
      </c>
      <c r="Q69" s="784">
        <f t="shared" si="18"/>
        <v>4.5399131999999995E-2</v>
      </c>
      <c r="R69" s="784">
        <f t="shared" si="18"/>
        <v>4.564052200000001E-2</v>
      </c>
      <c r="S69" s="784">
        <f t="shared" si="18"/>
        <v>4.5833633999999998E-2</v>
      </c>
      <c r="T69" s="435"/>
      <c r="U69" s="954"/>
    </row>
    <row r="70" spans="1:21">
      <c r="A70" s="34" t="s">
        <v>25</v>
      </c>
      <c r="B70" s="972" t="s">
        <v>76</v>
      </c>
      <c r="C70" s="784">
        <v>0.5</v>
      </c>
      <c r="D70" s="784">
        <v>0.6</v>
      </c>
      <c r="E70" s="138">
        <v>2022</v>
      </c>
      <c r="F70" s="139" t="str">
        <f t="shared" si="14"/>
        <v>£m 18/19</v>
      </c>
      <c r="G70" s="973" t="s">
        <v>25</v>
      </c>
      <c r="H70" s="953">
        <f t="shared" si="17"/>
        <v>2.0500000000000001E-2</v>
      </c>
      <c r="I70" s="784">
        <f t="shared" si="17"/>
        <v>1.9E-2</v>
      </c>
      <c r="J70" s="784">
        <f t="shared" si="17"/>
        <v>1.83E-2</v>
      </c>
      <c r="K70" s="784">
        <f t="shared" si="17"/>
        <v>1.78E-2</v>
      </c>
      <c r="L70" s="784">
        <f t="shared" si="17"/>
        <v>1.7500000000000002E-2</v>
      </c>
      <c r="M70" s="435"/>
      <c r="N70" s="954"/>
      <c r="O70" s="953">
        <f t="shared" si="18"/>
        <v>4.5181881000000007E-2</v>
      </c>
      <c r="P70" s="784">
        <f t="shared" si="18"/>
        <v>4.5568105000000005E-2</v>
      </c>
      <c r="Q70" s="784">
        <f t="shared" si="18"/>
        <v>4.5399131999999995E-2</v>
      </c>
      <c r="R70" s="784">
        <f t="shared" si="18"/>
        <v>4.564052200000001E-2</v>
      </c>
      <c r="S70" s="784">
        <f t="shared" si="18"/>
        <v>4.5833633999999998E-2</v>
      </c>
      <c r="T70" s="435"/>
      <c r="U70" s="954"/>
    </row>
    <row r="71" spans="1:21">
      <c r="A71" s="34" t="s">
        <v>25</v>
      </c>
      <c r="B71" s="972" t="s">
        <v>77</v>
      </c>
      <c r="C71" s="784">
        <v>0.5</v>
      </c>
      <c r="D71" s="784">
        <v>0.6</v>
      </c>
      <c r="E71" s="138">
        <v>2022</v>
      </c>
      <c r="F71" s="139" t="str">
        <f t="shared" si="14"/>
        <v>£m 18/19</v>
      </c>
      <c r="G71" s="973" t="s">
        <v>25</v>
      </c>
      <c r="H71" s="953">
        <f t="shared" si="17"/>
        <v>2.0500000000000001E-2</v>
      </c>
      <c r="I71" s="784">
        <f t="shared" si="17"/>
        <v>1.9E-2</v>
      </c>
      <c r="J71" s="784">
        <f t="shared" si="17"/>
        <v>1.83E-2</v>
      </c>
      <c r="K71" s="784">
        <f t="shared" si="17"/>
        <v>1.78E-2</v>
      </c>
      <c r="L71" s="784">
        <f t="shared" si="17"/>
        <v>1.7500000000000002E-2</v>
      </c>
      <c r="M71" s="435"/>
      <c r="N71" s="954"/>
      <c r="O71" s="953">
        <f t="shared" si="18"/>
        <v>4.5181881000000007E-2</v>
      </c>
      <c r="P71" s="784">
        <f t="shared" si="18"/>
        <v>4.5568105000000005E-2</v>
      </c>
      <c r="Q71" s="784">
        <f t="shared" si="18"/>
        <v>4.5399131999999995E-2</v>
      </c>
      <c r="R71" s="784">
        <f t="shared" si="18"/>
        <v>4.564052200000001E-2</v>
      </c>
      <c r="S71" s="784">
        <f t="shared" si="18"/>
        <v>4.5833633999999998E-2</v>
      </c>
      <c r="T71" s="435"/>
      <c r="U71" s="954"/>
    </row>
    <row r="72" spans="1:21">
      <c r="A72" s="34" t="s">
        <v>25</v>
      </c>
      <c r="B72" s="972" t="s">
        <v>78</v>
      </c>
      <c r="C72" s="784">
        <v>0.5</v>
      </c>
      <c r="D72" s="784">
        <v>0.6</v>
      </c>
      <c r="E72" s="138">
        <v>2022</v>
      </c>
      <c r="F72" s="139" t="str">
        <f t="shared" si="14"/>
        <v>£m 18/19</v>
      </c>
      <c r="G72" s="973" t="s">
        <v>25</v>
      </c>
      <c r="H72" s="953">
        <f t="shared" si="17"/>
        <v>2.0500000000000001E-2</v>
      </c>
      <c r="I72" s="784">
        <f t="shared" si="17"/>
        <v>1.9E-2</v>
      </c>
      <c r="J72" s="784">
        <f t="shared" si="17"/>
        <v>1.83E-2</v>
      </c>
      <c r="K72" s="784">
        <f t="shared" si="17"/>
        <v>1.78E-2</v>
      </c>
      <c r="L72" s="784">
        <f t="shared" si="17"/>
        <v>1.7500000000000002E-2</v>
      </c>
      <c r="M72" s="435"/>
      <c r="N72" s="954"/>
      <c r="O72" s="953">
        <f t="shared" si="18"/>
        <v>4.5181881000000007E-2</v>
      </c>
      <c r="P72" s="784">
        <f t="shared" si="18"/>
        <v>4.5568105000000005E-2</v>
      </c>
      <c r="Q72" s="784">
        <f t="shared" si="18"/>
        <v>4.5399131999999995E-2</v>
      </c>
      <c r="R72" s="784">
        <f t="shared" si="18"/>
        <v>4.564052200000001E-2</v>
      </c>
      <c r="S72" s="784">
        <f t="shared" si="18"/>
        <v>4.5833633999999998E-2</v>
      </c>
      <c r="T72" s="435"/>
      <c r="U72" s="954"/>
    </row>
    <row r="73" spans="1:21">
      <c r="A73" s="34" t="s">
        <v>25</v>
      </c>
      <c r="B73" s="972" t="s">
        <v>79</v>
      </c>
      <c r="C73" s="784">
        <v>0.51</v>
      </c>
      <c r="D73" s="784">
        <v>0.6</v>
      </c>
      <c r="E73" s="138">
        <v>2022</v>
      </c>
      <c r="F73" s="139" t="str">
        <f t="shared" si="14"/>
        <v>£m 18/19</v>
      </c>
      <c r="G73" s="973" t="s">
        <v>46</v>
      </c>
      <c r="H73" s="953">
        <f t="shared" si="17"/>
        <v>2.1100000000000001E-2</v>
      </c>
      <c r="I73" s="784">
        <f t="shared" si="17"/>
        <v>1.9599999999999999E-2</v>
      </c>
      <c r="J73" s="784">
        <f t="shared" si="17"/>
        <v>1.89E-2</v>
      </c>
      <c r="K73" s="784">
        <f t="shared" si="17"/>
        <v>1.84E-2</v>
      </c>
      <c r="L73" s="784">
        <f t="shared" si="17"/>
        <v>1.8100000000000002E-2</v>
      </c>
      <c r="M73" s="435"/>
      <c r="N73" s="954"/>
      <c r="O73" s="953">
        <f t="shared" si="18"/>
        <v>4.5181881000000007E-2</v>
      </c>
      <c r="P73" s="784">
        <f t="shared" si="18"/>
        <v>4.5568105000000005E-2</v>
      </c>
      <c r="Q73" s="784">
        <f t="shared" si="18"/>
        <v>4.5399131999999995E-2</v>
      </c>
      <c r="R73" s="784">
        <f t="shared" si="18"/>
        <v>4.564052200000001E-2</v>
      </c>
      <c r="S73" s="784">
        <f t="shared" si="18"/>
        <v>4.5833633999999998E-2</v>
      </c>
      <c r="T73" s="435"/>
      <c r="U73" s="954"/>
    </row>
    <row r="74" spans="1:21">
      <c r="A74" s="34" t="s">
        <v>25</v>
      </c>
      <c r="B74" s="972" t="s">
        <v>80</v>
      </c>
      <c r="C74" s="784">
        <v>0.51</v>
      </c>
      <c r="D74" s="784">
        <v>0.6</v>
      </c>
      <c r="E74" s="138">
        <v>2022</v>
      </c>
      <c r="F74" s="139" t="str">
        <f t="shared" si="14"/>
        <v>£m 18/19</v>
      </c>
      <c r="G74" s="973" t="s">
        <v>46</v>
      </c>
      <c r="H74" s="953">
        <f t="shared" si="17"/>
        <v>2.1100000000000001E-2</v>
      </c>
      <c r="I74" s="784">
        <f t="shared" si="17"/>
        <v>1.9599999999999999E-2</v>
      </c>
      <c r="J74" s="784">
        <f t="shared" si="17"/>
        <v>1.89E-2</v>
      </c>
      <c r="K74" s="784">
        <f t="shared" si="17"/>
        <v>1.84E-2</v>
      </c>
      <c r="L74" s="784">
        <f t="shared" si="17"/>
        <v>1.8100000000000002E-2</v>
      </c>
      <c r="M74" s="435"/>
      <c r="N74" s="954"/>
      <c r="O74" s="953">
        <f t="shared" si="18"/>
        <v>4.5181881000000007E-2</v>
      </c>
      <c r="P74" s="784">
        <f t="shared" si="18"/>
        <v>4.5568105000000005E-2</v>
      </c>
      <c r="Q74" s="784">
        <f t="shared" si="18"/>
        <v>4.5399131999999995E-2</v>
      </c>
      <c r="R74" s="784">
        <f t="shared" si="18"/>
        <v>4.564052200000001E-2</v>
      </c>
      <c r="S74" s="784">
        <f t="shared" si="18"/>
        <v>4.5833633999999998E-2</v>
      </c>
      <c r="T74" s="435"/>
      <c r="U74" s="954"/>
    </row>
    <row r="75" spans="1:21">
      <c r="A75" s="34" t="s">
        <v>25</v>
      </c>
      <c r="B75" s="972" t="s">
        <v>81</v>
      </c>
      <c r="C75" s="784">
        <v>0.5</v>
      </c>
      <c r="D75" s="784">
        <v>0.6</v>
      </c>
      <c r="E75" s="138">
        <v>2022</v>
      </c>
      <c r="F75" s="139" t="str">
        <f t="shared" si="14"/>
        <v>£m 18/19</v>
      </c>
      <c r="G75" s="973" t="s">
        <v>25</v>
      </c>
      <c r="H75" s="953">
        <f t="shared" si="17"/>
        <v>2.0500000000000001E-2</v>
      </c>
      <c r="I75" s="784">
        <f t="shared" si="17"/>
        <v>1.9E-2</v>
      </c>
      <c r="J75" s="784">
        <f t="shared" si="17"/>
        <v>1.83E-2</v>
      </c>
      <c r="K75" s="784">
        <f t="shared" si="17"/>
        <v>1.78E-2</v>
      </c>
      <c r="L75" s="784">
        <f t="shared" si="17"/>
        <v>1.7500000000000002E-2</v>
      </c>
      <c r="M75" s="435"/>
      <c r="N75" s="954"/>
      <c r="O75" s="953">
        <f t="shared" si="18"/>
        <v>4.5181881000000007E-2</v>
      </c>
      <c r="P75" s="784">
        <f t="shared" si="18"/>
        <v>4.5568105000000005E-2</v>
      </c>
      <c r="Q75" s="784">
        <f t="shared" si="18"/>
        <v>4.5399131999999995E-2</v>
      </c>
      <c r="R75" s="784">
        <f t="shared" si="18"/>
        <v>4.564052200000001E-2</v>
      </c>
      <c r="S75" s="784">
        <f t="shared" si="18"/>
        <v>4.5833633999999998E-2</v>
      </c>
      <c r="T75" s="435"/>
      <c r="U75" s="954"/>
    </row>
    <row r="76" spans="1:21">
      <c r="A76" s="34" t="s">
        <v>25</v>
      </c>
      <c r="B76" s="972" t="s">
        <v>82</v>
      </c>
      <c r="C76" s="784">
        <v>0.5</v>
      </c>
      <c r="D76" s="784">
        <v>0.6</v>
      </c>
      <c r="E76" s="138">
        <v>2022</v>
      </c>
      <c r="F76" s="139" t="str">
        <f t="shared" si="14"/>
        <v>£m 18/19</v>
      </c>
      <c r="G76" s="973" t="s">
        <v>46</v>
      </c>
      <c r="H76" s="953">
        <f t="shared" si="17"/>
        <v>2.1100000000000001E-2</v>
      </c>
      <c r="I76" s="784">
        <f t="shared" si="17"/>
        <v>1.9599999999999999E-2</v>
      </c>
      <c r="J76" s="784">
        <f t="shared" si="17"/>
        <v>1.89E-2</v>
      </c>
      <c r="K76" s="784">
        <f t="shared" si="17"/>
        <v>1.84E-2</v>
      </c>
      <c r="L76" s="784">
        <f t="shared" si="17"/>
        <v>1.8100000000000002E-2</v>
      </c>
      <c r="M76" s="435"/>
      <c r="N76" s="954"/>
      <c r="O76" s="953">
        <f t="shared" si="18"/>
        <v>4.5181881000000007E-2</v>
      </c>
      <c r="P76" s="784">
        <f t="shared" si="18"/>
        <v>4.5568105000000005E-2</v>
      </c>
      <c r="Q76" s="784">
        <f t="shared" si="18"/>
        <v>4.5399131999999995E-2</v>
      </c>
      <c r="R76" s="784">
        <f t="shared" si="18"/>
        <v>4.564052200000001E-2</v>
      </c>
      <c r="S76" s="784">
        <f t="shared" si="18"/>
        <v>4.5833633999999998E-2</v>
      </c>
      <c r="T76" s="435"/>
      <c r="U76" s="954"/>
    </row>
    <row r="77" spans="1:21">
      <c r="A77" s="34" t="s">
        <v>27</v>
      </c>
      <c r="B77" s="972" t="s">
        <v>83</v>
      </c>
      <c r="C77" s="784">
        <v>0.61</v>
      </c>
      <c r="D77" s="784">
        <v>0.6</v>
      </c>
      <c r="E77" s="138">
        <v>2022</v>
      </c>
      <c r="F77" s="139" t="str">
        <f t="shared" si="14"/>
        <v>£m 18/19</v>
      </c>
      <c r="G77" s="973" t="s">
        <v>27</v>
      </c>
      <c r="H77" s="953">
        <f t="shared" si="17"/>
        <v>2.0500000000000001E-2</v>
      </c>
      <c r="I77" s="784">
        <f t="shared" si="17"/>
        <v>1.9E-2</v>
      </c>
      <c r="J77" s="784">
        <f t="shared" si="17"/>
        <v>1.83E-2</v>
      </c>
      <c r="K77" s="784">
        <f t="shared" si="17"/>
        <v>1.78E-2</v>
      </c>
      <c r="L77" s="784">
        <f t="shared" si="17"/>
        <v>1.7500000000000002E-2</v>
      </c>
      <c r="M77" s="435"/>
      <c r="N77" s="954"/>
      <c r="O77" s="953">
        <f t="shared" si="18"/>
        <v>4.5181881000000007E-2</v>
      </c>
      <c r="P77" s="784">
        <f t="shared" si="18"/>
        <v>4.5568105000000005E-2</v>
      </c>
      <c r="Q77" s="784">
        <f t="shared" si="18"/>
        <v>4.5399131999999995E-2</v>
      </c>
      <c r="R77" s="784">
        <f t="shared" si="18"/>
        <v>4.564052200000001E-2</v>
      </c>
      <c r="S77" s="784">
        <f t="shared" si="18"/>
        <v>4.5833633999999998E-2</v>
      </c>
      <c r="T77" s="435"/>
      <c r="U77" s="954"/>
    </row>
    <row r="78" spans="1:21">
      <c r="A78" s="34" t="s">
        <v>27</v>
      </c>
      <c r="B78" s="972" t="s">
        <v>84</v>
      </c>
      <c r="C78" s="784">
        <v>0.61</v>
      </c>
      <c r="D78" s="784">
        <v>0.6</v>
      </c>
      <c r="E78" s="138">
        <v>2022</v>
      </c>
      <c r="F78" s="139" t="str">
        <f t="shared" si="14"/>
        <v>£m 18/19</v>
      </c>
      <c r="G78" s="973" t="s">
        <v>27</v>
      </c>
      <c r="H78" s="953">
        <f t="shared" si="17"/>
        <v>2.0500000000000001E-2</v>
      </c>
      <c r="I78" s="784">
        <f t="shared" si="17"/>
        <v>1.9E-2</v>
      </c>
      <c r="J78" s="784">
        <f t="shared" si="17"/>
        <v>1.83E-2</v>
      </c>
      <c r="K78" s="784">
        <f t="shared" si="17"/>
        <v>1.78E-2</v>
      </c>
      <c r="L78" s="784">
        <f t="shared" si="17"/>
        <v>1.7500000000000002E-2</v>
      </c>
      <c r="M78" s="435"/>
      <c r="N78" s="954"/>
      <c r="O78" s="953">
        <f t="shared" si="18"/>
        <v>4.5181881000000007E-2</v>
      </c>
      <c r="P78" s="784">
        <f t="shared" si="18"/>
        <v>4.5568105000000005E-2</v>
      </c>
      <c r="Q78" s="784">
        <f t="shared" si="18"/>
        <v>4.5399131999999995E-2</v>
      </c>
      <c r="R78" s="784">
        <f t="shared" si="18"/>
        <v>4.564052200000001E-2</v>
      </c>
      <c r="S78" s="784">
        <f t="shared" si="18"/>
        <v>4.5833633999999998E-2</v>
      </c>
      <c r="T78" s="435"/>
      <c r="U78" s="954"/>
    </row>
    <row r="79" spans="1:21">
      <c r="A79" s="34" t="s">
        <v>27</v>
      </c>
      <c r="B79" s="972" t="s">
        <v>85</v>
      </c>
      <c r="C79" s="784">
        <v>0.61</v>
      </c>
      <c r="D79" s="784">
        <v>0.6</v>
      </c>
      <c r="E79" s="138">
        <v>2022</v>
      </c>
      <c r="F79" s="139" t="str">
        <f t="shared" si="14"/>
        <v>£m 18/19</v>
      </c>
      <c r="G79" s="973" t="s">
        <v>27</v>
      </c>
      <c r="H79" s="953">
        <f t="shared" si="17"/>
        <v>2.0500000000000001E-2</v>
      </c>
      <c r="I79" s="784">
        <f t="shared" si="17"/>
        <v>1.9E-2</v>
      </c>
      <c r="J79" s="784">
        <f t="shared" si="17"/>
        <v>1.83E-2</v>
      </c>
      <c r="K79" s="784">
        <f t="shared" si="17"/>
        <v>1.78E-2</v>
      </c>
      <c r="L79" s="784">
        <f t="shared" si="17"/>
        <v>1.7500000000000002E-2</v>
      </c>
      <c r="M79" s="435"/>
      <c r="N79" s="954"/>
      <c r="O79" s="953">
        <f t="shared" si="18"/>
        <v>4.5181881000000007E-2</v>
      </c>
      <c r="P79" s="784">
        <f t="shared" si="18"/>
        <v>4.5568105000000005E-2</v>
      </c>
      <c r="Q79" s="784">
        <f t="shared" si="18"/>
        <v>4.5399131999999995E-2</v>
      </c>
      <c r="R79" s="784">
        <f t="shared" si="18"/>
        <v>4.564052200000001E-2</v>
      </c>
      <c r="S79" s="784">
        <f t="shared" si="18"/>
        <v>4.5833633999999998E-2</v>
      </c>
      <c r="T79" s="435"/>
      <c r="U79" s="954"/>
    </row>
    <row r="80" spans="1:21">
      <c r="A80" s="34" t="s">
        <v>22</v>
      </c>
      <c r="B80" s="972" t="s">
        <v>86</v>
      </c>
      <c r="C80" s="784">
        <v>0.67</v>
      </c>
      <c r="D80" s="784">
        <v>0.55000000000000004</v>
      </c>
      <c r="E80" s="138">
        <v>2022</v>
      </c>
      <c r="F80" s="139" t="str">
        <f t="shared" si="14"/>
        <v>£m 18/19</v>
      </c>
      <c r="G80" s="973" t="s">
        <v>45</v>
      </c>
      <c r="H80" s="953">
        <f t="shared" si="17"/>
        <v>2.0500000000000001E-2</v>
      </c>
      <c r="I80" s="784">
        <f t="shared" si="17"/>
        <v>1.9E-2</v>
      </c>
      <c r="J80" s="784">
        <f t="shared" si="17"/>
        <v>1.83E-2</v>
      </c>
      <c r="K80" s="784">
        <f t="shared" si="17"/>
        <v>1.78E-2</v>
      </c>
      <c r="L80" s="784">
        <f t="shared" si="17"/>
        <v>1.7500000000000002E-2</v>
      </c>
      <c r="M80" s="435"/>
      <c r="N80" s="954"/>
      <c r="O80" s="953">
        <f t="shared" si="18"/>
        <v>4.2439449777777784E-2</v>
      </c>
      <c r="P80" s="784">
        <f t="shared" si="18"/>
        <v>4.2616093333333334E-2</v>
      </c>
      <c r="Q80" s="784">
        <f t="shared" si="18"/>
        <v>4.2388117333333329E-2</v>
      </c>
      <c r="R80" s="784">
        <f t="shared" si="18"/>
        <v>4.2547130666666676E-2</v>
      </c>
      <c r="S80" s="784">
        <f t="shared" si="18"/>
        <v>4.2685452444444452E-2</v>
      </c>
      <c r="T80" s="435"/>
      <c r="U80" s="954"/>
    </row>
    <row r="81" spans="1:21">
      <c r="A81" s="34" t="s">
        <v>4</v>
      </c>
      <c r="B81" s="972" t="s">
        <v>4</v>
      </c>
      <c r="C81" s="784">
        <v>1</v>
      </c>
      <c r="D81" s="784">
        <v>0.55000000000000004</v>
      </c>
      <c r="E81" s="138">
        <v>2022</v>
      </c>
      <c r="F81" s="139" t="str">
        <f t="shared" si="14"/>
        <v>£m 18/19</v>
      </c>
      <c r="G81" s="973" t="s">
        <v>4</v>
      </c>
      <c r="H81" s="953">
        <f t="shared" si="17"/>
        <v>-1E-4</v>
      </c>
      <c r="I81" s="784">
        <f t="shared" si="17"/>
        <v>9.2999999999999992E-3</v>
      </c>
      <c r="J81" s="784">
        <f t="shared" si="17"/>
        <v>1.06E-2</v>
      </c>
      <c r="K81" s="784">
        <f t="shared" si="17"/>
        <v>9.1999999999999998E-3</v>
      </c>
      <c r="L81" s="784">
        <f t="shared" si="17"/>
        <v>7.7999999999999996E-3</v>
      </c>
      <c r="M81" s="435"/>
      <c r="N81" s="954"/>
      <c r="O81" s="953">
        <f t="shared" si="18"/>
        <v>7.5718976000000007E-2</v>
      </c>
      <c r="P81" s="784">
        <f t="shared" si="18"/>
        <v>7.5510080000000007E-2</v>
      </c>
      <c r="Q81" s="784">
        <f t="shared" si="18"/>
        <v>7.5601472000000003E-2</v>
      </c>
      <c r="R81" s="784">
        <f t="shared" si="18"/>
        <v>7.5470912000000001E-2</v>
      </c>
      <c r="S81" s="784">
        <f t="shared" si="18"/>
        <v>7.5366464000000008E-2</v>
      </c>
      <c r="T81" s="435"/>
      <c r="U81" s="954"/>
    </row>
    <row r="82" spans="1:21">
      <c r="A82" s="34" t="s">
        <v>22</v>
      </c>
      <c r="B82" s="972" t="s">
        <v>87</v>
      </c>
      <c r="C82" s="784">
        <v>0.51</v>
      </c>
      <c r="D82" s="784">
        <v>0.55000000000000004</v>
      </c>
      <c r="E82" s="138">
        <v>2022</v>
      </c>
      <c r="F82" s="139" t="str">
        <f t="shared" si="14"/>
        <v>£m 18/19</v>
      </c>
      <c r="G82" s="973" t="s">
        <v>45</v>
      </c>
      <c r="H82" s="953">
        <f t="shared" si="17"/>
        <v>2.0500000000000001E-2</v>
      </c>
      <c r="I82" s="784">
        <f t="shared" si="17"/>
        <v>1.9E-2</v>
      </c>
      <c r="J82" s="784">
        <f t="shared" si="17"/>
        <v>1.83E-2</v>
      </c>
      <c r="K82" s="784">
        <f t="shared" si="17"/>
        <v>1.78E-2</v>
      </c>
      <c r="L82" s="784">
        <f t="shared" si="17"/>
        <v>1.7500000000000002E-2</v>
      </c>
      <c r="M82" s="435"/>
      <c r="N82" s="954"/>
      <c r="O82" s="953">
        <f t="shared" si="18"/>
        <v>4.2439449777777784E-2</v>
      </c>
      <c r="P82" s="784">
        <f t="shared" si="18"/>
        <v>4.2616093333333334E-2</v>
      </c>
      <c r="Q82" s="784">
        <f t="shared" si="18"/>
        <v>4.2388117333333329E-2</v>
      </c>
      <c r="R82" s="784">
        <f t="shared" si="18"/>
        <v>4.2547130666666676E-2</v>
      </c>
      <c r="S82" s="784">
        <f t="shared" si="18"/>
        <v>4.2685452444444452E-2</v>
      </c>
      <c r="T82" s="435"/>
      <c r="U82" s="954"/>
    </row>
    <row r="83" spans="1:21" ht="14" thickBot="1">
      <c r="A83" s="34" t="s">
        <v>22</v>
      </c>
      <c r="B83" s="974" t="s">
        <v>44</v>
      </c>
      <c r="C83" s="956">
        <v>0.64</v>
      </c>
      <c r="D83" s="956">
        <v>0.55000000000000004</v>
      </c>
      <c r="E83" s="975">
        <v>2022</v>
      </c>
      <c r="F83" s="976" t="str">
        <f t="shared" si="14"/>
        <v>£m 18/19</v>
      </c>
      <c r="G83" s="977" t="s">
        <v>44</v>
      </c>
      <c r="H83" s="955">
        <f t="shared" si="17"/>
        <v>1.8143044979056552E-2</v>
      </c>
      <c r="I83" s="956">
        <f t="shared" si="17"/>
        <v>1.5909426602326575E-2</v>
      </c>
      <c r="J83" s="956">
        <f t="shared" si="17"/>
        <v>1.5486013713550701E-2</v>
      </c>
      <c r="K83" s="956">
        <f t="shared" si="17"/>
        <v>1.4921786215027617E-2</v>
      </c>
      <c r="L83" s="956">
        <f t="shared" si="17"/>
        <v>1.4560675534238218E-2</v>
      </c>
      <c r="M83" s="957"/>
      <c r="N83" s="958"/>
      <c r="O83" s="955">
        <f t="shared" si="18"/>
        <v>4.2439449777777784E-2</v>
      </c>
      <c r="P83" s="956">
        <f t="shared" si="18"/>
        <v>4.2616093333333334E-2</v>
      </c>
      <c r="Q83" s="956">
        <f t="shared" si="18"/>
        <v>4.2388117333333329E-2</v>
      </c>
      <c r="R83" s="956">
        <f t="shared" si="18"/>
        <v>4.2547130666666676E-2</v>
      </c>
      <c r="S83" s="956">
        <f t="shared" si="18"/>
        <v>4.2685452444444452E-2</v>
      </c>
      <c r="T83" s="957"/>
      <c r="U83" s="958"/>
    </row>
    <row r="84" spans="1:21">
      <c r="I84" s="40"/>
    </row>
    <row r="85" spans="1:21">
      <c r="I85" s="40"/>
    </row>
    <row r="86" spans="1:21">
      <c r="I86" s="40"/>
    </row>
    <row r="87" spans="1:21">
      <c r="B87" s="6"/>
      <c r="D87" s="773"/>
      <c r="E87" s="773"/>
      <c r="F87" s="773"/>
      <c r="G87" s="773"/>
      <c r="H87" s="773"/>
      <c r="I87" s="773"/>
      <c r="J87" s="773"/>
    </row>
    <row r="89" spans="1:21" ht="15.5">
      <c r="B89" s="739" t="s">
        <v>88</v>
      </c>
      <c r="C89" s="63">
        <v>2022</v>
      </c>
      <c r="D89" s="64">
        <f t="shared" ref="D89:I89" si="19">C89+1</f>
        <v>2023</v>
      </c>
      <c r="E89" s="64">
        <f t="shared" si="19"/>
        <v>2024</v>
      </c>
      <c r="F89" s="64">
        <f t="shared" si="19"/>
        <v>2025</v>
      </c>
      <c r="G89" s="64">
        <f t="shared" si="19"/>
        <v>2026</v>
      </c>
      <c r="H89" s="64">
        <f t="shared" si="19"/>
        <v>2027</v>
      </c>
      <c r="I89" s="64">
        <f t="shared" si="19"/>
        <v>2028</v>
      </c>
    </row>
    <row r="90" spans="1:21">
      <c r="B90" s="740" t="s">
        <v>61</v>
      </c>
      <c r="C90" s="435"/>
      <c r="D90" s="435"/>
      <c r="E90" s="741">
        <v>0</v>
      </c>
      <c r="F90" s="741">
        <v>0</v>
      </c>
      <c r="G90" s="741">
        <v>0</v>
      </c>
      <c r="H90" s="741">
        <v>0</v>
      </c>
      <c r="I90" s="741">
        <v>0</v>
      </c>
    </row>
    <row r="91" spans="1:21">
      <c r="B91" s="740" t="s">
        <v>62</v>
      </c>
      <c r="C91" s="435"/>
      <c r="D91" s="435"/>
      <c r="E91" s="741">
        <v>0</v>
      </c>
      <c r="F91" s="741">
        <v>0</v>
      </c>
      <c r="G91" s="741">
        <v>0</v>
      </c>
      <c r="H91" s="741">
        <v>0</v>
      </c>
      <c r="I91" s="741">
        <v>0</v>
      </c>
    </row>
    <row r="92" spans="1:21">
      <c r="B92" s="740" t="s">
        <v>63</v>
      </c>
      <c r="C92" s="435"/>
      <c r="D92" s="435"/>
      <c r="E92" s="741">
        <v>0</v>
      </c>
      <c r="F92" s="741">
        <v>0</v>
      </c>
      <c r="G92" s="741">
        <v>0</v>
      </c>
      <c r="H92" s="741">
        <v>0</v>
      </c>
      <c r="I92" s="741">
        <v>0</v>
      </c>
      <c r="J92" s="552"/>
      <c r="K92" s="552"/>
      <c r="L92" s="552"/>
      <c r="M92" s="552"/>
      <c r="N92" s="552"/>
    </row>
    <row r="93" spans="1:21">
      <c r="B93" s="740" t="s">
        <v>64</v>
      </c>
      <c r="C93" s="435"/>
      <c r="D93" s="435"/>
      <c r="E93" s="741">
        <v>0</v>
      </c>
      <c r="F93" s="741">
        <v>0</v>
      </c>
      <c r="G93" s="741">
        <v>0</v>
      </c>
      <c r="H93" s="741">
        <v>0</v>
      </c>
      <c r="I93" s="741">
        <v>0</v>
      </c>
    </row>
    <row r="94" spans="1:21">
      <c r="B94" s="740" t="s">
        <v>65</v>
      </c>
      <c r="C94" s="435"/>
      <c r="D94" s="435"/>
      <c r="E94" s="741">
        <v>0</v>
      </c>
      <c r="F94" s="741">
        <v>0</v>
      </c>
      <c r="G94" s="741">
        <v>0</v>
      </c>
      <c r="H94" s="741">
        <v>0</v>
      </c>
      <c r="I94" s="741">
        <v>0</v>
      </c>
    </row>
    <row r="95" spans="1:21">
      <c r="B95" s="740" t="s">
        <v>66</v>
      </c>
      <c r="C95" s="435"/>
      <c r="D95" s="435"/>
      <c r="E95" s="741">
        <v>0</v>
      </c>
      <c r="F95" s="741">
        <v>0</v>
      </c>
      <c r="G95" s="741">
        <v>0</v>
      </c>
      <c r="H95" s="741">
        <v>0</v>
      </c>
      <c r="I95" s="741">
        <v>0</v>
      </c>
    </row>
    <row r="96" spans="1:21">
      <c r="B96" s="740" t="s">
        <v>67</v>
      </c>
      <c r="C96" s="435"/>
      <c r="D96" s="435"/>
      <c r="E96" s="741">
        <v>0</v>
      </c>
      <c r="F96" s="741">
        <v>0</v>
      </c>
      <c r="G96" s="741">
        <v>0</v>
      </c>
      <c r="H96" s="741">
        <v>0</v>
      </c>
      <c r="I96" s="741">
        <v>0</v>
      </c>
    </row>
    <row r="97" spans="2:9">
      <c r="B97" s="740" t="s">
        <v>68</v>
      </c>
      <c r="C97" s="435"/>
      <c r="D97" s="435"/>
      <c r="E97" s="741">
        <v>0</v>
      </c>
      <c r="F97" s="741">
        <v>0</v>
      </c>
      <c r="G97" s="741">
        <v>0</v>
      </c>
      <c r="H97" s="741">
        <v>0</v>
      </c>
      <c r="I97" s="741">
        <v>0</v>
      </c>
    </row>
    <row r="98" spans="2:9">
      <c r="B98" s="740" t="s">
        <v>69</v>
      </c>
      <c r="C98" s="435"/>
      <c r="D98" s="435"/>
      <c r="E98" s="741">
        <v>0</v>
      </c>
      <c r="F98" s="741">
        <v>0</v>
      </c>
      <c r="G98" s="741">
        <v>0</v>
      </c>
      <c r="H98" s="741">
        <v>0</v>
      </c>
      <c r="I98" s="741">
        <v>0</v>
      </c>
    </row>
    <row r="99" spans="2:9">
      <c r="B99" s="740" t="s">
        <v>70</v>
      </c>
      <c r="C99" s="435"/>
      <c r="D99" s="435"/>
      <c r="E99" s="741">
        <v>0</v>
      </c>
      <c r="F99" s="741">
        <v>0</v>
      </c>
      <c r="G99" s="741">
        <v>0</v>
      </c>
      <c r="H99" s="741">
        <v>0</v>
      </c>
      <c r="I99" s="741">
        <v>0</v>
      </c>
    </row>
    <row r="100" spans="2:9">
      <c r="B100" s="740" t="s">
        <v>71</v>
      </c>
      <c r="C100" s="435"/>
      <c r="D100" s="435"/>
      <c r="E100" s="741">
        <v>0</v>
      </c>
      <c r="F100" s="741">
        <v>0</v>
      </c>
      <c r="G100" s="741">
        <v>0</v>
      </c>
      <c r="H100" s="741">
        <v>0</v>
      </c>
      <c r="I100" s="741">
        <v>0</v>
      </c>
    </row>
    <row r="101" spans="2:9">
      <c r="B101" s="740" t="s">
        <v>72</v>
      </c>
      <c r="C101" s="435"/>
      <c r="D101" s="435"/>
      <c r="E101" s="741">
        <v>0</v>
      </c>
      <c r="F101" s="741">
        <v>0</v>
      </c>
      <c r="G101" s="741">
        <v>0</v>
      </c>
      <c r="H101" s="741">
        <v>0</v>
      </c>
      <c r="I101" s="741">
        <v>0</v>
      </c>
    </row>
    <row r="102" spans="2:9">
      <c r="B102" s="740" t="s">
        <v>73</v>
      </c>
      <c r="C102" s="435"/>
      <c r="D102" s="435"/>
      <c r="E102" s="741">
        <v>0</v>
      </c>
      <c r="F102" s="741">
        <v>0</v>
      </c>
      <c r="G102" s="741">
        <v>0</v>
      </c>
      <c r="H102" s="741">
        <v>0</v>
      </c>
      <c r="I102" s="741">
        <v>0</v>
      </c>
    </row>
    <row r="103" spans="2:9">
      <c r="B103" s="740" t="s">
        <v>74</v>
      </c>
      <c r="C103" s="435"/>
      <c r="D103" s="435"/>
      <c r="E103" s="741">
        <v>0</v>
      </c>
      <c r="F103" s="741">
        <v>0</v>
      </c>
      <c r="G103" s="741">
        <v>0</v>
      </c>
      <c r="H103" s="741">
        <v>0</v>
      </c>
      <c r="I103" s="741">
        <v>0</v>
      </c>
    </row>
    <row r="104" spans="2:9">
      <c r="B104" s="740" t="s">
        <v>75</v>
      </c>
      <c r="C104" s="742">
        <v>3.6510479549499562E-2</v>
      </c>
      <c r="D104" s="742">
        <v>3.6510479549499562E-2</v>
      </c>
      <c r="E104" s="742">
        <v>3.6510479549499562E-2</v>
      </c>
      <c r="F104" s="742">
        <v>3.6510479549499562E-2</v>
      </c>
      <c r="G104" s="742">
        <v>3.6510479549499562E-2</v>
      </c>
      <c r="H104" s="435"/>
      <c r="I104" s="435"/>
    </row>
    <row r="105" spans="2:9">
      <c r="B105" s="740" t="s">
        <v>76</v>
      </c>
      <c r="C105" s="742">
        <v>2.7462875901387192E-2</v>
      </c>
      <c r="D105" s="742">
        <v>2.7462875901387192E-2</v>
      </c>
      <c r="E105" s="742">
        <v>2.7462875901387192E-2</v>
      </c>
      <c r="F105" s="742">
        <v>2.7462875901387192E-2</v>
      </c>
      <c r="G105" s="742">
        <v>2.7462875901387192E-2</v>
      </c>
      <c r="H105" s="435"/>
      <c r="I105" s="435"/>
    </row>
    <row r="106" spans="2:9">
      <c r="B106" s="740" t="s">
        <v>77</v>
      </c>
      <c r="C106" s="742">
        <v>1.7082326729376533E-2</v>
      </c>
      <c r="D106" s="742">
        <v>1.7082326729376533E-2</v>
      </c>
      <c r="E106" s="742">
        <v>1.7082326729376533E-2</v>
      </c>
      <c r="F106" s="742">
        <v>1.7082326729376533E-2</v>
      </c>
      <c r="G106" s="742">
        <v>1.7082326729376533E-2</v>
      </c>
      <c r="H106" s="435"/>
      <c r="I106" s="435"/>
    </row>
    <row r="107" spans="2:9">
      <c r="B107" s="740" t="s">
        <v>78</v>
      </c>
      <c r="C107" s="742">
        <v>2.5713646682447938E-2</v>
      </c>
      <c r="D107" s="742">
        <v>2.5713646682447938E-2</v>
      </c>
      <c r="E107" s="742">
        <v>2.5713646682447938E-2</v>
      </c>
      <c r="F107" s="742">
        <v>2.5713646682447938E-2</v>
      </c>
      <c r="G107" s="742">
        <v>2.5713646682447938E-2</v>
      </c>
      <c r="H107" s="435"/>
      <c r="I107" s="435"/>
    </row>
    <row r="108" spans="2:9">
      <c r="B108" s="740" t="s">
        <v>79</v>
      </c>
      <c r="C108" s="742">
        <v>0.4206045538022069</v>
      </c>
      <c r="D108" s="742">
        <v>0.4206045538022069</v>
      </c>
      <c r="E108" s="742">
        <v>0.4206045538022069</v>
      </c>
      <c r="F108" s="742">
        <v>0.4206045538022069</v>
      </c>
      <c r="G108" s="742">
        <v>0.4206045538022069</v>
      </c>
      <c r="H108" s="435"/>
      <c r="I108" s="435"/>
    </row>
    <row r="109" spans="2:9">
      <c r="B109" s="740" t="s">
        <v>80</v>
      </c>
      <c r="C109" s="741">
        <v>0</v>
      </c>
      <c r="D109" s="741">
        <v>0</v>
      </c>
      <c r="E109" s="741">
        <v>0</v>
      </c>
      <c r="F109" s="741">
        <v>0</v>
      </c>
      <c r="G109" s="741">
        <v>0</v>
      </c>
      <c r="H109" s="435"/>
      <c r="I109" s="435"/>
    </row>
    <row r="110" spans="2:9">
      <c r="B110" s="740" t="s">
        <v>81</v>
      </c>
      <c r="C110" s="741">
        <v>0</v>
      </c>
      <c r="D110" s="741">
        <v>0</v>
      </c>
      <c r="E110" s="741">
        <v>0</v>
      </c>
      <c r="F110" s="741">
        <v>0</v>
      </c>
      <c r="G110" s="741">
        <v>0</v>
      </c>
      <c r="H110" s="435"/>
      <c r="I110" s="435"/>
    </row>
    <row r="111" spans="2:9">
      <c r="B111" s="740" t="s">
        <v>82</v>
      </c>
      <c r="C111" s="741">
        <v>0</v>
      </c>
      <c r="D111" s="741">
        <v>0</v>
      </c>
      <c r="E111" s="741">
        <v>0</v>
      </c>
      <c r="F111" s="741">
        <v>0</v>
      </c>
      <c r="G111" s="741">
        <v>0</v>
      </c>
      <c r="H111" s="435"/>
      <c r="I111" s="435"/>
    </row>
    <row r="112" spans="2:9">
      <c r="B112" s="740" t="s">
        <v>83</v>
      </c>
      <c r="C112" s="743">
        <v>-4.3390000000000004</v>
      </c>
      <c r="D112" s="743">
        <v>-4.3390000000000004</v>
      </c>
      <c r="E112" s="743">
        <v>-4.3390000000000004</v>
      </c>
      <c r="F112" s="743">
        <v>-4.3390000000000004</v>
      </c>
      <c r="G112" s="743">
        <v>-4.3390000000000004</v>
      </c>
      <c r="H112" s="435"/>
      <c r="I112" s="435"/>
    </row>
    <row r="113" spans="1:14">
      <c r="B113" s="740" t="s">
        <v>84</v>
      </c>
      <c r="C113" s="741">
        <v>0</v>
      </c>
      <c r="D113" s="741">
        <v>0</v>
      </c>
      <c r="E113" s="741">
        <v>0</v>
      </c>
      <c r="F113" s="741">
        <v>0</v>
      </c>
      <c r="G113" s="741">
        <v>0</v>
      </c>
      <c r="H113" s="435"/>
      <c r="I113" s="435"/>
    </row>
    <row r="114" spans="1:14">
      <c r="B114" s="740" t="s">
        <v>85</v>
      </c>
      <c r="C114" s="743">
        <v>-4.3390000000000004</v>
      </c>
      <c r="D114" s="743">
        <v>-4.3390000000000004</v>
      </c>
      <c r="E114" s="743">
        <v>-4.3390000000000004</v>
      </c>
      <c r="F114" s="743">
        <v>-4.3390000000000004</v>
      </c>
      <c r="G114" s="743">
        <v>-4.3390000000000004</v>
      </c>
      <c r="H114" s="435"/>
      <c r="I114" s="435"/>
    </row>
    <row r="115" spans="1:14">
      <c r="B115" s="740" t="s">
        <v>86</v>
      </c>
      <c r="C115" s="746">
        <v>-13</v>
      </c>
      <c r="D115" s="746">
        <v>-13</v>
      </c>
      <c r="E115" s="746">
        <v>-13</v>
      </c>
      <c r="F115" s="746">
        <v>-13</v>
      </c>
      <c r="G115" s="746">
        <v>-13</v>
      </c>
      <c r="H115" s="435"/>
      <c r="I115" s="435"/>
    </row>
    <row r="116" spans="1:14">
      <c r="B116" s="740" t="s">
        <v>4</v>
      </c>
      <c r="C116" s="741">
        <v>0</v>
      </c>
      <c r="D116" s="741">
        <v>0</v>
      </c>
      <c r="E116" s="741">
        <v>0</v>
      </c>
      <c r="F116" s="741">
        <v>0</v>
      </c>
      <c r="G116" s="741">
        <v>0</v>
      </c>
      <c r="H116" s="435"/>
      <c r="I116" s="435"/>
    </row>
    <row r="117" spans="1:14">
      <c r="B117" s="740" t="s">
        <v>87</v>
      </c>
      <c r="C117" s="742">
        <v>1</v>
      </c>
      <c r="D117" s="742">
        <v>1</v>
      </c>
      <c r="E117" s="742">
        <v>1</v>
      </c>
      <c r="F117" s="742">
        <v>1</v>
      </c>
      <c r="G117" s="742">
        <v>1</v>
      </c>
      <c r="H117" s="435"/>
      <c r="I117" s="435"/>
    </row>
    <row r="118" spans="1:14">
      <c r="B118" s="744" t="s">
        <v>44</v>
      </c>
      <c r="C118" s="742">
        <v>4.3620000000000001</v>
      </c>
      <c r="D118" s="742">
        <v>4.3620000000000001</v>
      </c>
      <c r="E118" s="745">
        <v>4.3620000000000001</v>
      </c>
      <c r="F118" s="745">
        <v>4.3620000000000001</v>
      </c>
      <c r="G118" s="745">
        <v>4.3620000000000001</v>
      </c>
      <c r="H118" s="435"/>
      <c r="I118" s="435"/>
    </row>
    <row r="119" spans="1:14">
      <c r="B119" s="89"/>
    </row>
    <row r="120" spans="1:14">
      <c r="B120" s="836" t="str">
        <f>LEFT('RFPR cover'!C8,2)</f>
        <v>ES</v>
      </c>
      <c r="C120" s="1048"/>
      <c r="D120" s="1048"/>
      <c r="E120" s="1048"/>
      <c r="F120" s="1048"/>
      <c r="G120" s="1048"/>
      <c r="H120" s="1048"/>
      <c r="I120" s="1048"/>
      <c r="J120" s="1048"/>
      <c r="K120" s="1048"/>
      <c r="L120" s="837"/>
    </row>
    <row r="121" spans="1:14">
      <c r="A121" s="93"/>
      <c r="B121" s="400" t="s">
        <v>89</v>
      </c>
      <c r="C121" s="401"/>
      <c r="D121" s="401"/>
      <c r="E121" s="401"/>
      <c r="F121" s="399"/>
      <c r="G121" s="399"/>
      <c r="H121" s="399"/>
      <c r="I121" s="399"/>
      <c r="J121" s="399"/>
      <c r="K121" s="399"/>
      <c r="L121" s="399"/>
      <c r="M121" s="399"/>
      <c r="N121" s="399"/>
    </row>
    <row r="122" spans="1:14">
      <c r="A122" s="93"/>
      <c r="B122" s="550"/>
      <c r="C122" s="551"/>
      <c r="D122" s="551"/>
      <c r="E122" s="551"/>
      <c r="F122" s="552"/>
      <c r="G122" s="552"/>
      <c r="H122" s="552"/>
      <c r="I122" s="552"/>
    </row>
    <row r="123" spans="1:14">
      <c r="A123" s="92"/>
      <c r="B123" s="1049" t="s">
        <v>90</v>
      </c>
      <c r="C123" s="94"/>
      <c r="D123" s="94"/>
      <c r="E123" s="1277" t="b">
        <f>OR((LEFT('RFPR cover'!$C$8,2)=Data!G123),'RFPR cover'!$C$7=Data!G123)</f>
        <v>0</v>
      </c>
      <c r="F123" s="1135">
        <f t="shared" ref="F123:F126" si="20">IF(E123,1,0)</f>
        <v>0</v>
      </c>
      <c r="G123" s="1278" t="str">
        <f>B132</f>
        <v>ED</v>
      </c>
    </row>
    <row r="124" spans="1:14" ht="16.5" customHeight="1">
      <c r="A124" s="92"/>
      <c r="B124" s="586" t="str">
        <f t="shared" ref="B124:B129" si="21">IF(SUM($F$123:$F$129)=0,"",CHOOSE(MATCH(TRUE,$E$123:$E$129,0),B133,B143,B153,B163,E163,B173,E173)&amp;"")</f>
        <v>Reporting &amp; Incentive Arrangements (ESORIt)</v>
      </c>
      <c r="C124" s="94"/>
      <c r="D124" s="94"/>
      <c r="E124" s="1136" t="b">
        <f>OR((LEFT('RFPR cover'!$C$8,2)=Data!G124),'RFPR cover'!$C$7=Data!G124)</f>
        <v>0</v>
      </c>
      <c r="F124" s="1137">
        <f t="shared" si="20"/>
        <v>0</v>
      </c>
      <c r="G124" s="1138" t="str">
        <f>B142</f>
        <v>GD</v>
      </c>
    </row>
    <row r="125" spans="1:14">
      <c r="A125" s="92"/>
      <c r="B125" s="586" t="str">
        <f t="shared" si="21"/>
        <v/>
      </c>
      <c r="C125" s="94"/>
      <c r="D125" s="94"/>
      <c r="E125" s="1136" t="b">
        <f>OR((LEFT('RFPR cover'!$C$8,2)=Data!G125),'RFPR cover'!$C$7=Data!G125)</f>
        <v>0</v>
      </c>
      <c r="F125" s="1137">
        <f t="shared" si="20"/>
        <v>0</v>
      </c>
      <c r="G125" s="1139" t="str">
        <f>B152</f>
        <v>NGGT (TO)</v>
      </c>
    </row>
    <row r="126" spans="1:14">
      <c r="A126" s="92"/>
      <c r="B126" s="586" t="str">
        <f t="shared" si="21"/>
        <v/>
      </c>
      <c r="C126" s="94"/>
      <c r="D126" s="94"/>
      <c r="E126" s="1136" t="b">
        <f>OR((LEFT('RFPR cover'!$C$8,2)=Data!G126),'RFPR cover'!$C$7=Data!G126)</f>
        <v>0</v>
      </c>
      <c r="F126" s="1137">
        <f t="shared" si="20"/>
        <v>0</v>
      </c>
      <c r="G126" s="1139" t="str">
        <f>B162</f>
        <v>NGET (TO)</v>
      </c>
    </row>
    <row r="127" spans="1:14">
      <c r="A127" s="92"/>
      <c r="B127" s="586" t="str">
        <f t="shared" si="21"/>
        <v/>
      </c>
      <c r="C127" s="94"/>
      <c r="D127" s="94"/>
      <c r="E127" s="1136" t="b">
        <f>OR((LEFT('RFPR cover'!$C$8,2)=Data!G127),'RFPR cover'!$C$7=Data!G127)</f>
        <v>1</v>
      </c>
      <c r="F127" s="1137">
        <f t="shared" ref="F127" si="22">IF(E127,1,0)</f>
        <v>1</v>
      </c>
      <c r="G127" s="1139" t="s">
        <v>4</v>
      </c>
    </row>
    <row r="128" spans="1:14">
      <c r="A128" s="92"/>
      <c r="B128" s="586" t="str">
        <f t="shared" si="21"/>
        <v/>
      </c>
      <c r="C128" s="94"/>
      <c r="D128" s="94"/>
      <c r="E128" s="1136" t="b">
        <f>OR((LEFT('RFPR cover'!$C$8,2)=Data!G128),'RFPR cover'!$C$7=Data!G128)</f>
        <v>0</v>
      </c>
      <c r="F128" s="1137">
        <f>IF(E128,1,0)</f>
        <v>0</v>
      </c>
      <c r="G128" s="1139" t="str">
        <f>B172</f>
        <v>SPT</v>
      </c>
    </row>
    <row r="129" spans="1:7">
      <c r="A129" s="92"/>
      <c r="B129" s="586" t="str">
        <f t="shared" si="21"/>
        <v/>
      </c>
      <c r="C129" s="94"/>
      <c r="D129" s="94"/>
      <c r="E129" s="1140" t="b">
        <f>OR((LEFT('RFPR cover'!$C$8,2)=Data!G129),'RFPR cover'!$C$7=Data!G129)</f>
        <v>0</v>
      </c>
      <c r="F129" s="1141">
        <f>IF(E129,1,0)</f>
        <v>0</v>
      </c>
      <c r="G129" s="1142" t="s">
        <v>44</v>
      </c>
    </row>
    <row r="130" spans="1:7">
      <c r="A130" s="92"/>
      <c r="B130" s="586" t="str">
        <f>IF(SUM($F$123:$F$129)=0,"",CHOOSE(MATCH(TRUE,$E$123:$E$129,0),B139,B149,B159,B169,B179,E179)&amp;"")</f>
        <v/>
      </c>
      <c r="C130" s="94"/>
      <c r="D130" s="94"/>
    </row>
    <row r="131" spans="1:7">
      <c r="A131" s="92"/>
      <c r="B131" s="94"/>
      <c r="C131" s="94"/>
      <c r="D131" s="94"/>
      <c r="E131" s="33"/>
      <c r="F131" s="553"/>
    </row>
    <row r="132" spans="1:7">
      <c r="A132" s="92"/>
      <c r="B132" s="1331" t="s">
        <v>19</v>
      </c>
      <c r="C132" s="1332"/>
      <c r="D132" s="94"/>
      <c r="E132" s="94"/>
    </row>
    <row r="133" spans="1:7">
      <c r="A133" s="92"/>
      <c r="B133" s="1345" t="s">
        <v>91</v>
      </c>
      <c r="C133" s="1346"/>
      <c r="D133" s="94"/>
      <c r="E133" s="94"/>
    </row>
    <row r="134" spans="1:7">
      <c r="A134" s="92"/>
      <c r="B134" s="1341" t="s">
        <v>92</v>
      </c>
      <c r="C134" s="1342"/>
      <c r="D134" s="94"/>
      <c r="E134" s="94"/>
    </row>
    <row r="135" spans="1:7">
      <c r="A135" s="92"/>
      <c r="B135" s="1341" t="s">
        <v>93</v>
      </c>
      <c r="C135" s="1342"/>
      <c r="D135" s="94"/>
      <c r="E135" s="94"/>
    </row>
    <row r="136" spans="1:7">
      <c r="A136" s="92"/>
      <c r="B136" s="1341" t="s">
        <v>94</v>
      </c>
      <c r="C136" s="1342"/>
      <c r="D136" s="94"/>
      <c r="E136" s="94"/>
    </row>
    <row r="137" spans="1:7">
      <c r="A137" s="92"/>
      <c r="B137" s="1341" t="s">
        <v>95</v>
      </c>
      <c r="C137" s="1342"/>
      <c r="D137" s="94"/>
      <c r="E137" s="94"/>
    </row>
    <row r="138" spans="1:7">
      <c r="A138" s="92"/>
      <c r="B138" s="1341"/>
      <c r="C138" s="1342"/>
      <c r="D138" s="94"/>
      <c r="E138" s="94"/>
    </row>
    <row r="139" spans="1:7">
      <c r="A139" s="92"/>
      <c r="B139" s="1343"/>
      <c r="C139" s="1344"/>
      <c r="D139" s="94"/>
      <c r="E139" s="94"/>
    </row>
    <row r="140" spans="1:7">
      <c r="A140" s="92"/>
      <c r="B140" s="94"/>
      <c r="C140" s="94"/>
      <c r="D140" s="94"/>
      <c r="E140" s="94"/>
    </row>
    <row r="141" spans="1:7">
      <c r="A141" s="92"/>
      <c r="B141" s="94"/>
      <c r="C141" s="94"/>
      <c r="D141" s="94"/>
      <c r="E141" s="94"/>
    </row>
    <row r="142" spans="1:7">
      <c r="A142" s="92"/>
      <c r="B142" s="1331" t="s">
        <v>25</v>
      </c>
      <c r="C142" s="1332"/>
      <c r="D142" s="94"/>
      <c r="E142" s="94"/>
    </row>
    <row r="143" spans="1:7">
      <c r="A143" s="92"/>
      <c r="B143" s="1345" t="s">
        <v>96</v>
      </c>
      <c r="C143" s="1346"/>
      <c r="E143" s="94"/>
    </row>
    <row r="144" spans="1:7">
      <c r="A144" s="92"/>
      <c r="B144" s="1341" t="s">
        <v>97</v>
      </c>
      <c r="C144" s="1342"/>
      <c r="D144" s="94"/>
      <c r="E144" s="94"/>
    </row>
    <row r="145" spans="1:9" ht="25.5" customHeight="1">
      <c r="A145" s="92"/>
      <c r="B145" s="1341" t="s">
        <v>98</v>
      </c>
      <c r="C145" s="1342"/>
      <c r="D145" s="94"/>
      <c r="E145" s="94"/>
    </row>
    <row r="146" spans="1:9" ht="25.5" customHeight="1">
      <c r="A146" s="92"/>
      <c r="B146" s="1341" t="s">
        <v>99</v>
      </c>
      <c r="C146" s="1342"/>
      <c r="D146" s="94"/>
      <c r="E146" s="94"/>
    </row>
    <row r="147" spans="1:9" ht="14.25" customHeight="1">
      <c r="A147" s="92"/>
      <c r="B147" s="1341" t="s">
        <v>100</v>
      </c>
      <c r="C147" s="1342"/>
      <c r="D147" s="94"/>
      <c r="E147" s="94"/>
    </row>
    <row r="148" spans="1:9" ht="25.5" customHeight="1">
      <c r="A148" s="92"/>
      <c r="B148" s="1341" t="s">
        <v>101</v>
      </c>
      <c r="C148" s="1342"/>
      <c r="D148" s="94"/>
      <c r="E148" s="94"/>
    </row>
    <row r="149" spans="1:9">
      <c r="A149" s="92"/>
      <c r="B149" s="1343"/>
      <c r="C149" s="1344"/>
      <c r="D149" s="94"/>
      <c r="E149" s="94"/>
    </row>
    <row r="150" spans="1:9">
      <c r="A150" s="92"/>
      <c r="B150" s="94"/>
      <c r="C150" s="94"/>
      <c r="D150" s="94"/>
      <c r="E150" s="94"/>
    </row>
    <row r="151" spans="1:9">
      <c r="A151" s="92"/>
      <c r="B151" s="94"/>
      <c r="C151" s="94"/>
      <c r="D151" s="94"/>
      <c r="E151" s="94"/>
    </row>
    <row r="152" spans="1:9">
      <c r="A152" s="92"/>
      <c r="B152" s="1324" t="s">
        <v>83</v>
      </c>
      <c r="C152" s="1325"/>
      <c r="D152" s="94"/>
      <c r="E152" s="774"/>
      <c r="F152" s="39"/>
      <c r="G152" s="39"/>
      <c r="H152" s="39"/>
      <c r="I152" s="39"/>
    </row>
    <row r="153" spans="1:9">
      <c r="A153" s="92"/>
      <c r="B153" s="1345" t="s">
        <v>102</v>
      </c>
      <c r="C153" s="1346"/>
      <c r="E153" s="549"/>
      <c r="F153" s="549"/>
      <c r="G153" s="549"/>
      <c r="H153" s="549"/>
      <c r="I153" s="549"/>
    </row>
    <row r="154" spans="1:9">
      <c r="A154" s="92"/>
      <c r="B154" s="1341" t="s">
        <v>103</v>
      </c>
      <c r="C154" s="1342"/>
      <c r="E154" s="549"/>
      <c r="F154" s="549"/>
      <c r="G154" s="549"/>
      <c r="H154" s="549"/>
      <c r="I154" s="549"/>
    </row>
    <row r="155" spans="1:9">
      <c r="A155" s="92"/>
      <c r="B155" s="1341"/>
      <c r="C155" s="1342"/>
      <c r="D155" s="94"/>
      <c r="E155" s="549"/>
      <c r="F155" s="549"/>
      <c r="G155" s="549"/>
      <c r="H155" s="549"/>
      <c r="I155" s="549"/>
    </row>
    <row r="156" spans="1:9">
      <c r="A156" s="92"/>
      <c r="B156" s="1341"/>
      <c r="C156" s="1342"/>
      <c r="D156" s="94"/>
      <c r="E156" s="549"/>
      <c r="F156" s="549"/>
      <c r="G156" s="549"/>
      <c r="H156" s="549"/>
      <c r="I156" s="549"/>
    </row>
    <row r="157" spans="1:9">
      <c r="A157" s="92"/>
      <c r="B157" s="1341"/>
      <c r="C157" s="1342"/>
      <c r="D157" s="94"/>
      <c r="E157" s="549"/>
      <c r="F157" s="549"/>
      <c r="G157" s="549"/>
      <c r="H157" s="549"/>
      <c r="I157" s="549"/>
    </row>
    <row r="158" spans="1:9">
      <c r="A158" s="92"/>
      <c r="B158" s="1341"/>
      <c r="C158" s="1342"/>
      <c r="D158" s="94"/>
      <c r="E158" s="549"/>
      <c r="F158" s="549"/>
      <c r="G158" s="549"/>
      <c r="H158" s="549"/>
      <c r="I158" s="549"/>
    </row>
    <row r="159" spans="1:9" ht="12" customHeight="1">
      <c r="A159" s="92"/>
      <c r="B159" s="1343"/>
      <c r="C159" s="1344"/>
      <c r="D159" s="94"/>
      <c r="E159" s="549"/>
      <c r="F159" s="549"/>
      <c r="G159" s="549"/>
      <c r="H159" s="549"/>
      <c r="I159" s="549"/>
    </row>
    <row r="160" spans="1:9">
      <c r="A160" s="92"/>
      <c r="B160" s="94"/>
      <c r="C160" s="94"/>
      <c r="D160" s="94"/>
      <c r="E160" s="94"/>
    </row>
    <row r="161" spans="1:9">
      <c r="A161" s="92"/>
      <c r="B161" s="94"/>
      <c r="C161" s="94"/>
      <c r="D161" s="94"/>
      <c r="E161" s="94"/>
    </row>
    <row r="162" spans="1:9">
      <c r="A162" s="92"/>
      <c r="B162" s="1324" t="s">
        <v>86</v>
      </c>
      <c r="C162" s="1325"/>
      <c r="D162" s="94"/>
      <c r="E162" s="1324" t="s">
        <v>4</v>
      </c>
      <c r="F162" s="1324"/>
      <c r="G162" s="1324"/>
      <c r="H162" s="1325"/>
      <c r="I162" s="39"/>
    </row>
    <row r="163" spans="1:9" ht="13.5" customHeight="1">
      <c r="A163" s="92"/>
      <c r="B163" s="1345" t="s">
        <v>104</v>
      </c>
      <c r="C163" s="1346"/>
      <c r="E163" s="1331" t="s">
        <v>105</v>
      </c>
      <c r="F163" s="1337"/>
      <c r="G163" s="1337"/>
      <c r="H163" s="1338"/>
      <c r="I163" s="549"/>
    </row>
    <row r="164" spans="1:9" ht="12.75" customHeight="1">
      <c r="A164" s="92"/>
      <c r="B164" s="1341" t="s">
        <v>106</v>
      </c>
      <c r="C164" s="1342"/>
      <c r="E164" s="1339"/>
      <c r="F164" s="1339"/>
      <c r="G164" s="1339"/>
      <c r="H164" s="1340"/>
      <c r="I164" s="549"/>
    </row>
    <row r="165" spans="1:9" ht="13.5" customHeight="1">
      <c r="A165" s="92"/>
      <c r="B165" s="1341" t="s">
        <v>107</v>
      </c>
      <c r="C165" s="1342"/>
      <c r="E165" s="1322"/>
      <c r="F165" s="1322"/>
      <c r="G165" s="1322"/>
      <c r="H165" s="1323"/>
      <c r="I165" s="549"/>
    </row>
    <row r="166" spans="1:9" ht="12.75" customHeight="1">
      <c r="A166" s="92"/>
      <c r="B166" s="1341" t="s">
        <v>108</v>
      </c>
      <c r="C166" s="1342"/>
      <c r="E166" s="1322"/>
      <c r="F166" s="1322"/>
      <c r="G166" s="1322"/>
      <c r="H166" s="1323"/>
      <c r="I166" s="549"/>
    </row>
    <row r="167" spans="1:9" ht="13.5" customHeight="1">
      <c r="A167" s="92"/>
      <c r="B167" s="1341" t="s">
        <v>109</v>
      </c>
      <c r="C167" s="1342"/>
      <c r="E167" s="1322"/>
      <c r="F167" s="1322"/>
      <c r="G167" s="1322"/>
      <c r="H167" s="1323"/>
      <c r="I167" s="549"/>
    </row>
    <row r="168" spans="1:9" ht="13.5" customHeight="1">
      <c r="A168" s="92"/>
      <c r="B168" s="1341" t="s">
        <v>110</v>
      </c>
      <c r="C168" s="1342"/>
      <c r="E168" s="1322"/>
      <c r="F168" s="1322"/>
      <c r="G168" s="1322"/>
      <c r="H168" s="1323"/>
      <c r="I168" s="549"/>
    </row>
    <row r="169" spans="1:9">
      <c r="A169" s="92"/>
      <c r="B169" s="1343"/>
      <c r="C169" s="1344"/>
      <c r="D169" s="94"/>
      <c r="E169" s="1336"/>
      <c r="F169" s="1336"/>
      <c r="G169" s="549"/>
      <c r="H169" s="549"/>
      <c r="I169" s="549"/>
    </row>
    <row r="170" spans="1:9" ht="12.75" customHeight="1">
      <c r="A170" s="92"/>
      <c r="B170" s="92"/>
      <c r="C170" s="92"/>
      <c r="D170" s="94"/>
      <c r="E170" s="549"/>
      <c r="F170" s="549"/>
      <c r="G170" s="549"/>
      <c r="H170" s="549"/>
      <c r="I170" s="549"/>
    </row>
    <row r="171" spans="1:9" ht="12.75" customHeight="1">
      <c r="A171" s="92"/>
      <c r="B171" s="92"/>
      <c r="C171" s="92"/>
      <c r="D171" s="94"/>
      <c r="E171" s="549"/>
      <c r="F171" s="549"/>
      <c r="G171" s="549"/>
      <c r="H171" s="549"/>
      <c r="I171" s="549"/>
    </row>
    <row r="172" spans="1:9" ht="12.75" customHeight="1">
      <c r="A172" s="92"/>
      <c r="B172" s="1324" t="s">
        <v>87</v>
      </c>
      <c r="C172" s="1325"/>
      <c r="D172" s="94"/>
      <c r="E172" s="1324" t="s">
        <v>44</v>
      </c>
      <c r="F172" s="1324"/>
      <c r="G172" s="1324"/>
      <c r="H172" s="1325"/>
      <c r="I172" s="777"/>
    </row>
    <row r="173" spans="1:9" ht="12.75" customHeight="1">
      <c r="A173" s="92"/>
      <c r="B173" s="1333" t="s">
        <v>104</v>
      </c>
      <c r="C173" s="1334"/>
      <c r="E173" s="1322" t="s">
        <v>104</v>
      </c>
      <c r="F173" s="1322"/>
      <c r="G173" s="1322"/>
      <c r="H173" s="1323"/>
      <c r="I173" s="549"/>
    </row>
    <row r="174" spans="1:9" ht="12.75" customHeight="1">
      <c r="A174" s="92"/>
      <c r="B174" s="1322" t="s">
        <v>106</v>
      </c>
      <c r="C174" s="1323"/>
      <c r="E174" s="1322" t="s">
        <v>106</v>
      </c>
      <c r="F174" s="1322"/>
      <c r="G174" s="1322"/>
      <c r="H174" s="1323"/>
      <c r="I174" s="549"/>
    </row>
    <row r="175" spans="1:9" ht="12.75" customHeight="1">
      <c r="A175" s="92"/>
      <c r="B175" s="1322" t="s">
        <v>107</v>
      </c>
      <c r="C175" s="1323"/>
      <c r="E175" s="1322" t="s">
        <v>107</v>
      </c>
      <c r="F175" s="1322"/>
      <c r="G175" s="1322"/>
      <c r="H175" s="1323"/>
      <c r="I175" s="549"/>
    </row>
    <row r="176" spans="1:9" ht="12.75" customHeight="1">
      <c r="A176" s="92"/>
      <c r="B176" s="1322" t="s">
        <v>108</v>
      </c>
      <c r="C176" s="1323"/>
      <c r="E176" s="1322" t="s">
        <v>108</v>
      </c>
      <c r="F176" s="1322"/>
      <c r="G176" s="1322"/>
      <c r="H176" s="1323"/>
      <c r="I176" s="549"/>
    </row>
    <row r="177" spans="1:13" ht="12.75" customHeight="1">
      <c r="A177" s="92"/>
      <c r="B177" s="1322" t="s">
        <v>109</v>
      </c>
      <c r="C177" s="1323"/>
      <c r="E177" s="1322" t="s">
        <v>109</v>
      </c>
      <c r="F177" s="1322"/>
      <c r="G177" s="1322"/>
      <c r="H177" s="1323"/>
      <c r="I177" s="549"/>
    </row>
    <row r="178" spans="1:13" ht="12.75" customHeight="1">
      <c r="A178" s="92"/>
      <c r="B178" s="1322" t="s">
        <v>110</v>
      </c>
      <c r="C178" s="1323"/>
      <c r="E178" s="1322" t="s">
        <v>110</v>
      </c>
      <c r="F178" s="1322"/>
      <c r="G178" s="1322"/>
      <c r="H178" s="1323"/>
      <c r="I178" s="549"/>
    </row>
    <row r="179" spans="1:13">
      <c r="A179" s="92"/>
      <c r="B179" s="1326"/>
      <c r="C179" s="1327"/>
      <c r="D179" s="94"/>
      <c r="E179" s="1326"/>
      <c r="F179" s="1326"/>
      <c r="G179" s="1326"/>
      <c r="H179" s="1327"/>
      <c r="I179" s="549"/>
    </row>
    <row r="180" spans="1:13" ht="12.4" customHeight="1">
      <c r="A180" s="92"/>
      <c r="D180" s="94"/>
      <c r="E180" s="94"/>
    </row>
    <row r="181" spans="1:13" ht="12.4" customHeight="1">
      <c r="A181" s="92"/>
      <c r="B181" s="400" t="s">
        <v>111</v>
      </c>
      <c r="C181" s="401"/>
      <c r="D181" s="401"/>
      <c r="E181" s="401"/>
      <c r="F181" s="399"/>
      <c r="G181" s="399"/>
      <c r="H181" s="399"/>
      <c r="I181" s="399"/>
      <c r="J181" s="399"/>
      <c r="K181" s="399"/>
      <c r="L181" s="399"/>
      <c r="M181" s="399"/>
    </row>
    <row r="182" spans="1:13" ht="12.4" customHeight="1">
      <c r="A182" s="92"/>
      <c r="B182" s="550"/>
      <c r="C182" s="551"/>
      <c r="D182" s="551"/>
      <c r="E182" s="551"/>
      <c r="F182" s="552"/>
      <c r="G182" s="552"/>
      <c r="H182" s="552"/>
      <c r="I182" s="552"/>
    </row>
    <row r="183" spans="1:13" ht="12.4" customHeight="1">
      <c r="A183" s="92"/>
      <c r="B183" s="1049" t="s">
        <v>112</v>
      </c>
      <c r="C183" s="94"/>
      <c r="D183" s="94"/>
      <c r="E183" s="1277" t="b">
        <f>OR((LEFT('RFPR cover'!$C$8,2)=Data!F183),'RFPR cover'!$C$7=Data!F183)</f>
        <v>0</v>
      </c>
      <c r="F183" s="1278" t="str">
        <f>B194</f>
        <v>ED</v>
      </c>
    </row>
    <row r="184" spans="1:13" ht="19.5" customHeight="1">
      <c r="A184" s="92"/>
      <c r="B184" s="586" t="str">
        <f>CHOOSE(MATCH(TRUE,$E$183:$E$191,0),B195,B206,B217,E217,B228,E228,B239,E239,B250)&amp;""</f>
        <v xml:space="preserve">RIIO-2 network innovation allowance </v>
      </c>
      <c r="C184" s="94"/>
      <c r="D184" s="94"/>
      <c r="E184" s="1136" t="b">
        <f>OR((LEFT('RFPR cover'!$C$8,2)=Data!F184),'RFPR cover'!$C$7=Data!F184)</f>
        <v>0</v>
      </c>
      <c r="F184" s="1138" t="str">
        <f>B205</f>
        <v>GD</v>
      </c>
    </row>
    <row r="185" spans="1:13" ht="22.5" customHeight="1">
      <c r="A185" s="92"/>
      <c r="B185" s="586" t="str">
        <f t="shared" ref="B185:B191" si="23">CHOOSE(MATCH(TRUE,$E$183:$E$191,0),B196,B207,B218,E218,B229,E229,B240,E240,B251)&amp;""</f>
        <v xml:space="preserve">Carry-over Network Innovation Allowance </v>
      </c>
      <c r="C185" s="94"/>
      <c r="D185" s="94"/>
      <c r="E185" s="1136" t="b">
        <f>OR((LEFT('RFPR cover'!$C$8,2)=Data!F185),'RFPR cover'!$C$7=Data!F185)</f>
        <v>0</v>
      </c>
      <c r="F185" s="1139" t="str">
        <f>B216</f>
        <v>NGGT (TO)</v>
      </c>
    </row>
    <row r="186" spans="1:13" ht="19.5" customHeight="1">
      <c r="A186" s="92"/>
      <c r="B186" s="586" t="str">
        <f t="shared" si="23"/>
        <v/>
      </c>
      <c r="C186" s="94"/>
      <c r="D186" s="94"/>
      <c r="E186" s="1136" t="b">
        <f>OR((LEFT('RFPR cover'!$C$8,2)=Data!F186),'RFPR cover'!$C$7=Data!F186)</f>
        <v>0</v>
      </c>
      <c r="F186" s="1139" t="str">
        <f>E216</f>
        <v>NGGT (SO)</v>
      </c>
    </row>
    <row r="187" spans="1:13" ht="19.5" customHeight="1">
      <c r="A187" s="92"/>
      <c r="B187" s="586" t="str">
        <f t="shared" si="23"/>
        <v/>
      </c>
      <c r="C187" s="94"/>
      <c r="D187" s="94"/>
      <c r="E187" s="1136" t="b">
        <f>OR((LEFT('RFPR cover'!$C$8,2)=Data!F187),'RFPR cover'!$C$7=Data!F187)</f>
        <v>0</v>
      </c>
      <c r="F187" s="1139" t="str">
        <f>B227</f>
        <v>NGGT (TO+SO)</v>
      </c>
    </row>
    <row r="188" spans="1:13" ht="19.5" customHeight="1">
      <c r="A188" s="92"/>
      <c r="B188" s="586" t="str">
        <f t="shared" si="23"/>
        <v/>
      </c>
      <c r="C188" s="94"/>
      <c r="D188" s="94"/>
      <c r="E188" s="1136" t="b">
        <f>OR((LEFT('RFPR cover'!$C$8,2)=Data!F188),'RFPR cover'!$C$7=Data!F188)</f>
        <v>0</v>
      </c>
      <c r="F188" s="1139" t="str">
        <f>E227</f>
        <v>NGET (TO)</v>
      </c>
    </row>
    <row r="189" spans="1:13" ht="19.5" customHeight="1">
      <c r="A189" s="92"/>
      <c r="B189" s="586" t="str">
        <f t="shared" si="23"/>
        <v/>
      </c>
      <c r="C189" s="94"/>
      <c r="D189" s="94"/>
      <c r="E189" s="1136" t="b">
        <f>OR((LEFT('RFPR cover'!$C$8,2)=Data!F189),'RFPR cover'!$C$7=Data!F189)</f>
        <v>1</v>
      </c>
      <c r="F189" s="1139" t="str">
        <f>B238</f>
        <v>ESO</v>
      </c>
    </row>
    <row r="190" spans="1:13" ht="19.5" customHeight="1">
      <c r="A190" s="92"/>
      <c r="B190" s="586" t="str">
        <f t="shared" si="23"/>
        <v/>
      </c>
      <c r="C190" s="94"/>
      <c r="D190" s="94"/>
      <c r="E190" s="1136" t="b">
        <f>OR((LEFT('RFPR cover'!$C$8,2)=Data!F190),'RFPR cover'!$C$7=Data!F190)</f>
        <v>0</v>
      </c>
      <c r="F190" s="1139" t="str">
        <f>E238</f>
        <v>SPT</v>
      </c>
    </row>
    <row r="191" spans="1:13" ht="19.5" customHeight="1">
      <c r="A191" s="92"/>
      <c r="B191" s="586" t="str">
        <f t="shared" si="23"/>
        <v/>
      </c>
      <c r="C191" s="94"/>
      <c r="D191" s="94"/>
      <c r="E191" s="1140" t="b">
        <f>OR((LEFT('RFPR cover'!$C$8,2)=Data!F191),'RFPR cover'!$C$7=Data!F191)</f>
        <v>0</v>
      </c>
      <c r="F191" s="1142" t="str">
        <f>B249</f>
        <v>SHET</v>
      </c>
      <c r="G191" s="94"/>
      <c r="H191" s="94"/>
      <c r="I191" s="94"/>
    </row>
    <row r="192" spans="1:13" ht="12.75" customHeight="1">
      <c r="A192" s="92"/>
      <c r="B192" s="94"/>
      <c r="C192" s="94"/>
      <c r="D192" s="94"/>
      <c r="E192" s="33"/>
      <c r="F192" s="553"/>
    </row>
    <row r="193" spans="1:6" ht="12.75" customHeight="1">
      <c r="A193" s="92"/>
      <c r="B193" s="775"/>
      <c r="C193" s="775"/>
      <c r="D193" s="94"/>
      <c r="E193" s="33"/>
      <c r="F193" s="553"/>
    </row>
    <row r="194" spans="1:6" ht="12.75" customHeight="1">
      <c r="A194" s="92"/>
      <c r="B194" s="1350" t="s">
        <v>19</v>
      </c>
      <c r="C194" s="1351"/>
      <c r="D194" s="94"/>
      <c r="E194" s="94"/>
    </row>
    <row r="195" spans="1:6" ht="12.75" customHeight="1">
      <c r="A195" s="92"/>
      <c r="B195" s="1333"/>
      <c r="C195" s="1334"/>
      <c r="D195" s="94"/>
      <c r="E195" s="94"/>
    </row>
    <row r="196" spans="1:6" ht="12.75" customHeight="1">
      <c r="A196" s="92"/>
      <c r="B196" s="1322"/>
      <c r="C196" s="1323"/>
      <c r="D196" s="94"/>
      <c r="E196" s="94"/>
    </row>
    <row r="197" spans="1:6" ht="12.75" customHeight="1">
      <c r="A197" s="92"/>
      <c r="B197" s="1322"/>
      <c r="C197" s="1323"/>
      <c r="D197" s="94"/>
      <c r="E197" s="94"/>
    </row>
    <row r="198" spans="1:6" ht="12.75" customHeight="1">
      <c r="A198" s="92"/>
      <c r="B198" s="1322"/>
      <c r="C198" s="1323"/>
      <c r="D198" s="94"/>
      <c r="E198" s="94"/>
    </row>
    <row r="199" spans="1:6" ht="12.75" customHeight="1">
      <c r="A199" s="92"/>
      <c r="B199" s="1322"/>
      <c r="C199" s="1323"/>
      <c r="D199" s="94"/>
      <c r="E199" s="94"/>
    </row>
    <row r="200" spans="1:6" ht="12.75" customHeight="1">
      <c r="A200" s="92"/>
      <c r="B200" s="1322"/>
      <c r="C200" s="1323"/>
      <c r="D200" s="94"/>
      <c r="E200" s="94"/>
    </row>
    <row r="201" spans="1:6">
      <c r="A201" s="92"/>
      <c r="B201" s="1322"/>
      <c r="C201" s="1323"/>
      <c r="D201" s="94"/>
      <c r="E201" s="94"/>
    </row>
    <row r="202" spans="1:6" ht="12.75" customHeight="1">
      <c r="A202" s="92"/>
      <c r="B202" s="1326"/>
      <c r="C202" s="1327"/>
      <c r="D202" s="94"/>
      <c r="E202" s="94"/>
    </row>
    <row r="203" spans="1:6" ht="12.75" customHeight="1">
      <c r="A203" s="92"/>
      <c r="B203" s="94"/>
      <c r="C203" s="94"/>
      <c r="D203" s="94"/>
      <c r="E203" s="94"/>
    </row>
    <row r="204" spans="1:6" ht="12.75" customHeight="1">
      <c r="A204" s="92"/>
      <c r="B204" s="94"/>
      <c r="C204" s="94"/>
      <c r="D204" s="94"/>
      <c r="E204" s="94"/>
    </row>
    <row r="205" spans="1:6" ht="12.75" customHeight="1">
      <c r="A205" s="92"/>
      <c r="B205" s="1331" t="s">
        <v>25</v>
      </c>
      <c r="C205" s="1332"/>
      <c r="D205" s="94"/>
      <c r="E205" s="94"/>
    </row>
    <row r="206" spans="1:6" ht="12.75" customHeight="1">
      <c r="A206" s="92"/>
      <c r="B206" s="1333" t="s">
        <v>113</v>
      </c>
      <c r="C206" s="1334"/>
      <c r="E206" s="94"/>
    </row>
    <row r="207" spans="1:6" ht="12.75" customHeight="1">
      <c r="A207" s="92"/>
      <c r="B207" s="1322" t="s">
        <v>114</v>
      </c>
      <c r="C207" s="1323"/>
      <c r="D207" s="94"/>
      <c r="E207" s="94"/>
    </row>
    <row r="208" spans="1:6" ht="12.75" customHeight="1">
      <c r="A208" s="92"/>
      <c r="B208" s="1322"/>
      <c r="C208" s="1323"/>
      <c r="D208" s="94"/>
      <c r="E208" s="94"/>
    </row>
    <row r="209" spans="1:9" ht="12.75" customHeight="1">
      <c r="A209" s="92"/>
      <c r="B209" s="1322"/>
      <c r="C209" s="1323"/>
      <c r="D209" s="94"/>
      <c r="E209" s="94"/>
    </row>
    <row r="210" spans="1:9">
      <c r="A210" s="92"/>
      <c r="B210" s="1322"/>
      <c r="C210" s="1323"/>
      <c r="D210" s="94"/>
      <c r="E210" s="94"/>
    </row>
    <row r="211" spans="1:9">
      <c r="A211" s="92"/>
      <c r="B211" s="1322"/>
      <c r="C211" s="1323"/>
      <c r="D211" s="94"/>
      <c r="E211" s="94"/>
    </row>
    <row r="212" spans="1:9" ht="12.75" customHeight="1">
      <c r="A212" s="92"/>
      <c r="B212" s="1322"/>
      <c r="C212" s="1323"/>
      <c r="D212" s="94"/>
      <c r="E212" s="94"/>
    </row>
    <row r="213" spans="1:9">
      <c r="A213" s="92"/>
      <c r="B213" s="1326"/>
      <c r="C213" s="1327"/>
      <c r="D213" s="94"/>
      <c r="E213" s="94"/>
    </row>
    <row r="214" spans="1:9">
      <c r="A214" s="92"/>
      <c r="B214" s="94"/>
      <c r="C214" s="94"/>
      <c r="D214" s="94"/>
      <c r="E214" s="94"/>
    </row>
    <row r="215" spans="1:9">
      <c r="A215" s="92"/>
      <c r="B215" s="94"/>
      <c r="C215" s="94"/>
      <c r="D215" s="94"/>
      <c r="E215" s="94"/>
    </row>
    <row r="216" spans="1:9">
      <c r="A216" s="92"/>
      <c r="B216" s="942" t="str">
        <f>B77</f>
        <v>NGGT (TO)</v>
      </c>
      <c r="C216" s="897"/>
      <c r="D216" s="94"/>
      <c r="E216" s="1324" t="str">
        <f>B78</f>
        <v>NGGT (SO)</v>
      </c>
      <c r="F216" s="1324"/>
      <c r="G216" s="1324"/>
      <c r="H216" s="1324"/>
      <c r="I216" s="1325"/>
    </row>
    <row r="217" spans="1:9">
      <c r="A217" s="92"/>
      <c r="B217" s="1333" t="s">
        <v>115</v>
      </c>
      <c r="C217" s="1334"/>
      <c r="E217" s="1352"/>
      <c r="F217" s="1353"/>
      <c r="G217" s="1353"/>
      <c r="H217" s="1353"/>
      <c r="I217" s="1354"/>
    </row>
    <row r="218" spans="1:9" ht="25.5" customHeight="1">
      <c r="A218" s="92"/>
      <c r="B218" s="1322" t="s">
        <v>116</v>
      </c>
      <c r="C218" s="1323"/>
      <c r="E218" s="1352"/>
      <c r="F218" s="1353"/>
      <c r="G218" s="1353"/>
      <c r="H218" s="1353"/>
      <c r="I218" s="1354"/>
    </row>
    <row r="219" spans="1:9" ht="13.5" customHeight="1">
      <c r="A219" s="92"/>
      <c r="B219" s="1322" t="s">
        <v>117</v>
      </c>
      <c r="C219" s="1323"/>
      <c r="D219" s="94"/>
      <c r="E219" s="1352"/>
      <c r="F219" s="1353"/>
      <c r="G219" s="1353"/>
      <c r="H219" s="1353"/>
      <c r="I219" s="1354"/>
    </row>
    <row r="220" spans="1:9" ht="13.5" customHeight="1">
      <c r="A220" s="92"/>
      <c r="B220" s="1322"/>
      <c r="C220" s="1323"/>
      <c r="D220" s="94"/>
      <c r="E220" s="1328" t="s">
        <v>118</v>
      </c>
      <c r="F220" s="1329"/>
      <c r="G220" s="1329"/>
      <c r="H220" s="1329"/>
      <c r="I220" s="1330"/>
    </row>
    <row r="221" spans="1:9" ht="13.5" customHeight="1">
      <c r="A221" s="92"/>
      <c r="B221" s="943"/>
      <c r="C221" s="898"/>
      <c r="D221" s="94"/>
      <c r="E221" s="1328" t="s">
        <v>119</v>
      </c>
      <c r="F221" s="1329"/>
      <c r="G221" s="1329"/>
      <c r="H221" s="1329"/>
      <c r="I221" s="1330"/>
    </row>
    <row r="222" spans="1:9" ht="13.5" customHeight="1">
      <c r="A222" s="92"/>
      <c r="B222" s="1322"/>
      <c r="C222" s="1323"/>
      <c r="D222" s="94"/>
      <c r="E222" s="1328" t="s">
        <v>120</v>
      </c>
      <c r="F222" s="1329"/>
      <c r="G222" s="1329"/>
      <c r="H222" s="1329"/>
      <c r="I222" s="1330"/>
    </row>
    <row r="223" spans="1:9" ht="13.5" customHeight="1">
      <c r="A223" s="92"/>
      <c r="B223" s="1322"/>
      <c r="C223" s="1323"/>
      <c r="D223" s="94"/>
      <c r="E223" s="1356" t="s">
        <v>121</v>
      </c>
      <c r="F223" s="1357"/>
      <c r="G223" s="1357"/>
      <c r="H223" s="1357"/>
      <c r="I223" s="1358"/>
    </row>
    <row r="224" spans="1:9" ht="12.75" customHeight="1">
      <c r="A224" s="92"/>
      <c r="B224" s="1326"/>
      <c r="C224" s="1327"/>
      <c r="D224" s="94"/>
      <c r="E224" s="1359" t="s">
        <v>122</v>
      </c>
      <c r="F224" s="1360"/>
      <c r="G224" s="1360"/>
      <c r="H224" s="1360"/>
      <c r="I224" s="1361"/>
    </row>
    <row r="225" spans="1:9">
      <c r="A225" s="92"/>
      <c r="B225" s="94"/>
      <c r="C225" s="94"/>
      <c r="D225" s="94"/>
      <c r="E225" s="94"/>
    </row>
    <row r="226" spans="1:9" ht="12.75" customHeight="1">
      <c r="A226" s="92"/>
      <c r="B226" s="94"/>
      <c r="C226" s="94"/>
      <c r="D226" s="94"/>
      <c r="E226" s="94"/>
    </row>
    <row r="227" spans="1:9">
      <c r="A227" s="92"/>
      <c r="B227" s="1324" t="s">
        <v>85</v>
      </c>
      <c r="C227" s="1325"/>
      <c r="D227" s="94"/>
      <c r="E227" s="1324" t="s">
        <v>86</v>
      </c>
      <c r="F227" s="1324"/>
      <c r="G227" s="1324"/>
      <c r="H227" s="1324"/>
      <c r="I227" s="1325"/>
    </row>
    <row r="228" spans="1:9" ht="12.75" customHeight="1">
      <c r="A228" s="92"/>
      <c r="B228" s="1333" t="s">
        <v>115</v>
      </c>
      <c r="C228" s="1334"/>
      <c r="E228" s="1333" t="s">
        <v>115</v>
      </c>
      <c r="F228" s="1333"/>
      <c r="G228" s="1333"/>
      <c r="H228" s="1333"/>
      <c r="I228" s="1334"/>
    </row>
    <row r="229" spans="1:9" ht="12.75" customHeight="1">
      <c r="A229" s="92"/>
      <c r="B229" s="1322" t="s">
        <v>116</v>
      </c>
      <c r="C229" s="1323"/>
      <c r="E229" s="1322" t="s">
        <v>116</v>
      </c>
      <c r="F229" s="1322"/>
      <c r="G229" s="1322"/>
      <c r="H229" s="1322"/>
      <c r="I229" s="1323"/>
    </row>
    <row r="230" spans="1:9" ht="12.75" customHeight="1">
      <c r="A230" s="92"/>
      <c r="B230" s="1322" t="s">
        <v>117</v>
      </c>
      <c r="C230" s="1323"/>
      <c r="E230" s="1322" t="s">
        <v>117</v>
      </c>
      <c r="F230" s="1322"/>
      <c r="G230" s="1322"/>
      <c r="H230" s="1322"/>
      <c r="I230" s="1323"/>
    </row>
    <row r="231" spans="1:9" ht="24" customHeight="1">
      <c r="A231" s="92"/>
      <c r="B231" s="1322" t="s">
        <v>118</v>
      </c>
      <c r="C231" s="1323"/>
      <c r="E231" s="1322"/>
      <c r="F231" s="1322"/>
      <c r="G231" s="1322"/>
      <c r="H231" s="1322"/>
      <c r="I231" s="1323"/>
    </row>
    <row r="232" spans="1:9">
      <c r="A232" s="92"/>
      <c r="B232" s="1322" t="s">
        <v>119</v>
      </c>
      <c r="C232" s="1323"/>
      <c r="E232" s="1322"/>
      <c r="F232" s="1322"/>
      <c r="G232" s="1322"/>
      <c r="H232" s="1322"/>
      <c r="I232" s="1323"/>
    </row>
    <row r="233" spans="1:9">
      <c r="A233" s="92"/>
      <c r="B233" s="1322" t="s">
        <v>120</v>
      </c>
      <c r="C233" s="1323"/>
      <c r="E233" s="1322"/>
      <c r="F233" s="1322"/>
      <c r="G233" s="1322"/>
      <c r="H233" s="1322"/>
      <c r="I233" s="1323"/>
    </row>
    <row r="234" spans="1:9" ht="12.75" customHeight="1">
      <c r="A234" s="92"/>
      <c r="B234" s="1322" t="s">
        <v>121</v>
      </c>
      <c r="C234" s="1323"/>
      <c r="E234" s="1322"/>
      <c r="F234" s="1322"/>
      <c r="G234" s="1322"/>
      <c r="H234" s="1322"/>
      <c r="I234" s="1323"/>
    </row>
    <row r="235" spans="1:9" ht="12.75" customHeight="1">
      <c r="A235" s="92"/>
      <c r="B235" s="1326" t="s">
        <v>122</v>
      </c>
      <c r="C235" s="1327"/>
      <c r="D235" s="94"/>
      <c r="E235" s="1326"/>
      <c r="F235" s="1326"/>
      <c r="G235" s="1326"/>
      <c r="H235" s="1326"/>
      <c r="I235" s="1327"/>
    </row>
    <row r="236" spans="1:9" ht="12.75" customHeight="1">
      <c r="A236" s="92"/>
      <c r="B236" s="92"/>
      <c r="C236" s="92"/>
      <c r="D236" s="94"/>
      <c r="E236" s="549"/>
      <c r="F236" s="549"/>
      <c r="G236" s="549"/>
      <c r="H236" s="549"/>
      <c r="I236" s="549"/>
    </row>
    <row r="237" spans="1:9" ht="12.75" customHeight="1">
      <c r="A237" s="92"/>
      <c r="B237" s="92"/>
      <c r="C237" s="92"/>
      <c r="D237" s="94"/>
      <c r="E237" s="549"/>
      <c r="F237" s="549"/>
      <c r="G237" s="549"/>
      <c r="H237" s="549"/>
      <c r="I237" s="549"/>
    </row>
    <row r="238" spans="1:9" ht="12.75" customHeight="1">
      <c r="A238" s="92"/>
      <c r="B238" s="1324" t="s">
        <v>4</v>
      </c>
      <c r="C238" s="1325"/>
      <c r="D238" s="94"/>
      <c r="E238" s="1324" t="s">
        <v>87</v>
      </c>
      <c r="F238" s="1324"/>
      <c r="G238" s="1324"/>
      <c r="H238" s="1324"/>
      <c r="I238" s="1325"/>
    </row>
    <row r="239" spans="1:9" ht="12.75" customHeight="1">
      <c r="A239" s="92"/>
      <c r="B239" s="1333" t="s">
        <v>113</v>
      </c>
      <c r="C239" s="1334"/>
      <c r="E239" s="1333" t="s">
        <v>113</v>
      </c>
      <c r="F239" s="1333"/>
      <c r="G239" s="1333"/>
      <c r="H239" s="1333"/>
      <c r="I239" s="1334"/>
    </row>
    <row r="240" spans="1:9" ht="25.5" customHeight="1">
      <c r="A240" s="92"/>
      <c r="B240" s="1322" t="s">
        <v>114</v>
      </c>
      <c r="C240" s="1323"/>
      <c r="E240" s="1322" t="s">
        <v>114</v>
      </c>
      <c r="F240" s="1322"/>
      <c r="G240" s="1322"/>
      <c r="H240" s="1322"/>
      <c r="I240" s="1323"/>
    </row>
    <row r="241" spans="1:9" ht="25.5" customHeight="1">
      <c r="A241" s="92"/>
      <c r="B241" s="1322"/>
      <c r="C241" s="1323"/>
      <c r="E241" s="1322"/>
      <c r="F241" s="1322"/>
      <c r="G241" s="1322"/>
      <c r="H241" s="1322"/>
      <c r="I241" s="1323"/>
    </row>
    <row r="242" spans="1:9" ht="25.5" customHeight="1">
      <c r="A242" s="92"/>
      <c r="B242" s="1322"/>
      <c r="C242" s="1323"/>
      <c r="E242" s="1322"/>
      <c r="F242" s="1322"/>
      <c r="G242" s="1322"/>
      <c r="H242" s="1322"/>
      <c r="I242" s="1323"/>
    </row>
    <row r="243" spans="1:9" ht="25.5" customHeight="1">
      <c r="A243" s="92"/>
      <c r="B243" s="1322"/>
      <c r="C243" s="1323"/>
      <c r="E243" s="1322"/>
      <c r="F243" s="1322"/>
      <c r="G243" s="1322"/>
      <c r="H243" s="1322"/>
      <c r="I243" s="1323"/>
    </row>
    <row r="244" spans="1:9" ht="25.5" customHeight="1">
      <c r="A244" s="92"/>
      <c r="B244" s="1322"/>
      <c r="C244" s="1323"/>
      <c r="E244" s="1322"/>
      <c r="F244" s="1322"/>
      <c r="G244" s="1322"/>
      <c r="H244" s="1322"/>
      <c r="I244" s="1323"/>
    </row>
    <row r="245" spans="1:9">
      <c r="A245" s="92"/>
      <c r="B245" s="1322"/>
      <c r="C245" s="1323"/>
      <c r="E245" s="1322"/>
      <c r="F245" s="1322"/>
      <c r="G245" s="1322"/>
      <c r="H245" s="1322"/>
      <c r="I245" s="1323"/>
    </row>
    <row r="246" spans="1:9">
      <c r="A246" s="92"/>
      <c r="B246" s="1326"/>
      <c r="C246" s="1327"/>
      <c r="D246" s="94"/>
      <c r="E246" s="1326"/>
      <c r="F246" s="1326"/>
      <c r="G246" s="1326"/>
      <c r="H246" s="1326"/>
      <c r="I246" s="1327"/>
    </row>
    <row r="247" spans="1:9">
      <c r="A247" s="92"/>
      <c r="D247" s="94"/>
      <c r="E247" s="94"/>
    </row>
    <row r="248" spans="1:9">
      <c r="A248" s="92"/>
      <c r="D248" s="94"/>
      <c r="E248" s="94"/>
    </row>
    <row r="249" spans="1:9">
      <c r="A249" s="92"/>
      <c r="B249" s="1324" t="s">
        <v>44</v>
      </c>
      <c r="C249" s="1325"/>
      <c r="D249" s="94"/>
      <c r="E249" s="94"/>
    </row>
    <row r="250" spans="1:9">
      <c r="A250" s="92"/>
      <c r="B250" s="1322" t="s">
        <v>113</v>
      </c>
      <c r="C250" s="1323"/>
      <c r="D250" s="1335"/>
      <c r="E250" s="1335"/>
    </row>
    <row r="251" spans="1:9">
      <c r="A251" s="92"/>
      <c r="B251" s="1322" t="s">
        <v>114</v>
      </c>
      <c r="C251" s="1323"/>
      <c r="D251" s="1335"/>
      <c r="E251" s="1335"/>
    </row>
    <row r="252" spans="1:9">
      <c r="A252" s="92"/>
      <c r="B252" s="1322"/>
      <c r="C252" s="1323"/>
      <c r="D252" s="94"/>
      <c r="E252" s="94"/>
    </row>
    <row r="253" spans="1:9">
      <c r="A253" s="92"/>
      <c r="B253" s="1322"/>
      <c r="C253" s="1323"/>
      <c r="D253" s="94"/>
      <c r="E253" s="94"/>
    </row>
    <row r="254" spans="1:9">
      <c r="A254" s="92"/>
      <c r="B254" s="1322"/>
      <c r="C254" s="1323"/>
      <c r="D254" s="94"/>
      <c r="E254" s="94"/>
    </row>
    <row r="255" spans="1:9">
      <c r="A255" s="92"/>
      <c r="B255" s="1322"/>
      <c r="C255" s="1323"/>
      <c r="D255" s="94"/>
      <c r="E255" s="94"/>
    </row>
    <row r="256" spans="1:9">
      <c r="A256" s="92"/>
      <c r="B256" s="1322"/>
      <c r="C256" s="1323"/>
      <c r="D256" s="94"/>
      <c r="E256" s="94"/>
    </row>
    <row r="257" spans="1:14">
      <c r="A257" s="92"/>
      <c r="B257" s="1326"/>
      <c r="C257" s="1327"/>
      <c r="D257" s="94"/>
      <c r="E257" s="94"/>
    </row>
    <row r="258" spans="1:14">
      <c r="A258" s="92"/>
      <c r="D258" s="94"/>
      <c r="E258" s="94"/>
    </row>
    <row r="259" spans="1:14">
      <c r="A259" s="92"/>
      <c r="D259" s="94"/>
      <c r="E259" s="94"/>
    </row>
    <row r="260" spans="1:14">
      <c r="A260" s="92"/>
      <c r="D260" s="94"/>
      <c r="E260" s="94"/>
    </row>
    <row r="261" spans="1:14">
      <c r="A261" s="92"/>
      <c r="D261" s="94"/>
      <c r="E261" s="94"/>
    </row>
    <row r="262" spans="1:14">
      <c r="A262" s="92"/>
      <c r="D262" s="94"/>
      <c r="E262" s="94"/>
    </row>
    <row r="263" spans="1:14">
      <c r="A263" s="92"/>
      <c r="D263" s="94"/>
      <c r="E263" s="94"/>
    </row>
    <row r="264" spans="1:14">
      <c r="A264" s="92"/>
      <c r="B264" s="1355" t="s">
        <v>123</v>
      </c>
      <c r="C264" s="1355"/>
      <c r="D264" s="1355"/>
      <c r="E264" s="1355"/>
      <c r="F264" s="1355"/>
      <c r="G264" s="1355"/>
      <c r="H264" s="1355"/>
      <c r="I264" s="99"/>
      <c r="J264" s="99"/>
      <c r="K264" s="99"/>
      <c r="L264" s="99"/>
      <c r="M264" s="99"/>
      <c r="N264" s="99"/>
    </row>
    <row r="265" spans="1:14">
      <c r="A265" s="92"/>
      <c r="B265" s="94"/>
      <c r="C265" s="94"/>
      <c r="D265" s="94"/>
      <c r="E265" s="94"/>
    </row>
    <row r="266" spans="1:14">
      <c r="B266" s="34"/>
    </row>
    <row r="267" spans="1:14">
      <c r="B267" s="1050" t="s">
        <v>124</v>
      </c>
    </row>
    <row r="268" spans="1:14">
      <c r="B268" s="785" t="s">
        <v>125</v>
      </c>
    </row>
    <row r="269" spans="1:14">
      <c r="B269" s="786" t="s">
        <v>126</v>
      </c>
    </row>
    <row r="270" spans="1:14">
      <c r="B270" s="787" t="s">
        <v>127</v>
      </c>
    </row>
    <row r="271" spans="1:14">
      <c r="B271" s="788" t="s">
        <v>128</v>
      </c>
    </row>
    <row r="272" spans="1:14">
      <c r="B272" s="788" t="s">
        <v>129</v>
      </c>
    </row>
    <row r="273" spans="2:2">
      <c r="B273" s="89"/>
    </row>
    <row r="274" spans="2:2">
      <c r="B274" s="1050" t="s">
        <v>130</v>
      </c>
    </row>
    <row r="275" spans="2:2" ht="12.75" customHeight="1">
      <c r="B275" s="789" t="s">
        <v>131</v>
      </c>
    </row>
    <row r="276" spans="2:2" ht="13.5" customHeight="1">
      <c r="B276" s="786" t="s">
        <v>132</v>
      </c>
    </row>
    <row r="277" spans="2:2" ht="13.5" customHeight="1">
      <c r="B277" s="786" t="s">
        <v>133</v>
      </c>
    </row>
    <row r="278" spans="2:2">
      <c r="B278" s="786" t="s">
        <v>134</v>
      </c>
    </row>
    <row r="279" spans="2:2" ht="13.5" customHeight="1">
      <c r="B279" s="786" t="s">
        <v>135</v>
      </c>
    </row>
    <row r="280" spans="2:2">
      <c r="B280" s="786" t="s">
        <v>136</v>
      </c>
    </row>
    <row r="281" spans="2:2">
      <c r="B281" s="786" t="s">
        <v>137</v>
      </c>
    </row>
    <row r="282" spans="2:2">
      <c r="B282" s="786" t="s">
        <v>138</v>
      </c>
    </row>
    <row r="283" spans="2:2">
      <c r="B283" s="788"/>
    </row>
    <row r="284" spans="2:2" ht="13.5" customHeight="1">
      <c r="B284" s="89"/>
    </row>
    <row r="285" spans="2:2" ht="13.5" customHeight="1">
      <c r="B285" s="1050" t="s">
        <v>139</v>
      </c>
    </row>
    <row r="286" spans="2:2" ht="13.5" customHeight="1">
      <c r="B286" s="789" t="s">
        <v>140</v>
      </c>
    </row>
    <row r="287" spans="2:2">
      <c r="B287" s="786" t="s">
        <v>141</v>
      </c>
    </row>
    <row r="288" spans="2:2">
      <c r="B288" s="786" t="s">
        <v>142</v>
      </c>
    </row>
    <row r="289" spans="2:2">
      <c r="B289" s="786" t="s">
        <v>143</v>
      </c>
    </row>
    <row r="290" spans="2:2">
      <c r="B290" s="786" t="s">
        <v>144</v>
      </c>
    </row>
    <row r="291" spans="2:2">
      <c r="B291" s="788"/>
    </row>
    <row r="292" spans="2:2">
      <c r="B292" s="89"/>
    </row>
    <row r="293" spans="2:2">
      <c r="B293" s="1050" t="s">
        <v>145</v>
      </c>
    </row>
    <row r="294" spans="2:2" ht="12.75" customHeight="1">
      <c r="B294" s="789" t="s">
        <v>146</v>
      </c>
    </row>
    <row r="295" spans="2:2" ht="12.75" customHeight="1">
      <c r="B295" s="786" t="s">
        <v>147</v>
      </c>
    </row>
    <row r="296" spans="2:2" ht="12.75" customHeight="1">
      <c r="B296" s="788"/>
    </row>
    <row r="297" spans="2:2" ht="12.75" customHeight="1">
      <c r="B297" s="89"/>
    </row>
    <row r="298" spans="2:2">
      <c r="B298" s="1050" t="s">
        <v>148</v>
      </c>
    </row>
    <row r="299" spans="2:2">
      <c r="B299" s="789" t="s">
        <v>149</v>
      </c>
    </row>
    <row r="300" spans="2:2">
      <c r="B300" s="786" t="s">
        <v>150</v>
      </c>
    </row>
    <row r="301" spans="2:2">
      <c r="B301" s="788" t="s">
        <v>151</v>
      </c>
    </row>
    <row r="302" spans="2:2">
      <c r="B302" s="89"/>
    </row>
    <row r="303" spans="2:2">
      <c r="B303" s="1050" t="s">
        <v>152</v>
      </c>
    </row>
    <row r="304" spans="2:2" ht="12.75" customHeight="1">
      <c r="B304" s="789" t="s">
        <v>153</v>
      </c>
    </row>
    <row r="305" spans="2:2" ht="13.5" customHeight="1">
      <c r="B305" s="786" t="s">
        <v>154</v>
      </c>
    </row>
    <row r="306" spans="2:2" ht="12.75" customHeight="1">
      <c r="B306" s="786"/>
    </row>
    <row r="307" spans="2:2" ht="12.75" customHeight="1">
      <c r="B307" s="788"/>
    </row>
    <row r="308" spans="2:2" ht="12.75" customHeight="1">
      <c r="B308" s="89"/>
    </row>
    <row r="309" spans="2:2">
      <c r="B309" s="1050" t="s">
        <v>155</v>
      </c>
    </row>
    <row r="310" spans="2:2">
      <c r="B310" s="789" t="s">
        <v>156</v>
      </c>
    </row>
    <row r="311" spans="2:2">
      <c r="B311" s="786" t="s">
        <v>157</v>
      </c>
    </row>
    <row r="312" spans="2:2">
      <c r="B312" s="786"/>
    </row>
    <row r="313" spans="2:2">
      <c r="B313" s="788"/>
    </row>
    <row r="314" spans="2:2">
      <c r="B314" s="89"/>
    </row>
    <row r="315" spans="2:2">
      <c r="B315" s="1050" t="s">
        <v>158</v>
      </c>
    </row>
    <row r="316" spans="2:2">
      <c r="B316" s="789" t="s">
        <v>125</v>
      </c>
    </row>
    <row r="317" spans="2:2">
      <c r="B317" s="786" t="s">
        <v>126</v>
      </c>
    </row>
    <row r="318" spans="2:2" ht="12.75" customHeight="1">
      <c r="B318" s="788"/>
    </row>
  </sheetData>
  <sheetProtection algorithmName="SHA-512" hashValue="OtnfanSx0KYUYmOilzJ2JaHAqp2eSRcpMGH6Wm+FdJImsEyLfxW10vg+kV3cP73Q0Gp1DBnMM/Hp8lLuC1YhLQ==" saltValue="mr46YD8SzyYmrArqQVuztw==" spinCount="100000" sheet="1" objects="1" scenarios="1"/>
  <mergeCells count="140">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 ref="B210:C210"/>
    <mergeCell ref="E238:I238"/>
    <mergeCell ref="E235:I235"/>
    <mergeCell ref="B229:C229"/>
    <mergeCell ref="E217:I217"/>
    <mergeCell ref="E218:I218"/>
    <mergeCell ref="E219:I219"/>
    <mergeCell ref="E216:I216"/>
    <mergeCell ref="B217:C217"/>
    <mergeCell ref="B218:C218"/>
    <mergeCell ref="B219:C219"/>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B174:C174"/>
    <mergeCell ref="B175:C175"/>
    <mergeCell ref="B176:C176"/>
    <mergeCell ref="B178:C178"/>
    <mergeCell ref="B179:C179"/>
    <mergeCell ref="E169:F169"/>
    <mergeCell ref="E163:H163"/>
    <mergeCell ref="E164:H164"/>
    <mergeCell ref="E165:H165"/>
    <mergeCell ref="E166:H166"/>
    <mergeCell ref="E167:H167"/>
    <mergeCell ref="E168:H16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s>
  <conditionalFormatting sqref="H53">
    <cfRule type="expression" dxfId="106" priority="15">
      <formula>AND(#REF!="Actuals",#REF!="Forecast")</formula>
    </cfRule>
  </conditionalFormatting>
  <conditionalFormatting sqref="H54:N54">
    <cfRule type="expression" dxfId="105" priority="14">
      <formula>AND(#REF!="Actuals",#REF!="Forecast")</formula>
    </cfRule>
  </conditionalFormatting>
  <conditionalFormatting sqref="C89:I89">
    <cfRule type="expression" dxfId="104" priority="10">
      <formula>AND(#REF!="Actuals",#REF!="Forecast")</formula>
    </cfRule>
  </conditionalFormatting>
  <conditionalFormatting sqref="O53">
    <cfRule type="expression" dxfId="103" priority="4">
      <formula>AND(#REF!="Actuals",#REF!="Forecast")</formula>
    </cfRule>
  </conditionalFormatting>
  <conditionalFormatting sqref="O54:U54">
    <cfRule type="expression" dxfId="102"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C19" sqref="C19"/>
    </sheetView>
  </sheetViews>
  <sheetFormatPr defaultRowHeight="13.5"/>
  <cols>
    <col min="1" max="1" width="8.3828125" customWidth="1"/>
    <col min="2" max="2" width="23.765625" customWidth="1"/>
    <col min="3" max="3" width="25.765625" customWidth="1"/>
    <col min="4" max="4" width="9.765625" customWidth="1"/>
  </cols>
  <sheetData>
    <row r="1" spans="1:13" ht="20">
      <c r="A1" s="707" t="s">
        <v>159</v>
      </c>
      <c r="B1" s="707"/>
      <c r="C1" s="707"/>
      <c r="D1" s="707"/>
      <c r="E1" s="707"/>
      <c r="F1" s="707"/>
      <c r="G1" s="707"/>
      <c r="H1" s="707"/>
      <c r="I1" s="18" t="s">
        <v>160</v>
      </c>
      <c r="J1" s="19"/>
      <c r="K1" s="19"/>
      <c r="L1" s="19"/>
      <c r="M1" s="19"/>
    </row>
    <row r="2" spans="1:13" ht="20">
      <c r="A2" s="712" t="str">
        <f>Licensee</f>
        <v>ESO</v>
      </c>
      <c r="B2" s="707"/>
      <c r="C2" s="707"/>
      <c r="D2" s="707"/>
      <c r="E2" s="707"/>
      <c r="F2" s="707"/>
      <c r="G2" s="707"/>
      <c r="H2" s="707"/>
      <c r="I2" s="19"/>
      <c r="J2" s="19"/>
      <c r="K2" s="19"/>
      <c r="L2" s="19"/>
      <c r="M2" s="19"/>
    </row>
    <row r="3" spans="1:13" ht="20">
      <c r="A3" s="707">
        <f>Reporting_Year</f>
        <v>2022</v>
      </c>
      <c r="B3" s="707"/>
      <c r="C3" s="707"/>
      <c r="D3" s="707"/>
      <c r="E3" s="707"/>
      <c r="F3" s="707"/>
      <c r="G3" s="707"/>
      <c r="H3" s="707"/>
      <c r="I3" s="19"/>
      <c r="J3" s="19"/>
      <c r="K3" s="19"/>
      <c r="L3" s="19"/>
      <c r="M3" s="19"/>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4" t="s">
        <v>161</v>
      </c>
      <c r="C6" s="13"/>
      <c r="D6" s="13"/>
      <c r="E6" s="13"/>
      <c r="F6" s="13"/>
      <c r="G6" s="13"/>
      <c r="H6" s="13"/>
      <c r="I6" s="13"/>
      <c r="J6" s="13"/>
      <c r="K6" s="13"/>
      <c r="L6" s="13"/>
      <c r="M6" s="13"/>
    </row>
    <row r="7" spans="1:13">
      <c r="A7" s="13"/>
      <c r="B7" s="13"/>
      <c r="C7" s="13"/>
      <c r="D7" s="13"/>
      <c r="E7" s="13"/>
      <c r="F7" s="13"/>
      <c r="G7" s="13"/>
      <c r="H7" s="13"/>
      <c r="I7" s="13"/>
      <c r="J7" s="13"/>
      <c r="K7" s="13"/>
      <c r="L7" s="13"/>
      <c r="M7" s="13"/>
    </row>
    <row r="8" spans="1:13">
      <c r="A8" s="13"/>
      <c r="B8" s="1051" t="s">
        <v>162</v>
      </c>
      <c r="C8" s="1051" t="s">
        <v>163</v>
      </c>
      <c r="D8" s="1364" t="s">
        <v>164</v>
      </c>
      <c r="E8" s="1365"/>
      <c r="F8" s="1365"/>
      <c r="G8" s="1365"/>
      <c r="H8" s="1365"/>
      <c r="I8" s="13"/>
      <c r="J8" s="13"/>
      <c r="K8" s="13"/>
      <c r="L8" s="13"/>
      <c r="M8" s="13"/>
    </row>
    <row r="9" spans="1:13">
      <c r="A9" s="13"/>
      <c r="B9" s="1052" t="s">
        <v>165</v>
      </c>
      <c r="C9" s="1053" t="s">
        <v>166</v>
      </c>
      <c r="D9" s="1362"/>
      <c r="E9" s="1363"/>
      <c r="F9" s="1363"/>
      <c r="G9" s="1363"/>
      <c r="H9" s="1363"/>
      <c r="I9" s="13"/>
      <c r="J9" s="13"/>
      <c r="K9" s="13"/>
      <c r="L9" s="13"/>
      <c r="M9" s="13"/>
    </row>
    <row r="10" spans="1:13">
      <c r="A10" s="13"/>
      <c r="B10" s="1052" t="s">
        <v>167</v>
      </c>
      <c r="C10" s="1053"/>
      <c r="D10" s="1362"/>
      <c r="E10" s="1363"/>
      <c r="F10" s="1363"/>
      <c r="G10" s="1363"/>
      <c r="H10" s="1363"/>
      <c r="I10" s="13"/>
      <c r="J10" s="13"/>
      <c r="K10" s="13"/>
      <c r="L10" s="13"/>
      <c r="M10" s="13"/>
    </row>
    <row r="11" spans="1:13">
      <c r="A11" s="13"/>
      <c r="B11" s="1052" t="s">
        <v>168</v>
      </c>
      <c r="C11" s="1053"/>
      <c r="D11" s="1362"/>
      <c r="E11" s="1363"/>
      <c r="F11" s="1363"/>
      <c r="G11" s="1363"/>
      <c r="H11" s="1363"/>
      <c r="I11" s="13"/>
      <c r="J11" s="13"/>
      <c r="K11" s="13"/>
      <c r="L11" s="13"/>
      <c r="M11" s="13"/>
    </row>
    <row r="12" spans="1:13">
      <c r="A12" s="13"/>
      <c r="B12" s="1052" t="s">
        <v>169</v>
      </c>
      <c r="C12" s="1053"/>
      <c r="D12" s="1362"/>
      <c r="E12" s="1363"/>
      <c r="F12" s="1363"/>
      <c r="G12" s="1363"/>
      <c r="H12" s="1363"/>
      <c r="I12" s="13"/>
      <c r="J12" s="13"/>
      <c r="K12" s="13"/>
      <c r="L12" s="13"/>
      <c r="M12" s="13"/>
    </row>
    <row r="13" spans="1:13">
      <c r="A13" s="13"/>
      <c r="B13" s="1052" t="s">
        <v>170</v>
      </c>
      <c r="C13" s="1053"/>
      <c r="D13" s="1362"/>
      <c r="E13" s="1363"/>
      <c r="F13" s="1363"/>
      <c r="G13" s="1363"/>
      <c r="H13" s="1363"/>
      <c r="I13" s="13"/>
      <c r="J13" s="13"/>
      <c r="K13" s="13"/>
      <c r="L13" s="13"/>
      <c r="M13" s="13"/>
    </row>
    <row r="14" spans="1:13">
      <c r="A14" s="13"/>
      <c r="B14" s="1052" t="s">
        <v>171</v>
      </c>
      <c r="C14" s="1053"/>
      <c r="D14" s="1362"/>
      <c r="E14" s="1363"/>
      <c r="F14" s="1363"/>
      <c r="G14" s="1363"/>
      <c r="H14" s="1363"/>
      <c r="I14" s="13"/>
      <c r="J14" s="13"/>
      <c r="K14" s="13"/>
      <c r="L14" s="13"/>
      <c r="M14" s="13"/>
    </row>
    <row r="15" spans="1:13">
      <c r="A15" s="13"/>
      <c r="B15" s="1052" t="s">
        <v>172</v>
      </c>
      <c r="C15" s="1053"/>
      <c r="D15" s="1362"/>
      <c r="E15" s="1363"/>
      <c r="F15" s="1363"/>
      <c r="G15" s="1363"/>
      <c r="H15" s="1363"/>
      <c r="I15" s="13"/>
      <c r="J15" s="13"/>
      <c r="K15" s="13"/>
      <c r="L15" s="13"/>
      <c r="M15" s="13"/>
    </row>
    <row r="16" spans="1:13">
      <c r="A16" s="13"/>
      <c r="B16" s="1052" t="s">
        <v>173</v>
      </c>
      <c r="C16" s="1053"/>
      <c r="D16" s="1362"/>
      <c r="E16" s="1363"/>
      <c r="F16" s="1363"/>
      <c r="G16" s="1363"/>
      <c r="H16" s="1363"/>
      <c r="I16" s="13"/>
      <c r="J16" s="13"/>
      <c r="K16" s="13"/>
      <c r="L16" s="13"/>
      <c r="M16" s="13"/>
    </row>
    <row r="17" spans="1:13">
      <c r="A17" s="13"/>
      <c r="B17" s="1052" t="s">
        <v>174</v>
      </c>
      <c r="C17" s="1053"/>
      <c r="D17" s="1362"/>
      <c r="E17" s="1363"/>
      <c r="F17" s="1363"/>
      <c r="G17" s="1363"/>
      <c r="H17" s="1363"/>
      <c r="I17" s="13"/>
      <c r="J17" s="13"/>
      <c r="K17" s="13"/>
      <c r="L17" s="13"/>
      <c r="M17" s="13"/>
    </row>
    <row r="18" spans="1:13">
      <c r="A18" s="13"/>
      <c r="B18" s="1052" t="s">
        <v>175</v>
      </c>
      <c r="C18" s="1053"/>
      <c r="D18" s="1362"/>
      <c r="E18" s="1363"/>
      <c r="F18" s="1363"/>
      <c r="G18" s="1363"/>
      <c r="H18" s="1363"/>
      <c r="I18" s="13"/>
      <c r="J18" s="13"/>
      <c r="K18" s="13"/>
      <c r="L18" s="13"/>
      <c r="M18" s="13"/>
    </row>
    <row r="19" spans="1:13">
      <c r="A19" s="13"/>
      <c r="B19" s="13"/>
      <c r="C19" s="13"/>
      <c r="D19" s="13"/>
      <c r="E19" s="13"/>
      <c r="F19" s="13"/>
      <c r="G19" s="13"/>
      <c r="H19" s="13"/>
      <c r="I19" s="13"/>
      <c r="J19" s="13"/>
      <c r="K19" s="13"/>
      <c r="L19" s="13"/>
      <c r="M19" s="13"/>
    </row>
    <row r="20" spans="1:13">
      <c r="A20" s="13"/>
      <c r="B20" s="89"/>
      <c r="C20" s="13"/>
      <c r="D20" s="13"/>
      <c r="E20" s="13"/>
      <c r="F20" s="13"/>
      <c r="G20" s="13"/>
      <c r="H20" s="13"/>
      <c r="I20" s="13"/>
      <c r="J20" s="13"/>
      <c r="K20" s="13"/>
      <c r="L20" s="13"/>
    </row>
    <row r="21" spans="1:13">
      <c r="A21" s="13"/>
      <c r="B21" s="126" t="s">
        <v>176</v>
      </c>
      <c r="C21" s="13"/>
      <c r="D21" s="13"/>
      <c r="E21" s="13"/>
      <c r="F21" s="13"/>
      <c r="G21" s="13"/>
      <c r="H21" s="13"/>
      <c r="I21" s="13"/>
      <c r="J21" s="13"/>
      <c r="K21" s="13"/>
      <c r="L21" s="13"/>
    </row>
    <row r="22" spans="1:13">
      <c r="A22" s="13"/>
      <c r="B22" s="126" t="s">
        <v>177</v>
      </c>
      <c r="C22" s="13"/>
      <c r="D22" s="13"/>
      <c r="E22" s="13"/>
      <c r="F22" s="13"/>
      <c r="G22" s="13"/>
      <c r="H22" s="13"/>
      <c r="I22" s="13"/>
      <c r="J22" s="13"/>
      <c r="K22" s="13"/>
      <c r="L22" s="13"/>
    </row>
    <row r="23" spans="1:13">
      <c r="A23" s="13"/>
      <c r="B23" s="126" t="s">
        <v>178</v>
      </c>
      <c r="C23" s="13"/>
      <c r="D23" s="13"/>
      <c r="E23" s="13"/>
      <c r="F23" s="13"/>
      <c r="G23" s="13"/>
      <c r="H23" s="13"/>
      <c r="I23" s="13"/>
      <c r="J23" s="13"/>
      <c r="K23" s="13"/>
      <c r="L23" s="13"/>
    </row>
    <row r="24" spans="1:13">
      <c r="B24" s="126" t="s">
        <v>179</v>
      </c>
    </row>
    <row r="25" spans="1:13">
      <c r="B25" s="126" t="s">
        <v>180</v>
      </c>
    </row>
    <row r="26" spans="1:13">
      <c r="B26" s="126" t="s">
        <v>181</v>
      </c>
    </row>
    <row r="27" spans="1:13">
      <c r="B27" s="126" t="s">
        <v>182</v>
      </c>
    </row>
    <row r="28" spans="1:13">
      <c r="B28" s="126" t="s">
        <v>183</v>
      </c>
    </row>
    <row r="29" spans="1:13">
      <c r="B29" s="126" t="s">
        <v>184</v>
      </c>
    </row>
    <row r="30" spans="1:13">
      <c r="B30" s="126" t="s">
        <v>185</v>
      </c>
    </row>
    <row r="31" spans="1:13">
      <c r="B31" s="1004" t="s">
        <v>186</v>
      </c>
    </row>
    <row r="32" spans="1:13">
      <c r="B32" s="126" t="s">
        <v>187</v>
      </c>
    </row>
    <row r="33" spans="2:5">
      <c r="B33" s="126" t="s">
        <v>188</v>
      </c>
    </row>
    <row r="35" spans="2:5">
      <c r="E35" s="126"/>
    </row>
  </sheetData>
  <sheetProtection algorithmName="SHA-512" hashValue="Msllt6jbJ9GUXfaQ9Pkxh/pc7CqxvQbjYhzEOz+LzwUpPXYhKpypsuRxk2qtJ0pLEI0Y5suMPwPieFZHi8FkTQ==" saltValue="mlxTxjNlVC659VBqm3f84A==" spinCount="100000" sheet="1" objects="1" scenarios="1"/>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6"/>
  <sheetViews>
    <sheetView showGridLines="0" zoomScale="80" zoomScaleNormal="80" workbookViewId="0">
      <pane ySplit="5" topLeftCell="A6" activePane="bottomLeft" state="frozen"/>
      <selection activeCell="D15" sqref="D15"/>
      <selection pane="bottomLeft" activeCell="C19" sqref="C19"/>
    </sheetView>
  </sheetViews>
  <sheetFormatPr defaultRowHeight="13.5"/>
  <cols>
    <col min="1" max="1" width="19.15234375" bestFit="1" customWidth="1"/>
    <col min="2" max="2" width="21.765625" customWidth="1"/>
    <col min="3" max="3" width="104.15234375" customWidth="1"/>
    <col min="4" max="4" width="35.4609375" customWidth="1"/>
  </cols>
  <sheetData>
    <row r="1" spans="1:4" ht="20">
      <c r="A1" s="16" t="s">
        <v>189</v>
      </c>
      <c r="B1" s="16"/>
      <c r="C1" s="16"/>
      <c r="D1" s="16"/>
    </row>
    <row r="2" spans="1:4" ht="20">
      <c r="A2" s="712" t="str">
        <f>Licensee</f>
        <v>ESO</v>
      </c>
      <c r="B2" s="16"/>
      <c r="C2" s="16"/>
      <c r="D2" s="16"/>
    </row>
    <row r="3" spans="1:4" ht="20">
      <c r="A3" s="707">
        <f>Reporting_Year</f>
        <v>2022</v>
      </c>
      <c r="B3" s="16"/>
      <c r="C3" s="16"/>
      <c r="D3" s="16"/>
    </row>
    <row r="4" spans="1:4" ht="20">
      <c r="A4" s="610"/>
      <c r="B4" s="610"/>
      <c r="C4" s="610"/>
      <c r="D4" s="610"/>
    </row>
    <row r="5" spans="1:4" ht="14">
      <c r="A5" s="607" t="s">
        <v>190</v>
      </c>
      <c r="B5" s="608" t="s">
        <v>191</v>
      </c>
      <c r="C5" s="609" t="s">
        <v>192</v>
      </c>
    </row>
    <row r="6" spans="1:4">
      <c r="A6" s="133" t="s">
        <v>193</v>
      </c>
      <c r="B6" s="625" t="s">
        <v>194</v>
      </c>
      <c r="C6" s="639" t="s">
        <v>195</v>
      </c>
    </row>
    <row r="7" spans="1:4">
      <c r="A7" s="133" t="s">
        <v>193</v>
      </c>
      <c r="B7" s="625" t="s">
        <v>196</v>
      </c>
      <c r="C7" s="639" t="s">
        <v>197</v>
      </c>
    </row>
    <row r="8" spans="1:4" ht="27">
      <c r="A8" s="133" t="s">
        <v>193</v>
      </c>
      <c r="B8" s="625" t="s">
        <v>198</v>
      </c>
      <c r="C8" s="639" t="s">
        <v>199</v>
      </c>
    </row>
    <row r="9" spans="1:4" ht="34" customHeight="1">
      <c r="A9" s="133" t="s">
        <v>193</v>
      </c>
      <c r="B9" s="625" t="s">
        <v>200</v>
      </c>
      <c r="C9" s="639" t="s">
        <v>201</v>
      </c>
    </row>
    <row r="10" spans="1:4" ht="27">
      <c r="A10" s="133" t="s">
        <v>193</v>
      </c>
      <c r="B10" s="625" t="s">
        <v>202</v>
      </c>
      <c r="C10" s="639" t="s">
        <v>203</v>
      </c>
    </row>
    <row r="11" spans="1:4">
      <c r="A11" s="133" t="s">
        <v>165</v>
      </c>
      <c r="B11" s="625" t="s">
        <v>204</v>
      </c>
      <c r="C11" s="639" t="s">
        <v>205</v>
      </c>
    </row>
    <row r="12" spans="1:4">
      <c r="A12" s="133" t="s">
        <v>165</v>
      </c>
      <c r="B12" s="625" t="s">
        <v>204</v>
      </c>
      <c r="C12" s="639" t="s">
        <v>206</v>
      </c>
    </row>
    <row r="13" spans="1:4">
      <c r="A13" s="133" t="s">
        <v>165</v>
      </c>
      <c r="B13" s="625" t="s">
        <v>204</v>
      </c>
      <c r="C13" s="639" t="s">
        <v>207</v>
      </c>
    </row>
    <row r="14" spans="1:4">
      <c r="A14" s="133" t="s">
        <v>165</v>
      </c>
      <c r="B14" s="625" t="s">
        <v>204</v>
      </c>
      <c r="C14" s="639" t="s">
        <v>208</v>
      </c>
    </row>
    <row r="15" spans="1:4" ht="40.5">
      <c r="A15" s="133" t="s">
        <v>165</v>
      </c>
      <c r="B15" s="625" t="s">
        <v>177</v>
      </c>
      <c r="C15" s="639" t="s">
        <v>209</v>
      </c>
    </row>
    <row r="16" spans="1:4" ht="27">
      <c r="A16" s="133" t="s">
        <v>165</v>
      </c>
      <c r="B16" s="625" t="s">
        <v>178</v>
      </c>
      <c r="C16" s="639" t="s">
        <v>210</v>
      </c>
    </row>
    <row r="17" spans="1:3" ht="27">
      <c r="A17" s="133" t="s">
        <v>165</v>
      </c>
      <c r="B17" s="625" t="s">
        <v>178</v>
      </c>
      <c r="C17" s="639" t="s">
        <v>211</v>
      </c>
    </row>
    <row r="18" spans="1:3">
      <c r="A18" s="133"/>
      <c r="B18" s="625"/>
      <c r="C18" s="639"/>
    </row>
    <row r="19" spans="1:3">
      <c r="A19" s="133"/>
      <c r="B19" s="625"/>
      <c r="C19" s="639"/>
    </row>
    <row r="20" spans="1:3">
      <c r="A20" s="133"/>
      <c r="B20" s="623"/>
      <c r="C20" s="127"/>
    </row>
    <row r="21" spans="1:3">
      <c r="A21" s="134"/>
      <c r="B21" s="623"/>
      <c r="C21" s="127"/>
    </row>
    <row r="22" spans="1:3">
      <c r="A22" s="134"/>
      <c r="B22" s="134"/>
      <c r="C22" s="127"/>
    </row>
    <row r="23" spans="1:3">
      <c r="A23" s="134"/>
      <c r="B23" s="623"/>
      <c r="C23" s="127"/>
    </row>
    <row r="24" spans="1:3">
      <c r="A24" s="134"/>
      <c r="B24" s="623"/>
      <c r="C24" s="127"/>
    </row>
    <row r="25" spans="1:3" ht="14" thickBot="1">
      <c r="A25" s="720"/>
      <c r="B25" s="721"/>
      <c r="C25" s="722"/>
    </row>
    <row r="26" spans="1:3">
      <c r="A26" s="717"/>
      <c r="B26" s="718"/>
      <c r="C26" s="719"/>
    </row>
    <row r="27" spans="1:3">
      <c r="A27" s="717"/>
      <c r="B27" s="623"/>
      <c r="C27" s="127"/>
    </row>
    <row r="28" spans="1:3">
      <c r="A28" s="134"/>
      <c r="B28" s="623"/>
      <c r="C28" s="127"/>
    </row>
    <row r="29" spans="1:3">
      <c r="A29" s="134"/>
      <c r="B29" s="623"/>
      <c r="C29" s="127"/>
    </row>
    <row r="30" spans="1:3">
      <c r="A30" s="134"/>
      <c r="B30" s="623"/>
      <c r="C30" s="127"/>
    </row>
    <row r="31" spans="1:3">
      <c r="A31" s="134"/>
      <c r="B31" s="623"/>
      <c r="C31" s="648"/>
    </row>
    <row r="32" spans="1:3">
      <c r="A32" s="134"/>
      <c r="B32" s="623"/>
      <c r="C32" s="127"/>
    </row>
    <row r="33" spans="1:3">
      <c r="A33" s="134"/>
      <c r="B33" s="623"/>
      <c r="C33" s="127"/>
    </row>
    <row r="34" spans="1:3">
      <c r="A34" s="135"/>
      <c r="B34" s="623"/>
      <c r="C34" s="127"/>
    </row>
    <row r="35" spans="1:3">
      <c r="A35" s="135"/>
      <c r="B35" s="649"/>
      <c r="C35" s="127"/>
    </row>
    <row r="36" spans="1:3">
      <c r="A36" s="135"/>
      <c r="B36" s="649"/>
      <c r="C36" s="127"/>
    </row>
    <row r="37" spans="1:3">
      <c r="A37" s="135"/>
      <c r="B37" s="649"/>
      <c r="C37" s="127"/>
    </row>
    <row r="38" spans="1:3">
      <c r="A38" s="135"/>
      <c r="B38" s="649"/>
      <c r="C38" s="127"/>
    </row>
    <row r="39" spans="1:3">
      <c r="A39" s="134"/>
      <c r="B39" s="649"/>
      <c r="C39" s="127"/>
    </row>
    <row r="40" spans="1:3">
      <c r="A40" s="135"/>
      <c r="B40" s="649"/>
      <c r="C40" s="127"/>
    </row>
    <row r="41" spans="1:3">
      <c r="A41" s="135"/>
      <c r="B41" s="649"/>
      <c r="C41" s="127"/>
    </row>
    <row r="42" spans="1:3">
      <c r="A42" s="135"/>
      <c r="B42" s="649"/>
      <c r="C42" s="127"/>
    </row>
    <row r="43" spans="1:3">
      <c r="A43" s="135"/>
      <c r="B43" s="623"/>
      <c r="C43" s="127"/>
    </row>
    <row r="44" spans="1:3">
      <c r="A44" s="135"/>
      <c r="B44" s="623"/>
      <c r="C44" s="127"/>
    </row>
    <row r="45" spans="1:3">
      <c r="A45" s="135"/>
      <c r="B45" s="623"/>
      <c r="C45" s="127"/>
    </row>
    <row r="46" spans="1:3">
      <c r="A46" s="135"/>
      <c r="B46" s="623"/>
      <c r="C46" s="127"/>
    </row>
    <row r="47" spans="1:3">
      <c r="A47" s="135"/>
      <c r="B47" s="623"/>
      <c r="C47" s="127"/>
    </row>
    <row r="48" spans="1:3">
      <c r="A48" s="135"/>
      <c r="B48" s="623"/>
      <c r="C48" s="127"/>
    </row>
    <row r="49" spans="1:3">
      <c r="A49" s="135"/>
      <c r="B49" s="623"/>
      <c r="C49" s="127"/>
    </row>
    <row r="50" spans="1:3">
      <c r="A50" s="135"/>
      <c r="B50" s="623"/>
      <c r="C50" s="127"/>
    </row>
    <row r="51" spans="1:3">
      <c r="A51" s="135"/>
      <c r="B51" s="623"/>
      <c r="C51" s="127"/>
    </row>
    <row r="52" spans="1:3">
      <c r="A52" s="135"/>
      <c r="B52" s="623"/>
      <c r="C52" s="127"/>
    </row>
    <row r="53" spans="1:3">
      <c r="A53" s="135"/>
      <c r="B53" s="653"/>
      <c r="C53" s="654"/>
    </row>
    <row r="54" spans="1:3">
      <c r="A54" s="135"/>
      <c r="B54" s="623"/>
      <c r="C54" s="127"/>
    </row>
    <row r="55" spans="1:3">
      <c r="A55" s="135"/>
      <c r="B55" s="623"/>
      <c r="C55" s="127"/>
    </row>
    <row r="56" spans="1:3">
      <c r="A56" s="135"/>
      <c r="B56" s="623"/>
      <c r="C56" s="127"/>
    </row>
    <row r="57" spans="1:3">
      <c r="A57" s="135"/>
      <c r="B57" s="623"/>
      <c r="C57" s="127"/>
    </row>
    <row r="58" spans="1:3">
      <c r="A58" s="135"/>
      <c r="B58" s="623"/>
      <c r="C58" s="648"/>
    </row>
    <row r="59" spans="1:3">
      <c r="A59" s="136"/>
      <c r="B59" s="624"/>
      <c r="C59" s="128"/>
    </row>
    <row r="60" spans="1:3">
      <c r="A60" s="136"/>
      <c r="B60" s="624"/>
      <c r="C60" s="128"/>
    </row>
    <row r="61" spans="1:3">
      <c r="A61" s="136"/>
      <c r="B61" s="624"/>
      <c r="C61" s="128"/>
    </row>
    <row r="62" spans="1:3">
      <c r="A62" s="136"/>
      <c r="B62" s="624"/>
      <c r="C62" s="128"/>
    </row>
    <row r="63" spans="1:3">
      <c r="A63" s="136"/>
      <c r="B63" s="624"/>
      <c r="C63" s="128"/>
    </row>
    <row r="64" spans="1:3">
      <c r="A64" s="136"/>
      <c r="B64" s="624"/>
      <c r="C64" s="128"/>
    </row>
    <row r="65" spans="1:3">
      <c r="A65" s="136"/>
      <c r="B65" s="624"/>
      <c r="C65" s="128"/>
    </row>
    <row r="66" spans="1:3">
      <c r="A66" s="136"/>
      <c r="B66" s="624"/>
      <c r="C66" s="128"/>
    </row>
  </sheetData>
  <sheetProtection algorithmName="SHA-512" hashValue="0xCoOmlBaam74DyGj3jDTL4/tGra2D8wY5R+9d6VUNrCt3R3/DEnWWnY7ezcfTCJPG/wnovz/6C9udPriMfD3Q==" saltValue="IF06CJ/8J3bgaG7UW0Thjg==" spinCount="100000" sheet="1" objects="1" scenarios="1"/>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zoomScaleNormal="100" workbookViewId="0">
      <pane ySplit="7" topLeftCell="A8" activePane="bottomLeft" state="frozen"/>
      <selection pane="bottomLeft" activeCell="D86" sqref="D86"/>
    </sheetView>
  </sheetViews>
  <sheetFormatPr defaultRowHeight="13.5"/>
  <cols>
    <col min="1" max="1" width="8.3828125" customWidth="1"/>
    <col min="2" max="2" width="63.3828125" style="89" customWidth="1"/>
    <col min="3" max="3" width="13.3828125" customWidth="1"/>
    <col min="4" max="4" width="10.61328125" bestFit="1" customWidth="1"/>
    <col min="5" max="5" width="10.84375" bestFit="1" customWidth="1"/>
    <col min="6" max="8" width="9.15234375" customWidth="1"/>
    <col min="9" max="9" width="2.61328125" customWidth="1"/>
    <col min="10" max="11" width="13.765625" customWidth="1"/>
    <col min="12" max="12" width="5.15234375" customWidth="1"/>
    <col min="16" max="16" width="10.4609375" bestFit="1" customWidth="1"/>
  </cols>
  <sheetData>
    <row r="1" spans="1:20" ht="20">
      <c r="A1" s="1275" t="s">
        <v>212</v>
      </c>
      <c r="B1" s="838"/>
      <c r="C1" s="839"/>
      <c r="D1" s="839"/>
      <c r="E1" s="839"/>
      <c r="F1" s="839"/>
      <c r="G1" s="840"/>
      <c r="H1" s="840"/>
      <c r="I1" s="841"/>
      <c r="J1" s="841"/>
      <c r="K1" s="841"/>
      <c r="L1" s="1279" t="s">
        <v>160</v>
      </c>
    </row>
    <row r="2" spans="1:20" ht="20">
      <c r="A2" s="712" t="str">
        <f>Licensee</f>
        <v>ESO</v>
      </c>
      <c r="B2" s="715"/>
      <c r="C2" s="707"/>
      <c r="D2" s="707"/>
      <c r="E2" s="707"/>
      <c r="F2" s="707"/>
      <c r="G2" s="16"/>
      <c r="H2" s="16"/>
      <c r="I2" s="15"/>
      <c r="J2" s="15"/>
      <c r="K2" s="15"/>
      <c r="L2" s="66"/>
    </row>
    <row r="3" spans="1:20" ht="20">
      <c r="A3" s="707">
        <f>Reporting_Year</f>
        <v>2022</v>
      </c>
      <c r="B3" s="16" t="str">
        <f>IF(Licensee=Data!$B$78,"Only required to be completed to show Operational Performance",IF(Licensee=Data!$B$81,"not required to be completed",""))</f>
        <v>not required to be completed</v>
      </c>
      <c r="C3" s="16"/>
      <c r="D3" s="16"/>
      <c r="E3" s="16"/>
      <c r="F3" s="16"/>
      <c r="G3" s="16"/>
      <c r="H3" s="1054"/>
      <c r="I3" s="1055"/>
      <c r="J3" s="1055"/>
      <c r="K3" s="1055"/>
      <c r="L3" s="120"/>
    </row>
    <row r="4" spans="1:20" ht="12.75" customHeight="1"/>
    <row r="5" spans="1:20">
      <c r="D5" s="254" t="str">
        <f t="shared" ref="D5:H5" si="0">IF(D6&lt;=Reporting_Year,"Actuals","Forecast")</f>
        <v>Actuals</v>
      </c>
      <c r="E5" s="254" t="str">
        <f t="shared" si="0"/>
        <v>Forecast</v>
      </c>
      <c r="F5" s="254" t="str">
        <f t="shared" si="0"/>
        <v>Forecast</v>
      </c>
      <c r="G5" s="254" t="str">
        <f t="shared" si="0"/>
        <v>Forecast</v>
      </c>
      <c r="H5" s="254" t="str">
        <f t="shared" si="0"/>
        <v>Forecast</v>
      </c>
      <c r="I5" s="2"/>
      <c r="J5" s="2"/>
    </row>
    <row r="6" spans="1:20" ht="31.5" customHeight="1">
      <c r="C6" s="80"/>
      <c r="D6" s="747">
        <f>RIIO_2_start_date</f>
        <v>2022</v>
      </c>
      <c r="E6" s="747">
        <f>D6+1</f>
        <v>2023</v>
      </c>
      <c r="F6" s="747">
        <f>E6+1</f>
        <v>2024</v>
      </c>
      <c r="G6" s="747">
        <f t="shared" ref="G6:H6" si="1">F6+1</f>
        <v>2025</v>
      </c>
      <c r="H6" s="747">
        <f t="shared" si="1"/>
        <v>2026</v>
      </c>
      <c r="I6" s="28"/>
      <c r="J6" s="50" t="str">
        <f>"Cumulative to "&amp;'RFPR cover'!$C$9</f>
        <v>Cumulative to 2022</v>
      </c>
      <c r="K6" s="87" t="s">
        <v>213</v>
      </c>
    </row>
    <row r="7" spans="1:20">
      <c r="C7" s="8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 s="89"/>
      <c r="T8" s="89"/>
    </row>
    <row r="9" spans="1:20">
      <c r="B9" s="428" t="s">
        <v>214</v>
      </c>
      <c r="C9" s="99"/>
      <c r="D9" s="99"/>
      <c r="E9" s="99"/>
      <c r="F9" s="99"/>
      <c r="G9" s="99"/>
      <c r="H9" s="99"/>
      <c r="I9" s="429"/>
      <c r="J9" s="99"/>
      <c r="K9" s="99"/>
      <c r="L9" s="99"/>
    </row>
    <row r="10" spans="1:20">
      <c r="B10" s="90"/>
      <c r="I10" s="28"/>
    </row>
    <row r="11" spans="1:20">
      <c r="B11" s="933" t="s">
        <v>215</v>
      </c>
      <c r="C11" s="932" t="s">
        <v>216</v>
      </c>
      <c r="D11" s="414">
        <f>IFERROR(Equity_Return_on_the_RAV/NPV_neutral_equity_element_of_RAV,0)</f>
        <v>7.5718976000000007E-2</v>
      </c>
      <c r="E11" s="414">
        <f>IFERROR(Equity_Return_on_the_RAV/NPV_neutral_equity_element_of_RAV,0)</f>
        <v>7.5510080000000007E-2</v>
      </c>
      <c r="F11" s="414">
        <f>IFERROR(Equity_Return_on_the_RAV/NPV_neutral_equity_element_of_RAV,0)</f>
        <v>7.5601472000000003E-2</v>
      </c>
      <c r="G11" s="414">
        <f>IFERROR(Equity_Return_on_the_RAV/NPV_neutral_equity_element_of_RAV,0)</f>
        <v>7.5470912000000001E-2</v>
      </c>
      <c r="H11" s="414">
        <f>IFERROR(Equity_Return_on_the_RAV/NPV_neutral_equity_element_of_RAV,0)</f>
        <v>7.5366464000000008E-2</v>
      </c>
      <c r="I11" s="81"/>
      <c r="J11" s="415">
        <f>IFERROR(AVERAGE(D65:INDEX(D65:H65,0,MATCH('RFPR cover'!$C$9,$D$6:$H$6,0)))/AVERAGE($D$90:INDEX($D$90:$H$90,0,MATCH('RFPR cover'!$C$9,$D$6:$H$6,0))),0)</f>
        <v>7.5718976000000007E-2</v>
      </c>
      <c r="K11" s="415">
        <f t="shared" ref="K11:K21" si="2">IFERROR(AVERAGE(D65:H65)/AVERAGE($D$90:$H$90),0)</f>
        <v>7.5508227666850253E-2</v>
      </c>
    </row>
    <row r="12" spans="1:20">
      <c r="B12" s="933" t="str">
        <f t="shared" ref="B12:B18" si="3">B66</f>
        <v>Totex outperformance</v>
      </c>
      <c r="C12" s="932" t="s">
        <v>216</v>
      </c>
      <c r="D12" s="757">
        <f>IFERROR(Totex_outperformance/NPV_neutral_equity_element_of_RAV,0)</f>
        <v>0</v>
      </c>
      <c r="E12" s="757">
        <f>IFERROR(Totex_outperformance/NPV_neutral_equity_element_of_RAV,0)</f>
        <v>0</v>
      </c>
      <c r="F12" s="757">
        <f>IFERROR(Totex_outperformance/NPV_neutral_equity_element_of_RAV,0)</f>
        <v>0</v>
      </c>
      <c r="G12" s="757">
        <f>IFERROR(Totex_outperformance/NPV_neutral_equity_element_of_RAV,0)</f>
        <v>0</v>
      </c>
      <c r="H12" s="757">
        <f>IFERROR(Totex_outperformance/NPV_neutral_equity_element_of_RAV,0)</f>
        <v>0</v>
      </c>
      <c r="I12" s="81"/>
      <c r="J12" s="415">
        <f>IFERROR(AVERAGE(D66:INDEX(D66:H66,0,MATCH('RFPR cover'!$C$9,$D$6:$H$6,0)))/AVERAGE($D$90:INDEX($D$90:$H$90,0,MATCH('RFPR cover'!$C$9,$D$6:$H$6,0))),0)</f>
        <v>0</v>
      </c>
      <c r="K12" s="415">
        <f t="shared" si="2"/>
        <v>0</v>
      </c>
      <c r="M12" s="81"/>
    </row>
    <row r="13" spans="1:20">
      <c r="A13" s="79" t="s">
        <v>217</v>
      </c>
      <c r="B13" s="933" t="str">
        <f t="shared" si="3"/>
        <v>Business Plan Incentive</v>
      </c>
      <c r="C13" s="932" t="s">
        <v>216</v>
      </c>
      <c r="D13" s="757">
        <f>IFERROR(Business_Plan_Incentive/NPV_neutral_equity_element_of_RAV,0)</f>
        <v>0</v>
      </c>
      <c r="E13" s="757">
        <f>IFERROR(Business_Plan_Incentive/NPV_neutral_equity_element_of_RAV,0)</f>
        <v>0</v>
      </c>
      <c r="F13" s="757">
        <f>IFERROR(Business_Plan_Incentive/NPV_neutral_equity_element_of_RAV,0)</f>
        <v>0</v>
      </c>
      <c r="G13" s="757">
        <f>IFERROR(Business_Plan_Incentive/NPV_neutral_equity_element_of_RAV,0)</f>
        <v>0</v>
      </c>
      <c r="H13" s="757">
        <f>IFERROR(Business_Plan_Incentive/NPV_neutral_equity_element_of_RAV,0)</f>
        <v>0</v>
      </c>
      <c r="I13" s="81"/>
      <c r="J13" s="415">
        <f>IFERROR(AVERAGE(D67:INDEX(D67:H67,0,MATCH('RFPR cover'!$C$9,$D$6:$H$6,0)))/AVERAGE($D$90:INDEX($D$90:$H$90,0,MATCH('RFPR cover'!$C$9,$D$6:$H$6,0))),0)</f>
        <v>0</v>
      </c>
      <c r="K13" s="415">
        <f t="shared" si="2"/>
        <v>0</v>
      </c>
    </row>
    <row r="14" spans="1:20">
      <c r="A14" s="79" t="s">
        <v>218</v>
      </c>
      <c r="B14" s="933" t="str">
        <f t="shared" si="3"/>
        <v>Reporting &amp; Incentive Arrangements (ESORIt)</v>
      </c>
      <c r="C14" s="932" t="s">
        <v>216</v>
      </c>
      <c r="D14" s="757">
        <f>IFERROR(ODI_1/NPV_neutral_equity_element_of_RAV,0)</f>
        <v>0</v>
      </c>
      <c r="E14" s="757">
        <f>IFERROR(ODI_1/NPV_neutral_equity_element_of_RAV,0)</f>
        <v>0</v>
      </c>
      <c r="F14" s="757">
        <f>IFERROR(ODI_1/NPV_neutral_equity_element_of_RAV,0)</f>
        <v>0</v>
      </c>
      <c r="G14" s="757">
        <f>IFERROR(ODI_1/NPV_neutral_equity_element_of_RAV,0)</f>
        <v>0</v>
      </c>
      <c r="H14" s="757">
        <f>IFERROR(ODI_1/NPV_neutral_equity_element_of_RAV,0)</f>
        <v>0</v>
      </c>
      <c r="I14" s="81"/>
      <c r="J14" s="415">
        <f>IFERROR(AVERAGE(D68:INDEX(D68:H68,0,MATCH('RFPR cover'!$C$9,$D$6:$H$6,0)))/AVERAGE($D$90:INDEX($D$90:$H$90,0,MATCH('RFPR cover'!$C$9,$D$6:$H$6,0))),0)</f>
        <v>0</v>
      </c>
      <c r="K14" s="415">
        <f t="shared" si="2"/>
        <v>0</v>
      </c>
    </row>
    <row r="15" spans="1:20">
      <c r="A15" s="79" t="s">
        <v>219</v>
      </c>
      <c r="B15" s="933" t="str">
        <f t="shared" si="3"/>
        <v/>
      </c>
      <c r="C15" s="932" t="s">
        <v>216</v>
      </c>
      <c r="D15" s="757">
        <f>IFERROR(ODI_2/NPV_neutral_equity_element_of_RAV,0)</f>
        <v>0</v>
      </c>
      <c r="E15" s="757">
        <f>IFERROR(ODI_2/NPV_neutral_equity_element_of_RAV,0)</f>
        <v>0</v>
      </c>
      <c r="F15" s="757">
        <f>IFERROR(ODI_2/NPV_neutral_equity_element_of_RAV,0)</f>
        <v>0</v>
      </c>
      <c r="G15" s="757">
        <f>IFERROR(ODI_2/NPV_neutral_equity_element_of_RAV,0)</f>
        <v>0</v>
      </c>
      <c r="H15" s="757">
        <f>IFERROR(ODI_2/NPV_neutral_equity_element_of_RAV,0)</f>
        <v>0</v>
      </c>
      <c r="I15" s="81"/>
      <c r="J15" s="415">
        <f>IFERROR(AVERAGE(D69:INDEX(D69:H69,0,MATCH('RFPR cover'!$C$9,$D$6:$H$6,0)))/AVERAGE($D$90:INDEX($D$90:$H$90,0,MATCH('RFPR cover'!$C$9,$D$6:$H$6,0))),0)</f>
        <v>0</v>
      </c>
      <c r="K15" s="415">
        <f t="shared" si="2"/>
        <v>0</v>
      </c>
    </row>
    <row r="16" spans="1:20">
      <c r="A16" s="79" t="s">
        <v>220</v>
      </c>
      <c r="B16" s="933" t="str">
        <f t="shared" si="3"/>
        <v/>
      </c>
      <c r="C16" s="932" t="s">
        <v>216</v>
      </c>
      <c r="D16" s="757">
        <f>IFERROR(ODI_3/NPV_neutral_equity_element_of_RAV,0)</f>
        <v>0</v>
      </c>
      <c r="E16" s="757">
        <f>IFERROR(ODI_3/NPV_neutral_equity_element_of_RAV,0)</f>
        <v>0</v>
      </c>
      <c r="F16" s="757">
        <f>IFERROR(ODI_3/NPV_neutral_equity_element_of_RAV,0)</f>
        <v>0</v>
      </c>
      <c r="G16" s="757">
        <f>IFERROR(ODI_3/NPV_neutral_equity_element_of_RAV,0)</f>
        <v>0</v>
      </c>
      <c r="H16" s="757">
        <f>IFERROR(ODI_3/NPV_neutral_equity_element_of_RAV,0)</f>
        <v>0</v>
      </c>
      <c r="I16" s="81"/>
      <c r="J16" s="415">
        <f>IFERROR(AVERAGE(D70:INDEX(D70:H70,0,MATCH('RFPR cover'!$C$9,$D$6:$H$6,0)))/AVERAGE($D$90:INDEX($D$90:$H$90,0,MATCH('RFPR cover'!$C$9,$D$6:$H$6,0))),0)</f>
        <v>0</v>
      </c>
      <c r="K16" s="415">
        <f t="shared" si="2"/>
        <v>0</v>
      </c>
    </row>
    <row r="17" spans="1:11">
      <c r="A17" s="79" t="s">
        <v>221</v>
      </c>
      <c r="B17" s="933" t="str">
        <f t="shared" si="3"/>
        <v/>
      </c>
      <c r="C17" s="932" t="s">
        <v>216</v>
      </c>
      <c r="D17" s="757">
        <f>IFERROR(ODI_4/NPV_neutral_equity_element_of_RAV,0)</f>
        <v>0</v>
      </c>
      <c r="E17" s="757">
        <f>IFERROR(ODI_4/NPV_neutral_equity_element_of_RAV,0)</f>
        <v>0</v>
      </c>
      <c r="F17" s="757">
        <f>IFERROR(ODI_4/NPV_neutral_equity_element_of_RAV,0)</f>
        <v>0</v>
      </c>
      <c r="G17" s="757">
        <f>IFERROR(ODI_4/NPV_neutral_equity_element_of_RAV,0)</f>
        <v>0</v>
      </c>
      <c r="H17" s="757">
        <f>IFERROR(ODI_4/NPV_neutral_equity_element_of_RAV,0)</f>
        <v>0</v>
      </c>
      <c r="I17" s="81"/>
      <c r="J17" s="415">
        <f>IFERROR(AVERAGE(D71:INDEX(D71:H71,0,MATCH('RFPR cover'!$C$9,$D$6:$H$6,0)))/AVERAGE($D$90:INDEX($D$90:$H$90,0,MATCH('RFPR cover'!$C$9,$D$6:$H$6,0))),0)</f>
        <v>0</v>
      </c>
      <c r="K17" s="415">
        <f t="shared" si="2"/>
        <v>0</v>
      </c>
    </row>
    <row r="18" spans="1:11">
      <c r="A18" s="79" t="s">
        <v>222</v>
      </c>
      <c r="B18" s="933" t="str">
        <f t="shared" si="3"/>
        <v/>
      </c>
      <c r="C18" s="932" t="s">
        <v>216</v>
      </c>
      <c r="D18" s="757">
        <f>IFERROR(ODI_5/NPV_neutral_equity_element_of_RAV,0)</f>
        <v>0</v>
      </c>
      <c r="E18" s="757">
        <f>IFERROR(ODI_5/NPV_neutral_equity_element_of_RAV,0)</f>
        <v>0</v>
      </c>
      <c r="F18" s="757">
        <f>IFERROR(ODI_5/NPV_neutral_equity_element_of_RAV,0)</f>
        <v>0</v>
      </c>
      <c r="G18" s="757">
        <f>IFERROR(ODI_5/NPV_neutral_equity_element_of_RAV,0)</f>
        <v>0</v>
      </c>
      <c r="H18" s="757">
        <f>IFERROR(ODI_5/NPV_neutral_equity_element_of_RAV,0)</f>
        <v>0</v>
      </c>
      <c r="I18" s="81"/>
      <c r="J18" s="415">
        <f>IFERROR(AVERAGE(D72:INDEX(D72:H72,0,MATCH('RFPR cover'!$C$9,$D$6:$H$6,0)))/AVERAGE($D$90:INDEX($D$90:$H$90,0,MATCH('RFPR cover'!$C$9,$D$6:$H$6,0))),0)</f>
        <v>0</v>
      </c>
      <c r="K18" s="415">
        <f t="shared" si="2"/>
        <v>0</v>
      </c>
    </row>
    <row r="19" spans="1:11">
      <c r="A19" s="79" t="s">
        <v>223</v>
      </c>
      <c r="B19" s="933" t="str">
        <f>B73</f>
        <v/>
      </c>
      <c r="C19" s="932" t="s">
        <v>216</v>
      </c>
      <c r="D19" s="757">
        <f>IFERROR(ODI_6/NPV_neutral_equity_element_of_RAV,0)</f>
        <v>0</v>
      </c>
      <c r="E19" s="757">
        <f>IFERROR(ODI_6/NPV_neutral_equity_element_of_RAV,0)</f>
        <v>0</v>
      </c>
      <c r="F19" s="757">
        <f>IFERROR(ODI_6/NPV_neutral_equity_element_of_RAV,0)</f>
        <v>0</v>
      </c>
      <c r="G19" s="757">
        <f>IFERROR(ODI_6/NPV_neutral_equity_element_of_RAV,0)</f>
        <v>0</v>
      </c>
      <c r="H19" s="757">
        <f>IFERROR(ODI_6/NPV_neutral_equity_element_of_RAV,0)</f>
        <v>0</v>
      </c>
      <c r="I19" s="81"/>
      <c r="J19" s="415">
        <f>IFERROR(AVERAGE(D73:INDEX(D73:H73,0,MATCH('RFPR cover'!$C$9,$D$6:$H$6,0)))/AVERAGE($D$90:INDEX($D$90:$H$90,0,MATCH('RFPR cover'!$C$9,$D$6:$H$6,0))),0)</f>
        <v>0</v>
      </c>
      <c r="K19" s="415">
        <f t="shared" si="2"/>
        <v>0</v>
      </c>
    </row>
    <row r="20" spans="1:11">
      <c r="A20" s="79" t="s">
        <v>224</v>
      </c>
      <c r="B20" s="933" t="str">
        <f t="shared" ref="B20" si="4">B74</f>
        <v>Network innovation input for RORE</v>
      </c>
      <c r="C20" s="932" t="s">
        <v>216</v>
      </c>
      <c r="D20" s="757">
        <f>IFERROR(ORA_1/NPV_neutral_equity_element_of_RAV,0)</f>
        <v>0</v>
      </c>
      <c r="E20" s="757">
        <f>IFERROR(ORA_1/NPV_neutral_equity_element_of_RAV,0)</f>
        <v>0</v>
      </c>
      <c r="F20" s="757">
        <f>IFERROR(ORA_1/NPV_neutral_equity_element_of_RAV,0)</f>
        <v>0</v>
      </c>
      <c r="G20" s="757">
        <f>IFERROR(ORA_1/NPV_neutral_equity_element_of_RAV,0)</f>
        <v>0</v>
      </c>
      <c r="H20" s="757">
        <f>IFERROR(ORA_1/NPV_neutral_equity_element_of_RAV,0)</f>
        <v>0</v>
      </c>
      <c r="I20" s="81"/>
      <c r="J20" s="415">
        <f>IFERROR(AVERAGE(D74:INDEX(D74:H74,0,MATCH('RFPR cover'!$C$9,$D$6:$H$6,0)))/AVERAGE($D$90:INDEX($D$90:$H$90,0,MATCH('RFPR cover'!$C$9,$D$6:$H$6,0))),0)</f>
        <v>0</v>
      </c>
      <c r="K20" s="415">
        <f t="shared" si="2"/>
        <v>0</v>
      </c>
    </row>
    <row r="21" spans="1:11">
      <c r="A21" s="79" t="s">
        <v>225</v>
      </c>
      <c r="B21" s="933" t="str">
        <f t="shared" ref="B21" si="5">B75</f>
        <v>Carry-over Network innovation input for RORE</v>
      </c>
      <c r="C21" s="932" t="s">
        <v>216</v>
      </c>
      <c r="D21" s="757">
        <f>IFERROR(ORA_2/NPV_neutral_equity_element_of_RAV,0)</f>
        <v>0</v>
      </c>
      <c r="E21" s="757">
        <f>IFERROR(ORA_2/NPV_neutral_equity_element_of_RAV,0)</f>
        <v>0</v>
      </c>
      <c r="F21" s="757">
        <f>IFERROR(ORA_2/NPV_neutral_equity_element_of_RAV,0)</f>
        <v>0</v>
      </c>
      <c r="G21" s="757">
        <f>IFERROR(ORA_2/NPV_neutral_equity_element_of_RAV,0)</f>
        <v>0</v>
      </c>
      <c r="H21" s="757">
        <f>IFERROR(ORA_2/NPV_neutral_equity_element_of_RAV,0)</f>
        <v>0</v>
      </c>
      <c r="I21" s="81"/>
      <c r="J21" s="415">
        <f>IFERROR(AVERAGE(D75:INDEX(D75:H75,0,MATCH('RFPR cover'!$C$9,$D$6:$H$6,0)))/AVERAGE($D$90:INDEX($D$90:$H$90,0,MATCH('RFPR cover'!$C$9,$D$6:$H$6,0))),0)</f>
        <v>0</v>
      </c>
      <c r="K21" s="415">
        <f t="shared" si="2"/>
        <v>0</v>
      </c>
    </row>
    <row r="22" spans="1:11">
      <c r="A22" s="79" t="s">
        <v>226</v>
      </c>
      <c r="B22" s="933" t="str">
        <f t="shared" ref="B22:B27" si="6">B76</f>
        <v>Strategic innovation input for RORE</v>
      </c>
      <c r="C22" s="932" t="s">
        <v>216</v>
      </c>
      <c r="D22" s="757">
        <f>IFERROR(ORA_3/NPV_neutral_equity_element_of_RAV,0)</f>
        <v>0</v>
      </c>
      <c r="E22" s="757">
        <f>IFERROR(ORA_3/NPV_neutral_equity_element_of_RAV,0)</f>
        <v>0</v>
      </c>
      <c r="F22" s="757">
        <f>IFERROR(ORA_3/NPV_neutral_equity_element_of_RAV,0)</f>
        <v>0</v>
      </c>
      <c r="G22" s="757">
        <f>IFERROR(ORA_3/NPV_neutral_equity_element_of_RAV,0)</f>
        <v>0</v>
      </c>
      <c r="H22" s="757">
        <f>IFERROR(ORA_3/NPV_neutral_equity_element_of_RAV,0)</f>
        <v>0</v>
      </c>
      <c r="I22" s="81"/>
      <c r="J22" s="415">
        <f>IFERROR(AVERAGE(D76:INDEX(D76:H76,0,MATCH('RFPR cover'!$C$9,$D$6:$H$6,0)))/AVERAGE($D$90:INDEX($D$90:$H$90,0,MATCH('RFPR cover'!$C$9,$D$6:$H$6,0))),0)</f>
        <v>0</v>
      </c>
      <c r="K22" s="415">
        <f>IFERROR(AVERAGE(D76:H76)/AVERAGE($D$90:$H$90),0)</f>
        <v>0</v>
      </c>
    </row>
    <row r="23" spans="1:11">
      <c r="A23" s="79" t="s">
        <v>227</v>
      </c>
      <c r="B23" s="933" t="str">
        <f t="shared" si="6"/>
        <v/>
      </c>
      <c r="C23" s="932" t="s">
        <v>216</v>
      </c>
      <c r="D23" s="757">
        <f>IFERROR(ORA_4/NPV_neutral_equity_element_of_RAV,0)</f>
        <v>0</v>
      </c>
      <c r="E23" s="757">
        <f>IFERROR(ORA_4/NPV_neutral_equity_element_of_RAV,0)</f>
        <v>0</v>
      </c>
      <c r="F23" s="757">
        <f>IFERROR(ORA_4/NPV_neutral_equity_element_of_RAV,0)</f>
        <v>0</v>
      </c>
      <c r="G23" s="757">
        <f>IFERROR(ORA_4/NPV_neutral_equity_element_of_RAV,0)</f>
        <v>0</v>
      </c>
      <c r="H23" s="757">
        <f>IFERROR(ORA_4/NPV_neutral_equity_element_of_RAV,0)</f>
        <v>0</v>
      </c>
      <c r="I23" s="81"/>
      <c r="J23" s="415">
        <f>IFERROR(AVERAGE(D77:INDEX(D77:H77,0,MATCH('RFPR cover'!$C$9,$D$6:$H$6,0)))/AVERAGE($D$90:INDEX($D$90:$H$90,0,MATCH('RFPR cover'!$C$9,$D$6:$H$6,0))),0)</f>
        <v>0</v>
      </c>
      <c r="K23" s="415">
        <f t="shared" ref="K23:K28" si="7">IFERROR(AVERAGE(D77:H77)/AVERAGE($D$90:$H$90),0)</f>
        <v>0</v>
      </c>
    </row>
    <row r="24" spans="1:11">
      <c r="A24" s="79" t="s">
        <v>228</v>
      </c>
      <c r="B24" s="933" t="str">
        <f t="shared" si="6"/>
        <v/>
      </c>
      <c r="C24" s="932" t="s">
        <v>216</v>
      </c>
      <c r="D24" s="757">
        <f>IFERROR(ORA_5/NPV_neutral_equity_element_of_RAV,0)</f>
        <v>0</v>
      </c>
      <c r="E24" s="757">
        <f>IFERROR(ORA_5/NPV_neutral_equity_element_of_RAV,0)</f>
        <v>0</v>
      </c>
      <c r="F24" s="757">
        <f>IFERROR(ORA_5/NPV_neutral_equity_element_of_RAV,0)</f>
        <v>0</v>
      </c>
      <c r="G24" s="757">
        <f>IFERROR(ORA_5/NPV_neutral_equity_element_of_RAV,0)</f>
        <v>0</v>
      </c>
      <c r="H24" s="757">
        <f>IFERROR(ORA_5/NPV_neutral_equity_element_of_RAV,0)</f>
        <v>0</v>
      </c>
      <c r="I24" s="81"/>
      <c r="J24" s="415">
        <f>IFERROR(AVERAGE(D78:INDEX(D78:H78,0,MATCH('RFPR cover'!$C$9,$D$6:$H$6,0)))/AVERAGE($D$90:INDEX($D$90:$H$90,0,MATCH('RFPR cover'!$C$9,$D$6:$H$6,0))),0)</f>
        <v>0</v>
      </c>
      <c r="K24" s="415">
        <f t="shared" si="7"/>
        <v>0</v>
      </c>
    </row>
    <row r="25" spans="1:11">
      <c r="A25" s="79" t="s">
        <v>229</v>
      </c>
      <c r="B25" s="933" t="str">
        <f t="shared" si="6"/>
        <v/>
      </c>
      <c r="C25" s="932" t="s">
        <v>216</v>
      </c>
      <c r="D25" s="757">
        <f>IFERROR(ORA_6/NPV_neutral_equity_element_of_RAV,0)</f>
        <v>0</v>
      </c>
      <c r="E25" s="757">
        <f>IFERROR(ORA_6/NPV_neutral_equity_element_of_RAV,0)</f>
        <v>0</v>
      </c>
      <c r="F25" s="757">
        <f>IFERROR(ORA_6/NPV_neutral_equity_element_of_RAV,0)</f>
        <v>0</v>
      </c>
      <c r="G25" s="757">
        <f>IFERROR(ORA_6/NPV_neutral_equity_element_of_RAV,0)</f>
        <v>0</v>
      </c>
      <c r="H25" s="757">
        <f>IFERROR(ORA_6/NPV_neutral_equity_element_of_RAV,0)</f>
        <v>0</v>
      </c>
      <c r="I25" s="81"/>
      <c r="J25" s="415">
        <f>IFERROR(AVERAGE(D79:INDEX(D79:H79,0,MATCH('RFPR cover'!$C$9,$D$6:$H$6,0)))/AVERAGE($D$90:INDEX($D$90:$H$90,0,MATCH('RFPR cover'!$C$9,$D$6:$H$6,0))),0)</f>
        <v>0</v>
      </c>
      <c r="K25" s="415">
        <f t="shared" si="7"/>
        <v>0</v>
      </c>
    </row>
    <row r="26" spans="1:11">
      <c r="A26" s="79" t="s">
        <v>230</v>
      </c>
      <c r="B26" s="933" t="str">
        <f t="shared" si="6"/>
        <v/>
      </c>
      <c r="C26" s="932" t="s">
        <v>216</v>
      </c>
      <c r="D26" s="757">
        <f>IFERROR(ORA_7/NPV_neutral_equity_element_of_RAV,0)</f>
        <v>0</v>
      </c>
      <c r="E26" s="757">
        <f>IFERROR(ORA_7/NPV_neutral_equity_element_of_RAV,0)</f>
        <v>0</v>
      </c>
      <c r="F26" s="757">
        <f>IFERROR(ORA_7/NPV_neutral_equity_element_of_RAV,0)</f>
        <v>0</v>
      </c>
      <c r="G26" s="757">
        <f>IFERROR(ORA_7/NPV_neutral_equity_element_of_RAV,0)</f>
        <v>0</v>
      </c>
      <c r="H26" s="757">
        <f>IFERROR(ORA_7/NPV_neutral_equity_element_of_RAV,0)</f>
        <v>0</v>
      </c>
      <c r="I26" s="81"/>
      <c r="J26" s="415">
        <f>IFERROR(AVERAGE(D80:INDEX(D80:H80,0,MATCH('RFPR cover'!$C$9,$D$6:$H$6,0)))/AVERAGE($D$90:INDEX($D$90:$H$90,0,MATCH('RFPR cover'!$C$9,$D$6:$H$6,0))),0)</f>
        <v>0</v>
      </c>
      <c r="K26" s="415">
        <f t="shared" si="7"/>
        <v>0</v>
      </c>
    </row>
    <row r="27" spans="1:11">
      <c r="A27" s="79" t="s">
        <v>231</v>
      </c>
      <c r="B27" s="933" t="str">
        <f t="shared" si="6"/>
        <v/>
      </c>
      <c r="C27" s="932" t="s">
        <v>216</v>
      </c>
      <c r="D27" s="757">
        <f>IFERROR(ORA_8/NPV_neutral_equity_element_of_RAV,0)</f>
        <v>0</v>
      </c>
      <c r="E27" s="757">
        <f>IFERROR(ORA_8/NPV_neutral_equity_element_of_RAV,0)</f>
        <v>0</v>
      </c>
      <c r="F27" s="757">
        <f>IFERROR(ORA_8/NPV_neutral_equity_element_of_RAV,0)</f>
        <v>0</v>
      </c>
      <c r="G27" s="757">
        <f>IFERROR(ORA_8/NPV_neutral_equity_element_of_RAV,0)</f>
        <v>0</v>
      </c>
      <c r="H27" s="757">
        <f>IFERROR(ORA_8/NPV_neutral_equity_element_of_RAV,0)</f>
        <v>0</v>
      </c>
      <c r="I27" s="81"/>
      <c r="J27" s="415">
        <f>IFERROR(AVERAGE(D81:INDEX(D81:H81,0,MATCH('RFPR cover'!$C$9,$D$6:$H$6,0)))/AVERAGE($D$90:INDEX($D$90:$H$90,0,MATCH('RFPR cover'!$C$9,$D$6:$H$6,0))),0)</f>
        <v>0</v>
      </c>
      <c r="K27" s="415">
        <f t="shared" si="7"/>
        <v>0</v>
      </c>
    </row>
    <row r="28" spans="1:11" ht="14" thickBot="1">
      <c r="B28" s="933" t="str">
        <f t="shared" ref="B28:B30" si="8">B82</f>
        <v>Penalties and fines (Other Activities)</v>
      </c>
      <c r="C28" s="932" t="s">
        <v>216</v>
      </c>
      <c r="D28" s="916">
        <f>IFERROR(Penalties_and_fines/NPV_neutral_equity_element_of_RAV,0)</f>
        <v>0</v>
      </c>
      <c r="E28" s="916">
        <f>IFERROR(Penalties_and_fines/NPV_neutral_equity_element_of_RAV,0)</f>
        <v>0</v>
      </c>
      <c r="F28" s="916">
        <f>IFERROR(Penalties_and_fines/NPV_neutral_equity_element_of_RAV,0)</f>
        <v>0</v>
      </c>
      <c r="G28" s="916">
        <f>IFERROR(Penalties_and_fines/NPV_neutral_equity_element_of_RAV,0)</f>
        <v>0</v>
      </c>
      <c r="H28" s="916">
        <f>IFERROR(Penalties_and_fines/NPV_neutral_equity_element_of_RAV,0)</f>
        <v>0</v>
      </c>
      <c r="I28" s="81"/>
      <c r="J28" s="415">
        <f>IFERROR(AVERAGE(D82:INDEX(D82:H82,0,MATCH('RFPR cover'!$C$9,$D$6:$H$6,0)))/AVERAGE($D$90:INDEX($D$90:$H$90,0,MATCH('RFPR cover'!$C$9,$D$6:$H$6,0))),0)</f>
        <v>0</v>
      </c>
      <c r="K28" s="415">
        <f t="shared" si="7"/>
        <v>0</v>
      </c>
    </row>
    <row r="29" spans="1:11" ht="14" thickBot="1">
      <c r="B29" s="934" t="str">
        <f t="shared" si="8"/>
        <v>RoRE - Operational performance</v>
      </c>
      <c r="C29" s="403" t="s">
        <v>216</v>
      </c>
      <c r="D29" s="918">
        <f>SUM(D11:D28)</f>
        <v>7.5718976000000007E-2</v>
      </c>
      <c r="E29" s="919">
        <f t="shared" ref="E29:H29" si="9">SUM(E11:E28)</f>
        <v>7.5510080000000007E-2</v>
      </c>
      <c r="F29" s="919">
        <f t="shared" si="9"/>
        <v>7.5601472000000003E-2</v>
      </c>
      <c r="G29" s="919">
        <f t="shared" si="9"/>
        <v>7.5470912000000001E-2</v>
      </c>
      <c r="H29" s="920">
        <f t="shared" si="9"/>
        <v>7.5366464000000008E-2</v>
      </c>
      <c r="I29" s="82"/>
      <c r="J29" s="922">
        <f>SUM(J11:J28)</f>
        <v>7.5718976000000007E-2</v>
      </c>
      <c r="K29" s="920">
        <f>SUM(K11:K28)</f>
        <v>7.5508227666850253E-2</v>
      </c>
    </row>
    <row r="30" spans="1:11">
      <c r="B30" s="933" t="str">
        <f t="shared" si="8"/>
        <v>Debt performance - at notional gearing</v>
      </c>
      <c r="C30" s="932" t="s">
        <v>216</v>
      </c>
      <c r="D30" s="917">
        <f>IFERROR(Debt_performance___at_notional_gearing/NPV_neutral_equity_element_of_RAV,0)</f>
        <v>5.5096507172904791E-2</v>
      </c>
      <c r="E30" s="917">
        <f>IFERROR(Debt_performance___at_notional_gearing/NPV_neutral_equity_element_of_RAV,0)</f>
        <v>0.10799538958496176</v>
      </c>
      <c r="F30" s="917">
        <f>IFERROR(Debt_performance___at_notional_gearing/NPV_neutral_equity_element_of_RAV,0)</f>
        <v>5.2707719846865557E-2</v>
      </c>
      <c r="G30" s="917">
        <f>IFERROR(Debt_performance___at_notional_gearing/NPV_neutral_equity_element_of_RAV,0)</f>
        <v>2.5150496255266094E-2</v>
      </c>
      <c r="H30" s="917">
        <f>IFERROR(Debt_performance___at_notional_gearing/NPV_neutral_equity_element_of_RAV,0)</f>
        <v>2.6353955337525267E-2</v>
      </c>
      <c r="I30" s="81"/>
      <c r="J30" s="921">
        <f>IFERROR(AVERAGE(D84:INDEX(D84:H84,0,MATCH('RFPR cover'!$C$9,$D$6:$H$6,0)))/AVERAGE($D$90:INDEX($D$90:$H$90,0,MATCH('RFPR cover'!$C$9,$D$6:$H$6,0))),0)</f>
        <v>5.5096507172904791E-2</v>
      </c>
      <c r="K30" s="921">
        <f>IFERROR(AVERAGE(D84:H84)/AVERAGE($D$90:$H$90),0)</f>
        <v>4.8424514120770278E-2</v>
      </c>
    </row>
    <row r="31" spans="1:11" ht="14" thickBot="1">
      <c r="B31" s="933" t="str">
        <f>B86</f>
        <v>Tax performance - at notional gearing</v>
      </c>
      <c r="C31" s="932" t="s">
        <v>216</v>
      </c>
      <c r="D31" s="916">
        <f>IFERROR(Tax_performance___at_notional_gearing/NPV_neutral_equity_element_of_RAV,0)</f>
        <v>-6.3969380370027563E-3</v>
      </c>
      <c r="E31" s="916">
        <f>IFERROR(Tax_performance___at_notional_gearing/NPV_neutral_equity_element_of_RAV,0)</f>
        <v>-1.1703899746514193E-2</v>
      </c>
      <c r="F31" s="916">
        <f>IFERROR(Tax_performance___at_notional_gearing/NPV_neutral_equity_element_of_RAV,0)</f>
        <v>-6.9013883281191304E-3</v>
      </c>
      <c r="G31" s="916">
        <f>IFERROR(Tax_performance___at_notional_gearing/NPV_neutral_equity_element_of_RAV,0)</f>
        <v>-3.7238267657505896E-3</v>
      </c>
      <c r="H31" s="916">
        <f>IFERROR(Tax_performance___at_notional_gearing/NPV_neutral_equity_element_of_RAV,0)</f>
        <v>-3.4260626689787037E-3</v>
      </c>
      <c r="I31" s="81"/>
      <c r="J31" s="86">
        <f>IFERROR(AVERAGE(D86:INDEX(D86:H86,0,MATCH('RFPR cover'!$C$9,$D$6:$H$6,0)))/AVERAGE($D$90:INDEX($D$90:$H$90,0,MATCH('RFPR cover'!$C$9,$D$6:$H$6,0))),0)</f>
        <v>-6.3969380370027563E-3</v>
      </c>
      <c r="K31" s="86">
        <f>IFERROR(AVERAGE(D86:H86)/AVERAGE($D$90:$H$90),0)</f>
        <v>-5.9312721042551709E-3</v>
      </c>
    </row>
    <row r="32" spans="1:11" ht="14" thickBot="1">
      <c r="B32" s="934" t="str">
        <f>B88</f>
        <v>RoRE - including financing and tax</v>
      </c>
      <c r="C32" s="403" t="s">
        <v>216</v>
      </c>
      <c r="D32" s="918">
        <f>SUM(D29:D31)</f>
        <v>0.12441854513590206</v>
      </c>
      <c r="E32" s="919">
        <f t="shared" ref="E32:H32" si="10">SUM(E29:E31)</f>
        <v>0.17180156983844758</v>
      </c>
      <c r="F32" s="919">
        <f t="shared" si="10"/>
        <v>0.12140780351874644</v>
      </c>
      <c r="G32" s="919">
        <f t="shared" si="10"/>
        <v>9.6897581489515508E-2</v>
      </c>
      <c r="H32" s="920">
        <f t="shared" si="10"/>
        <v>9.8294356668546579E-2</v>
      </c>
      <c r="I32" s="82"/>
      <c r="J32" s="922">
        <f>SUM(J29:J31)</f>
        <v>0.12441854513590206</v>
      </c>
      <c r="K32" s="920">
        <f>SUM(K29:K31)</f>
        <v>0.11800146968336536</v>
      </c>
    </row>
    <row r="36" spans="1:13">
      <c r="B36" s="428" t="s">
        <v>232</v>
      </c>
      <c r="C36" s="99"/>
      <c r="D36" s="99"/>
      <c r="E36" s="99"/>
      <c r="F36" s="99"/>
      <c r="G36" s="99"/>
      <c r="H36" s="99"/>
      <c r="I36" s="429"/>
      <c r="J36" s="99"/>
      <c r="K36" s="99"/>
      <c r="L36" s="99"/>
    </row>
    <row r="37" spans="1:13">
      <c r="B37" s="90"/>
      <c r="I37" s="28"/>
    </row>
    <row r="38" spans="1:13">
      <c r="B38" s="933" t="s">
        <v>215</v>
      </c>
      <c r="C38" s="932" t="s">
        <v>216</v>
      </c>
      <c r="D38" s="757">
        <f>IFERROR(Equity_Return_on_the_RAV/Equity_RAV_based_on_actual_gearing,0)</f>
        <v>5.681010147115037E-2</v>
      </c>
      <c r="E38" s="757">
        <f>IFERROR(Equity_Return_on_the_RAV/Equity_RAV_based_on_actual_gearing,0)</f>
        <v>5.2113047411302828E-2</v>
      </c>
      <c r="F38" s="757">
        <f>IFERROR(Equity_Return_on_the_RAV/Equity_RAV_based_on_actual_gearing,0)</f>
        <v>4.6970589717676356E-2</v>
      </c>
      <c r="G38" s="757">
        <f>IFERROR(Equity_Return_on_the_RAV/Equity_RAV_based_on_actual_gearing,0)</f>
        <v>4.387280869209205E-2</v>
      </c>
      <c r="H38" s="757">
        <f>IFERROR(Equity_Return_on_the_RAV/Equity_RAV_based_on_actual_gearing,0)</f>
        <v>4.2307651523896261E-2</v>
      </c>
      <c r="I38" s="81"/>
      <c r="J38" s="83">
        <f>IFERROR(AVERAGE(D65:INDEX(D65:H65,0,MATCH('RFPR cover'!$C$9,$D$6:$H$6,0)))/AVERAGE($D$91:INDEX($D$91:$H$91,0,MATCH('RFPR cover'!$C$9,$D$6:$H$6,0))),0)</f>
        <v>5.681010147115037E-2</v>
      </c>
      <c r="K38" s="415">
        <f t="shared" ref="K38:K48" si="11">IFERROR(AVERAGE(D65:H65)/AVERAGE($D$91:$H$91),0)</f>
        <v>4.6638247647091735E-2</v>
      </c>
      <c r="M38" s="131"/>
    </row>
    <row r="39" spans="1:13">
      <c r="B39" s="933" t="str">
        <f t="shared" ref="B39:B46" si="12">B66</f>
        <v>Totex outperformance</v>
      </c>
      <c r="C39" s="932" t="s">
        <v>216</v>
      </c>
      <c r="D39" s="757">
        <f>IFERROR(Totex_outperformance/Equity_RAV_based_on_actual_gearing,0)</f>
        <v>0</v>
      </c>
      <c r="E39" s="757">
        <f>IFERROR(Totex_outperformance/Equity_RAV_based_on_actual_gearing,0)</f>
        <v>0</v>
      </c>
      <c r="F39" s="757">
        <f>IFERROR(Totex_outperformance/Equity_RAV_based_on_actual_gearing,0)</f>
        <v>0</v>
      </c>
      <c r="G39" s="757">
        <f>IFERROR(Totex_outperformance/Equity_RAV_based_on_actual_gearing,0)</f>
        <v>0</v>
      </c>
      <c r="H39" s="757">
        <f>IFERROR(Totex_outperformance/Equity_RAV_based_on_actual_gearing,0)</f>
        <v>0</v>
      </c>
      <c r="I39" s="81"/>
      <c r="J39" s="83">
        <f>IFERROR(AVERAGE(D66:INDEX(D66:H66,0,MATCH('RFPR cover'!$C$9,$D$6:$H$6,0)))/AVERAGE($D$91:INDEX($D$91:$H$91,0,MATCH('RFPR cover'!$C$9,$D$6:$H$6,0))),0)</f>
        <v>0</v>
      </c>
      <c r="K39" s="415">
        <f t="shared" si="11"/>
        <v>0</v>
      </c>
    </row>
    <row r="40" spans="1:13">
      <c r="A40" s="79" t="s">
        <v>217</v>
      </c>
      <c r="B40" s="933" t="str">
        <f t="shared" si="12"/>
        <v>Business Plan Incentive</v>
      </c>
      <c r="C40" s="932" t="s">
        <v>216</v>
      </c>
      <c r="D40" s="757">
        <f>IFERROR(Business_Plan_Incentive/Equity_RAV_based_on_actual_gearing,0)</f>
        <v>0</v>
      </c>
      <c r="E40" s="757">
        <f>IFERROR(Business_Plan_Incentive/Equity_RAV_based_on_actual_gearing,0)</f>
        <v>0</v>
      </c>
      <c r="F40" s="757">
        <f>IFERROR(Business_Plan_Incentive/Equity_RAV_based_on_actual_gearing,0)</f>
        <v>0</v>
      </c>
      <c r="G40" s="757">
        <f>IFERROR(Business_Plan_Incentive/Equity_RAV_based_on_actual_gearing,0)</f>
        <v>0</v>
      </c>
      <c r="H40" s="757">
        <f>IFERROR(Business_Plan_Incentive/Equity_RAV_based_on_actual_gearing,0)</f>
        <v>0</v>
      </c>
      <c r="I40" s="81"/>
      <c r="J40" s="83">
        <f>IFERROR(AVERAGE(D67:INDEX(D67:H67,0,MATCH('RFPR cover'!$C$9,$D$6:$H$6,0)))/AVERAGE($D$91:INDEX($D$91:$H$91,0,MATCH('RFPR cover'!$C$9,$D$6:$H$6,0))),0)</f>
        <v>0</v>
      </c>
      <c r="K40" s="415">
        <f t="shared" si="11"/>
        <v>0</v>
      </c>
    </row>
    <row r="41" spans="1:13">
      <c r="A41" s="79" t="s">
        <v>218</v>
      </c>
      <c r="B41" s="933" t="str">
        <f t="shared" si="12"/>
        <v>Reporting &amp; Incentive Arrangements (ESORIt)</v>
      </c>
      <c r="C41" s="932" t="s">
        <v>216</v>
      </c>
      <c r="D41" s="757">
        <f>IFERROR(ODI_1/Equity_RAV_based_on_actual_gearing,0)</f>
        <v>0</v>
      </c>
      <c r="E41" s="757">
        <f>IFERROR(ODI_1/Equity_RAV_based_on_actual_gearing,0)</f>
        <v>0</v>
      </c>
      <c r="F41" s="757">
        <f>IFERROR(ODI_1/Equity_RAV_based_on_actual_gearing,0)</f>
        <v>0</v>
      </c>
      <c r="G41" s="757">
        <f>IFERROR(ODI_1/Equity_RAV_based_on_actual_gearing,0)</f>
        <v>0</v>
      </c>
      <c r="H41" s="757">
        <f>IFERROR(ODI_1/Equity_RAV_based_on_actual_gearing,0)</f>
        <v>0</v>
      </c>
      <c r="I41" s="81"/>
      <c r="J41" s="83">
        <f>IFERROR(AVERAGE(D68:INDEX(D68:H68,0,MATCH('RFPR cover'!$C$9,$D$6:$H$6,0)))/AVERAGE($D$91:INDEX($D$91:$H$91,0,MATCH('RFPR cover'!$C$9,$D$6:$H$6,0))),0)</f>
        <v>0</v>
      </c>
      <c r="K41" s="415">
        <f t="shared" si="11"/>
        <v>0</v>
      </c>
    </row>
    <row r="42" spans="1:13">
      <c r="A42" s="79" t="s">
        <v>219</v>
      </c>
      <c r="B42" s="933" t="str">
        <f t="shared" si="12"/>
        <v/>
      </c>
      <c r="C42" s="932" t="s">
        <v>216</v>
      </c>
      <c r="D42" s="757">
        <f>IFERROR(ODI_2/Equity_RAV_based_on_actual_gearing,0)</f>
        <v>0</v>
      </c>
      <c r="E42" s="757">
        <f>IFERROR(ODI_2/Equity_RAV_based_on_actual_gearing,0)</f>
        <v>0</v>
      </c>
      <c r="F42" s="757">
        <f>IFERROR(ODI_2/Equity_RAV_based_on_actual_gearing,0)</f>
        <v>0</v>
      </c>
      <c r="G42" s="757">
        <f>IFERROR(ODI_2/Equity_RAV_based_on_actual_gearing,0)</f>
        <v>0</v>
      </c>
      <c r="H42" s="757">
        <f>IFERROR(ODI_2/Equity_RAV_based_on_actual_gearing,0)</f>
        <v>0</v>
      </c>
      <c r="I42" s="81"/>
      <c r="J42" s="83">
        <f>IFERROR(AVERAGE(D69:INDEX(D69:H69,0,MATCH('RFPR cover'!$C$9,$D$6:$H$6,0)))/AVERAGE($D$91:INDEX($D$91:$H$91,0,MATCH('RFPR cover'!$C$9,$D$6:$H$6,0))),0)</f>
        <v>0</v>
      </c>
      <c r="K42" s="415">
        <f t="shared" si="11"/>
        <v>0</v>
      </c>
    </row>
    <row r="43" spans="1:13">
      <c r="A43" s="79" t="s">
        <v>220</v>
      </c>
      <c r="B43" s="933" t="str">
        <f t="shared" si="12"/>
        <v/>
      </c>
      <c r="C43" s="932" t="s">
        <v>216</v>
      </c>
      <c r="D43" s="757">
        <f>IFERROR(ODI_3/Equity_RAV_based_on_actual_gearing,0)</f>
        <v>0</v>
      </c>
      <c r="E43" s="757">
        <f>IFERROR(ODI_3/Equity_RAV_based_on_actual_gearing,0)</f>
        <v>0</v>
      </c>
      <c r="F43" s="757">
        <f>IFERROR(ODI_3/Equity_RAV_based_on_actual_gearing,0)</f>
        <v>0</v>
      </c>
      <c r="G43" s="757">
        <f>IFERROR(ODI_3/Equity_RAV_based_on_actual_gearing,0)</f>
        <v>0</v>
      </c>
      <c r="H43" s="757">
        <f>IFERROR(ODI_3/Equity_RAV_based_on_actual_gearing,0)</f>
        <v>0</v>
      </c>
      <c r="I43" s="81"/>
      <c r="J43" s="83">
        <f>IFERROR(AVERAGE(D70:INDEX(D70:H70,0,MATCH('RFPR cover'!$C$9,$D$6:$H$6,0)))/AVERAGE($D$91:INDEX($D$91:$H$91,0,MATCH('RFPR cover'!$C$9,$D$6:$H$6,0))),0)</f>
        <v>0</v>
      </c>
      <c r="K43" s="415">
        <f t="shared" si="11"/>
        <v>0</v>
      </c>
    </row>
    <row r="44" spans="1:13">
      <c r="A44" s="79" t="s">
        <v>221</v>
      </c>
      <c r="B44" s="933" t="str">
        <f t="shared" si="12"/>
        <v/>
      </c>
      <c r="C44" s="932" t="s">
        <v>216</v>
      </c>
      <c r="D44" s="757">
        <f>IFERROR(ODI_4/Equity_RAV_based_on_actual_gearing,0)</f>
        <v>0</v>
      </c>
      <c r="E44" s="757">
        <f>IFERROR(ODI_4/Equity_RAV_based_on_actual_gearing,0)</f>
        <v>0</v>
      </c>
      <c r="F44" s="757">
        <f>IFERROR(ODI_4/Equity_RAV_based_on_actual_gearing,0)</f>
        <v>0</v>
      </c>
      <c r="G44" s="757">
        <f>IFERROR(ODI_4/Equity_RAV_based_on_actual_gearing,0)</f>
        <v>0</v>
      </c>
      <c r="H44" s="757">
        <f>IFERROR(ODI_4/Equity_RAV_based_on_actual_gearing,0)</f>
        <v>0</v>
      </c>
      <c r="I44" s="81"/>
      <c r="J44" s="83">
        <f>IFERROR(AVERAGE(D71:INDEX(D71:H71,0,MATCH('RFPR cover'!$C$9,$D$6:$H$6,0)))/AVERAGE($D$91:INDEX($D$91:$H$91,0,MATCH('RFPR cover'!$C$9,$D$6:$H$6,0))),0)</f>
        <v>0</v>
      </c>
      <c r="K44" s="415">
        <f t="shared" si="11"/>
        <v>0</v>
      </c>
    </row>
    <row r="45" spans="1:13">
      <c r="A45" s="79" t="s">
        <v>222</v>
      </c>
      <c r="B45" s="933" t="str">
        <f t="shared" si="12"/>
        <v/>
      </c>
      <c r="C45" s="932" t="s">
        <v>216</v>
      </c>
      <c r="D45" s="757">
        <f>IFERROR(ODI_5/Equity_RAV_based_on_actual_gearing,0)</f>
        <v>0</v>
      </c>
      <c r="E45" s="757">
        <f>IFERROR(ODI_5/Equity_RAV_based_on_actual_gearing,0)</f>
        <v>0</v>
      </c>
      <c r="F45" s="757">
        <f>IFERROR(ODI_5/Equity_RAV_based_on_actual_gearing,0)</f>
        <v>0</v>
      </c>
      <c r="G45" s="757">
        <f>IFERROR(ODI_5/Equity_RAV_based_on_actual_gearing,0)</f>
        <v>0</v>
      </c>
      <c r="H45" s="757">
        <f>IFERROR(ODI_5/Equity_RAV_based_on_actual_gearing,0)</f>
        <v>0</v>
      </c>
      <c r="I45" s="81"/>
      <c r="J45" s="83">
        <f>IFERROR(AVERAGE(D72:INDEX(D72:H72,0,MATCH('RFPR cover'!$C$9,$D$6:$H$6,0)))/AVERAGE($D$91:INDEX($D$91:$H$91,0,MATCH('RFPR cover'!$C$9,$D$6:$H$6,0))),0)</f>
        <v>0</v>
      </c>
      <c r="K45" s="415">
        <f t="shared" si="11"/>
        <v>0</v>
      </c>
    </row>
    <row r="46" spans="1:13">
      <c r="A46" s="79" t="s">
        <v>223</v>
      </c>
      <c r="B46" s="933" t="str">
        <f t="shared" si="12"/>
        <v/>
      </c>
      <c r="C46" s="932" t="s">
        <v>216</v>
      </c>
      <c r="D46" s="757">
        <f>IFERROR(ODI_6/Equity_RAV_based_on_actual_gearing,0)</f>
        <v>0</v>
      </c>
      <c r="E46" s="757">
        <f>IFERROR(ODI_6/Equity_RAV_based_on_actual_gearing,0)</f>
        <v>0</v>
      </c>
      <c r="F46" s="757">
        <f>IFERROR(ODI_6/Equity_RAV_based_on_actual_gearing,0)</f>
        <v>0</v>
      </c>
      <c r="G46" s="757">
        <f>IFERROR(ODI_6/Equity_RAV_based_on_actual_gearing,0)</f>
        <v>0</v>
      </c>
      <c r="H46" s="757">
        <f>IFERROR(ODI_6/Equity_RAV_based_on_actual_gearing,0)</f>
        <v>0</v>
      </c>
      <c r="I46" s="81"/>
      <c r="J46" s="83">
        <f>IFERROR(AVERAGE(D73:INDEX(D73:H73,0,MATCH('RFPR cover'!$C$9,$D$6:$H$6,0)))/AVERAGE($D$91:INDEX($D$91:$H$91,0,MATCH('RFPR cover'!$C$9,$D$6:$H$6,0))),0)</f>
        <v>0</v>
      </c>
      <c r="K46" s="415">
        <f t="shared" si="11"/>
        <v>0</v>
      </c>
    </row>
    <row r="47" spans="1:13">
      <c r="A47" s="79" t="s">
        <v>224</v>
      </c>
      <c r="B47" s="933" t="str">
        <f t="shared" ref="B47" si="13">B74</f>
        <v>Network innovation input for RORE</v>
      </c>
      <c r="C47" s="932" t="s">
        <v>216</v>
      </c>
      <c r="D47" s="757">
        <f>IFERROR(ORA_1/Equity_RAV_based_on_actual_gearing,0)</f>
        <v>0</v>
      </c>
      <c r="E47" s="757">
        <f>IFERROR(ORA_1/Equity_RAV_based_on_actual_gearing,0)</f>
        <v>0</v>
      </c>
      <c r="F47" s="757">
        <f>IFERROR(ORA_1/Equity_RAV_based_on_actual_gearing,0)</f>
        <v>0</v>
      </c>
      <c r="G47" s="757">
        <f>IFERROR(ORA_1/Equity_RAV_based_on_actual_gearing,0)</f>
        <v>0</v>
      </c>
      <c r="H47" s="757">
        <f>IFERROR(ORA_1/Equity_RAV_based_on_actual_gearing,0)</f>
        <v>0</v>
      </c>
      <c r="I47" s="81"/>
      <c r="J47" s="83">
        <f>IFERROR(AVERAGE(D74:INDEX(D74:H74,0,MATCH('RFPR cover'!$C$9,$D$6:$H$6,0)))/AVERAGE($D$91:INDEX($D$91:$H$91,0,MATCH('RFPR cover'!$C$9,$D$6:$H$6,0))),0)</f>
        <v>0</v>
      </c>
      <c r="K47" s="415">
        <f t="shared" si="11"/>
        <v>0</v>
      </c>
    </row>
    <row r="48" spans="1:13">
      <c r="A48" s="79" t="s">
        <v>225</v>
      </c>
      <c r="B48" s="933" t="str">
        <f t="shared" ref="B48" si="14">B75</f>
        <v>Carry-over Network innovation input for RORE</v>
      </c>
      <c r="C48" s="932" t="s">
        <v>216</v>
      </c>
      <c r="D48" s="757">
        <f>IFERROR(ORA_2/Equity_RAV_based_on_actual_gearing,0)</f>
        <v>0</v>
      </c>
      <c r="E48" s="757">
        <f>IFERROR(ORA_2/Equity_RAV_based_on_actual_gearing,0)</f>
        <v>0</v>
      </c>
      <c r="F48" s="757">
        <f>IFERROR(ORA_2/Equity_RAV_based_on_actual_gearing,0)</f>
        <v>0</v>
      </c>
      <c r="G48" s="757">
        <f>IFERROR(ORA_2/Equity_RAV_based_on_actual_gearing,0)</f>
        <v>0</v>
      </c>
      <c r="H48" s="757">
        <f>IFERROR(ORA_2/Equity_RAV_based_on_actual_gearing,0)</f>
        <v>0</v>
      </c>
      <c r="I48" s="81"/>
      <c r="J48" s="83">
        <f>IFERROR(AVERAGE(D75:INDEX(D75:H75,0,MATCH('RFPR cover'!$C$9,$D$6:$H$6,0)))/AVERAGE($D$91:INDEX($D$91:$H$91,0,MATCH('RFPR cover'!$C$9,$D$6:$H$6,0))),0)</f>
        <v>0</v>
      </c>
      <c r="K48" s="415">
        <f t="shared" si="11"/>
        <v>0</v>
      </c>
    </row>
    <row r="49" spans="1:12">
      <c r="A49" s="79" t="s">
        <v>226</v>
      </c>
      <c r="B49" s="1221" t="str">
        <f>B76</f>
        <v>Strategic innovation input for RORE</v>
      </c>
      <c r="C49" s="932" t="s">
        <v>216</v>
      </c>
      <c r="D49" s="757">
        <f>IFERROR(ORA_3/Equity_RAV_based_on_actual_gearing,0)</f>
        <v>0</v>
      </c>
      <c r="E49" s="757">
        <f>IFERROR(ORA_3/Equity_RAV_based_on_actual_gearing,0)</f>
        <v>0</v>
      </c>
      <c r="F49" s="757">
        <f>IFERROR(ORA_3/Equity_RAV_based_on_actual_gearing,0)</f>
        <v>0</v>
      </c>
      <c r="G49" s="757">
        <f>IFERROR(ORA_3/Equity_RAV_based_on_actual_gearing,0)</f>
        <v>0</v>
      </c>
      <c r="H49" s="757">
        <f>IFERROR(ORA_3/Equity_RAV_based_on_actual_gearing,0)</f>
        <v>0</v>
      </c>
      <c r="I49" s="81"/>
      <c r="J49" s="83">
        <f>IFERROR(AVERAGE(D76:INDEX(D76:H76,0,MATCH('RFPR cover'!$C$9,$D$6:$H$6,0)))/AVERAGE($D$91:INDEX($D$91:$H$91,0,MATCH('RFPR cover'!$C$9,$D$6:$H$6,0))),0)</f>
        <v>0</v>
      </c>
      <c r="K49" s="415">
        <f>IFERROR(AVERAGE(D76:H76)/AVERAGE($D$91:$H$91),0)</f>
        <v>0</v>
      </c>
    </row>
    <row r="50" spans="1:12">
      <c r="A50" s="79" t="s">
        <v>227</v>
      </c>
      <c r="B50" s="933" t="str">
        <f t="shared" ref="B50:B54" si="15">B77</f>
        <v/>
      </c>
      <c r="C50" s="932" t="s">
        <v>216</v>
      </c>
      <c r="D50" s="757">
        <f>IFERROR(ORA_4/Equity_RAV_based_on_actual_gearing,0)</f>
        <v>0</v>
      </c>
      <c r="E50" s="757">
        <f>IFERROR(ORA_4/Equity_RAV_based_on_actual_gearing,0)</f>
        <v>0</v>
      </c>
      <c r="F50" s="757">
        <f>IFERROR(ORA_4/Equity_RAV_based_on_actual_gearing,0)</f>
        <v>0</v>
      </c>
      <c r="G50" s="757">
        <f>IFERROR(ORA_4/Equity_RAV_based_on_actual_gearing,0)</f>
        <v>0</v>
      </c>
      <c r="H50" s="757">
        <f>IFERROR(ORA_4/Equity_RAV_based_on_actual_gearing,0)</f>
        <v>0</v>
      </c>
      <c r="I50" s="81"/>
      <c r="J50" s="83">
        <f>IFERROR(AVERAGE(D77:INDEX(D77:H77,0,MATCH('RFPR cover'!$C$9,$D$6:$H$6,0)))/AVERAGE($D$91:INDEX($D$91:$H$91,0,MATCH('RFPR cover'!$C$9,$D$6:$H$6,0))),0)</f>
        <v>0</v>
      </c>
      <c r="K50" s="415">
        <f t="shared" ref="K50:K55" si="16">IFERROR(AVERAGE(D77:H77)/AVERAGE($D$91:$H$91),0)</f>
        <v>0</v>
      </c>
    </row>
    <row r="51" spans="1:12">
      <c r="A51" s="79" t="s">
        <v>228</v>
      </c>
      <c r="B51" s="933" t="str">
        <f t="shared" si="15"/>
        <v/>
      </c>
      <c r="C51" s="932" t="s">
        <v>216</v>
      </c>
      <c r="D51" s="757">
        <f>IFERROR(ORA_5/Equity_RAV_based_on_actual_gearing,0)</f>
        <v>0</v>
      </c>
      <c r="E51" s="757">
        <f>IFERROR(ORA_5/Equity_RAV_based_on_actual_gearing,0)</f>
        <v>0</v>
      </c>
      <c r="F51" s="757">
        <f>IFERROR(ORA_5/Equity_RAV_based_on_actual_gearing,0)</f>
        <v>0</v>
      </c>
      <c r="G51" s="757">
        <f>IFERROR(ORA_5/Equity_RAV_based_on_actual_gearing,0)</f>
        <v>0</v>
      </c>
      <c r="H51" s="757">
        <f>IFERROR(ORA_5/Equity_RAV_based_on_actual_gearing,0)</f>
        <v>0</v>
      </c>
      <c r="I51" s="81"/>
      <c r="J51" s="83">
        <f>IFERROR(AVERAGE(D78:INDEX(D78:H78,0,MATCH('RFPR cover'!$C$9,$D$6:$H$6,0)))/AVERAGE($D$91:INDEX($D$91:$H$91,0,MATCH('RFPR cover'!$C$9,$D$6:$H$6,0))),0)</f>
        <v>0</v>
      </c>
      <c r="K51" s="415">
        <f t="shared" si="16"/>
        <v>0</v>
      </c>
    </row>
    <row r="52" spans="1:12">
      <c r="A52" s="79" t="s">
        <v>229</v>
      </c>
      <c r="B52" s="933" t="str">
        <f t="shared" si="15"/>
        <v/>
      </c>
      <c r="C52" s="932" t="s">
        <v>216</v>
      </c>
      <c r="D52" s="757">
        <f>IFERROR(ORA_6/Equity_RAV_based_on_actual_gearing,0)</f>
        <v>0</v>
      </c>
      <c r="E52" s="757">
        <f>IFERROR(ORA_6/Equity_RAV_based_on_actual_gearing,0)</f>
        <v>0</v>
      </c>
      <c r="F52" s="757">
        <f>IFERROR(ORA_6/Equity_RAV_based_on_actual_gearing,0)</f>
        <v>0</v>
      </c>
      <c r="G52" s="757">
        <f>IFERROR(ORA_6/Equity_RAV_based_on_actual_gearing,0)</f>
        <v>0</v>
      </c>
      <c r="H52" s="757">
        <f>IFERROR(ORA_6/Equity_RAV_based_on_actual_gearing,0)</f>
        <v>0</v>
      </c>
      <c r="I52" s="81"/>
      <c r="J52" s="83">
        <f>IFERROR(AVERAGE(D79:INDEX(D79:H79,0,MATCH('RFPR cover'!$C$9,$D$6:$H$6,0)))/AVERAGE($D$91:INDEX($D$91:$H$91,0,MATCH('RFPR cover'!$C$9,$D$6:$H$6,0))),0)</f>
        <v>0</v>
      </c>
      <c r="K52" s="415">
        <f t="shared" si="16"/>
        <v>0</v>
      </c>
    </row>
    <row r="53" spans="1:12">
      <c r="A53" s="79" t="s">
        <v>230</v>
      </c>
      <c r="B53" s="933" t="str">
        <f t="shared" si="15"/>
        <v/>
      </c>
      <c r="C53" s="932" t="s">
        <v>216</v>
      </c>
      <c r="D53" s="757">
        <f>IFERROR(ORA_7/Equity_RAV_based_on_actual_gearing,0)</f>
        <v>0</v>
      </c>
      <c r="E53" s="757">
        <f>IFERROR(ORA_7/Equity_RAV_based_on_actual_gearing,0)</f>
        <v>0</v>
      </c>
      <c r="F53" s="757">
        <f>IFERROR(ORA_7/Equity_RAV_based_on_actual_gearing,0)</f>
        <v>0</v>
      </c>
      <c r="G53" s="757">
        <f>IFERROR(ORA_7/Equity_RAV_based_on_actual_gearing,0)</f>
        <v>0</v>
      </c>
      <c r="H53" s="757">
        <f>IFERROR(ORA_7/Equity_RAV_based_on_actual_gearing,0)</f>
        <v>0</v>
      </c>
      <c r="I53" s="81"/>
      <c r="J53" s="83">
        <f>IFERROR(AVERAGE(D80:INDEX(D80:H80,0,MATCH('RFPR cover'!$C$9,$D$6:$H$6,0)))/AVERAGE($D$91:INDEX($D$91:$H$91,0,MATCH('RFPR cover'!$C$9,$D$6:$H$6,0))),0)</f>
        <v>0</v>
      </c>
      <c r="K53" s="415">
        <f t="shared" si="16"/>
        <v>0</v>
      </c>
    </row>
    <row r="54" spans="1:12">
      <c r="A54" s="79" t="s">
        <v>231</v>
      </c>
      <c r="B54" s="933" t="str">
        <f t="shared" si="15"/>
        <v/>
      </c>
      <c r="C54" s="932" t="s">
        <v>216</v>
      </c>
      <c r="D54" s="757">
        <f>IFERROR(ORA_8/Equity_RAV_based_on_actual_gearing,0)</f>
        <v>0</v>
      </c>
      <c r="E54" s="757">
        <f>IFERROR(ORA_8/Equity_RAV_based_on_actual_gearing,0)</f>
        <v>0</v>
      </c>
      <c r="F54" s="757">
        <f>IFERROR(ORA_8/Equity_RAV_based_on_actual_gearing,0)</f>
        <v>0</v>
      </c>
      <c r="G54" s="757">
        <f>IFERROR(ORA_8/Equity_RAV_based_on_actual_gearing,0)</f>
        <v>0</v>
      </c>
      <c r="H54" s="757">
        <f>IFERROR(ORA_8/Equity_RAV_based_on_actual_gearing,0)</f>
        <v>0</v>
      </c>
      <c r="I54" s="81"/>
      <c r="J54" s="83">
        <f>IFERROR(AVERAGE(D81:INDEX(D81:H81,0,MATCH('RFPR cover'!$C$9,$D$6:$H$6,0)))/AVERAGE($D$91:INDEX($D$91:$H$91,0,MATCH('RFPR cover'!$C$9,$D$6:$H$6,0))),0)</f>
        <v>0</v>
      </c>
      <c r="K54" s="415">
        <f t="shared" si="16"/>
        <v>0</v>
      </c>
    </row>
    <row r="55" spans="1:12" ht="14" thickBot="1">
      <c r="B55" s="933" t="str">
        <f t="shared" ref="B55:B56" si="17">B82</f>
        <v>Penalties and fines (Other Activities)</v>
      </c>
      <c r="C55" s="932" t="s">
        <v>216</v>
      </c>
      <c r="D55" s="916">
        <f>IFERROR(Penalties_and_fines/Equity_RAV_based_on_actual_gearing,0)</f>
        <v>0</v>
      </c>
      <c r="E55" s="916">
        <f>IFERROR(Penalties_and_fines/Equity_RAV_based_on_actual_gearing,0)</f>
        <v>0</v>
      </c>
      <c r="F55" s="916">
        <f>IFERROR(Penalties_and_fines/Equity_RAV_based_on_actual_gearing,0)</f>
        <v>0</v>
      </c>
      <c r="G55" s="916">
        <f>IFERROR(Penalties_and_fines/Equity_RAV_based_on_actual_gearing,0)</f>
        <v>0</v>
      </c>
      <c r="H55" s="916">
        <f>IFERROR(Penalties_and_fines/Equity_RAV_based_on_actual_gearing,0)</f>
        <v>0</v>
      </c>
      <c r="I55" s="81"/>
      <c r="J55" s="83">
        <f>IFERROR(AVERAGE(D82:INDEX(D82:H82,0,MATCH('RFPR cover'!$C$9,$D$6:$H$6,0)))/AVERAGE($D$91:INDEX($D$91:$H$91,0,MATCH('RFPR cover'!$C$9,$D$6:$H$6,0))),0)</f>
        <v>0</v>
      </c>
      <c r="K55" s="415">
        <f t="shared" si="16"/>
        <v>0</v>
      </c>
    </row>
    <row r="56" spans="1:12" ht="14" thickBot="1">
      <c r="B56" s="934" t="str">
        <f t="shared" si="17"/>
        <v>RoRE - Operational performance</v>
      </c>
      <c r="C56" s="403" t="s">
        <v>216</v>
      </c>
      <c r="D56" s="918">
        <f t="shared" ref="D56:H56" si="18">SUM(D38:D55)</f>
        <v>5.681010147115037E-2</v>
      </c>
      <c r="E56" s="919">
        <f t="shared" si="18"/>
        <v>5.2113047411302828E-2</v>
      </c>
      <c r="F56" s="919">
        <f t="shared" si="18"/>
        <v>4.6970589717676356E-2</v>
      </c>
      <c r="G56" s="919">
        <f t="shared" si="18"/>
        <v>4.387280869209205E-2</v>
      </c>
      <c r="H56" s="920">
        <f t="shared" si="18"/>
        <v>4.2307651523896261E-2</v>
      </c>
      <c r="I56" s="82"/>
      <c r="J56" s="922">
        <f>SUM(J38:J55)</f>
        <v>5.681010147115037E-2</v>
      </c>
      <c r="K56" s="920">
        <f>SUM(K38:K55)</f>
        <v>4.6638247647091735E-2</v>
      </c>
    </row>
    <row r="57" spans="1:12">
      <c r="B57" s="933" t="s">
        <v>233</v>
      </c>
      <c r="C57" s="932" t="s">
        <v>216</v>
      </c>
      <c r="D57" s="917">
        <f>IFERROR((Debt_performance___at_notional_gearing+Debt_performance___impact_of_actual_gearing)/Equity_RAV_based_on_actual_gearing,0)</f>
        <v>3.0050533181626257E-2</v>
      </c>
      <c r="E57" s="917">
        <f>IFERROR((Debt_performance___at_notional_gearing+Debt_performance___impact_of_actual_gearing)/Equity_RAV_based_on_actual_gearing,0)</f>
        <v>5.0583249215794289E-2</v>
      </c>
      <c r="F57" s="917">
        <f>IFERROR((Debt_performance___at_notional_gearing+Debt_performance___impact_of_actual_gearing)/Equity_RAV_based_on_actual_gearing,0)</f>
        <v>2.1433173242730467E-2</v>
      </c>
      <c r="G57" s="917">
        <f>IFERROR((Debt_performance___at_notional_gearing+Debt_performance___impact_of_actual_gearing)/Equity_RAV_based_on_actual_gearing,0)</f>
        <v>1.0819870305049734E-2</v>
      </c>
      <c r="H57" s="917">
        <f>IFERROR((Debt_performance___at_notional_gearing+Debt_performance___impact_of_actual_gearing)/Equity_RAV_based_on_actual_gearing,0)</f>
        <v>9.6126634304907442E-3</v>
      </c>
      <c r="I57" s="81"/>
      <c r="J57" s="921">
        <f>IFERROR((AVERAGE(D84:INDEX(D84:H84,0,MATCH('RFPR cover'!$C$9,$D$6:$H$6,0)))+AVERAGE(D85:INDEX(D85:H85,0,MATCH('RFPR cover'!$C$9,$D$6:$H$6,0))))/AVERAGE($D$91:INDEX($D$91:$H$91,0,MATCH('RFPR cover'!$C$9,$D$6:$H$6,0))),0)</f>
        <v>3.0050533181626257E-2</v>
      </c>
      <c r="K57" s="921">
        <f>IFERROR((AVERAGE(D84:H84)+AVERAGE(D85:H85))/AVERAGE($D$91:$H$91),0)</f>
        <v>2.0461819216993502E-2</v>
      </c>
    </row>
    <row r="58" spans="1:12" ht="14" thickBot="1">
      <c r="B58" s="933" t="s">
        <v>234</v>
      </c>
      <c r="C58" s="932" t="s">
        <v>216</v>
      </c>
      <c r="D58" s="923">
        <f>IFERROR((Tax_performance___at_notional_gearing+Tax_performance___impact_of_actual_gearing)/D$91,0)</f>
        <v>-4.7994666355074267E-3</v>
      </c>
      <c r="E58" s="923">
        <f>IFERROR((Tax_performance___at_notional_gearing+Tax_performance___impact_of_actual_gearing)/E$91,0)</f>
        <v>-8.0774100939534129E-3</v>
      </c>
      <c r="F58" s="923">
        <f>IFERROR((Tax_performance___at_notional_gearing+Tax_performance___impact_of_actual_gearing)/F$91,0)</f>
        <v>-4.2877773549494383E-3</v>
      </c>
      <c r="G58" s="923">
        <f>IFERROR((Tax_performance___at_notional_gearing+Tax_performance___impact_of_actual_gearing)/G$91,0)</f>
        <v>-2.1647378435849206E-3</v>
      </c>
      <c r="H58" s="923">
        <f>IFERROR((Tax_performance___at_notional_gearing+Tax_performance___impact_of_actual_gearing)/H$91,0)</f>
        <v>-1.9232515074367948E-3</v>
      </c>
      <c r="I58" s="81"/>
      <c r="J58" s="86">
        <f>IFERROR((AVERAGE(D86:INDEX(D86:H86,0,MATCH('RFPR cover'!$C$9,$D$6:$H$6,0)))+AVERAGE(D87:INDEX(D87:H87,0,MATCH('RFPR cover'!$C$9,$D$6:$H$6,0))))/AVERAGE($D$91:INDEX($D$91:$H$91,0,MATCH('RFPR cover'!$C$9,$D$6:$H$6,0))),0)</f>
        <v>-4.7994666355074267E-3</v>
      </c>
      <c r="K58" s="86">
        <f>IFERROR((AVERAGE(D86:H86)+AVERAGE(D87:H87))/AVERAGE($D$91:$H$91),0)</f>
        <v>-3.6634966255734737E-3</v>
      </c>
    </row>
    <row r="59" spans="1:12" ht="14" thickBot="1">
      <c r="B59" s="934" t="str">
        <f>B88</f>
        <v>RoRE - including financing and tax</v>
      </c>
      <c r="C59" s="403" t="s">
        <v>216</v>
      </c>
      <c r="D59" s="918">
        <f>SUM(D56:D58)</f>
        <v>8.2061168017269204E-2</v>
      </c>
      <c r="E59" s="919">
        <f t="shared" ref="E59:H59" si="19">SUM(E56:E58)</f>
        <v>9.4618886533143709E-2</v>
      </c>
      <c r="F59" s="919">
        <f t="shared" si="19"/>
        <v>6.4115985605457379E-2</v>
      </c>
      <c r="G59" s="919">
        <f t="shared" si="19"/>
        <v>5.2527941153556856E-2</v>
      </c>
      <c r="H59" s="920">
        <f t="shared" si="19"/>
        <v>4.9997063446950214E-2</v>
      </c>
      <c r="I59" s="82"/>
      <c r="J59" s="922">
        <f>SUM(J56:J58)</f>
        <v>8.2061168017269204E-2</v>
      </c>
      <c r="K59" s="920">
        <f>SUM(K56:K58)</f>
        <v>6.3436570238511764E-2</v>
      </c>
    </row>
    <row r="60" spans="1:12">
      <c r="B60" s="402"/>
      <c r="C60" s="403"/>
      <c r="D60" s="404"/>
      <c r="E60" s="404"/>
      <c r="F60" s="404"/>
      <c r="G60" s="404"/>
      <c r="H60" s="404"/>
      <c r="I60" s="82"/>
      <c r="J60" s="404"/>
      <c r="K60" s="404"/>
    </row>
    <row r="61" spans="1:12">
      <c r="B61" s="402"/>
      <c r="C61" s="403"/>
      <c r="D61" s="404"/>
      <c r="E61" s="404"/>
      <c r="F61" s="404"/>
      <c r="G61" s="404"/>
      <c r="H61" s="404"/>
      <c r="I61" s="82"/>
      <c r="J61" s="404"/>
      <c r="K61" s="404"/>
    </row>
    <row r="62" spans="1:12">
      <c r="B62" s="422" t="s">
        <v>235</v>
      </c>
      <c r="C62" s="423"/>
      <c r="D62" s="424"/>
      <c r="E62" s="424"/>
      <c r="F62" s="424"/>
      <c r="G62" s="424"/>
      <c r="H62" s="424"/>
      <c r="I62" s="425"/>
      <c r="J62" s="424"/>
      <c r="K62" s="424"/>
      <c r="L62" s="99"/>
    </row>
    <row r="63" spans="1:12">
      <c r="B63" s="427" t="str">
        <f>"Input values provided in "&amp;Data!C9&amp;" prices"</f>
        <v>Input values provided in £m 18/19 prices</v>
      </c>
      <c r="C63" s="426"/>
      <c r="D63" s="426"/>
      <c r="E63" s="426"/>
      <c r="F63" s="426"/>
      <c r="G63" s="426"/>
      <c r="H63" s="426"/>
      <c r="I63" s="426"/>
      <c r="J63" s="426"/>
      <c r="K63" s="426"/>
      <c r="L63" s="426"/>
    </row>
    <row r="65" spans="1:12">
      <c r="B65" s="935" t="s">
        <v>236</v>
      </c>
      <c r="C65" s="937" t="str">
        <f>Data!$C$9</f>
        <v>£m 18/19</v>
      </c>
      <c r="D65" s="84">
        <f>'R7 - RAV'!E44</f>
        <v>8.0514331512878687</v>
      </c>
      <c r="E65" s="85">
        <f>'R7 - RAV'!F44</f>
        <v>9.8819013149819668</v>
      </c>
      <c r="F65" s="85">
        <f>'R7 - RAV'!G44</f>
        <v>12.074470659627817</v>
      </c>
      <c r="G65" s="85">
        <f>'R7 - RAV'!H44</f>
        <v>14.452470851401651</v>
      </c>
      <c r="H65" s="85">
        <f>'R7 - RAV'!I44</f>
        <v>16.160806569603114</v>
      </c>
      <c r="I65" s="89"/>
      <c r="J65" s="47">
        <f>SUM(D65:INDEX(D65:H65,0,MATCH('RFPR cover'!$C$9,$D$6:$H$6,0)))</f>
        <v>8.0514331512878687</v>
      </c>
      <c r="K65" s="47">
        <f t="shared" ref="K65:K82" si="20">SUM(D65:H65)</f>
        <v>60.621082546902414</v>
      </c>
      <c r="L65" s="89"/>
    </row>
    <row r="66" spans="1:12">
      <c r="B66" s="935" t="s">
        <v>237</v>
      </c>
      <c r="C66" s="937" t="str">
        <f>Data!$C$9</f>
        <v>£m 18/19</v>
      </c>
      <c r="D66" s="119">
        <f>'R3 - Totex - Reconciliation'!D97</f>
        <v>0</v>
      </c>
      <c r="E66" s="119">
        <f>'R3 - Totex - Reconciliation'!E97</f>
        <v>0</v>
      </c>
      <c r="F66" s="119">
        <f>'R3 - Totex - Reconciliation'!F97</f>
        <v>0</v>
      </c>
      <c r="G66" s="119">
        <f>'R3 - Totex - Reconciliation'!G97</f>
        <v>0</v>
      </c>
      <c r="H66" s="119">
        <f>'R3 - Totex - Reconciliation'!H97</f>
        <v>0</v>
      </c>
      <c r="I66" s="89"/>
      <c r="J66" s="47">
        <f>SUM(D66:INDEX(D66:H66,0,MATCH('RFPR cover'!$C$9,$D$6:$H$6,0)))</f>
        <v>0</v>
      </c>
      <c r="K66" s="47">
        <f t="shared" si="20"/>
        <v>0</v>
      </c>
      <c r="L66" s="89"/>
    </row>
    <row r="67" spans="1:12">
      <c r="A67" s="79" t="s">
        <v>217</v>
      </c>
      <c r="B67" s="935" t="s">
        <v>238</v>
      </c>
      <c r="C67" s="937" t="str">
        <f>Data!$C$9</f>
        <v>£m 18/19</v>
      </c>
      <c r="D67" s="116">
        <f>'R4 - Incentives and Other Rev'!D12</f>
        <v>0</v>
      </c>
      <c r="E67" s="116">
        <f>'R4 - Incentives and Other Rev'!E12</f>
        <v>0</v>
      </c>
      <c r="F67" s="116">
        <f>'R4 - Incentives and Other Rev'!F12</f>
        <v>0</v>
      </c>
      <c r="G67" s="116">
        <f>'R4 - Incentives and Other Rev'!G12</f>
        <v>0</v>
      </c>
      <c r="H67" s="116">
        <f>'R4 - Incentives and Other Rev'!H12</f>
        <v>0</v>
      </c>
      <c r="I67" s="89"/>
      <c r="J67" s="47">
        <f>SUM(D67:INDEX(D67:H67,0,MATCH('RFPR cover'!$C$9,$D$6:$H$6,0)))</f>
        <v>0</v>
      </c>
      <c r="K67" s="47">
        <f t="shared" si="20"/>
        <v>0</v>
      </c>
      <c r="L67" s="89"/>
    </row>
    <row r="68" spans="1:12">
      <c r="A68" s="79" t="s">
        <v>218</v>
      </c>
      <c r="B68" s="1158" t="str">
        <f>'R4 - Incentives and Other Rev'!B14</f>
        <v>Reporting &amp; Incentive Arrangements (ESORIt)</v>
      </c>
      <c r="C68" s="937" t="str">
        <f>Data!$C$9</f>
        <v>£m 18/19</v>
      </c>
      <c r="D68" s="116">
        <f>'R4 - Incentives and Other Rev'!D14</f>
        <v>0</v>
      </c>
      <c r="E68" s="116">
        <f>'R4 - Incentives and Other Rev'!E14</f>
        <v>0</v>
      </c>
      <c r="F68" s="116">
        <f>'R4 - Incentives and Other Rev'!F14</f>
        <v>0</v>
      </c>
      <c r="G68" s="116">
        <f>'R4 - Incentives and Other Rev'!G14</f>
        <v>0</v>
      </c>
      <c r="H68" s="116">
        <f>'R4 - Incentives and Other Rev'!H14</f>
        <v>0</v>
      </c>
      <c r="I68" s="756"/>
      <c r="J68" s="47">
        <f>SUM(D68:INDEX(D68:H68,0,MATCH('RFPR cover'!$C$9,$D$6:$H$6,0)))</f>
        <v>0</v>
      </c>
      <c r="K68" s="47">
        <f t="shared" si="20"/>
        <v>0</v>
      </c>
      <c r="L68" s="89"/>
    </row>
    <row r="69" spans="1:12">
      <c r="A69" s="79" t="s">
        <v>219</v>
      </c>
      <c r="B69" s="1158" t="str">
        <f>'R4 - Incentives and Other Rev'!B15</f>
        <v/>
      </c>
      <c r="C69" s="937" t="str">
        <f>Data!$C$9</f>
        <v>£m 18/19</v>
      </c>
      <c r="D69" s="116">
        <f>'R4 - Incentives and Other Rev'!D15</f>
        <v>0</v>
      </c>
      <c r="E69" s="116">
        <f>'R4 - Incentives and Other Rev'!E15</f>
        <v>0</v>
      </c>
      <c r="F69" s="116">
        <f>'R4 - Incentives and Other Rev'!F15</f>
        <v>0</v>
      </c>
      <c r="G69" s="116">
        <f>'R4 - Incentives and Other Rev'!G15</f>
        <v>0</v>
      </c>
      <c r="H69" s="116">
        <f>'R4 - Incentives and Other Rev'!H15</f>
        <v>0</v>
      </c>
      <c r="I69" s="756"/>
      <c r="J69" s="47">
        <f>SUM(D69:INDEX(D69:H69,0,MATCH('RFPR cover'!$C$9,$D$6:$H$6,0)))</f>
        <v>0</v>
      </c>
      <c r="K69" s="47">
        <f t="shared" si="20"/>
        <v>0</v>
      </c>
      <c r="L69" s="89"/>
    </row>
    <row r="70" spans="1:12">
      <c r="A70" s="79" t="s">
        <v>220</v>
      </c>
      <c r="B70" s="1158" t="str">
        <f>'R4 - Incentives and Other Rev'!B16</f>
        <v/>
      </c>
      <c r="C70" s="937" t="str">
        <f>Data!$C$9</f>
        <v>£m 18/19</v>
      </c>
      <c r="D70" s="116">
        <f>'R4 - Incentives and Other Rev'!D16</f>
        <v>0</v>
      </c>
      <c r="E70" s="116">
        <f>'R4 - Incentives and Other Rev'!E16</f>
        <v>0</v>
      </c>
      <c r="F70" s="116">
        <f>'R4 - Incentives and Other Rev'!F16</f>
        <v>0</v>
      </c>
      <c r="G70" s="116">
        <f>'R4 - Incentives and Other Rev'!G16</f>
        <v>0</v>
      </c>
      <c r="H70" s="116">
        <f>'R4 - Incentives and Other Rev'!H16</f>
        <v>0</v>
      </c>
      <c r="I70" s="756"/>
      <c r="J70" s="47">
        <f>SUM(D70:INDEX(D70:H70,0,MATCH('RFPR cover'!$C$9,$D$6:$H$6,0)))</f>
        <v>0</v>
      </c>
      <c r="K70" s="47">
        <f t="shared" si="20"/>
        <v>0</v>
      </c>
      <c r="L70" s="89"/>
    </row>
    <row r="71" spans="1:12">
      <c r="A71" s="79" t="s">
        <v>221</v>
      </c>
      <c r="B71" s="1158" t="str">
        <f>'R4 - Incentives and Other Rev'!B17</f>
        <v/>
      </c>
      <c r="C71" s="937" t="str">
        <f>Data!$C$9</f>
        <v>£m 18/19</v>
      </c>
      <c r="D71" s="116">
        <f>'R4 - Incentives and Other Rev'!D17</f>
        <v>0</v>
      </c>
      <c r="E71" s="116">
        <f>'R4 - Incentives and Other Rev'!E17</f>
        <v>0</v>
      </c>
      <c r="F71" s="116">
        <f>'R4 - Incentives and Other Rev'!F17</f>
        <v>0</v>
      </c>
      <c r="G71" s="116">
        <f>'R4 - Incentives and Other Rev'!G17</f>
        <v>0</v>
      </c>
      <c r="H71" s="116">
        <f>'R4 - Incentives and Other Rev'!H17</f>
        <v>0</v>
      </c>
      <c r="I71" s="756"/>
      <c r="J71" s="47">
        <f>SUM(D71:INDEX(D71:H71,0,MATCH('RFPR cover'!$C$9,$D$6:$H$6,0)))</f>
        <v>0</v>
      </c>
      <c r="K71" s="47">
        <f t="shared" si="20"/>
        <v>0</v>
      </c>
      <c r="L71" s="89"/>
    </row>
    <row r="72" spans="1:12">
      <c r="A72" s="79" t="s">
        <v>222</v>
      </c>
      <c r="B72" s="1158" t="str">
        <f>'R4 - Incentives and Other Rev'!B18</f>
        <v/>
      </c>
      <c r="C72" s="937" t="str">
        <f>Data!$C$9</f>
        <v>£m 18/19</v>
      </c>
      <c r="D72" s="116">
        <f>'R4 - Incentives and Other Rev'!D18</f>
        <v>0</v>
      </c>
      <c r="E72" s="116">
        <f>'R4 - Incentives and Other Rev'!E18</f>
        <v>0</v>
      </c>
      <c r="F72" s="116">
        <f>'R4 - Incentives and Other Rev'!F18</f>
        <v>0</v>
      </c>
      <c r="G72" s="116">
        <f>'R4 - Incentives and Other Rev'!G18</f>
        <v>0</v>
      </c>
      <c r="H72" s="116">
        <f>'R4 - Incentives and Other Rev'!H18</f>
        <v>0</v>
      </c>
      <c r="I72" s="756"/>
      <c r="J72" s="47">
        <f>SUM(D72:INDEX(D72:H72,0,MATCH('RFPR cover'!$C$9,$D$6:$H$6,0)))</f>
        <v>0</v>
      </c>
      <c r="K72" s="47">
        <f t="shared" si="20"/>
        <v>0</v>
      </c>
      <c r="L72" s="89"/>
    </row>
    <row r="73" spans="1:12">
      <c r="A73" s="79" t="s">
        <v>223</v>
      </c>
      <c r="B73" s="1158" t="str">
        <f>'R4 - Incentives and Other Rev'!B19</f>
        <v/>
      </c>
      <c r="C73" s="937" t="str">
        <f>Data!$C$9</f>
        <v>£m 18/19</v>
      </c>
      <c r="D73" s="116">
        <f>'R4 - Incentives and Other Rev'!D19</f>
        <v>0</v>
      </c>
      <c r="E73" s="116">
        <f>'R4 - Incentives and Other Rev'!E19</f>
        <v>0</v>
      </c>
      <c r="F73" s="116">
        <f>'R4 - Incentives and Other Rev'!F19</f>
        <v>0</v>
      </c>
      <c r="G73" s="116">
        <f>'R4 - Incentives and Other Rev'!G19</f>
        <v>0</v>
      </c>
      <c r="H73" s="116">
        <f>'R4 - Incentives and Other Rev'!H19</f>
        <v>0</v>
      </c>
      <c r="I73" s="756"/>
      <c r="J73" s="47">
        <f>SUM(D73:INDEX(D73:H73,0,MATCH('RFPR cover'!$C$9,$D$6:$H$6,0)))</f>
        <v>0</v>
      </c>
      <c r="K73" s="47">
        <f t="shared" si="20"/>
        <v>0</v>
      </c>
      <c r="L73" s="89"/>
    </row>
    <row r="74" spans="1:12">
      <c r="A74" s="79" t="s">
        <v>224</v>
      </c>
      <c r="B74" s="1158" t="str">
        <f>'R4 - Incentives and Other Rev'!B41</f>
        <v>Network innovation input for RORE</v>
      </c>
      <c r="C74" s="937" t="str">
        <f>Data!$C$9</f>
        <v>£m 18/19</v>
      </c>
      <c r="D74" s="116">
        <f>-'R4 - Incentives and Other Rev'!D41</f>
        <v>0</v>
      </c>
      <c r="E74" s="116">
        <f>-'R4 - Incentives and Other Rev'!E41</f>
        <v>0</v>
      </c>
      <c r="F74" s="116">
        <f>-'R4 - Incentives and Other Rev'!F41</f>
        <v>0</v>
      </c>
      <c r="G74" s="116">
        <f>-'R4 - Incentives and Other Rev'!G41</f>
        <v>0</v>
      </c>
      <c r="H74" s="116">
        <f>-'R4 - Incentives and Other Rev'!H41</f>
        <v>0</v>
      </c>
      <c r="I74" s="89"/>
      <c r="J74" s="47">
        <f>SUM(D74:INDEX(D74:H74,0,MATCH('RFPR cover'!$C$9,$D$6:$H$6,0)))</f>
        <v>0</v>
      </c>
      <c r="K74" s="47">
        <f t="shared" si="20"/>
        <v>0</v>
      </c>
      <c r="L74" s="89"/>
    </row>
    <row r="75" spans="1:12">
      <c r="A75" s="79" t="s">
        <v>225</v>
      </c>
      <c r="B75" s="1158" t="str">
        <f>'R4 - Incentives and Other Rev'!B48</f>
        <v>Carry-over Network innovation input for RORE</v>
      </c>
      <c r="C75" s="937" t="str">
        <f>Data!$C$9</f>
        <v>£m 18/19</v>
      </c>
      <c r="D75" s="116">
        <f>-'R4 - Incentives and Other Rev'!D48</f>
        <v>0</v>
      </c>
      <c r="E75" s="116">
        <f>-'R4 - Incentives and Other Rev'!E48</f>
        <v>0</v>
      </c>
      <c r="F75" s="116">
        <f>-'R4 - Incentives and Other Rev'!F48</f>
        <v>0</v>
      </c>
      <c r="G75" s="116">
        <f>-'R4 - Incentives and Other Rev'!G48</f>
        <v>0</v>
      </c>
      <c r="H75" s="116">
        <f>-'R4 - Incentives and Other Rev'!H48</f>
        <v>0</v>
      </c>
      <c r="I75" s="89"/>
      <c r="J75" s="47">
        <f>SUM(D75:INDEX(D75:H75,0,MATCH('RFPR cover'!$C$9,$D$6:$H$6,0)))</f>
        <v>0</v>
      </c>
      <c r="K75" s="47">
        <f t="shared" si="20"/>
        <v>0</v>
      </c>
      <c r="L75" s="89"/>
    </row>
    <row r="76" spans="1:12">
      <c r="A76" s="79" t="s">
        <v>226</v>
      </c>
      <c r="B76" s="1158" t="str">
        <f>'R4 - Incentives and Other Rev'!B55</f>
        <v>Strategic innovation input for RORE</v>
      </c>
      <c r="C76" s="937" t="str">
        <f>Data!$C$9</f>
        <v>£m 18/19</v>
      </c>
      <c r="D76" s="116">
        <f>-'R4 - Incentives and Other Rev'!D55</f>
        <v>0</v>
      </c>
      <c r="E76" s="116">
        <f>-'R4 - Incentives and Other Rev'!E55</f>
        <v>0</v>
      </c>
      <c r="F76" s="116">
        <f>-'R4 - Incentives and Other Rev'!F55</f>
        <v>0</v>
      </c>
      <c r="G76" s="116">
        <f>-'R4 - Incentives and Other Rev'!G55</f>
        <v>0</v>
      </c>
      <c r="H76" s="116">
        <f>-'R4 - Incentives and Other Rev'!H55</f>
        <v>0</v>
      </c>
      <c r="I76" s="89"/>
      <c r="J76" s="47"/>
      <c r="K76" s="47"/>
      <c r="L76" s="89"/>
    </row>
    <row r="77" spans="1:12">
      <c r="A77" s="79" t="s">
        <v>227</v>
      </c>
      <c r="B77" s="1158" t="str">
        <f>'R4 - Incentives and Other Rev'!B62</f>
        <v/>
      </c>
      <c r="C77" s="937" t="str">
        <f>Data!$C$9</f>
        <v>£m 18/19</v>
      </c>
      <c r="D77" s="117">
        <f>'R4 - Incentives and Other Rev'!D62</f>
        <v>0</v>
      </c>
      <c r="E77" s="117">
        <f>'R4 - Incentives and Other Rev'!E62</f>
        <v>0</v>
      </c>
      <c r="F77" s="117">
        <f>'R4 - Incentives and Other Rev'!F62</f>
        <v>0</v>
      </c>
      <c r="G77" s="117">
        <f>'R4 - Incentives and Other Rev'!G62</f>
        <v>0</v>
      </c>
      <c r="H77" s="117">
        <f>'R4 - Incentives and Other Rev'!H62</f>
        <v>0</v>
      </c>
      <c r="I77" s="89"/>
      <c r="J77" s="47">
        <f>SUM(D77:INDEX(D77:H77,0,MATCH('RFPR cover'!$C$9,$D$6:$H$6,0)))</f>
        <v>0</v>
      </c>
      <c r="K77" s="47">
        <f t="shared" si="20"/>
        <v>0</v>
      </c>
      <c r="L77" s="89"/>
    </row>
    <row r="78" spans="1:12">
      <c r="A78" s="79" t="s">
        <v>228</v>
      </c>
      <c r="B78" s="1158" t="str">
        <f>'R4 - Incentives and Other Rev'!B63</f>
        <v/>
      </c>
      <c r="C78" s="937" t="str">
        <f>Data!$C$9</f>
        <v>£m 18/19</v>
      </c>
      <c r="D78" s="117">
        <f>'R4 - Incentives and Other Rev'!D63</f>
        <v>0</v>
      </c>
      <c r="E78" s="117">
        <f>'R4 - Incentives and Other Rev'!E63</f>
        <v>0</v>
      </c>
      <c r="F78" s="117">
        <f>'R4 - Incentives and Other Rev'!F63</f>
        <v>0</v>
      </c>
      <c r="G78" s="117">
        <f>'R4 - Incentives and Other Rev'!G63</f>
        <v>0</v>
      </c>
      <c r="H78" s="117">
        <f>'R4 - Incentives and Other Rev'!H63</f>
        <v>0</v>
      </c>
      <c r="I78" s="89"/>
      <c r="J78" s="47">
        <f>SUM(D78:INDEX(D78:H78,0,MATCH('RFPR cover'!$C$9,$D$6:$H$6,0)))</f>
        <v>0</v>
      </c>
      <c r="K78" s="47">
        <f t="shared" si="20"/>
        <v>0</v>
      </c>
      <c r="L78" s="89"/>
    </row>
    <row r="79" spans="1:12">
      <c r="A79" s="79" t="s">
        <v>229</v>
      </c>
      <c r="B79" s="1158" t="str">
        <f>'R4 - Incentives and Other Rev'!B64</f>
        <v/>
      </c>
      <c r="C79" s="937" t="str">
        <f>Data!$C$9</f>
        <v>£m 18/19</v>
      </c>
      <c r="D79" s="117">
        <f>'R4 - Incentives and Other Rev'!D64</f>
        <v>0</v>
      </c>
      <c r="E79" s="117">
        <f>'R4 - Incentives and Other Rev'!E64</f>
        <v>0</v>
      </c>
      <c r="F79" s="117">
        <f>'R4 - Incentives and Other Rev'!F64</f>
        <v>0</v>
      </c>
      <c r="G79" s="117">
        <f>'R4 - Incentives and Other Rev'!G64</f>
        <v>0</v>
      </c>
      <c r="H79" s="117">
        <f>'R4 - Incentives and Other Rev'!H64</f>
        <v>0</v>
      </c>
      <c r="I79" s="89"/>
      <c r="J79" s="47">
        <f>SUM(D79:INDEX(D79:H79,0,MATCH('RFPR cover'!$C$9,$D$6:$H$6,0)))</f>
        <v>0</v>
      </c>
      <c r="K79" s="47">
        <f t="shared" si="20"/>
        <v>0</v>
      </c>
      <c r="L79" s="89"/>
    </row>
    <row r="80" spans="1:12">
      <c r="A80" s="79" t="s">
        <v>230</v>
      </c>
      <c r="B80" s="1158" t="str">
        <f>'R4 - Incentives and Other Rev'!B65</f>
        <v/>
      </c>
      <c r="C80" s="937" t="str">
        <f>Data!$C$9</f>
        <v>£m 18/19</v>
      </c>
      <c r="D80" s="117">
        <f>'R4 - Incentives and Other Rev'!D65</f>
        <v>0</v>
      </c>
      <c r="E80" s="117">
        <f>'R4 - Incentives and Other Rev'!E65</f>
        <v>0</v>
      </c>
      <c r="F80" s="117">
        <f>'R4 - Incentives and Other Rev'!F65</f>
        <v>0</v>
      </c>
      <c r="G80" s="117">
        <f>'R4 - Incentives and Other Rev'!G65</f>
        <v>0</v>
      </c>
      <c r="H80" s="117">
        <f>'R4 - Incentives and Other Rev'!H65</f>
        <v>0</v>
      </c>
      <c r="I80" s="89"/>
      <c r="J80" s="47">
        <f>SUM(D80:INDEX(D80:H80,0,MATCH('RFPR cover'!$C$9,$D$6:$H$6,0)))</f>
        <v>0</v>
      </c>
      <c r="K80" s="47">
        <f>SUM(D80:H80)</f>
        <v>0</v>
      </c>
      <c r="L80" s="89"/>
    </row>
    <row r="81" spans="1:14">
      <c r="A81" s="79" t="s">
        <v>231</v>
      </c>
      <c r="B81" s="1158" t="str">
        <f>'R4 - Incentives and Other Rev'!B66</f>
        <v/>
      </c>
      <c r="C81" s="937" t="str">
        <f>Data!$C$9</f>
        <v>£m 18/19</v>
      </c>
      <c r="D81" s="117">
        <f>'R4 - Incentives and Other Rev'!D66</f>
        <v>0</v>
      </c>
      <c r="E81" s="117">
        <f>'R4 - Incentives and Other Rev'!E66</f>
        <v>0</v>
      </c>
      <c r="F81" s="117">
        <f>'R4 - Incentives and Other Rev'!F66</f>
        <v>0</v>
      </c>
      <c r="G81" s="117">
        <f>'R4 - Incentives and Other Rev'!G66</f>
        <v>0</v>
      </c>
      <c r="H81" s="117">
        <f>'R4 - Incentives and Other Rev'!H66</f>
        <v>0</v>
      </c>
      <c r="I81" s="89"/>
      <c r="J81" s="47">
        <f>SUM(D81:INDEX(D81:H81,0,MATCH('RFPR cover'!$C$9,$D$6:$H$6,0)))</f>
        <v>0</v>
      </c>
      <c r="K81" s="47">
        <f>SUM(D81:H81)</f>
        <v>0</v>
      </c>
      <c r="L81" s="89"/>
    </row>
    <row r="82" spans="1:14" ht="14" thickBot="1">
      <c r="B82" s="935" t="s">
        <v>239</v>
      </c>
      <c r="C82" s="937" t="str">
        <f>Data!$C$9</f>
        <v>£m 18/19</v>
      </c>
      <c r="D82" s="117">
        <f>-'R10 - Pensions &amp; Oth Activities'!D54</f>
        <v>0</v>
      </c>
      <c r="E82" s="117">
        <f>-'R10 - Pensions &amp; Oth Activities'!E54</f>
        <v>0</v>
      </c>
      <c r="F82" s="117">
        <f>-'R10 - Pensions &amp; Oth Activities'!F54</f>
        <v>0</v>
      </c>
      <c r="G82" s="117">
        <f>-'R10 - Pensions &amp; Oth Activities'!G54</f>
        <v>0</v>
      </c>
      <c r="H82" s="117">
        <f>-'R10 - Pensions &amp; Oth Activities'!H54</f>
        <v>0</v>
      </c>
      <c r="I82" s="89"/>
      <c r="J82" s="886">
        <f>SUM(D82:INDEX(D82:H82,0,MATCH('RFPR cover'!$C$9,$D$6:$H$6,0)))</f>
        <v>0</v>
      </c>
      <c r="K82" s="886">
        <f t="shared" si="20"/>
        <v>0</v>
      </c>
      <c r="L82" s="89"/>
    </row>
    <row r="83" spans="1:14" ht="14" thickBot="1">
      <c r="B83" s="936" t="s">
        <v>240</v>
      </c>
      <c r="C83" s="938" t="str">
        <f>Data!$C$9</f>
        <v>£m 18/19</v>
      </c>
      <c r="D83" s="912">
        <f>SUM(D65:D82)</f>
        <v>8.0514331512878687</v>
      </c>
      <c r="E83" s="914">
        <f>SUM(E65:E82)</f>
        <v>9.8819013149819668</v>
      </c>
      <c r="F83" s="914">
        <f>SUM(F65:F82)</f>
        <v>12.074470659627817</v>
      </c>
      <c r="G83" s="914">
        <f>SUM(G65:G82)</f>
        <v>14.452470851401651</v>
      </c>
      <c r="H83" s="913">
        <f>SUM(H65:H82)</f>
        <v>16.160806569603114</v>
      </c>
      <c r="I83" s="486"/>
      <c r="J83" s="912">
        <f>SUM(J65:J82)</f>
        <v>8.0514331512878687</v>
      </c>
      <c r="K83" s="913">
        <f>SUM(K65:K82)</f>
        <v>60.621082546902414</v>
      </c>
      <c r="L83" s="89"/>
    </row>
    <row r="84" spans="1:14">
      <c r="B84" s="935" t="s">
        <v>241</v>
      </c>
      <c r="C84" s="937" t="str">
        <f>Data!$C$9</f>
        <v>£m 18/19</v>
      </c>
      <c r="D84" s="939">
        <f>IFERROR('R5 - Financing'!D85+'R8 - Tax'!E67,0)</f>
        <v>5.8585821917625429</v>
      </c>
      <c r="E84" s="939">
        <f>IFERROR('R5 - Financing'!E85+'R8 - Tax'!F67,0)</f>
        <v>14.133209531119864</v>
      </c>
      <c r="F84" s="939">
        <f>IFERROR('R5 - Financing'!F85+'R8 - Tax'!G67,0)</f>
        <v>8.4180611830793577</v>
      </c>
      <c r="G84" s="939">
        <f>IFERROR('R5 - Financing'!G85+'R8 - Tax'!H67,0)</f>
        <v>4.8162504519293421</v>
      </c>
      <c r="H84" s="939">
        <f>IFERROR('R5 - Financing'!H85+'R8 - Tax'!I67,0)</f>
        <v>5.651070143793735</v>
      </c>
      <c r="I84" s="89"/>
      <c r="J84" s="911">
        <f>SUM(D84:INDEX(D84:H84,0,MATCH('RFPR cover'!$C$9,$D$6:$H$6,0)))</f>
        <v>5.8585821917625429</v>
      </c>
      <c r="K84" s="911">
        <f>SUM(D84:H84)</f>
        <v>38.877173501684837</v>
      </c>
      <c r="L84" s="89"/>
    </row>
    <row r="85" spans="1:14">
      <c r="B85" s="935" t="s">
        <v>242</v>
      </c>
      <c r="C85" s="937" t="str">
        <f>Data!$C$9</f>
        <v>£m 18/19</v>
      </c>
      <c r="D85" s="940">
        <f>IFERROR('R5 - Financing'!D87+'R8 - Tax'!E68,0)</f>
        <v>-1.5996589931252352</v>
      </c>
      <c r="E85" s="940">
        <f>IFERROR('R5 - Financing'!E87+'R8 - Tax'!F68,0)</f>
        <v>-4.5413951627050251</v>
      </c>
      <c r="F85" s="940">
        <f>IFERROR('R5 - Financing'!F87+'R8 - Tax'!G68,0)</f>
        <v>-2.9083534485674045</v>
      </c>
      <c r="G85" s="940">
        <f>IFERROR('R5 - Financing'!G87+'R8 - Tax'!H68,0)</f>
        <v>-1.251995851838887</v>
      </c>
      <c r="H85" s="940">
        <f>IFERROR('R5 - Financing'!H87+'R8 - Tax'!I68,0)</f>
        <v>-1.9791954657319106</v>
      </c>
      <c r="I85" s="89"/>
      <c r="J85" s="47">
        <f>SUM(D85:INDEX(D85:H85,0,MATCH('RFPR cover'!$C$9,$D$6:$H$6,0)))</f>
        <v>-1.5996589931252352</v>
      </c>
      <c r="K85" s="47">
        <f>SUM(D85:H85)</f>
        <v>-12.280598921968462</v>
      </c>
      <c r="L85" s="89"/>
    </row>
    <row r="86" spans="1:14">
      <c r="B86" s="935" t="s">
        <v>243</v>
      </c>
      <c r="C86" s="937" t="str">
        <f>Data!$C$9</f>
        <v>£m 18/19</v>
      </c>
      <c r="D86" s="940">
        <f>'R8 - Tax'!E60-'R8 - Tax'!E67</f>
        <v>-0.68020622700785505</v>
      </c>
      <c r="E86" s="940">
        <f>'R8 - Tax'!F60-'R8 - Tax'!F67</f>
        <v>-1.5316734175820725</v>
      </c>
      <c r="F86" s="940">
        <f>'R8 - Tax'!G60-'R8 - Tax'!G67</f>
        <v>-1.1022352961404285</v>
      </c>
      <c r="G86" s="940">
        <f>'R8 - Tax'!H60-'R8 - Tax'!H67</f>
        <v>-0.71310252336263913</v>
      </c>
      <c r="H86" s="940">
        <f>'R8 - Tax'!I60-'R8 - Tax'!I67</f>
        <v>-0.73464951319333505</v>
      </c>
      <c r="I86" s="89"/>
      <c r="J86" s="47">
        <f>SUM(D86:INDEX(D86:H86,0,MATCH('RFPR cover'!$C$9,$D$6:$H$6,0)))</f>
        <v>-0.68020622700785505</v>
      </c>
      <c r="K86" s="47">
        <f>SUM(D86:H86)</f>
        <v>-4.7618669772863305</v>
      </c>
      <c r="L86" s="89"/>
    </row>
    <row r="87" spans="1:14" ht="14" thickBot="1">
      <c r="B87" s="935" t="s">
        <v>244</v>
      </c>
      <c r="C87" s="937" t="str">
        <f>Data!$C$9</f>
        <v>£m 18/19</v>
      </c>
      <c r="D87" s="941">
        <f>'R8 - Tax'!E62-'R8 - Tax'!E68</f>
        <v>7.7715611723760958E-16</v>
      </c>
      <c r="E87" s="941">
        <f>'R8 - Tax'!F62-'R8 - Tax'!F68</f>
        <v>-1.1102230246251565E-15</v>
      </c>
      <c r="F87" s="941">
        <f>'R8 - Tax'!G62-'R8 - Tax'!G68</f>
        <v>0</v>
      </c>
      <c r="G87" s="941">
        <f>'R8 - Tax'!H62-'R8 - Tax'!H68</f>
        <v>7.7715611723760958E-16</v>
      </c>
      <c r="H87" s="941">
        <f>'R8 - Tax'!I62-'R8 - Tax'!I68</f>
        <v>0</v>
      </c>
      <c r="I87" s="89"/>
      <c r="J87" s="886">
        <f>SUM(D87:INDEX(D87:H87,0,MATCH('RFPR cover'!$C$9,$D$6:$H$6,0)))</f>
        <v>7.7715611723760958E-16</v>
      </c>
      <c r="K87" s="886">
        <f>SUM(D87:H87)</f>
        <v>4.4408920985006262E-16</v>
      </c>
      <c r="L87" s="89"/>
    </row>
    <row r="88" spans="1:14" ht="14" thickBot="1">
      <c r="B88" s="936" t="s">
        <v>245</v>
      </c>
      <c r="C88" s="938" t="str">
        <f>Data!$C$9</f>
        <v>£m 18/19</v>
      </c>
      <c r="D88" s="1119" t="str">
        <f>IF(OR(Licensee=Data!$B$78,Licensee=Data!$B$81),"N/A",SUM(D83:D87))</f>
        <v>N/A</v>
      </c>
      <c r="E88" s="1119" t="str">
        <f>IF(OR(Licensee=Data!$B$78,Licensee=Data!$B$81),"N/A",SUM(E83:E87))</f>
        <v>N/A</v>
      </c>
      <c r="F88" s="1119" t="str">
        <f>IF(OR(Licensee=Data!$B$78,Licensee=Data!$B$81),"N/A",SUM(F83:F87))</f>
        <v>N/A</v>
      </c>
      <c r="G88" s="1119" t="str">
        <f>IF(OR(Licensee=Data!$B$78,Licensee=Data!$B$81),"N/A",SUM(G83:G87))</f>
        <v>N/A</v>
      </c>
      <c r="H88" s="1119" t="str">
        <f>IF(OR(Licensee=Data!$B$78,Licensee=Data!$B$81),"N/A",SUM(H83:H87))</f>
        <v>N/A</v>
      </c>
      <c r="I88" s="486"/>
      <c r="J88" s="912">
        <f>SUM(J83:J87)</f>
        <v>11.630150122917321</v>
      </c>
      <c r="K88" s="913">
        <f>SUM(K83:K87)</f>
        <v>82.455790149332458</v>
      </c>
      <c r="L88" s="89"/>
    </row>
    <row r="89" spans="1:14">
      <c r="D89" s="915"/>
      <c r="I89" s="89"/>
      <c r="L89" s="89"/>
      <c r="N89" s="89"/>
    </row>
    <row r="90" spans="1:14">
      <c r="B90" s="1118" t="s">
        <v>246</v>
      </c>
      <c r="C90" s="937" t="str">
        <f>Data!$C$9</f>
        <v>£m 18/19</v>
      </c>
      <c r="D90" s="115">
        <f>'R7 - RAV'!E40</f>
        <v>106.3330960958567</v>
      </c>
      <c r="E90" s="85">
        <f>'R7 - RAV'!F40</f>
        <v>130.86863786903638</v>
      </c>
      <c r="F90" s="85">
        <f>'R7 - RAV'!G40</f>
        <v>159.712110626997</v>
      </c>
      <c r="G90" s="85">
        <f>'R7 - RAV'!H40</f>
        <v>191.49723341625514</v>
      </c>
      <c r="H90" s="85">
        <f>'R7 - RAV'!I40</f>
        <v>214.42967749691843</v>
      </c>
      <c r="I90" s="89"/>
      <c r="L90" s="89"/>
    </row>
    <row r="91" spans="1:14">
      <c r="B91" s="935" t="s">
        <v>247</v>
      </c>
      <c r="C91" s="937" t="str">
        <f>Data!$C$9</f>
        <v>£m 18/19</v>
      </c>
      <c r="D91" s="118">
        <f>IFERROR('R6 - Net Debt'!D63,0)</f>
        <v>141.72537881096011</v>
      </c>
      <c r="E91" s="118">
        <f>IFERROR('R6 - Net Debt'!E63,0)</f>
        <v>189.62432261903524</v>
      </c>
      <c r="F91" s="118">
        <f>IFERROR('R6 - Net Debt'!F63,0)</f>
        <v>257.06448933690638</v>
      </c>
      <c r="G91" s="118">
        <f>IFERROR('R6 - Net Debt'!G63,0)</f>
        <v>329.41749758562116</v>
      </c>
      <c r="H91" s="118">
        <f>IFERROR('R6 - Net Debt'!H63,0)</f>
        <v>381.98306896035456</v>
      </c>
      <c r="I91" s="89"/>
      <c r="L91" s="89"/>
    </row>
    <row r="92" spans="1:14">
      <c r="L92" s="89"/>
    </row>
    <row r="93" spans="1:14">
      <c r="L93" s="89"/>
    </row>
    <row r="94" spans="1:14">
      <c r="L94" s="89"/>
    </row>
  </sheetData>
  <sheetProtection algorithmName="SHA-512" hashValue="u8ybb94/Ojfj5h/rkl2CVoHqx7AWf+j1pl1lWVsPoZ7Jp1c75+i1c/NzNIBqDG27Bi0ngIp+ZOAxFJri006ufQ==" saltValue="U0VR2GjP6xaWgdyQVBRGmg==" spinCount="100000" sheet="1" objects="1" scenarios="1"/>
  <phoneticPr fontId="265" type="noConversion"/>
  <conditionalFormatting sqref="D6:G6">
    <cfRule type="expression" dxfId="100" priority="8">
      <formula>AND(D$5="Actuals",E$5="Forecast")</formula>
    </cfRule>
  </conditionalFormatting>
  <conditionalFormatting sqref="H6">
    <cfRule type="expression" dxfId="99" priority="201">
      <formula>AND(H$5="Actuals",#REF!="Forecast")</formula>
    </cfRule>
  </conditionalFormatting>
  <conditionalFormatting sqref="D7:H7">
    <cfRule type="expression" dxfId="98"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85" zoomScaleNormal="85" workbookViewId="0">
      <pane ySplit="7" topLeftCell="A8" activePane="bottomLeft" state="frozen"/>
      <selection pane="bottomLeft" activeCell="L30" sqref="L30"/>
    </sheetView>
  </sheetViews>
  <sheetFormatPr defaultRowHeight="13.5" outlineLevelCol="1"/>
  <cols>
    <col min="1" max="1" width="0.765625" customWidth="1"/>
    <col min="2" max="2" width="36.84375" style="89" customWidth="1"/>
    <col min="3" max="3" width="19.3828125" style="89" bestFit="1" customWidth="1"/>
    <col min="4" max="4" width="14.4609375" style="70" customWidth="1"/>
    <col min="5" max="5" width="12.765625" customWidth="1"/>
    <col min="6" max="9" width="11.15234375" customWidth="1"/>
    <col min="10" max="10" width="5" customWidth="1"/>
    <col min="11" max="20" width="9.23046875" customWidth="1" outlineLevel="1"/>
  </cols>
  <sheetData>
    <row r="1" spans="1:10" ht="20">
      <c r="A1" s="1275" t="s">
        <v>248</v>
      </c>
      <c r="B1" s="842"/>
      <c r="C1" s="842"/>
      <c r="D1" s="843"/>
      <c r="E1" s="844"/>
      <c r="F1" s="844"/>
      <c r="G1" s="844"/>
      <c r="H1" s="844"/>
      <c r="I1" s="844"/>
      <c r="J1" s="1280"/>
    </row>
    <row r="2" spans="1:10" ht="20">
      <c r="A2" s="712" t="str">
        <f t="shared" ref="A2" si="0">Licensee</f>
        <v>ESO</v>
      </c>
      <c r="B2" s="715"/>
      <c r="C2" s="715"/>
      <c r="D2" s="69"/>
      <c r="E2" s="16"/>
      <c r="F2" s="16"/>
      <c r="G2" s="16"/>
      <c r="H2" s="16"/>
      <c r="I2" s="16"/>
      <c r="J2" s="66"/>
    </row>
    <row r="3" spans="1:10" ht="20">
      <c r="A3" s="707">
        <f>Reporting_Year</f>
        <v>2022</v>
      </c>
      <c r="B3" s="1056"/>
      <c r="C3" s="1056"/>
      <c r="D3" s="1057"/>
      <c r="E3" s="1054"/>
      <c r="F3" s="1054"/>
      <c r="G3" s="1054"/>
      <c r="H3" s="1054"/>
      <c r="I3" s="1054"/>
      <c r="J3" s="120"/>
    </row>
    <row r="4" spans="1:10" s="2" customFormat="1" ht="12.75" customHeight="1">
      <c r="B4" s="67"/>
      <c r="C4" s="67"/>
      <c r="D4" s="70"/>
    </row>
    <row r="5" spans="1:10" s="2" customFormat="1">
      <c r="B5" s="67"/>
      <c r="C5" s="67"/>
      <c r="D5" s="70"/>
      <c r="E5" s="254" t="str">
        <f>IF(E6&lt;=Reporting_Year,"Actuals","Forecast")</f>
        <v>Actuals</v>
      </c>
      <c r="F5" s="254" t="str">
        <f>IF(F6&lt;=Reporting_Year,"Actuals","Forecast")</f>
        <v>Forecast</v>
      </c>
      <c r="G5" s="254" t="str">
        <f>IF(G6&lt;=Reporting_Year,"Actuals","Forecast")</f>
        <v>Forecast</v>
      </c>
      <c r="H5" s="254" t="str">
        <f>IF(H6&lt;=Reporting_Year,"Actuals","Forecast")</f>
        <v>Forecast</v>
      </c>
      <c r="I5" s="254" t="str">
        <f>IF(I6&lt;=Reporting_Year,"Actuals","Forecast")</f>
        <v>Forecast</v>
      </c>
    </row>
    <row r="6" spans="1:10" s="2" customFormat="1">
      <c r="B6" s="67"/>
      <c r="C6" s="67"/>
      <c r="D6" s="70"/>
      <c r="E6" s="747">
        <f>RIIO_2_start_date</f>
        <v>2022</v>
      </c>
      <c r="F6" s="747">
        <f>E6+1</f>
        <v>2023</v>
      </c>
      <c r="G6" s="747">
        <f>F6+1</f>
        <v>2024</v>
      </c>
      <c r="H6" s="747">
        <f t="shared" ref="H6:I6" si="1">G6+1</f>
        <v>2025</v>
      </c>
      <c r="I6" s="747">
        <f t="shared" si="1"/>
        <v>2026</v>
      </c>
    </row>
    <row r="7" spans="1:10" s="2" customFormat="1">
      <c r="B7" s="483"/>
      <c r="C7" s="483"/>
      <c r="D7" s="76"/>
      <c r="E7" s="43" t="str">
        <f>RIIO_2_start_date-1&amp;"/"&amp;RIGHT(RIIO_2_start_date,2)</f>
        <v>2021/22</v>
      </c>
      <c r="F7" s="43" t="str">
        <f>RIIO_2_start_date&amp;"/"&amp;RIGHT(RIIO_2_start_date+1,2)</f>
        <v>2022/23</v>
      </c>
      <c r="G7" s="43" t="str">
        <f>RIIO_2_start_date+1&amp;"/"&amp;RIGHT(RIIO_2_start_date+2,2)</f>
        <v>2023/24</v>
      </c>
      <c r="H7" s="43" t="str">
        <f>RIIO_2_start_date+2&amp;"/"&amp;RIGHT(RIIO_2_start_date+3,2)</f>
        <v>2024/25</v>
      </c>
      <c r="I7" s="43" t="str">
        <f>RIIO_2_start_date+3&amp;"/"&amp;RIGHT(RIIO_2_start_date+4,2)</f>
        <v>2025/26</v>
      </c>
    </row>
    <row r="8" spans="1:10" s="2" customFormat="1">
      <c r="B8" s="483"/>
      <c r="C8" s="483"/>
      <c r="D8" s="76"/>
      <c r="E8" s="29"/>
      <c r="F8" s="29"/>
      <c r="G8" s="29"/>
      <c r="H8" s="29"/>
      <c r="I8" s="29"/>
    </row>
    <row r="9" spans="1:10" s="2" customFormat="1">
      <c r="B9" s="484" t="s">
        <v>249</v>
      </c>
      <c r="C9" s="484"/>
      <c r="D9" s="74"/>
      <c r="E9" s="41"/>
      <c r="F9" s="41"/>
      <c r="G9" s="41"/>
      <c r="H9" s="41"/>
      <c r="I9" s="41"/>
      <c r="J9" s="42"/>
    </row>
    <row r="10" spans="1:10" s="2" customFormat="1">
      <c r="B10" s="483"/>
      <c r="C10" s="483"/>
      <c r="D10" s="76"/>
      <c r="E10" s="29"/>
      <c r="F10" s="29"/>
      <c r="G10" s="29"/>
      <c r="H10" s="29"/>
      <c r="I10" s="29"/>
    </row>
    <row r="11" spans="1:10" s="2" customFormat="1">
      <c r="B11" s="1164" t="s">
        <v>250</v>
      </c>
      <c r="C11" s="483"/>
      <c r="D11" s="70"/>
    </row>
    <row r="12" spans="1:10" s="2" customFormat="1">
      <c r="B12" s="371"/>
      <c r="C12" s="483"/>
      <c r="D12" s="70"/>
    </row>
    <row r="13" spans="1:10" s="2" customFormat="1">
      <c r="B13" s="485" t="s">
        <v>251</v>
      </c>
      <c r="C13" s="28" t="str">
        <f>IF(Licensee="NGGT (SO)","SORt* x  PIt* / PI2018/19","Rt* x  PIt* / PI2018/19")</f>
        <v>Rt* x  PIt* / PI2018/19</v>
      </c>
      <c r="D13" s="75" t="s">
        <v>252</v>
      </c>
      <c r="E13" s="735">
        <v>268.57236891588599</v>
      </c>
      <c r="F13" s="735"/>
      <c r="G13" s="735"/>
      <c r="H13" s="735"/>
      <c r="I13" s="735"/>
    </row>
    <row r="14" spans="1:10" s="2" customFormat="1">
      <c r="B14" s="485" t="s">
        <v>253</v>
      </c>
      <c r="C14" s="737" t="str">
        <f>IF(Licensee="NGGT (SO)","SOADJt*","ADJt*")</f>
        <v>ADJt*</v>
      </c>
      <c r="D14" s="75" t="s">
        <v>252</v>
      </c>
      <c r="E14" s="735">
        <v>0</v>
      </c>
      <c r="F14" s="735"/>
      <c r="G14" s="735"/>
      <c r="H14" s="735"/>
      <c r="I14" s="735"/>
    </row>
    <row r="15" spans="1:10" s="2" customFormat="1">
      <c r="B15" s="485" t="s">
        <v>254</v>
      </c>
      <c r="C15" s="737" t="str">
        <f>IF(Licensee="NGGT (SO)","SOADJRt*","ADJRt*")</f>
        <v>ADJRt*</v>
      </c>
      <c r="D15" s="75" t="s">
        <v>252</v>
      </c>
      <c r="E15" s="464">
        <f>SUM(E13:E14)</f>
        <v>268.57236891588599</v>
      </c>
      <c r="F15" s="464">
        <f t="shared" ref="F15:I15" si="2">SUM(F13:F14)</f>
        <v>0</v>
      </c>
      <c r="G15" s="464">
        <f t="shared" si="2"/>
        <v>0</v>
      </c>
      <c r="H15" s="464">
        <f t="shared" si="2"/>
        <v>0</v>
      </c>
      <c r="I15" s="464">
        <f t="shared" si="2"/>
        <v>0</v>
      </c>
    </row>
    <row r="16" spans="1:10" s="2" customFormat="1">
      <c r="B16" s="485" t="s">
        <v>255</v>
      </c>
      <c r="C16" s="737" t="str">
        <f>IF(OR(Licensee="ESO",Licensee="NGGT (SO)"),"SOLARt","LARt")</f>
        <v>SOLARt</v>
      </c>
      <c r="D16" s="75" t="s">
        <v>252</v>
      </c>
      <c r="E16" s="735">
        <v>14.382737731781694</v>
      </c>
      <c r="F16" s="735"/>
      <c r="G16" s="735"/>
      <c r="H16" s="735"/>
      <c r="I16" s="735"/>
    </row>
    <row r="17" spans="2:10" s="2" customFormat="1">
      <c r="B17" s="485" t="s">
        <v>256</v>
      </c>
      <c r="C17" s="737" t="str">
        <f>IF(Licensee="NGGT (SO)","SOKt","Kt")</f>
        <v>Kt</v>
      </c>
      <c r="D17" s="75" t="s">
        <v>252</v>
      </c>
      <c r="E17" s="735">
        <v>0</v>
      </c>
      <c r="F17" s="735"/>
      <c r="G17" s="735"/>
      <c r="H17" s="735"/>
      <c r="I17" s="735"/>
    </row>
    <row r="18" spans="2:10" s="2" customFormat="1">
      <c r="B18" s="483" t="s">
        <v>257</v>
      </c>
      <c r="C18" s="483" t="str">
        <f>IF(Licensee="ESO","SOIARt",IF(Licensee="NGGT (SO)","SOARt","ARt"))</f>
        <v>SOIARt</v>
      </c>
      <c r="D18" s="76" t="s">
        <v>252</v>
      </c>
      <c r="E18" s="447">
        <f>SUM(E15:E17)</f>
        <v>282.95510664766766</v>
      </c>
      <c r="F18" s="447">
        <f t="shared" ref="F18:I18" si="3">SUM(F15:F17)</f>
        <v>0</v>
      </c>
      <c r="G18" s="447">
        <f t="shared" si="3"/>
        <v>0</v>
      </c>
      <c r="H18" s="447">
        <f t="shared" si="3"/>
        <v>0</v>
      </c>
      <c r="I18" s="447">
        <f t="shared" si="3"/>
        <v>0</v>
      </c>
    </row>
    <row r="19" spans="2:10" s="2" customFormat="1">
      <c r="B19" s="67"/>
      <c r="C19" s="67"/>
      <c r="D19" s="70"/>
      <c r="E19" s="31"/>
      <c r="F19" s="31"/>
      <c r="G19" s="31"/>
      <c r="H19" s="35"/>
      <c r="I19" s="35"/>
    </row>
    <row r="20" spans="2:10" s="2" customFormat="1">
      <c r="B20" s="67" t="s">
        <v>258</v>
      </c>
      <c r="C20" s="371"/>
      <c r="D20" s="76" t="s">
        <v>252</v>
      </c>
      <c r="E20" s="447">
        <f>IF(ISBLANK(E24),0,E24-E18)</f>
        <v>0</v>
      </c>
      <c r="F20" s="447">
        <f t="shared" ref="F20:I20" si="4">IF(ISBLANK(F24),0,F24-F18)</f>
        <v>0</v>
      </c>
      <c r="G20" s="447">
        <f t="shared" si="4"/>
        <v>0</v>
      </c>
      <c r="H20" s="447">
        <f t="shared" si="4"/>
        <v>0</v>
      </c>
      <c r="I20" s="447">
        <f t="shared" si="4"/>
        <v>0</v>
      </c>
    </row>
    <row r="21" spans="2:10" s="2" customFormat="1">
      <c r="B21" s="67"/>
      <c r="C21" s="67"/>
      <c r="D21" s="70"/>
    </row>
    <row r="22" spans="2:10" s="2" customFormat="1">
      <c r="B22" s="67"/>
      <c r="C22" s="67"/>
      <c r="D22" s="70"/>
    </row>
    <row r="23" spans="2:10" s="2" customFormat="1">
      <c r="B23" s="67"/>
      <c r="C23" s="67"/>
      <c r="D23" s="70"/>
    </row>
    <row r="24" spans="2:10" s="2" customFormat="1">
      <c r="B24" s="371" t="s">
        <v>259</v>
      </c>
      <c r="C24" s="371" t="s">
        <v>260</v>
      </c>
      <c r="D24" s="76" t="s">
        <v>252</v>
      </c>
      <c r="E24" s="735">
        <f>E18</f>
        <v>282.95510664766766</v>
      </c>
      <c r="F24" s="735"/>
      <c r="G24" s="735"/>
      <c r="H24" s="735"/>
      <c r="I24" s="735"/>
    </row>
    <row r="25" spans="2:10" s="2" customFormat="1">
      <c r="B25" s="67"/>
      <c r="C25" s="67"/>
      <c r="D25" s="70"/>
    </row>
    <row r="26" spans="2:10" s="2" customFormat="1">
      <c r="B26" s="371" t="s">
        <v>261</v>
      </c>
      <c r="C26" s="371"/>
      <c r="D26" s="70"/>
      <c r="E26" s="70"/>
      <c r="F26" s="70"/>
      <c r="G26" s="70"/>
      <c r="H26" s="70"/>
      <c r="I26" s="70"/>
      <c r="J26" s="70"/>
    </row>
    <row r="27" spans="2:10" s="2" customFormat="1">
      <c r="B27" s="738" t="s">
        <v>262</v>
      </c>
      <c r="C27" s="738"/>
      <c r="D27" s="76" t="s">
        <v>252</v>
      </c>
      <c r="E27" s="443">
        <v>0</v>
      </c>
      <c r="F27" s="443"/>
      <c r="G27" s="443"/>
      <c r="H27" s="443"/>
      <c r="I27" s="443"/>
    </row>
    <row r="28" spans="2:10" s="2" customFormat="1">
      <c r="B28" s="738" t="s">
        <v>263</v>
      </c>
      <c r="C28" s="738"/>
      <c r="D28" s="76" t="s">
        <v>252</v>
      </c>
      <c r="E28" s="443">
        <v>0</v>
      </c>
      <c r="F28" s="443"/>
      <c r="G28" s="443"/>
      <c r="H28" s="443"/>
      <c r="I28" s="443"/>
    </row>
    <row r="29" spans="2:10" s="2" customFormat="1">
      <c r="B29" s="738" t="s">
        <v>264</v>
      </c>
      <c r="C29" s="738"/>
      <c r="D29" s="76" t="s">
        <v>252</v>
      </c>
      <c r="E29" s="443">
        <v>0</v>
      </c>
      <c r="F29" s="443"/>
      <c r="G29" s="443"/>
      <c r="H29" s="443"/>
      <c r="I29" s="443"/>
    </row>
    <row r="30" spans="2:10" s="2" customFormat="1">
      <c r="B30" s="738" t="s">
        <v>265</v>
      </c>
      <c r="C30" s="738"/>
      <c r="D30" s="76" t="s">
        <v>252</v>
      </c>
      <c r="E30" s="443">
        <v>0</v>
      </c>
      <c r="F30" s="443"/>
      <c r="G30" s="443"/>
      <c r="H30" s="443"/>
      <c r="I30" s="443"/>
    </row>
    <row r="31" spans="2:10" s="2" customFormat="1">
      <c r="B31" s="738" t="s">
        <v>266</v>
      </c>
      <c r="C31" s="738"/>
      <c r="D31" s="76" t="s">
        <v>252</v>
      </c>
      <c r="E31" s="443">
        <v>0</v>
      </c>
      <c r="F31" s="443"/>
      <c r="G31" s="443"/>
      <c r="H31" s="443"/>
      <c r="I31" s="443"/>
    </row>
    <row r="32" spans="2:10" s="2" customFormat="1">
      <c r="B32" s="738" t="s">
        <v>267</v>
      </c>
      <c r="C32" s="738"/>
      <c r="D32" s="76" t="s">
        <v>252</v>
      </c>
      <c r="E32" s="443">
        <v>0</v>
      </c>
      <c r="F32" s="443"/>
      <c r="G32" s="443"/>
      <c r="H32" s="443"/>
      <c r="I32" s="443"/>
    </row>
    <row r="33" spans="2:9" s="2" customFormat="1">
      <c r="B33" s="738" t="s">
        <v>268</v>
      </c>
      <c r="C33" s="738"/>
      <c r="D33" s="76" t="s">
        <v>252</v>
      </c>
      <c r="E33" s="443">
        <v>0</v>
      </c>
      <c r="F33" s="443"/>
      <c r="G33" s="443"/>
      <c r="H33" s="443"/>
      <c r="I33" s="443"/>
    </row>
    <row r="34" spans="2:9" s="2" customFormat="1">
      <c r="B34" s="944" t="s">
        <v>269</v>
      </c>
      <c r="C34" s="944"/>
      <c r="D34" s="76" t="s">
        <v>252</v>
      </c>
      <c r="E34" s="443">
        <v>0</v>
      </c>
      <c r="F34" s="443"/>
      <c r="G34" s="443"/>
      <c r="H34" s="443"/>
      <c r="I34" s="443"/>
    </row>
    <row r="35" spans="2:9" s="2" customFormat="1">
      <c r="B35" s="806" t="s">
        <v>270</v>
      </c>
      <c r="C35" s="736"/>
      <c r="D35" s="76" t="s">
        <v>252</v>
      </c>
      <c r="E35" s="443"/>
      <c r="F35" s="443"/>
      <c r="G35" s="443"/>
      <c r="H35" s="443"/>
      <c r="I35" s="443"/>
    </row>
    <row r="36" spans="2:9" s="2" customFormat="1">
      <c r="B36" s="371" t="s">
        <v>271</v>
      </c>
      <c r="C36" s="371"/>
      <c r="D36" s="76" t="s">
        <v>252</v>
      </c>
      <c r="E36" s="447">
        <f>SUM(E27:E35)</f>
        <v>0</v>
      </c>
      <c r="F36" s="447">
        <f t="shared" ref="F36:I36" si="5">SUM(F27:F35)</f>
        <v>0</v>
      </c>
      <c r="G36" s="447">
        <f t="shared" si="5"/>
        <v>0</v>
      </c>
      <c r="H36" s="447">
        <f t="shared" si="5"/>
        <v>0</v>
      </c>
      <c r="I36" s="447">
        <f t="shared" si="5"/>
        <v>0</v>
      </c>
    </row>
    <row r="37" spans="2:9" s="2" customFormat="1">
      <c r="B37" s="67"/>
      <c r="C37" s="67"/>
      <c r="D37" s="70"/>
    </row>
    <row r="38" spans="2:9" s="2" customFormat="1">
      <c r="B38" s="371" t="s">
        <v>272</v>
      </c>
      <c r="D38" s="371"/>
      <c r="E38" s="946"/>
    </row>
    <row r="39" spans="2:9" s="2" customFormat="1">
      <c r="B39" s="806" t="s">
        <v>273</v>
      </c>
      <c r="C39" s="806"/>
      <c r="D39" s="76" t="s">
        <v>252</v>
      </c>
      <c r="E39" s="443">
        <v>3134.9081578900004</v>
      </c>
      <c r="F39" s="443"/>
      <c r="G39" s="443"/>
      <c r="H39" s="443"/>
      <c r="I39" s="443"/>
    </row>
    <row r="40" spans="2:9" s="2" customFormat="1">
      <c r="B40" s="806" t="s">
        <v>274</v>
      </c>
      <c r="C40" s="806"/>
      <c r="D40" s="76" t="s">
        <v>252</v>
      </c>
      <c r="E40" s="443">
        <v>68.237603469999996</v>
      </c>
      <c r="F40" s="443"/>
      <c r="G40" s="443"/>
      <c r="H40" s="443"/>
      <c r="I40" s="443"/>
    </row>
    <row r="41" spans="2:9" s="2" customFormat="1">
      <c r="B41" s="806" t="s">
        <v>275</v>
      </c>
      <c r="C41" s="806"/>
      <c r="D41" s="76" t="s">
        <v>252</v>
      </c>
      <c r="E41" s="443"/>
      <c r="F41" s="443"/>
      <c r="G41" s="443"/>
      <c r="H41" s="443"/>
      <c r="I41" s="443"/>
    </row>
    <row r="42" spans="2:9" s="2" customFormat="1">
      <c r="B42" s="806" t="s">
        <v>275</v>
      </c>
      <c r="C42" s="806"/>
      <c r="D42" s="76" t="s">
        <v>252</v>
      </c>
      <c r="E42" s="443"/>
      <c r="F42" s="443"/>
      <c r="G42" s="443"/>
      <c r="H42" s="443"/>
      <c r="I42" s="443"/>
    </row>
    <row r="43" spans="2:9" s="2" customFormat="1">
      <c r="B43" s="806" t="s">
        <v>275</v>
      </c>
      <c r="C43" s="806"/>
      <c r="D43" s="76" t="s">
        <v>252</v>
      </c>
      <c r="E43" s="443"/>
      <c r="F43" s="443"/>
      <c r="G43" s="443"/>
      <c r="H43" s="443"/>
      <c r="I43" s="443"/>
    </row>
    <row r="44" spans="2:9" s="2" customFormat="1">
      <c r="B44" s="806" t="s">
        <v>275</v>
      </c>
      <c r="C44" s="806"/>
      <c r="D44" s="76" t="s">
        <v>252</v>
      </c>
      <c r="E44" s="443"/>
      <c r="F44" s="443"/>
      <c r="G44" s="443"/>
      <c r="H44" s="443"/>
      <c r="I44" s="443"/>
    </row>
    <row r="45" spans="2:9" s="2" customFormat="1">
      <c r="B45" s="806" t="s">
        <v>275</v>
      </c>
      <c r="C45" s="806"/>
      <c r="D45" s="76" t="s">
        <v>252</v>
      </c>
      <c r="E45" s="443"/>
      <c r="F45" s="443"/>
      <c r="G45" s="443"/>
      <c r="H45" s="443"/>
      <c r="I45" s="443"/>
    </row>
    <row r="46" spans="2:9" s="2" customFormat="1">
      <c r="B46" s="806" t="s">
        <v>275</v>
      </c>
      <c r="C46" s="806"/>
      <c r="D46" s="76" t="s">
        <v>252</v>
      </c>
      <c r="E46" s="443"/>
      <c r="F46" s="443"/>
      <c r="G46" s="443"/>
      <c r="H46" s="443"/>
      <c r="I46" s="443"/>
    </row>
    <row r="47" spans="2:9" s="2" customFormat="1">
      <c r="B47" s="806" t="s">
        <v>275</v>
      </c>
      <c r="C47" s="806"/>
      <c r="D47" s="76" t="s">
        <v>252</v>
      </c>
      <c r="E47" s="443"/>
      <c r="F47" s="443"/>
      <c r="G47" s="443"/>
      <c r="H47" s="443"/>
      <c r="I47" s="443"/>
    </row>
    <row r="48" spans="2:9" s="2" customFormat="1">
      <c r="B48" s="806" t="s">
        <v>275</v>
      </c>
      <c r="C48" s="806"/>
      <c r="D48" s="76" t="s">
        <v>252</v>
      </c>
      <c r="E48" s="443"/>
      <c r="F48" s="443"/>
      <c r="G48" s="443"/>
      <c r="H48" s="443"/>
      <c r="I48" s="443"/>
    </row>
    <row r="49" spans="1:14" s="2" customFormat="1">
      <c r="B49" s="806" t="s">
        <v>275</v>
      </c>
      <c r="C49" s="806"/>
      <c r="D49" s="76" t="s">
        <v>252</v>
      </c>
      <c r="E49" s="443"/>
      <c r="F49" s="443"/>
      <c r="G49" s="443"/>
      <c r="H49" s="443"/>
      <c r="I49" s="443"/>
    </row>
    <row r="50" spans="1:14" s="2" customFormat="1">
      <c r="B50" s="806" t="s">
        <v>275</v>
      </c>
      <c r="C50" s="806"/>
      <c r="D50" s="76" t="s">
        <v>252</v>
      </c>
      <c r="E50" s="443"/>
      <c r="F50" s="443"/>
      <c r="G50" s="443"/>
      <c r="H50" s="443"/>
      <c r="I50" s="443"/>
    </row>
    <row r="51" spans="1:14" s="2" customFormat="1">
      <c r="B51" s="806" t="s">
        <v>275</v>
      </c>
      <c r="C51" s="806"/>
      <c r="D51" s="76" t="s">
        <v>252</v>
      </c>
      <c r="E51" s="443"/>
      <c r="F51" s="443"/>
      <c r="G51" s="443"/>
      <c r="H51" s="443"/>
      <c r="I51" s="443"/>
    </row>
    <row r="52" spans="1:14" s="2" customFormat="1">
      <c r="B52" s="806" t="s">
        <v>275</v>
      </c>
      <c r="C52" s="806"/>
      <c r="D52" s="76" t="s">
        <v>252</v>
      </c>
      <c r="E52" s="443"/>
      <c r="F52" s="443"/>
      <c r="G52" s="443"/>
      <c r="H52" s="443"/>
      <c r="I52" s="443"/>
    </row>
    <row r="53" spans="1:14" s="2" customFormat="1">
      <c r="B53" s="806" t="s">
        <v>275</v>
      </c>
      <c r="C53" s="806"/>
      <c r="D53" s="76" t="s">
        <v>252</v>
      </c>
      <c r="E53" s="443"/>
      <c r="F53" s="443"/>
      <c r="G53" s="443"/>
      <c r="H53" s="443"/>
      <c r="I53" s="443"/>
    </row>
    <row r="54" spans="1:14" s="2" customFormat="1">
      <c r="B54" s="806" t="s">
        <v>275</v>
      </c>
      <c r="C54" s="806"/>
      <c r="D54" s="76" t="s">
        <v>252</v>
      </c>
      <c r="E54" s="443"/>
      <c r="F54" s="443"/>
      <c r="G54" s="443"/>
      <c r="H54" s="443"/>
      <c r="I54" s="443"/>
    </row>
    <row r="55" spans="1:14" s="2" customFormat="1">
      <c r="B55" s="371" t="s">
        <v>276</v>
      </c>
      <c r="C55" s="371"/>
      <c r="D55" s="76" t="s">
        <v>252</v>
      </c>
      <c r="E55" s="447">
        <f t="shared" ref="E55:I55" si="6">SUM(E39:E54)</f>
        <v>3203.1457613600005</v>
      </c>
      <c r="F55" s="447">
        <f t="shared" si="6"/>
        <v>0</v>
      </c>
      <c r="G55" s="447">
        <f t="shared" si="6"/>
        <v>0</v>
      </c>
      <c r="H55" s="447">
        <f t="shared" si="6"/>
        <v>0</v>
      </c>
      <c r="I55" s="447">
        <f t="shared" si="6"/>
        <v>0</v>
      </c>
    </row>
    <row r="56" spans="1:14" s="2" customFormat="1">
      <c r="B56" s="67"/>
      <c r="C56" s="67"/>
      <c r="D56" s="70"/>
      <c r="E56" s="32"/>
      <c r="F56" s="32"/>
      <c r="G56" s="32"/>
      <c r="H56" s="32"/>
      <c r="I56" s="32"/>
    </row>
    <row r="57" spans="1:14" s="2" customFormat="1">
      <c r="B57" s="705" t="s">
        <v>277</v>
      </c>
      <c r="C57" s="705"/>
      <c r="D57" s="76" t="s">
        <v>252</v>
      </c>
      <c r="E57" s="447">
        <f t="shared" ref="E57:I57" si="7">E24+E36+E55</f>
        <v>3486.1008680076684</v>
      </c>
      <c r="F57" s="447">
        <f t="shared" si="7"/>
        <v>0</v>
      </c>
      <c r="G57" s="447">
        <f t="shared" si="7"/>
        <v>0</v>
      </c>
      <c r="H57" s="447">
        <f t="shared" si="7"/>
        <v>0</v>
      </c>
      <c r="I57" s="447">
        <f t="shared" si="7"/>
        <v>0</v>
      </c>
    </row>
    <row r="58" spans="1:14" s="2" customFormat="1">
      <c r="B58" s="778" t="s">
        <v>278</v>
      </c>
      <c r="C58" s="778"/>
      <c r="D58" s="76" t="s">
        <v>252</v>
      </c>
      <c r="E58" s="443">
        <v>3486.1</v>
      </c>
      <c r="F58" s="443"/>
      <c r="G58" s="443"/>
      <c r="H58" s="443"/>
      <c r="I58" s="443"/>
    </row>
    <row r="59" spans="1:14" s="2" customFormat="1">
      <c r="B59" s="67" t="s">
        <v>279</v>
      </c>
      <c r="C59" s="67"/>
      <c r="D59" s="70"/>
      <c r="E59" s="61" t="str">
        <f>IF(ABS(E57-E58)&lt;Data!$F$7,"OK","Error")</f>
        <v>OK</v>
      </c>
      <c r="F59" s="61" t="str">
        <f>IF(ABS(F57-F58)&lt;Data!$F$7,"OK","Error")</f>
        <v>OK</v>
      </c>
      <c r="G59" s="61" t="str">
        <f>IF(ABS(G57-G58)&lt;Data!$F$7,"OK","Error")</f>
        <v>OK</v>
      </c>
      <c r="H59" s="61" t="str">
        <f>IF(ABS(H57-H58)&lt;Data!$F$7,"OK","Error")</f>
        <v>OK</v>
      </c>
      <c r="I59" s="61" t="str">
        <f>IF(ABS(I57-I58)&lt;Data!$F$7,"OK","Error")</f>
        <v>OK</v>
      </c>
    </row>
    <row r="60" spans="1:14" s="2" customFormat="1">
      <c r="B60" s="67"/>
      <c r="C60" s="67"/>
      <c r="D60" s="70"/>
      <c r="E60" s="27"/>
      <c r="F60" s="27"/>
      <c r="G60" s="27"/>
      <c r="H60" s="27"/>
      <c r="I60" s="27"/>
    </row>
    <row r="61" spans="1:14" s="2" customFormat="1">
      <c r="B61" s="67"/>
      <c r="C61" s="67"/>
      <c r="D61" s="70"/>
    </row>
    <row r="62" spans="1:14" s="2" customFormat="1">
      <c r="B62" s="67"/>
      <c r="C62" s="67"/>
      <c r="D62" s="70"/>
    </row>
    <row r="63" spans="1:14" s="2" customFormat="1">
      <c r="B63" s="484" t="s">
        <v>280</v>
      </c>
      <c r="C63" s="484"/>
      <c r="D63" s="74"/>
      <c r="E63" s="41"/>
      <c r="F63" s="41"/>
      <c r="G63" s="41"/>
      <c r="H63" s="41"/>
      <c r="I63" s="41"/>
      <c r="J63" s="42"/>
    </row>
    <row r="64" spans="1:14" s="2" customFormat="1">
      <c r="A64"/>
      <c r="B64" s="89"/>
      <c r="C64" s="89"/>
      <c r="D64" s="70"/>
      <c r="E64"/>
      <c r="F64"/>
      <c r="G64"/>
      <c r="H64"/>
      <c r="I64"/>
      <c r="J64"/>
      <c r="K64"/>
      <c r="L64"/>
      <c r="M64"/>
      <c r="N64"/>
    </row>
    <row r="65" spans="1:14" s="2" customFormat="1">
      <c r="A65"/>
      <c r="B65" s="89"/>
      <c r="C65" s="89"/>
      <c r="D65" s="70"/>
      <c r="E65" s="254" t="str">
        <f>IF(E$6&lt;=Reporting_Year,"Actuals","N/A")</f>
        <v>Actuals</v>
      </c>
      <c r="F65" s="254" t="str">
        <f>IF(F$6&lt;=Reporting_Year,"Actuals","N/A")</f>
        <v>N/A</v>
      </c>
      <c r="G65" s="254" t="str">
        <f>IF(G$6&lt;=Reporting_Year,"Actuals","N/A")</f>
        <v>N/A</v>
      </c>
      <c r="H65" s="254" t="str">
        <f>IF(H$6&lt;=Reporting_Year,"Actuals","N/A")</f>
        <v>N/A</v>
      </c>
      <c r="I65" s="254" t="str">
        <f>IF(I$6&lt;=Reporting_Year,"Actuals","N/A")</f>
        <v>N/A</v>
      </c>
      <c r="J65"/>
      <c r="K65"/>
      <c r="L65"/>
      <c r="M65"/>
      <c r="N65"/>
    </row>
    <row r="66" spans="1:14" s="2" customFormat="1">
      <c r="A66"/>
      <c r="B66" s="89"/>
      <c r="C66" s="89"/>
      <c r="D66" s="70"/>
      <c r="E66"/>
      <c r="F66"/>
      <c r="G66"/>
      <c r="H66"/>
      <c r="I66"/>
      <c r="J66"/>
      <c r="K66"/>
      <c r="L66"/>
      <c r="M66"/>
      <c r="N66"/>
    </row>
    <row r="67" spans="1:14" s="2" customFormat="1">
      <c r="A67"/>
      <c r="B67" s="131" t="s">
        <v>281</v>
      </c>
      <c r="C67" s="89"/>
      <c r="D67" s="76" t="s">
        <v>252</v>
      </c>
      <c r="E67" s="991">
        <f>E58</f>
        <v>3486.1</v>
      </c>
      <c r="F67" s="991">
        <f t="shared" ref="F67:I67" si="8">F58</f>
        <v>0</v>
      </c>
      <c r="G67" s="991">
        <f t="shared" si="8"/>
        <v>0</v>
      </c>
      <c r="H67" s="991">
        <f t="shared" si="8"/>
        <v>0</v>
      </c>
      <c r="I67" s="991">
        <f t="shared" si="8"/>
        <v>0</v>
      </c>
      <c r="J67"/>
      <c r="K67"/>
      <c r="L67"/>
      <c r="M67"/>
      <c r="N67"/>
    </row>
    <row r="68" spans="1:14" s="2" customFormat="1">
      <c r="A68"/>
      <c r="B68" s="2" t="s">
        <v>282</v>
      </c>
      <c r="C68" s="89"/>
      <c r="D68" s="76" t="s">
        <v>252</v>
      </c>
      <c r="E68" s="991">
        <f>E24</f>
        <v>282.95510664766766</v>
      </c>
      <c r="F68" s="991">
        <f t="shared" ref="F68:I68" si="9">F24</f>
        <v>0</v>
      </c>
      <c r="G68" s="991">
        <f t="shared" si="9"/>
        <v>0</v>
      </c>
      <c r="H68" s="991">
        <f t="shared" si="9"/>
        <v>0</v>
      </c>
      <c r="I68" s="991">
        <f t="shared" si="9"/>
        <v>0</v>
      </c>
      <c r="J68"/>
      <c r="K68"/>
      <c r="L68"/>
      <c r="M68"/>
      <c r="N68"/>
    </row>
    <row r="69" spans="1:14" s="2" customFormat="1">
      <c r="A69"/>
      <c r="B69" s="778"/>
      <c r="C69" s="89"/>
      <c r="D69" s="76"/>
      <c r="E69" s="779"/>
      <c r="F69" s="779"/>
      <c r="G69" s="779"/>
      <c r="H69"/>
      <c r="I69"/>
      <c r="J69"/>
      <c r="K69"/>
      <c r="L69"/>
      <c r="M69"/>
      <c r="N69"/>
    </row>
    <row r="70" spans="1:14">
      <c r="B70" s="1097"/>
    </row>
    <row r="71" spans="1:14">
      <c r="B71" s="131" t="s">
        <v>283</v>
      </c>
      <c r="D71" s="76" t="s">
        <v>252</v>
      </c>
      <c r="E71" s="1303">
        <f>'R3 - Totex - Reconciliation'!D122-E83</f>
        <v>3382.35740842</v>
      </c>
      <c r="F71" s="991">
        <f>'R3 - Totex - Reconciliation'!E122</f>
        <v>0</v>
      </c>
      <c r="G71" s="991">
        <f>'R3 - Totex - Reconciliation'!F122</f>
        <v>0</v>
      </c>
      <c r="H71" s="991">
        <f>'R3 - Totex - Reconciliation'!G122</f>
        <v>0</v>
      </c>
      <c r="I71" s="991">
        <f>'R3 - Totex - Reconciliation'!H122</f>
        <v>0</v>
      </c>
    </row>
    <row r="72" spans="1:14">
      <c r="B72" s="7" t="s">
        <v>284</v>
      </c>
      <c r="D72"/>
    </row>
    <row r="73" spans="1:14" ht="8.15" customHeight="1">
      <c r="B73"/>
      <c r="D73"/>
    </row>
    <row r="74" spans="1:14" ht="12.65" customHeight="1">
      <c r="B74" s="2" t="s">
        <v>285</v>
      </c>
      <c r="D74" s="76" t="s">
        <v>252</v>
      </c>
      <c r="E74" s="1147">
        <f>'R3 - Totex - Reconciliation'!D134</f>
        <v>-3208.5905730999998</v>
      </c>
      <c r="F74" s="1147">
        <f>'R3 - Totex - Reconciliation'!E134</f>
        <v>0</v>
      </c>
      <c r="G74" s="1147">
        <f>'R3 - Totex - Reconciliation'!F134</f>
        <v>0</v>
      </c>
      <c r="H74" s="1147">
        <f>'R3 - Totex - Reconciliation'!G134</f>
        <v>0</v>
      </c>
      <c r="I74" s="1147">
        <f>'R3 - Totex - Reconciliation'!H134</f>
        <v>0</v>
      </c>
    </row>
    <row r="75" spans="1:14">
      <c r="B75" t="s">
        <v>286</v>
      </c>
      <c r="D75" s="76" t="s">
        <v>252</v>
      </c>
      <c r="E75" s="443">
        <v>5.6189086832475388</v>
      </c>
      <c r="F75" s="443"/>
      <c r="G75" s="443"/>
      <c r="H75" s="443"/>
      <c r="I75" s="443"/>
    </row>
    <row r="76" spans="1:14" ht="5.15" customHeight="1">
      <c r="B76"/>
      <c r="D76" s="89"/>
      <c r="E76" s="89"/>
      <c r="F76" s="89"/>
      <c r="G76" s="89"/>
      <c r="H76" s="89"/>
      <c r="I76" s="89"/>
      <c r="J76" s="89"/>
      <c r="L76" s="89"/>
      <c r="M76" s="89"/>
    </row>
    <row r="77" spans="1:14">
      <c r="B77" s="2" t="s">
        <v>287</v>
      </c>
      <c r="D77" s="76" t="s">
        <v>252</v>
      </c>
      <c r="E77" s="1304">
        <f>'R3 - Totex - Reconciliation'!D122+'R3 - Totex - Reconciliation'!D134+E75-E83</f>
        <v>179.38574400324771</v>
      </c>
      <c r="F77" s="1159">
        <f>'R3 - Totex - Reconciliation'!E122+'R3 - Totex - Reconciliation'!E134+F75</f>
        <v>0</v>
      </c>
      <c r="G77" s="1159">
        <f>'R3 - Totex - Reconciliation'!F122+'R3 - Totex - Reconciliation'!F134+G75</f>
        <v>0</v>
      </c>
      <c r="H77" s="1159">
        <f>'R3 - Totex - Reconciliation'!G122+'R3 - Totex - Reconciliation'!G134+H75</f>
        <v>0</v>
      </c>
      <c r="I77" s="1159">
        <f>'R3 - Totex - Reconciliation'!H122+'R3 - Totex - Reconciliation'!H134+I75</f>
        <v>0</v>
      </c>
    </row>
    <row r="78" spans="1:14">
      <c r="B78" s="1317" t="s">
        <v>288</v>
      </c>
      <c r="D78" s="76" t="s">
        <v>252</v>
      </c>
      <c r="E78" s="1015" t="str">
        <f>IF(ABS(E77-SUM(E71,E74))&lt;=materiality_threshold,"ok","error")</f>
        <v>error</v>
      </c>
      <c r="F78" s="1015" t="str">
        <f>IF(ABS(F77-SUM(F71,F74))&lt;=materiality_threshold,"ok","error")</f>
        <v>ok</v>
      </c>
      <c r="G78" s="1015" t="str">
        <f>IF(ABS(G77-SUM(G71,G74))&lt;=materiality_threshold,"ok","error")</f>
        <v>ok</v>
      </c>
      <c r="H78" s="1015" t="str">
        <f>IF(ABS(H77-SUM(H71,H74))&lt;=materiality_threshold,"ok","error")</f>
        <v>ok</v>
      </c>
      <c r="I78" s="1015" t="str">
        <f>IF(ABS(I77-SUM(I71,I74))&lt;=materiality_threshold,"ok","error")</f>
        <v>ok</v>
      </c>
    </row>
    <row r="79" spans="1:14">
      <c r="B79"/>
      <c r="D79" s="76"/>
      <c r="E79" s="76"/>
      <c r="F79" s="76"/>
      <c r="G79" s="76"/>
      <c r="H79" s="76"/>
      <c r="I79" s="76"/>
    </row>
    <row r="80" spans="1:14">
      <c r="B80" s="131" t="s">
        <v>289</v>
      </c>
      <c r="D80" s="76" t="s">
        <v>252</v>
      </c>
      <c r="E80" s="1100">
        <f>E67-E71</f>
        <v>103.74259157999995</v>
      </c>
      <c r="F80" s="1100">
        <f>F67-F71</f>
        <v>0</v>
      </c>
      <c r="G80" s="1100">
        <f>G67-G71</f>
        <v>0</v>
      </c>
      <c r="H80" s="1100">
        <f>H67-H71</f>
        <v>0</v>
      </c>
      <c r="I80" s="1100">
        <f>I67-I71</f>
        <v>0</v>
      </c>
    </row>
    <row r="81" spans="2:12">
      <c r="B81" s="769" t="s">
        <v>290</v>
      </c>
      <c r="D81" s="76" t="s">
        <v>252</v>
      </c>
      <c r="E81" s="1100">
        <f>E68-E77</f>
        <v>103.56936264441995</v>
      </c>
      <c r="F81" s="1100">
        <f>F68-F77</f>
        <v>0</v>
      </c>
      <c r="G81" s="1100">
        <f>G68-G77</f>
        <v>0</v>
      </c>
      <c r="H81" s="1100">
        <f>H68-H77</f>
        <v>0</v>
      </c>
      <c r="I81" s="1100">
        <f>I68-I77</f>
        <v>0</v>
      </c>
    </row>
    <row r="83" spans="2:12">
      <c r="B83" s="131" t="s">
        <v>291</v>
      </c>
      <c r="D83" s="76" t="s">
        <v>252</v>
      </c>
      <c r="E83" s="1305">
        <v>82.642591580000015</v>
      </c>
      <c r="F83" s="443"/>
      <c r="G83" s="443"/>
      <c r="H83" s="443"/>
      <c r="I83" s="443"/>
    </row>
    <row r="84" spans="2:12" ht="16" customHeight="1">
      <c r="B84" s="7" t="s">
        <v>284</v>
      </c>
    </row>
    <row r="85" spans="2:12" ht="22" customHeight="1">
      <c r="B85" t="s">
        <v>292</v>
      </c>
      <c r="D85"/>
    </row>
    <row r="86" spans="2:12">
      <c r="B86" s="67" t="s">
        <v>293</v>
      </c>
      <c r="D86" s="76" t="s">
        <v>252</v>
      </c>
      <c r="E86" s="1010">
        <v>0</v>
      </c>
      <c r="F86" s="1010"/>
      <c r="G86" s="1010"/>
      <c r="H86" s="1010"/>
      <c r="I86" s="1010"/>
    </row>
    <row r="87" spans="2:12">
      <c r="B87" s="1208" t="s">
        <v>294</v>
      </c>
      <c r="D87" s="76" t="s">
        <v>252</v>
      </c>
      <c r="E87" s="443"/>
      <c r="F87" s="443"/>
      <c r="G87" s="443"/>
      <c r="H87" s="443"/>
      <c r="I87" s="443"/>
    </row>
    <row r="88" spans="2:12">
      <c r="B88" s="67" t="s">
        <v>295</v>
      </c>
      <c r="D88" s="76" t="s">
        <v>252</v>
      </c>
      <c r="E88" s="1058">
        <f>SUM(E86:E87)</f>
        <v>0</v>
      </c>
      <c r="F88" s="1058">
        <f t="shared" ref="F88:I88" si="10">SUM(F86:F87)</f>
        <v>0</v>
      </c>
      <c r="G88" s="1058">
        <f t="shared" si="10"/>
        <v>0</v>
      </c>
      <c r="H88" s="1058">
        <f t="shared" si="10"/>
        <v>0</v>
      </c>
      <c r="I88" s="1058">
        <f t="shared" si="10"/>
        <v>0</v>
      </c>
    </row>
    <row r="89" spans="2:12" ht="5.15" customHeight="1">
      <c r="B89" s="67"/>
      <c r="D89" s="76"/>
      <c r="E89" s="76"/>
      <c r="F89" s="76"/>
      <c r="G89" s="76"/>
      <c r="H89" s="76"/>
      <c r="I89" s="76"/>
      <c r="L89" s="76"/>
    </row>
    <row r="90" spans="2:12">
      <c r="B90" s="2" t="s">
        <v>296</v>
      </c>
      <c r="D90" s="76" t="s">
        <v>252</v>
      </c>
      <c r="E90" s="1012">
        <f>E83-E88</f>
        <v>82.642591580000015</v>
      </c>
      <c r="F90" s="1012">
        <f t="shared" ref="F90:I90" si="11">F83-F88</f>
        <v>0</v>
      </c>
      <c r="G90" s="1012">
        <f t="shared" si="11"/>
        <v>0</v>
      </c>
      <c r="H90" s="1012">
        <f t="shared" si="11"/>
        <v>0</v>
      </c>
      <c r="I90" s="1012">
        <f t="shared" si="11"/>
        <v>0</v>
      </c>
    </row>
    <row r="91" spans="2:12">
      <c r="B91"/>
      <c r="C91"/>
      <c r="D91"/>
    </row>
    <row r="92" spans="2:12">
      <c r="B92" s="1281" t="s">
        <v>297</v>
      </c>
      <c r="C92" s="1107"/>
      <c r="D92" s="1108" t="s">
        <v>252</v>
      </c>
      <c r="E92" s="464">
        <f>E80-E83</f>
        <v>21.099999999999937</v>
      </c>
      <c r="F92" s="464">
        <f t="shared" ref="F92:I92" si="12">F80-F83</f>
        <v>0</v>
      </c>
      <c r="G92" s="464">
        <f t="shared" si="12"/>
        <v>0</v>
      </c>
      <c r="H92" s="464">
        <f t="shared" si="12"/>
        <v>0</v>
      </c>
      <c r="I92" s="464">
        <f t="shared" si="12"/>
        <v>0</v>
      </c>
    </row>
    <row r="93" spans="2:12">
      <c r="B93" s="1102" t="s">
        <v>298</v>
      </c>
      <c r="D93" s="76" t="s">
        <v>252</v>
      </c>
      <c r="E93" s="1012">
        <f>E81-E90</f>
        <v>20.926771064419938</v>
      </c>
      <c r="F93" s="1012">
        <f t="shared" ref="F93:I93" si="13">F81-F90</f>
        <v>0</v>
      </c>
      <c r="G93" s="1012">
        <f t="shared" si="13"/>
        <v>0</v>
      </c>
      <c r="H93" s="1012">
        <f t="shared" si="13"/>
        <v>0</v>
      </c>
      <c r="I93" s="1012">
        <f t="shared" si="13"/>
        <v>0</v>
      </c>
    </row>
    <row r="94" spans="2:12">
      <c r="B94" s="1102"/>
      <c r="D94" s="76"/>
      <c r="E94" s="993"/>
      <c r="F94" s="993"/>
      <c r="G94" s="993"/>
      <c r="H94" s="993"/>
      <c r="I94" s="1013"/>
    </row>
    <row r="95" spans="2:12">
      <c r="B95" s="1103" t="s">
        <v>299</v>
      </c>
      <c r="D95" s="76" t="s">
        <v>252</v>
      </c>
      <c r="E95" s="992">
        <f>'R5 - Financing'!D9</f>
        <v>0.6749180899999998</v>
      </c>
      <c r="F95" s="992">
        <f>'R5 - Financing'!E9</f>
        <v>1.1857912399999999</v>
      </c>
      <c r="G95" s="992">
        <f>'R5 - Financing'!F9</f>
        <v>1.1857912399999999</v>
      </c>
      <c r="H95" s="992">
        <f>'R5 - Financing'!G9</f>
        <v>1.1857912399999999</v>
      </c>
      <c r="I95" s="992">
        <f>'R5 - Financing'!H9</f>
        <v>1.1857912399999999</v>
      </c>
    </row>
    <row r="96" spans="2:12">
      <c r="B96" s="1104" t="s">
        <v>300</v>
      </c>
      <c r="D96" s="76" t="s">
        <v>252</v>
      </c>
      <c r="E96" s="992">
        <f>'R5 - Financing'!D29</f>
        <v>1.1857912399999999</v>
      </c>
      <c r="F96" s="992">
        <f>'R5 - Financing'!E29</f>
        <v>1.1857912399999999</v>
      </c>
      <c r="G96" s="992">
        <f>'R5 - Financing'!F29</f>
        <v>1.1857912399999999</v>
      </c>
      <c r="H96" s="992">
        <f>'R5 - Financing'!G29</f>
        <v>1.1857912399999999</v>
      </c>
      <c r="I96" s="992">
        <f>'R5 - Financing'!H29</f>
        <v>1.1857912399999999</v>
      </c>
    </row>
    <row r="97" spans="2:9">
      <c r="B97" s="1099" t="s">
        <v>288</v>
      </c>
      <c r="D97" s="76" t="s">
        <v>252</v>
      </c>
      <c r="E97" s="1012">
        <f>E95-E96</f>
        <v>-0.51087315000000011</v>
      </c>
      <c r="F97" s="1012">
        <f t="shared" ref="F97" si="14">F95-F96</f>
        <v>0</v>
      </c>
      <c r="G97" s="1012">
        <f t="shared" ref="G97" si="15">G95-G96</f>
        <v>0</v>
      </c>
      <c r="H97" s="1012">
        <f t="shared" ref="H97" si="16">H95-H96</f>
        <v>0</v>
      </c>
      <c r="I97" s="1105">
        <f t="shared" ref="I97" si="17">I95-I96</f>
        <v>0</v>
      </c>
    </row>
    <row r="98" spans="2:9">
      <c r="B98" s="1102"/>
      <c r="D98" s="76"/>
      <c r="E98" s="993"/>
      <c r="F98" s="993"/>
      <c r="G98" s="993"/>
      <c r="H98" s="993"/>
      <c r="I98" s="1013"/>
    </row>
    <row r="99" spans="2:9">
      <c r="B99" s="1103" t="s">
        <v>301</v>
      </c>
      <c r="D99" s="76" t="s">
        <v>252</v>
      </c>
      <c r="E99" s="443">
        <v>7</v>
      </c>
      <c r="F99" s="443"/>
      <c r="G99" s="443"/>
      <c r="H99" s="443"/>
      <c r="I99" s="443"/>
    </row>
    <row r="100" spans="2:9">
      <c r="B100" s="1103" t="s">
        <v>302</v>
      </c>
      <c r="D100" s="76" t="s">
        <v>252</v>
      </c>
      <c r="E100" s="443">
        <v>7</v>
      </c>
      <c r="F100" s="443"/>
      <c r="G100" s="443"/>
      <c r="H100" s="443"/>
      <c r="I100" s="443"/>
    </row>
    <row r="101" spans="2:9">
      <c r="B101" s="1103" t="s">
        <v>303</v>
      </c>
      <c r="D101" s="76" t="s">
        <v>252</v>
      </c>
      <c r="E101" s="464">
        <f>SUM(E99:E100)</f>
        <v>14</v>
      </c>
      <c r="F101" s="464">
        <f t="shared" ref="F101:I101" si="18">SUM(F99:F100)</f>
        <v>0</v>
      </c>
      <c r="G101" s="464">
        <f t="shared" si="18"/>
        <v>0</v>
      </c>
      <c r="H101" s="464">
        <f t="shared" si="18"/>
        <v>0</v>
      </c>
      <c r="I101" s="464">
        <f t="shared" si="18"/>
        <v>0</v>
      </c>
    </row>
    <row r="102" spans="2:9">
      <c r="B102" s="1104" t="s">
        <v>304</v>
      </c>
      <c r="D102" s="76" t="s">
        <v>252</v>
      </c>
      <c r="E102" s="992">
        <f>Adjusted_regulated_tax_liability</f>
        <v>5.9371481266330175</v>
      </c>
      <c r="F102" s="992">
        <f>Adjusted_regulated_tax_liability</f>
        <v>11.499102672517532</v>
      </c>
      <c r="G102" s="992">
        <f>Adjusted_regulated_tax_liability</f>
        <v>8.2387165794254749</v>
      </c>
      <c r="H102" s="992">
        <f>Adjusted_regulated_tax_liability</f>
        <v>8.2676510568632011</v>
      </c>
      <c r="I102" s="992">
        <f>Adjusted_regulated_tax_liability</f>
        <v>7.1101050821386211</v>
      </c>
    </row>
    <row r="103" spans="2:9">
      <c r="B103" s="1315" t="s">
        <v>288</v>
      </c>
      <c r="D103" s="76" t="s">
        <v>252</v>
      </c>
      <c r="E103" s="1012">
        <f>+E101-E102</f>
        <v>8.0628518733669825</v>
      </c>
      <c r="F103" s="1012">
        <f t="shared" ref="F103:I103" si="19">+F101-F102</f>
        <v>-11.499102672517532</v>
      </c>
      <c r="G103" s="1012">
        <f t="shared" si="19"/>
        <v>-8.2387165794254749</v>
      </c>
      <c r="H103" s="1012">
        <f t="shared" si="19"/>
        <v>-8.2676510568632011</v>
      </c>
      <c r="I103" s="1012">
        <f t="shared" si="19"/>
        <v>-7.1101050821386211</v>
      </c>
    </row>
    <row r="104" spans="2:9">
      <c r="B104" s="1011"/>
      <c r="D104" s="76"/>
      <c r="E104" s="993"/>
      <c r="F104" s="993"/>
      <c r="G104" s="993"/>
      <c r="H104" s="993"/>
      <c r="I104" s="1013"/>
    </row>
    <row r="105" spans="2:9">
      <c r="B105" s="1014" t="s">
        <v>305</v>
      </c>
      <c r="D105" s="76" t="s">
        <v>252</v>
      </c>
      <c r="E105" s="464">
        <f>IFERROR(E92-E95-E99,0)</f>
        <v>13.425081909999939</v>
      </c>
      <c r="F105" s="464">
        <f t="shared" ref="F105:I105" si="20">IFERROR(F92-F95-F99,0)</f>
        <v>-1.1857912399999999</v>
      </c>
      <c r="G105" s="464">
        <f t="shared" si="20"/>
        <v>-1.1857912399999999</v>
      </c>
      <c r="H105" s="464">
        <f t="shared" si="20"/>
        <v>-1.1857912399999999</v>
      </c>
      <c r="I105" s="464">
        <f t="shared" si="20"/>
        <v>-1.1857912399999999</v>
      </c>
    </row>
    <row r="106" spans="2:9">
      <c r="B106" s="1101" t="s">
        <v>306</v>
      </c>
      <c r="D106" s="76" t="s">
        <v>252</v>
      </c>
      <c r="E106" s="464">
        <f>IFERROR(E93-E96-E102,0)</f>
        <v>13.80383169778692</v>
      </c>
      <c r="F106" s="464">
        <f t="shared" ref="F106:I106" si="21">IFERROR(F93-F96-F102,0)</f>
        <v>-12.684893912517532</v>
      </c>
      <c r="G106" s="464">
        <f t="shared" si="21"/>
        <v>-9.4245078194254752</v>
      </c>
      <c r="H106" s="464">
        <f t="shared" si="21"/>
        <v>-9.4534422968632015</v>
      </c>
      <c r="I106" s="464">
        <f t="shared" si="21"/>
        <v>-8.2958963221386206</v>
      </c>
    </row>
    <row r="107" spans="2:9">
      <c r="B107" s="1099" t="s">
        <v>288</v>
      </c>
      <c r="D107" s="76" t="s">
        <v>252</v>
      </c>
      <c r="E107" s="1012">
        <f>IFERROR(E105-E106,0)</f>
        <v>-0.37874978778698143</v>
      </c>
      <c r="F107" s="1012">
        <f t="shared" ref="F107:I107" si="22">IFERROR(F105-F106,0)</f>
        <v>11.499102672517532</v>
      </c>
      <c r="G107" s="1012">
        <f t="shared" si="22"/>
        <v>8.2387165794254749</v>
      </c>
      <c r="H107" s="1012">
        <f t="shared" si="22"/>
        <v>8.2676510568632011</v>
      </c>
      <c r="I107" s="1012">
        <f t="shared" si="22"/>
        <v>7.1101050821386202</v>
      </c>
    </row>
    <row r="108" spans="2:9">
      <c r="B108" s="1011"/>
      <c r="C108"/>
      <c r="D108"/>
      <c r="I108" s="791"/>
    </row>
    <row r="109" spans="2:9">
      <c r="B109" s="1016"/>
      <c r="C109" s="1017"/>
      <c r="D109" s="1018"/>
      <c r="E109" s="1019"/>
      <c r="F109" s="1018"/>
      <c r="G109" s="1018"/>
      <c r="H109" s="1018"/>
      <c r="I109" s="1020"/>
    </row>
    <row r="110" spans="2:9">
      <c r="B110"/>
      <c r="D110"/>
    </row>
    <row r="111" spans="2:9">
      <c r="B111"/>
      <c r="C111"/>
      <c r="D111"/>
    </row>
    <row r="112" spans="2:9">
      <c r="B112" s="780"/>
      <c r="D112"/>
    </row>
    <row r="113" spans="2:9">
      <c r="B113" s="6" t="s">
        <v>307</v>
      </c>
      <c r="C113"/>
      <c r="D113"/>
    </row>
    <row r="114" spans="2:9">
      <c r="B114" s="1366"/>
      <c r="C114" s="1367"/>
      <c r="D114" s="1367"/>
      <c r="E114" s="1367"/>
      <c r="F114" s="1367"/>
      <c r="G114" s="1282"/>
      <c r="H114" s="1282"/>
      <c r="I114" s="1283"/>
    </row>
    <row r="115" spans="2:9">
      <c r="B115" s="792" t="s">
        <v>308</v>
      </c>
      <c r="C115" s="793"/>
      <c r="D115" s="794"/>
      <c r="E115" s="765"/>
      <c r="F115" s="765"/>
      <c r="G115" s="765"/>
      <c r="H115" s="765"/>
      <c r="I115" s="795"/>
    </row>
    <row r="116" spans="2:9">
      <c r="B116" s="792" t="s">
        <v>309</v>
      </c>
      <c r="C116" s="793"/>
      <c r="D116" s="794"/>
      <c r="E116" s="765"/>
      <c r="F116" s="765"/>
      <c r="G116" s="765"/>
      <c r="H116" s="765"/>
      <c r="I116" s="795"/>
    </row>
    <row r="117" spans="2:9">
      <c r="B117" s="792"/>
      <c r="C117" s="793"/>
      <c r="D117" s="794"/>
      <c r="E117" s="765"/>
      <c r="F117" s="765"/>
      <c r="G117" s="765"/>
      <c r="H117" s="765"/>
      <c r="I117" s="795"/>
    </row>
    <row r="118" spans="2:9">
      <c r="B118" s="792" t="s">
        <v>310</v>
      </c>
      <c r="C118" s="793"/>
      <c r="D118" s="794"/>
      <c r="E118" s="765"/>
      <c r="F118" s="765"/>
      <c r="G118" s="765"/>
      <c r="H118" s="765"/>
      <c r="I118" s="795"/>
    </row>
    <row r="119" spans="2:9">
      <c r="B119" s="1319" t="s">
        <v>311</v>
      </c>
      <c r="C119" s="1059"/>
      <c r="D119" s="1060"/>
      <c r="E119" s="1061"/>
      <c r="F119" s="1061"/>
      <c r="G119" s="1061"/>
      <c r="H119" s="1061"/>
      <c r="I119" s="797"/>
    </row>
    <row r="121" spans="2:9" ht="13.5" customHeight="1"/>
    <row r="127" spans="2:9" ht="15" customHeight="1"/>
    <row r="141" ht="91.5" customHeight="1"/>
  </sheetData>
  <sheetProtection algorithmName="SHA-512" hashValue="kDFnjVKjfu2/XKcFs4WtoBvZdCGBN+FbA5MGpeoy2AZfBc9fV0erG6a1W/AWUx4nMN9kVdqBbNN+X5K7IOZy+g==" saltValue="j2kdXWuV8cqhDS7e1J4CyA==" spinCount="100000" sheet="1" objects="1" scenarios="1"/>
  <mergeCells count="1">
    <mergeCell ref="B114:F114"/>
  </mergeCells>
  <conditionalFormatting sqref="E59:I59">
    <cfRule type="expression" dxfId="97" priority="57">
      <formula>E$5="Forecast"</formula>
    </cfRule>
  </conditionalFormatting>
  <conditionalFormatting sqref="C35">
    <cfRule type="expression" dxfId="96" priority="53">
      <formula>C$5="Forecast"</formula>
    </cfRule>
  </conditionalFormatting>
  <conditionalFormatting sqref="E86:I86 E71:I71 E67:I69">
    <cfRule type="expression" dxfId="95" priority="49">
      <formula>D$12="N/A"</formula>
    </cfRule>
  </conditionalFormatting>
  <conditionalFormatting sqref="E65:H65">
    <cfRule type="expression" dxfId="94" priority="23">
      <formula>AND(E$5="Actuals",F$5="N/A")</formula>
    </cfRule>
  </conditionalFormatting>
  <conditionalFormatting sqref="I65">
    <cfRule type="expression" dxfId="93" priority="235">
      <formula>AND(I$5="Actuals",#REF!="N/A")</formula>
    </cfRule>
  </conditionalFormatting>
  <conditionalFormatting sqref="E7:I7">
    <cfRule type="expression" dxfId="92" priority="22">
      <formula>AND(E$5="Actuals",F$5="Forecast")</formula>
    </cfRule>
  </conditionalFormatting>
  <conditionalFormatting sqref="E6:H6">
    <cfRule type="expression" dxfId="91" priority="20">
      <formula>AND(E$5="Actuals",F$5="Forecast")</formula>
    </cfRule>
  </conditionalFormatting>
  <conditionalFormatting sqref="I6">
    <cfRule type="expression" dxfId="90" priority="21">
      <formula>AND(I$5="Actuals",#REF!="Forecast")</formula>
    </cfRule>
  </conditionalFormatting>
  <conditionalFormatting sqref="E27:I35">
    <cfRule type="expression" priority="19">
      <formula>$E6="Forecast"</formula>
    </cfRule>
  </conditionalFormatting>
  <conditionalFormatting sqref="E39:I54 E27:I35">
    <cfRule type="expression" priority="18">
      <formula>E$5="Forecast"</formula>
    </cfRule>
  </conditionalFormatting>
  <conditionalFormatting sqref="E20:I20 E57:I59 E65:I65 E83:I83 E71:I71 E67:I68 E105:I106 E86:I88 E90:I90 E92:I93 E95:I97 E74:I74 E78:I78 E15:I15 E99:I103 E24:I24 F13:I14 E18:I18 F16:I17 E39:I55 E27:I36">
    <cfRule type="expression" dxfId="89" priority="17">
      <formula>E$5="Forecast"</formula>
    </cfRule>
  </conditionalFormatting>
  <conditionalFormatting sqref="E107:I107">
    <cfRule type="expression" dxfId="88" priority="15">
      <formula>E$5="Forecast"</formula>
    </cfRule>
  </conditionalFormatting>
  <conditionalFormatting sqref="E77:I77">
    <cfRule type="expression" dxfId="87" priority="12">
      <formula>E$5="Forecast"</formula>
    </cfRule>
  </conditionalFormatting>
  <conditionalFormatting sqref="E77:I77">
    <cfRule type="expression" dxfId="86" priority="13">
      <formula>D$12="N/A"</formula>
    </cfRule>
  </conditionalFormatting>
  <conditionalFormatting sqref="E75:I75">
    <cfRule type="expression" dxfId="85" priority="9">
      <formula>E$5="Forecast"</formula>
    </cfRule>
  </conditionalFormatting>
  <conditionalFormatting sqref="E24:I24">
    <cfRule type="expression" priority="8">
      <formula>$E3="Forecast"</formula>
    </cfRule>
  </conditionalFormatting>
  <conditionalFormatting sqref="E24:I24">
    <cfRule type="expression" priority="7">
      <formula>E$5="Forecast"</formula>
    </cfRule>
  </conditionalFormatting>
  <conditionalFormatting sqref="E24">
    <cfRule type="expression" priority="6">
      <formula>$E3="Forecast"</formula>
    </cfRule>
  </conditionalFormatting>
  <conditionalFormatting sqref="E24">
    <cfRule type="expression" priority="5">
      <formula>E$5="Forecast"</formula>
    </cfRule>
  </conditionalFormatting>
  <conditionalFormatting sqref="E13">
    <cfRule type="expression" dxfId="84" priority="4">
      <formula>E$5="Forecast"</formula>
    </cfRule>
  </conditionalFormatting>
  <conditionalFormatting sqref="E16:E17">
    <cfRule type="expression" dxfId="83" priority="3">
      <formula>E$5="Forecast"</formula>
    </cfRule>
  </conditionalFormatting>
  <conditionalFormatting sqref="E14">
    <cfRule type="expression" dxfId="82" priority="2">
      <formula>E$5="Forecast"</formula>
    </cfRule>
  </conditionalFormatting>
  <conditionalFormatting sqref="E39:E40">
    <cfRule type="expression" priority="1">
      <formula>$E18="Forecast"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0" id="{F64DC2A1-1BFC-4A45-BEAE-BCD4DDABF2EA}">
            <xm:f>'RFPR cover'!$C$7="ESO"</xm:f>
            <x14:dxf>
              <fill>
                <patternFill>
                  <fgColor auto="1"/>
                  <bgColor theme="7" tint="0.79998168889431442"/>
                </patternFill>
              </fill>
            </x14:dxf>
          </x14:cfRule>
          <xm:sqref>E24:I24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27"/>
  <sheetViews>
    <sheetView showGridLines="0" zoomScale="70" zoomScaleNormal="70" workbookViewId="0">
      <pane ySplit="7" topLeftCell="A8" activePane="bottomLeft" state="frozen"/>
      <selection activeCell="B1" sqref="B1"/>
      <selection pane="bottomLeft" activeCell="R17" sqref="R17"/>
    </sheetView>
  </sheetViews>
  <sheetFormatPr defaultColWidth="9.15234375" defaultRowHeight="13.5"/>
  <cols>
    <col min="1" max="1" width="8.3828125" style="2" customWidth="1"/>
    <col min="2" max="2" width="64.4609375" style="67" customWidth="1"/>
    <col min="3" max="3" width="13.3828125" style="70" customWidth="1"/>
    <col min="4" max="8" width="11.15234375" style="2" customWidth="1"/>
    <col min="9" max="10" width="12.84375" style="2" customWidth="1"/>
    <col min="11" max="16384" width="9.15234375" style="2"/>
  </cols>
  <sheetData>
    <row r="1" spans="1:16" customFormat="1" ht="20">
      <c r="A1" s="1275" t="s">
        <v>312</v>
      </c>
      <c r="B1" s="838"/>
      <c r="C1" s="845"/>
      <c r="D1" s="840"/>
      <c r="E1" s="840"/>
      <c r="F1" s="840"/>
      <c r="G1" s="840"/>
      <c r="H1" s="840"/>
      <c r="I1" s="841"/>
      <c r="J1" s="841"/>
      <c r="K1" s="1284"/>
    </row>
    <row r="2" spans="1:16" customFormat="1" ht="20">
      <c r="A2" s="712" t="str">
        <f>Licensee</f>
        <v>ESO</v>
      </c>
      <c r="B2" s="715"/>
      <c r="C2" s="69"/>
      <c r="D2" s="16"/>
      <c r="E2" s="16"/>
      <c r="F2" s="16"/>
      <c r="G2" s="16"/>
      <c r="H2" s="16"/>
      <c r="I2" s="15"/>
      <c r="J2" s="15"/>
      <c r="K2" s="66"/>
    </row>
    <row r="3" spans="1:16" customFormat="1" ht="20">
      <c r="A3" s="707">
        <f>Reporting_Year</f>
        <v>2022</v>
      </c>
      <c r="B3" s="1056"/>
      <c r="C3" s="1057"/>
      <c r="D3" s="1054"/>
      <c r="E3" s="1054"/>
      <c r="F3" s="1054"/>
      <c r="G3" s="1054"/>
      <c r="H3" s="1054"/>
      <c r="I3" s="1055"/>
      <c r="J3" s="1055"/>
      <c r="K3" s="120"/>
    </row>
    <row r="4" spans="1:16" ht="12.75" customHeight="1"/>
    <row r="5" spans="1:16" ht="30" customHeight="1">
      <c r="D5" s="254" t="str">
        <f>IF(D6&lt;=Reporting_Year,"Actuals","Forecast")</f>
        <v>Actuals</v>
      </c>
      <c r="E5" s="254" t="str">
        <f t="shared" ref="E5:I5" si="0">IF(E6&lt;=Reporting_Year,"Actuals","Forecast")</f>
        <v>Forecast</v>
      </c>
      <c r="F5" s="254" t="str">
        <f t="shared" si="0"/>
        <v>Forecast</v>
      </c>
      <c r="G5" s="254" t="str">
        <f t="shared" si="0"/>
        <v>Forecast</v>
      </c>
      <c r="H5" s="254" t="str">
        <f t="shared" si="0"/>
        <v>Forecast</v>
      </c>
      <c r="I5" s="254" t="str">
        <f t="shared" si="0"/>
        <v>Forecast</v>
      </c>
    </row>
    <row r="6" spans="1:16" ht="27.75" customHeight="1">
      <c r="D6" s="63">
        <f>'RFPR cover'!$C$6</f>
        <v>2022</v>
      </c>
      <c r="E6" s="64">
        <f>D6+1</f>
        <v>2023</v>
      </c>
      <c r="F6" s="64">
        <f t="shared" ref="F6:H6" si="1">E6+1</f>
        <v>2024</v>
      </c>
      <c r="G6" s="64">
        <f t="shared" si="1"/>
        <v>2025</v>
      </c>
      <c r="H6" s="64">
        <f t="shared" si="1"/>
        <v>2026</v>
      </c>
      <c r="I6" s="50" t="str">
        <f>"Cumulative to "&amp;'RFPR cover'!$C$9</f>
        <v>Cumulative to 2022</v>
      </c>
      <c r="J6" s="65" t="s">
        <v>213</v>
      </c>
    </row>
    <row r="7" spans="1:16">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6">
      <c r="B8" s="989" t="s">
        <v>313</v>
      </c>
      <c r="C8" s="129"/>
      <c r="D8" s="129"/>
      <c r="E8" s="129"/>
      <c r="F8" s="129"/>
      <c r="G8" s="129"/>
      <c r="H8" s="130"/>
      <c r="I8" s="130"/>
      <c r="J8" s="130"/>
      <c r="K8" s="67"/>
    </row>
    <row r="9" spans="1:16">
      <c r="B9" s="1273" t="s">
        <v>314</v>
      </c>
      <c r="C9" s="1274"/>
      <c r="D9" s="1274"/>
      <c r="E9" s="1274"/>
      <c r="F9" s="1274"/>
      <c r="G9" s="1274"/>
      <c r="H9" s="1274"/>
      <c r="I9" s="1274"/>
      <c r="J9" s="1274"/>
      <c r="K9" s="67"/>
      <c r="L9" s="67"/>
    </row>
    <row r="11" spans="1:16">
      <c r="B11" s="799" t="s">
        <v>315</v>
      </c>
      <c r="C11" s="798"/>
      <c r="D11" s="42"/>
      <c r="E11" s="42"/>
      <c r="F11" s="42"/>
      <c r="G11" s="42"/>
      <c r="H11" s="42"/>
      <c r="I11" s="42"/>
      <c r="J11" s="42"/>
      <c r="K11" s="67"/>
    </row>
    <row r="12" spans="1:16">
      <c r="B12" s="371"/>
      <c r="D12" s="1"/>
      <c r="E12" s="1"/>
      <c r="F12" s="1"/>
      <c r="G12" s="1"/>
      <c r="H12" s="1"/>
      <c r="I12" s="1"/>
      <c r="J12" s="1"/>
      <c r="K12" s="67"/>
    </row>
    <row r="13" spans="1:16">
      <c r="B13" s="89" t="s">
        <v>316</v>
      </c>
      <c r="C13" s="39" t="str">
        <f>Data!$C$9</f>
        <v>£m 18/19</v>
      </c>
      <c r="D13" s="899"/>
      <c r="E13" s="899"/>
      <c r="F13" s="899"/>
      <c r="G13" s="899"/>
      <c r="H13" s="899"/>
      <c r="I13" s="56">
        <f>SUM(D13:INDEX(D13:H13,0,MATCH('RFPR cover'!$C$9,$D$6:$H$6,0)))</f>
        <v>0</v>
      </c>
      <c r="J13" s="57">
        <f>SUM(D13:H13)</f>
        <v>0</v>
      </c>
      <c r="K13" s="67"/>
    </row>
    <row r="14" spans="1:16" ht="17.149999999999999" customHeight="1">
      <c r="B14" s="68" t="s">
        <v>317</v>
      </c>
      <c r="C14" s="39" t="str">
        <f>Data!$C$9</f>
        <v>£m 18/19</v>
      </c>
      <c r="D14" s="899"/>
      <c r="E14" s="899"/>
      <c r="F14" s="899"/>
      <c r="G14" s="899"/>
      <c r="H14" s="899"/>
      <c r="I14" s="54">
        <f>SUM(D14:INDEX(D14:H14,0,MATCH('RFPR cover'!$C$9,$D$6:$H$6,0)))</f>
        <v>0</v>
      </c>
      <c r="J14" s="55">
        <f>SUM(D14:H14)</f>
        <v>0</v>
      </c>
      <c r="K14" s="37"/>
    </row>
    <row r="15" spans="1:16">
      <c r="B15" s="486" t="s">
        <v>318</v>
      </c>
      <c r="C15" s="39" t="str">
        <f>Data!$C$9</f>
        <v>£m 18/19</v>
      </c>
      <c r="D15" s="1132">
        <f>D14-D13</f>
        <v>0</v>
      </c>
      <c r="E15" s="1132">
        <f t="shared" ref="E15:J15" si="2">E14-E13</f>
        <v>0</v>
      </c>
      <c r="F15" s="1132">
        <f t="shared" si="2"/>
        <v>0</v>
      </c>
      <c r="G15" s="1132">
        <f t="shared" si="2"/>
        <v>0</v>
      </c>
      <c r="H15" s="1132">
        <f t="shared" si="2"/>
        <v>0</v>
      </c>
      <c r="I15" s="51">
        <f t="shared" si="2"/>
        <v>0</v>
      </c>
      <c r="J15" s="53">
        <f t="shared" si="2"/>
        <v>0</v>
      </c>
      <c r="K15" s="1321"/>
      <c r="L15" s="1321"/>
      <c r="M15" s="1321"/>
      <c r="N15"/>
      <c r="O15"/>
      <c r="P15"/>
    </row>
    <row r="16" spans="1:16">
      <c r="B16" s="486"/>
      <c r="C16" s="39"/>
      <c r="D16" s="33"/>
      <c r="E16" s="33"/>
      <c r="F16" s="33"/>
      <c r="G16" s="33"/>
      <c r="H16" s="33"/>
      <c r="I16" s="33"/>
      <c r="J16" s="33"/>
      <c r="K16" s="38"/>
      <c r="L16" s="38"/>
      <c r="M16" s="38"/>
      <c r="N16"/>
      <c r="O16"/>
      <c r="P16"/>
    </row>
    <row r="17" spans="2:16">
      <c r="B17" s="67" t="s">
        <v>319</v>
      </c>
      <c r="C17" s="70" t="s">
        <v>216</v>
      </c>
      <c r="D17" s="59">
        <f>INDEX(Data!$C$55:$C$83,MATCH('RFPR cover'!$C$7,Data!$B$55:$B$83,0),0)</f>
        <v>1</v>
      </c>
      <c r="E17" s="59">
        <f>INDEX(Data!$C$55:$C$83,MATCH('RFPR cover'!$C$7,Data!$B$55:$B$83,0),0)</f>
        <v>1</v>
      </c>
      <c r="F17" s="59">
        <f>INDEX(Data!$C$55:$C$83,MATCH('RFPR cover'!$C$7,Data!$B$55:$B$83,0),0)</f>
        <v>1</v>
      </c>
      <c r="G17" s="59">
        <f>INDEX(Data!$C$55:$C$83,MATCH('RFPR cover'!$C$7,Data!$B$55:$B$83,0),0)</f>
        <v>1</v>
      </c>
      <c r="H17" s="59">
        <f>INDEX(Data!$C$55:$C$83,MATCH('RFPR cover'!$C$7,Data!$B$55:$B$83,0),0)</f>
        <v>1</v>
      </c>
      <c r="I17" s="36"/>
      <c r="J17" s="36"/>
      <c r="K17"/>
      <c r="L17"/>
      <c r="M17"/>
      <c r="N17"/>
      <c r="O17"/>
      <c r="P17"/>
    </row>
    <row r="18" spans="2:16">
      <c r="K18"/>
      <c r="L18"/>
      <c r="M18"/>
      <c r="N18"/>
      <c r="O18"/>
      <c r="P18"/>
    </row>
    <row r="19" spans="2:16">
      <c r="B19" s="67" t="s">
        <v>320</v>
      </c>
      <c r="C19" s="39" t="str">
        <f>Data!$C$9</f>
        <v>£m 18/19</v>
      </c>
      <c r="D19" s="1132">
        <f>D15*D17</f>
        <v>0</v>
      </c>
      <c r="E19" s="1132">
        <f t="shared" ref="E19:H19" si="3">E15*E17</f>
        <v>0</v>
      </c>
      <c r="F19" s="1132">
        <f t="shared" si="3"/>
        <v>0</v>
      </c>
      <c r="G19" s="1132">
        <f t="shared" si="3"/>
        <v>0</v>
      </c>
      <c r="H19" s="1132">
        <f t="shared" si="3"/>
        <v>0</v>
      </c>
      <c r="I19" s="47">
        <f>SUM(D19:INDEX(D19:H19,0,MATCH('RFPR cover'!$C$9,$D$6:$H$6,0)))</f>
        <v>0</v>
      </c>
      <c r="J19" s="49">
        <f>SUM(D19:H19)</f>
        <v>0</v>
      </c>
      <c r="K19"/>
      <c r="L19"/>
      <c r="M19"/>
      <c r="N19"/>
      <c r="O19"/>
      <c r="P19"/>
    </row>
    <row r="20" spans="2:16">
      <c r="B20" s="67" t="s">
        <v>321</v>
      </c>
      <c r="C20" s="39" t="str">
        <f>Data!$C$9</f>
        <v>£m 18/19</v>
      </c>
      <c r="D20" s="1132">
        <f>D15*(1-D17)</f>
        <v>0</v>
      </c>
      <c r="E20" s="1132">
        <f t="shared" ref="E20:H20" si="4">E15*(1-E17)</f>
        <v>0</v>
      </c>
      <c r="F20" s="1132">
        <f t="shared" si="4"/>
        <v>0</v>
      </c>
      <c r="G20" s="1132">
        <f t="shared" si="4"/>
        <v>0</v>
      </c>
      <c r="H20" s="1132">
        <f t="shared" si="4"/>
        <v>0</v>
      </c>
      <c r="I20" s="44">
        <f>SUM(D20:INDEX(D20:H20,0,MATCH('RFPR cover'!$C$9,$D$6:$H$6,0)))</f>
        <v>0</v>
      </c>
      <c r="J20" s="46">
        <f>SUM(D20:H20)</f>
        <v>0</v>
      </c>
      <c r="L20"/>
      <c r="M20"/>
      <c r="N20"/>
      <c r="O20"/>
      <c r="P20"/>
    </row>
    <row r="21" spans="2:16">
      <c r="C21" s="67"/>
      <c r="D21" s="67"/>
      <c r="E21" s="67"/>
      <c r="F21" s="67"/>
      <c r="G21" s="67"/>
      <c r="H21" s="67"/>
      <c r="I21" s="67"/>
      <c r="J21" s="67"/>
      <c r="L21"/>
      <c r="M21"/>
      <c r="N21"/>
      <c r="O21"/>
      <c r="P21"/>
    </row>
    <row r="22" spans="2:16">
      <c r="B22" s="371" t="s">
        <v>322</v>
      </c>
      <c r="L22"/>
      <c r="M22"/>
    </row>
    <row r="23" spans="2:16">
      <c r="B23" s="806" t="s">
        <v>323</v>
      </c>
      <c r="C23" s="39" t="str">
        <f>Data!$C$9</f>
        <v>£m 18/19</v>
      </c>
      <c r="D23" s="446"/>
      <c r="E23" s="446"/>
      <c r="F23" s="446"/>
      <c r="G23" s="446"/>
      <c r="H23" s="446"/>
      <c r="I23" s="44">
        <f>SUM(D23:INDEX(D23:H23,0,MATCH('RFPR cover'!$C$9,$D$6:$H$6,0)))</f>
        <v>0</v>
      </c>
      <c r="J23" s="46">
        <f>SUM(D23:H23)</f>
        <v>0</v>
      </c>
      <c r="L23"/>
      <c r="M23"/>
      <c r="N23"/>
      <c r="O23"/>
      <c r="P23"/>
    </row>
    <row r="24" spans="2:16">
      <c r="B24" s="806" t="s">
        <v>324</v>
      </c>
      <c r="C24" s="39" t="str">
        <f>Data!$C$9</f>
        <v>£m 18/19</v>
      </c>
      <c r="D24" s="446"/>
      <c r="E24" s="446"/>
      <c r="F24" s="446"/>
      <c r="G24" s="446"/>
      <c r="H24" s="446"/>
      <c r="I24" s="44">
        <f>SUM(D24:INDEX(D24:H24,0,MATCH('RFPR cover'!$C$9,$D$6:$H$6,0)))</f>
        <v>0</v>
      </c>
      <c r="J24" s="46">
        <f t="shared" ref="J24" si="5">SUM(D24:H24)</f>
        <v>0</v>
      </c>
      <c r="L24"/>
      <c r="M24"/>
      <c r="N24"/>
      <c r="O24"/>
      <c r="P24"/>
    </row>
    <row r="25" spans="2:16">
      <c r="B25" s="371" t="s">
        <v>325</v>
      </c>
      <c r="C25" s="39" t="str">
        <f>Data!$C$9</f>
        <v>£m 18/19</v>
      </c>
      <c r="D25" s="1132">
        <f>SUM(D23:D24)</f>
        <v>0</v>
      </c>
      <c r="E25" s="1132">
        <f t="shared" ref="E25:H25" si="6">SUM(E23:E24)</f>
        <v>0</v>
      </c>
      <c r="F25" s="1132">
        <f t="shared" si="6"/>
        <v>0</v>
      </c>
      <c r="G25" s="1132">
        <f t="shared" si="6"/>
        <v>0</v>
      </c>
      <c r="H25" s="1132">
        <f t="shared" si="6"/>
        <v>0</v>
      </c>
      <c r="I25" s="44">
        <f>SUM(D25:INDEX(D25:H25,0,MATCH('RFPR cover'!$C$9,$D$6:$H$6,0)))</f>
        <v>0</v>
      </c>
      <c r="J25" s="46">
        <f t="shared" ref="J25" si="7">SUM(D25:H25)</f>
        <v>0</v>
      </c>
      <c r="L25"/>
      <c r="M25"/>
      <c r="N25"/>
      <c r="O25"/>
      <c r="P25"/>
    </row>
    <row r="26" spans="2:16">
      <c r="B26" s="371"/>
      <c r="L26"/>
      <c r="M26"/>
      <c r="N26"/>
      <c r="O26"/>
      <c r="P26"/>
    </row>
    <row r="27" spans="2:16">
      <c r="B27" s="371" t="s">
        <v>326</v>
      </c>
      <c r="L27"/>
      <c r="M27"/>
      <c r="N27"/>
      <c r="O27"/>
      <c r="P27"/>
    </row>
    <row r="28" spans="2:16">
      <c r="B28" s="806" t="s">
        <v>323</v>
      </c>
      <c r="C28" s="39" t="str">
        <f>Data!$C$9</f>
        <v>£m 18/19</v>
      </c>
      <c r="D28" s="446"/>
      <c r="E28" s="446"/>
      <c r="F28" s="446"/>
      <c r="G28" s="446"/>
      <c r="H28" s="446"/>
      <c r="I28" s="44">
        <f>SUM(D28:INDEX(D28:H28,0,MATCH('RFPR cover'!$C$9,$D$6:$H$6,0)))</f>
        <v>0</v>
      </c>
      <c r="J28" s="46">
        <f>SUM(D28:H28)</f>
        <v>0</v>
      </c>
      <c r="L28"/>
      <c r="M28"/>
      <c r="N28"/>
      <c r="O28"/>
      <c r="P28"/>
    </row>
    <row r="29" spans="2:16">
      <c r="B29" s="806" t="s">
        <v>324</v>
      </c>
      <c r="C29" s="39" t="str">
        <f>Data!$C$9</f>
        <v>£m 18/19</v>
      </c>
      <c r="D29" s="446"/>
      <c r="E29" s="446"/>
      <c r="F29" s="446"/>
      <c r="G29" s="446"/>
      <c r="H29" s="446"/>
      <c r="I29" s="44">
        <f>SUM(D29:INDEX(D29:H29,0,MATCH('RFPR cover'!$C$9,$D$6:$H$6,0)))</f>
        <v>0</v>
      </c>
      <c r="J29" s="46">
        <f t="shared" ref="J29:J30" si="8">SUM(D29:H29)</f>
        <v>0</v>
      </c>
      <c r="L29"/>
      <c r="M29"/>
      <c r="N29"/>
      <c r="O29"/>
      <c r="P29"/>
    </row>
    <row r="30" spans="2:16">
      <c r="B30" s="371" t="s">
        <v>325</v>
      </c>
      <c r="C30" s="39" t="str">
        <f>Data!$C$9</f>
        <v>£m 18/19</v>
      </c>
      <c r="D30" s="1132">
        <f>SUM(D28:D29)</f>
        <v>0</v>
      </c>
      <c r="E30" s="1132">
        <f t="shared" ref="E30:H30" si="9">SUM(E28:E29)</f>
        <v>0</v>
      </c>
      <c r="F30" s="1132">
        <f t="shared" si="9"/>
        <v>0</v>
      </c>
      <c r="G30" s="1132">
        <f t="shared" si="9"/>
        <v>0</v>
      </c>
      <c r="H30" s="1132">
        <f t="shared" si="9"/>
        <v>0</v>
      </c>
      <c r="I30" s="44">
        <f>SUM(D30:INDEX(D30:H30,0,MATCH('RFPR cover'!$C$9,$D$6:$H$6,0)))</f>
        <v>0</v>
      </c>
      <c r="J30" s="46">
        <f t="shared" si="8"/>
        <v>0</v>
      </c>
      <c r="L30"/>
      <c r="M30"/>
      <c r="N30"/>
      <c r="O30"/>
      <c r="P30"/>
    </row>
    <row r="31" spans="2:16">
      <c r="B31" s="371"/>
      <c r="L31"/>
      <c r="M31"/>
      <c r="N31"/>
      <c r="O31"/>
      <c r="P31"/>
    </row>
    <row r="32" spans="2:16">
      <c r="B32" s="67" t="s">
        <v>327</v>
      </c>
      <c r="C32" s="39"/>
      <c r="D32" s="1132">
        <f>D25*D17</f>
        <v>0</v>
      </c>
      <c r="E32" s="1132">
        <f t="shared" ref="E32:H32" si="10">E25*E17</f>
        <v>0</v>
      </c>
      <c r="F32" s="1132">
        <f t="shared" si="10"/>
        <v>0</v>
      </c>
      <c r="G32" s="1132">
        <f t="shared" si="10"/>
        <v>0</v>
      </c>
      <c r="H32" s="1132">
        <f t="shared" si="10"/>
        <v>0</v>
      </c>
      <c r="I32" s="47">
        <f>SUM(D32:INDEX(D32:H32,0,MATCH('RFPR cover'!$C$9,$D$6:$H$6,0)))</f>
        <v>0</v>
      </c>
      <c r="J32" s="49">
        <f>SUM(D32:H32)</f>
        <v>0</v>
      </c>
      <c r="L32"/>
      <c r="M32"/>
      <c r="N32"/>
      <c r="O32"/>
      <c r="P32"/>
    </row>
    <row r="33" spans="2:16">
      <c r="B33" s="67" t="s">
        <v>328</v>
      </c>
      <c r="C33" s="39"/>
      <c r="D33" s="1132">
        <f>D25*(1-D17)+D30</f>
        <v>0</v>
      </c>
      <c r="E33" s="1132">
        <f t="shared" ref="E33:H33" si="11">E25*(1-E17)+E30</f>
        <v>0</v>
      </c>
      <c r="F33" s="1132">
        <f t="shared" si="11"/>
        <v>0</v>
      </c>
      <c r="G33" s="1132">
        <f t="shared" si="11"/>
        <v>0</v>
      </c>
      <c r="H33" s="1132">
        <f t="shared" si="11"/>
        <v>0</v>
      </c>
      <c r="I33" s="47">
        <f>SUM(D33:INDEX(D33:H33,0,MATCH('RFPR cover'!$C$9,$D$6:$H$6,0)))</f>
        <v>0</v>
      </c>
      <c r="J33" s="46">
        <f>SUM(D33:H33)</f>
        <v>0</v>
      </c>
      <c r="L33"/>
      <c r="M33"/>
      <c r="N33"/>
      <c r="O33"/>
      <c r="P33"/>
    </row>
    <row r="34" spans="2:16">
      <c r="B34" s="371"/>
      <c r="L34"/>
      <c r="M34"/>
      <c r="N34"/>
      <c r="O34"/>
      <c r="P34"/>
    </row>
    <row r="35" spans="2:16">
      <c r="B35" s="371" t="s">
        <v>329</v>
      </c>
      <c r="L35"/>
      <c r="M35"/>
      <c r="N35"/>
      <c r="O35"/>
      <c r="P35"/>
    </row>
    <row r="36" spans="2:16">
      <c r="B36" s="67" t="s">
        <v>320</v>
      </c>
      <c r="C36" s="39" t="str">
        <f>Data!$C$9</f>
        <v>£m 18/19</v>
      </c>
      <c r="D36" s="1132">
        <f>D19+D32</f>
        <v>0</v>
      </c>
      <c r="E36" s="1132">
        <f t="shared" ref="E36:H36" si="12">E19+E32</f>
        <v>0</v>
      </c>
      <c r="F36" s="1132">
        <f t="shared" si="12"/>
        <v>0</v>
      </c>
      <c r="G36" s="1132">
        <f t="shared" si="12"/>
        <v>0</v>
      </c>
      <c r="H36" s="1132">
        <f t="shared" si="12"/>
        <v>0</v>
      </c>
      <c r="I36" s="47">
        <f>SUM(D36:INDEX(D36:H36,0,MATCH('RFPR cover'!$C$9,$D$6:$H$6,0)))</f>
        <v>0</v>
      </c>
      <c r="J36" s="49">
        <f>SUM(D36:H36)</f>
        <v>0</v>
      </c>
      <c r="L36"/>
      <c r="M36"/>
      <c r="N36"/>
      <c r="O36"/>
      <c r="P36"/>
    </row>
    <row r="37" spans="2:16">
      <c r="B37" s="67" t="s">
        <v>321</v>
      </c>
      <c r="C37" s="39" t="str">
        <f>Data!$C$9</f>
        <v>£m 18/19</v>
      </c>
      <c r="D37" s="1132">
        <f>D20+D33</f>
        <v>0</v>
      </c>
      <c r="E37" s="1132">
        <f t="shared" ref="E37:H37" si="13">E20+E33</f>
        <v>0</v>
      </c>
      <c r="F37" s="1132">
        <f t="shared" si="13"/>
        <v>0</v>
      </c>
      <c r="G37" s="1132">
        <f t="shared" si="13"/>
        <v>0</v>
      </c>
      <c r="H37" s="1132">
        <f t="shared" si="13"/>
        <v>0</v>
      </c>
      <c r="I37" s="47">
        <f>SUM(D37:INDEX(D37:H37,0,MATCH('RFPR cover'!$C$9,$D$6:$H$6,0)))</f>
        <v>0</v>
      </c>
      <c r="J37" s="46">
        <f t="shared" ref="J37" si="14">SUM(D37:H37)</f>
        <v>0</v>
      </c>
      <c r="L37"/>
      <c r="M37"/>
      <c r="N37"/>
      <c r="O37"/>
      <c r="P37"/>
    </row>
    <row r="38" spans="2:16">
      <c r="B38" s="371" t="s">
        <v>330</v>
      </c>
      <c r="C38" s="78" t="str">
        <f>Data!$C$9</f>
        <v>£m 18/19</v>
      </c>
      <c r="D38" s="1132">
        <f>SUM(D36:D37)</f>
        <v>0</v>
      </c>
      <c r="E38" s="1132">
        <f t="shared" ref="E38:H38" si="15">SUM(E36:E37)</f>
        <v>0</v>
      </c>
      <c r="F38" s="1132">
        <f t="shared" si="15"/>
        <v>0</v>
      </c>
      <c r="G38" s="1132">
        <f t="shared" si="15"/>
        <v>0</v>
      </c>
      <c r="H38" s="1132">
        <f t="shared" si="15"/>
        <v>0</v>
      </c>
      <c r="I38" s="44">
        <f>SUM(D38:INDEX(D38:H38,0,MATCH('RFPR cover'!$C$9,$D$6:$H$6,0)))</f>
        <v>0</v>
      </c>
      <c r="J38" s="46">
        <f t="shared" ref="J38" si="16">SUM(D38:H38)</f>
        <v>0</v>
      </c>
      <c r="L38"/>
      <c r="M38"/>
      <c r="N38"/>
      <c r="O38"/>
      <c r="P38"/>
    </row>
    <row r="39" spans="2:16">
      <c r="B39" s="371"/>
      <c r="L39"/>
      <c r="M39"/>
      <c r="N39"/>
      <c r="O39"/>
      <c r="P39"/>
    </row>
    <row r="40" spans="2:16">
      <c r="B40" s="799" t="s">
        <v>331</v>
      </c>
      <c r="C40" s="74"/>
      <c r="D40" s="42"/>
      <c r="E40" s="42"/>
      <c r="F40" s="42"/>
      <c r="G40" s="42"/>
      <c r="H40" s="42"/>
      <c r="I40" s="42"/>
      <c r="J40" s="42"/>
    </row>
    <row r="41" spans="2:16">
      <c r="D41" s="1"/>
      <c r="E41" s="1"/>
      <c r="F41" s="1"/>
      <c r="G41" s="1"/>
      <c r="H41" s="1"/>
      <c r="I41" s="1"/>
      <c r="J41" s="1"/>
    </row>
    <row r="42" spans="2:16">
      <c r="B42" s="89" t="s">
        <v>316</v>
      </c>
      <c r="C42" s="39" t="str">
        <f>Data!$C$9</f>
        <v>£m 18/19</v>
      </c>
      <c r="D42" s="899"/>
      <c r="E42" s="899"/>
      <c r="F42" s="899"/>
      <c r="G42" s="899"/>
      <c r="H42" s="899"/>
      <c r="I42" s="458">
        <f>SUM(D42:INDEX(D42:H42,0,MATCH('RFPR cover'!$C$9,$D$6:$H$6,0)))</f>
        <v>0</v>
      </c>
      <c r="J42" s="459">
        <f>SUM(D42:H42)</f>
        <v>0</v>
      </c>
      <c r="K42" s="37"/>
    </row>
    <row r="43" spans="2:16" ht="15" customHeight="1">
      <c r="B43" s="68" t="s">
        <v>332</v>
      </c>
      <c r="C43" s="39" t="str">
        <f>Data!$C$9</f>
        <v>£m 18/19</v>
      </c>
      <c r="D43" s="899"/>
      <c r="E43" s="899"/>
      <c r="F43" s="899"/>
      <c r="G43" s="899"/>
      <c r="H43" s="899"/>
      <c r="I43" s="460">
        <f>SUM(D43:INDEX(D43:H43,0,MATCH('RFPR cover'!$C$9,$D$6:$H$6,0)))</f>
        <v>0</v>
      </c>
      <c r="J43" s="461">
        <f>SUM(D43:H43)</f>
        <v>0</v>
      </c>
      <c r="K43" s="37"/>
    </row>
    <row r="44" spans="2:16">
      <c r="B44" s="486" t="s">
        <v>318</v>
      </c>
      <c r="C44" s="39" t="str">
        <f>Data!$C$9</f>
        <v>£m 18/19</v>
      </c>
      <c r="D44" s="1132">
        <f>D43-D42</f>
        <v>0</v>
      </c>
      <c r="E44" s="1132">
        <f t="shared" ref="E44:J44" si="17">E43-E42</f>
        <v>0</v>
      </c>
      <c r="F44" s="1132">
        <f t="shared" si="17"/>
        <v>0</v>
      </c>
      <c r="G44" s="1132">
        <f t="shared" si="17"/>
        <v>0</v>
      </c>
      <c r="H44" s="1132">
        <f t="shared" si="17"/>
        <v>0</v>
      </c>
      <c r="I44" s="846">
        <f t="shared" si="17"/>
        <v>0</v>
      </c>
      <c r="J44" s="1062">
        <f t="shared" si="17"/>
        <v>0</v>
      </c>
      <c r="K44" s="91"/>
      <c r="L44" s="91"/>
      <c r="M44" s="91"/>
      <c r="N44"/>
      <c r="O44"/>
      <c r="P44"/>
    </row>
    <row r="45" spans="2:16">
      <c r="B45" s="486"/>
      <c r="C45" s="39"/>
      <c r="D45" s="33"/>
      <c r="E45" s="33"/>
      <c r="F45" s="33"/>
      <c r="G45" s="33"/>
      <c r="H45" s="33"/>
      <c r="I45" s="33"/>
      <c r="J45" s="33"/>
      <c r="K45" s="38"/>
      <c r="L45" s="38"/>
      <c r="M45" s="38"/>
      <c r="N45"/>
      <c r="O45"/>
      <c r="P45"/>
    </row>
    <row r="46" spans="2:16">
      <c r="B46" s="67" t="s">
        <v>319</v>
      </c>
      <c r="C46" s="70" t="s">
        <v>216</v>
      </c>
      <c r="D46" s="58">
        <f>INDEX(Data!$C$55:$C$83,MATCH('RFPR cover'!$C$7,Data!$B$55:$B$83,0),0)</f>
        <v>1</v>
      </c>
      <c r="E46" s="58">
        <f>INDEX(Data!$C$55:$C$83,MATCH('RFPR cover'!$C$7,Data!$B$55:$B$83,0),0)</f>
        <v>1</v>
      </c>
      <c r="F46" s="58">
        <f>INDEX(Data!$C$55:$C$83,MATCH('RFPR cover'!$C$7,Data!$B$55:$B$83,0),0)</f>
        <v>1</v>
      </c>
      <c r="G46" s="58">
        <f>INDEX(Data!$C$55:$C$83,MATCH('RFPR cover'!$C$7,Data!$B$55:$B$83,0),0)</f>
        <v>1</v>
      </c>
      <c r="H46" s="58">
        <f>INDEX(Data!$C$55:$C$83,MATCH('RFPR cover'!$C$7,Data!$B$55:$B$83,0),0)</f>
        <v>1</v>
      </c>
      <c r="I46" s="36"/>
      <c r="J46" s="36"/>
      <c r="K46"/>
      <c r="L46"/>
      <c r="M46"/>
      <c r="N46"/>
      <c r="O46"/>
      <c r="P46"/>
    </row>
    <row r="47" spans="2:16">
      <c r="K47"/>
      <c r="L47"/>
      <c r="M47"/>
      <c r="N47"/>
      <c r="O47"/>
      <c r="P47"/>
    </row>
    <row r="48" spans="2:16">
      <c r="B48" s="67" t="s">
        <v>320</v>
      </c>
      <c r="C48" s="39" t="str">
        <f>Data!$C$9</f>
        <v>£m 18/19</v>
      </c>
      <c r="D48" s="1132">
        <f>D44*D46</f>
        <v>0</v>
      </c>
      <c r="E48" s="1132">
        <f t="shared" ref="E48:H48" si="18">E44*E46</f>
        <v>0</v>
      </c>
      <c r="F48" s="1132">
        <f t="shared" si="18"/>
        <v>0</v>
      </c>
      <c r="G48" s="1132">
        <f t="shared" si="18"/>
        <v>0</v>
      </c>
      <c r="H48" s="1132">
        <f t="shared" si="18"/>
        <v>0</v>
      </c>
      <c r="I48" s="178">
        <f>SUM(D48:INDEX(D48:H48,0,MATCH('RFPR cover'!$C$9,$D$6:$H$6,0)))</f>
        <v>0</v>
      </c>
      <c r="J48" s="437">
        <f>SUM(D48:H48)</f>
        <v>0</v>
      </c>
      <c r="K48"/>
      <c r="L48"/>
      <c r="M48"/>
      <c r="N48"/>
      <c r="O48"/>
      <c r="P48"/>
    </row>
    <row r="49" spans="2:16">
      <c r="B49" s="67" t="s">
        <v>321</v>
      </c>
      <c r="C49" s="39" t="str">
        <f>Data!$C$9</f>
        <v>£m 18/19</v>
      </c>
      <c r="D49" s="1132">
        <f>D44*(1-D46)</f>
        <v>0</v>
      </c>
      <c r="E49" s="1132">
        <f t="shared" ref="E49:H49" si="19">E44*(1-E46)</f>
        <v>0</v>
      </c>
      <c r="F49" s="1132">
        <f t="shared" si="19"/>
        <v>0</v>
      </c>
      <c r="G49" s="1132">
        <f t="shared" si="19"/>
        <v>0</v>
      </c>
      <c r="H49" s="1132">
        <f t="shared" si="19"/>
        <v>0</v>
      </c>
      <c r="I49" s="440">
        <f>SUM(D49:INDEX(D49:H49,0,MATCH('RFPR cover'!$C$9,$D$6:$H$6,0)))</f>
        <v>0</v>
      </c>
      <c r="J49" s="441">
        <f>SUM(D49:H49)</f>
        <v>0</v>
      </c>
      <c r="K49"/>
      <c r="L49"/>
      <c r="M49"/>
      <c r="N49"/>
      <c r="O49"/>
      <c r="P49"/>
    </row>
    <row r="50" spans="2:16">
      <c r="K50"/>
      <c r="L50"/>
      <c r="M50"/>
      <c r="N50"/>
      <c r="O50"/>
      <c r="P50"/>
    </row>
    <row r="51" spans="2:16">
      <c r="B51" s="371" t="s">
        <v>322</v>
      </c>
      <c r="K51"/>
      <c r="L51"/>
      <c r="M51"/>
      <c r="N51"/>
      <c r="O51"/>
      <c r="P51"/>
    </row>
    <row r="52" spans="2:16">
      <c r="B52" s="806" t="s">
        <v>323</v>
      </c>
      <c r="C52" s="39" t="str">
        <f>Data!$C$9</f>
        <v>£m 18/19</v>
      </c>
      <c r="D52" s="446"/>
      <c r="E52" s="446"/>
      <c r="F52" s="446"/>
      <c r="G52" s="446"/>
      <c r="H52" s="446"/>
      <c r="I52" s="44">
        <f>SUM(D52:INDEX(D52:H52,0,MATCH('RFPR cover'!$C$9,$D$6:$H$6,0)))</f>
        <v>0</v>
      </c>
      <c r="J52" s="46">
        <f>SUM(D52:H52)</f>
        <v>0</v>
      </c>
      <c r="K52"/>
      <c r="L52"/>
      <c r="M52"/>
      <c r="N52"/>
      <c r="O52"/>
      <c r="P52"/>
    </row>
    <row r="53" spans="2:16">
      <c r="B53" s="806" t="s">
        <v>324</v>
      </c>
      <c r="C53" s="39" t="str">
        <f>Data!$C$9</f>
        <v>£m 18/19</v>
      </c>
      <c r="D53" s="446"/>
      <c r="E53" s="446"/>
      <c r="F53" s="446"/>
      <c r="G53" s="446"/>
      <c r="H53" s="446"/>
      <c r="I53" s="44">
        <f>SUM(D53:INDEX(D53:H53,0,MATCH('RFPR cover'!$C$9,$D$6:$H$6,0)))</f>
        <v>0</v>
      </c>
      <c r="J53" s="46">
        <f t="shared" ref="J53:J54" si="20">SUM(D53:H53)</f>
        <v>0</v>
      </c>
      <c r="K53"/>
      <c r="L53"/>
      <c r="M53"/>
      <c r="N53"/>
      <c r="O53"/>
      <c r="P53"/>
    </row>
    <row r="54" spans="2:16">
      <c r="B54" s="371" t="s">
        <v>325</v>
      </c>
      <c r="C54" s="39" t="str">
        <f>Data!$C$9</f>
        <v>£m 18/19</v>
      </c>
      <c r="D54" s="1132">
        <f>SUM(D52:D53)</f>
        <v>0</v>
      </c>
      <c r="E54" s="1132">
        <f t="shared" ref="E54" si="21">SUM(E52:E53)</f>
        <v>0</v>
      </c>
      <c r="F54" s="1132">
        <f t="shared" ref="F54" si="22">SUM(F52:F53)</f>
        <v>0</v>
      </c>
      <c r="G54" s="1132">
        <f t="shared" ref="G54" si="23">SUM(G52:G53)</f>
        <v>0</v>
      </c>
      <c r="H54" s="1132">
        <f t="shared" ref="H54" si="24">SUM(H52:H53)</f>
        <v>0</v>
      </c>
      <c r="I54" s="44">
        <f>SUM(D54:INDEX(D54:H54,0,MATCH('RFPR cover'!$C$9,$D$6:$H$6,0)))</f>
        <v>0</v>
      </c>
      <c r="J54" s="46">
        <f t="shared" si="20"/>
        <v>0</v>
      </c>
      <c r="K54" s="371"/>
      <c r="L54" s="371"/>
      <c r="M54" s="371"/>
      <c r="N54" s="371"/>
      <c r="O54"/>
      <c r="P54"/>
    </row>
    <row r="55" spans="2:16">
      <c r="B55" s="371"/>
      <c r="C55" s="371"/>
      <c r="D55" s="371"/>
      <c r="E55" s="371"/>
      <c r="F55" s="371"/>
      <c r="G55" s="371"/>
      <c r="H55" s="371"/>
      <c r="I55" s="371"/>
      <c r="J55" s="371"/>
      <c r="K55" s="371"/>
      <c r="L55" s="371"/>
      <c r="M55" s="371"/>
      <c r="N55" s="371"/>
      <c r="O55"/>
      <c r="P55"/>
    </row>
    <row r="56" spans="2:16">
      <c r="B56" s="371" t="s">
        <v>326</v>
      </c>
      <c r="K56" s="371"/>
      <c r="L56" s="371"/>
      <c r="M56" s="371"/>
      <c r="N56" s="371"/>
      <c r="O56"/>
      <c r="P56"/>
    </row>
    <row r="57" spans="2:16">
      <c r="B57" s="806" t="s">
        <v>323</v>
      </c>
      <c r="C57" s="39" t="str">
        <f>Data!$C$9</f>
        <v>£m 18/19</v>
      </c>
      <c r="D57" s="446"/>
      <c r="E57" s="446"/>
      <c r="F57" s="446"/>
      <c r="G57" s="446"/>
      <c r="H57" s="446"/>
      <c r="I57" s="44">
        <f>SUM(D57:INDEX(D57:H57,0,MATCH('RFPR cover'!$C$9,$D$6:$H$6,0)))</f>
        <v>0</v>
      </c>
      <c r="J57" s="46">
        <f>SUM(D57:H57)</f>
        <v>0</v>
      </c>
      <c r="K57" s="371"/>
      <c r="L57" s="371"/>
      <c r="M57" s="371"/>
      <c r="N57" s="371"/>
      <c r="O57"/>
      <c r="P57"/>
    </row>
    <row r="58" spans="2:16">
      <c r="B58" s="806" t="s">
        <v>324</v>
      </c>
      <c r="C58" s="39" t="str">
        <f>Data!$C$9</f>
        <v>£m 18/19</v>
      </c>
      <c r="D58" s="446"/>
      <c r="E58" s="446"/>
      <c r="F58" s="446"/>
      <c r="G58" s="446"/>
      <c r="H58" s="446"/>
      <c r="I58" s="44">
        <f>SUM(D58:INDEX(D58:H58,0,MATCH('RFPR cover'!$C$9,$D$6:$H$6,0)))</f>
        <v>0</v>
      </c>
      <c r="J58" s="46">
        <f t="shared" ref="J58:J59" si="25">SUM(D58:H58)</f>
        <v>0</v>
      </c>
      <c r="K58" s="371"/>
      <c r="L58" s="371"/>
      <c r="M58" s="371"/>
      <c r="N58" s="371"/>
      <c r="O58"/>
      <c r="P58"/>
    </row>
    <row r="59" spans="2:16">
      <c r="B59" s="371" t="s">
        <v>325</v>
      </c>
      <c r="C59" s="39" t="str">
        <f>Data!$C$9</f>
        <v>£m 18/19</v>
      </c>
      <c r="D59" s="1132">
        <f>SUM(D57:D58)</f>
        <v>0</v>
      </c>
      <c r="E59" s="1132">
        <f t="shared" ref="E59:H59" si="26">SUM(E57:E58)</f>
        <v>0</v>
      </c>
      <c r="F59" s="1132">
        <f t="shared" si="26"/>
        <v>0</v>
      </c>
      <c r="G59" s="1132">
        <f t="shared" si="26"/>
        <v>0</v>
      </c>
      <c r="H59" s="1132">
        <f t="shared" si="26"/>
        <v>0</v>
      </c>
      <c r="I59" s="44">
        <f>SUM(D59:INDEX(D59:H59,0,MATCH('RFPR cover'!$C$9,$D$6:$H$6,0)))</f>
        <v>0</v>
      </c>
      <c r="J59" s="46">
        <f t="shared" si="25"/>
        <v>0</v>
      </c>
      <c r="K59" s="371"/>
      <c r="L59" s="371"/>
      <c r="M59" s="371"/>
      <c r="N59" s="371"/>
      <c r="O59"/>
      <c r="P59"/>
    </row>
    <row r="60" spans="2:16">
      <c r="B60" s="371"/>
      <c r="C60" s="371"/>
      <c r="D60" s="371"/>
      <c r="E60" s="371"/>
      <c r="F60" s="371"/>
      <c r="G60" s="371"/>
      <c r="H60" s="371"/>
      <c r="I60" s="371"/>
      <c r="J60" s="371"/>
      <c r="K60" s="371"/>
      <c r="L60" s="371"/>
      <c r="M60" s="371"/>
      <c r="N60" s="371"/>
      <c r="O60"/>
      <c r="P60"/>
    </row>
    <row r="61" spans="2:16">
      <c r="B61" s="67" t="s">
        <v>327</v>
      </c>
      <c r="C61" s="39"/>
      <c r="D61" s="1132">
        <f>D54*D46</f>
        <v>0</v>
      </c>
      <c r="E61" s="1132">
        <f t="shared" ref="E61:H61" si="27">E54*E46</f>
        <v>0</v>
      </c>
      <c r="F61" s="1132">
        <f t="shared" si="27"/>
        <v>0</v>
      </c>
      <c r="G61" s="1132">
        <f t="shared" si="27"/>
        <v>0</v>
      </c>
      <c r="H61" s="1132">
        <f t="shared" si="27"/>
        <v>0</v>
      </c>
      <c r="I61" s="47">
        <f>SUM(D61:INDEX(D61:H61,0,MATCH('RFPR cover'!$C$9,$D$6:$H$6,0)))</f>
        <v>0</v>
      </c>
      <c r="J61" s="49">
        <f>SUM(D61:H61)</f>
        <v>0</v>
      </c>
      <c r="K61" s="371"/>
      <c r="L61" s="371"/>
      <c r="M61" s="371"/>
      <c r="N61" s="371"/>
      <c r="O61"/>
      <c r="P61"/>
    </row>
    <row r="62" spans="2:16">
      <c r="B62" s="67" t="s">
        <v>328</v>
      </c>
      <c r="C62" s="39"/>
      <c r="D62" s="1132">
        <f>D54*(1-D46)+D59</f>
        <v>0</v>
      </c>
      <c r="E62" s="1132">
        <f t="shared" ref="E62:H62" si="28">E54*(1-E46)+E59</f>
        <v>0</v>
      </c>
      <c r="F62" s="1132">
        <f t="shared" si="28"/>
        <v>0</v>
      </c>
      <c r="G62" s="1132">
        <f t="shared" si="28"/>
        <v>0</v>
      </c>
      <c r="H62" s="1132">
        <f t="shared" si="28"/>
        <v>0</v>
      </c>
      <c r="I62" s="47">
        <f>SUM(D62:INDEX(D62:H62,0,MATCH('RFPR cover'!$C$9,$D$6:$H$6,0)))</f>
        <v>0</v>
      </c>
      <c r="J62" s="46">
        <f>SUM(D62:H62)</f>
        <v>0</v>
      </c>
      <c r="K62" s="371"/>
      <c r="L62" s="371"/>
      <c r="M62" s="371"/>
      <c r="N62" s="371"/>
      <c r="O62"/>
      <c r="P62"/>
    </row>
    <row r="63" spans="2:16">
      <c r="B63" s="371"/>
      <c r="C63" s="371"/>
      <c r="D63" s="371"/>
      <c r="E63" s="371"/>
      <c r="F63" s="371"/>
      <c r="G63" s="371"/>
      <c r="H63" s="371"/>
      <c r="I63" s="371"/>
      <c r="J63" s="371"/>
      <c r="K63" s="371"/>
      <c r="L63" s="371"/>
      <c r="M63" s="371"/>
      <c r="N63" s="371"/>
      <c r="O63"/>
      <c r="P63"/>
    </row>
    <row r="64" spans="2:16">
      <c r="B64" s="371" t="s">
        <v>329</v>
      </c>
      <c r="C64" s="371"/>
      <c r="D64" s="371"/>
      <c r="E64" s="371"/>
      <c r="F64" s="371"/>
      <c r="G64" s="371"/>
      <c r="H64" s="371"/>
      <c r="I64" s="371"/>
      <c r="J64" s="371"/>
      <c r="K64" s="371"/>
      <c r="L64" s="371"/>
      <c r="M64" s="371"/>
      <c r="N64" s="371"/>
      <c r="O64"/>
      <c r="P64"/>
    </row>
    <row r="65" spans="2:17">
      <c r="B65" s="67" t="s">
        <v>320</v>
      </c>
      <c r="C65" s="39" t="str">
        <f>Data!$C$9</f>
        <v>£m 18/19</v>
      </c>
      <c r="D65" s="1132">
        <f>D61+D48</f>
        <v>0</v>
      </c>
      <c r="E65" s="1132">
        <f t="shared" ref="E65:H65" si="29">E61+E48</f>
        <v>0</v>
      </c>
      <c r="F65" s="1132">
        <f t="shared" si="29"/>
        <v>0</v>
      </c>
      <c r="G65" s="1132">
        <f t="shared" si="29"/>
        <v>0</v>
      </c>
      <c r="H65" s="1132">
        <f t="shared" si="29"/>
        <v>0</v>
      </c>
      <c r="I65" s="44">
        <f>SUM(D65:INDEX(D65:H65,0,MATCH('RFPR cover'!$C$9,$D$6:$H$6,0)))</f>
        <v>0</v>
      </c>
      <c r="J65" s="46">
        <f>SUM(D65:H65)</f>
        <v>0</v>
      </c>
      <c r="K65" s="371"/>
      <c r="L65" s="371"/>
      <c r="M65" s="371"/>
      <c r="N65" s="371"/>
      <c r="O65"/>
      <c r="P65"/>
    </row>
    <row r="66" spans="2:17">
      <c r="B66" s="67" t="s">
        <v>321</v>
      </c>
      <c r="C66" s="39" t="str">
        <f>Data!$C$9</f>
        <v>£m 18/19</v>
      </c>
      <c r="D66" s="1132">
        <f>D49+D62</f>
        <v>0</v>
      </c>
      <c r="E66" s="1132">
        <f t="shared" ref="E66:H66" si="30">E49+E62</f>
        <v>0</v>
      </c>
      <c r="F66" s="1132">
        <f t="shared" si="30"/>
        <v>0</v>
      </c>
      <c r="G66" s="1132">
        <f t="shared" si="30"/>
        <v>0</v>
      </c>
      <c r="H66" s="1132">
        <f t="shared" si="30"/>
        <v>0</v>
      </c>
      <c r="I66" s="44">
        <f>SUM(D66:INDEX(D66:H66,0,MATCH('RFPR cover'!$C$9,$D$6:$H$6,0)))</f>
        <v>0</v>
      </c>
      <c r="J66" s="46">
        <f t="shared" ref="J66" si="31">SUM(D66:H66)</f>
        <v>0</v>
      </c>
      <c r="K66" s="371"/>
      <c r="L66" s="371"/>
      <c r="M66" s="371"/>
      <c r="N66" s="371"/>
      <c r="O66"/>
      <c r="P66"/>
    </row>
    <row r="67" spans="2:17">
      <c r="B67" s="371" t="s">
        <v>330</v>
      </c>
      <c r="C67" s="78" t="str">
        <f>Data!$C$9</f>
        <v>£m 18/19</v>
      </c>
      <c r="D67" s="1132">
        <f>SUM(D65:D66)</f>
        <v>0</v>
      </c>
      <c r="E67" s="1132">
        <f t="shared" ref="E67:H67" si="32">SUM(E65:E66)</f>
        <v>0</v>
      </c>
      <c r="F67" s="1132">
        <f t="shared" si="32"/>
        <v>0</v>
      </c>
      <c r="G67" s="1132">
        <f t="shared" si="32"/>
        <v>0</v>
      </c>
      <c r="H67" s="1132">
        <f t="shared" si="32"/>
        <v>0</v>
      </c>
      <c r="I67" s="44">
        <f>SUM(D67:INDEX(D67:H67,0,MATCH('RFPR cover'!$C$9,$D$6:$H$6,0)))</f>
        <v>0</v>
      </c>
      <c r="J67" s="46">
        <f t="shared" ref="J67" si="33">SUM(D67:H67)</f>
        <v>0</v>
      </c>
      <c r="K67"/>
      <c r="L67"/>
      <c r="M67"/>
      <c r="N67"/>
      <c r="O67"/>
      <c r="P67"/>
    </row>
    <row r="68" spans="2:17">
      <c r="C68" s="39"/>
      <c r="D68" s="39"/>
      <c r="E68" s="39"/>
      <c r="F68" s="39"/>
      <c r="G68" s="39"/>
      <c r="H68" s="39"/>
      <c r="I68" s="39"/>
      <c r="J68" s="39"/>
      <c r="K68" s="39"/>
      <c r="L68" s="39"/>
      <c r="M68" s="39"/>
      <c r="N68" s="39"/>
      <c r="O68" s="39"/>
      <c r="P68" s="39"/>
      <c r="Q68" s="39"/>
    </row>
    <row r="69" spans="2:17">
      <c r="B69" s="799" t="s">
        <v>333</v>
      </c>
      <c r="C69" s="74"/>
      <c r="D69" s="42"/>
      <c r="E69" s="42"/>
      <c r="F69" s="42"/>
      <c r="G69" s="42"/>
      <c r="H69" s="42"/>
      <c r="I69" s="42"/>
      <c r="J69" s="42"/>
      <c r="K69"/>
      <c r="L69"/>
      <c r="M69"/>
      <c r="N69"/>
      <c r="O69"/>
      <c r="P69"/>
    </row>
    <row r="70" spans="2:17">
      <c r="D70" s="1"/>
      <c r="E70" s="1"/>
      <c r="F70" s="1"/>
      <c r="G70" s="1"/>
      <c r="H70" s="1"/>
      <c r="I70" s="1"/>
      <c r="J70" s="1"/>
      <c r="K70"/>
      <c r="L70"/>
      <c r="M70"/>
      <c r="N70"/>
      <c r="O70"/>
      <c r="P70"/>
    </row>
    <row r="71" spans="2:17">
      <c r="B71" s="89" t="s">
        <v>334</v>
      </c>
      <c r="C71" s="39" t="str">
        <f>Data!$C$9</f>
        <v>£m 18/19</v>
      </c>
      <c r="D71" s="899"/>
      <c r="E71" s="899"/>
      <c r="F71" s="899"/>
      <c r="G71" s="899"/>
      <c r="H71" s="899"/>
      <c r="I71" s="458">
        <f>SUM(D71:INDEX(D71:H71,0,MATCH('RFPR cover'!$C$9,$D$6:$H$6,0)))</f>
        <v>0</v>
      </c>
      <c r="J71" s="459">
        <f>SUM(D71:H71)</f>
        <v>0</v>
      </c>
      <c r="K71"/>
      <c r="L71"/>
      <c r="M71"/>
      <c r="N71"/>
      <c r="O71"/>
      <c r="P71"/>
    </row>
    <row r="72" spans="2:17" ht="16.5" customHeight="1">
      <c r="B72" s="68" t="s">
        <v>335</v>
      </c>
      <c r="C72" s="11" t="str">
        <f>Data!$C$9</f>
        <v>£m 18/19</v>
      </c>
      <c r="D72" s="899"/>
      <c r="E72" s="899"/>
      <c r="F72" s="899"/>
      <c r="G72" s="899"/>
      <c r="H72" s="899"/>
      <c r="I72" s="901">
        <f>SUM(D72:INDEX(D72:H72,0,MATCH('RFPR cover'!$C$9,$D$6:$H$6,0)))</f>
        <v>0</v>
      </c>
      <c r="J72" s="902">
        <f>SUM(D72:H72)</f>
        <v>0</v>
      </c>
      <c r="K72" s="903"/>
      <c r="L72" s="903"/>
      <c r="M72" s="903"/>
      <c r="N72" s="903"/>
      <c r="O72" s="903"/>
      <c r="P72" s="903"/>
    </row>
    <row r="73" spans="2:17">
      <c r="B73" s="486" t="s">
        <v>318</v>
      </c>
      <c r="C73" s="39" t="str">
        <f>Data!$C$9</f>
        <v>£m 18/19</v>
      </c>
      <c r="D73" s="1132">
        <f>D72-D71</f>
        <v>0</v>
      </c>
      <c r="E73" s="1132">
        <f t="shared" ref="E73:J73" si="34">E72-E71</f>
        <v>0</v>
      </c>
      <c r="F73" s="1132">
        <f t="shared" si="34"/>
        <v>0</v>
      </c>
      <c r="G73" s="1132">
        <f t="shared" si="34"/>
        <v>0</v>
      </c>
      <c r="H73" s="1132">
        <f t="shared" si="34"/>
        <v>0</v>
      </c>
      <c r="I73" s="846">
        <f t="shared" si="34"/>
        <v>0</v>
      </c>
      <c r="J73" s="1062">
        <f t="shared" si="34"/>
        <v>0</v>
      </c>
      <c r="K73"/>
      <c r="L73"/>
      <c r="M73"/>
      <c r="N73"/>
      <c r="O73"/>
      <c r="P73"/>
    </row>
    <row r="74" spans="2:17">
      <c r="B74" s="486"/>
      <c r="C74" s="39"/>
      <c r="D74" s="33"/>
      <c r="E74" s="33"/>
      <c r="F74" s="33"/>
      <c r="G74" s="33"/>
      <c r="H74" s="33"/>
      <c r="I74" s="33"/>
      <c r="J74" s="33"/>
      <c r="K74"/>
      <c r="L74"/>
      <c r="M74"/>
      <c r="N74"/>
      <c r="O74"/>
      <c r="P74"/>
    </row>
    <row r="75" spans="2:17">
      <c r="B75" s="67" t="s">
        <v>319</v>
      </c>
      <c r="C75" s="70" t="s">
        <v>216</v>
      </c>
      <c r="D75" s="58">
        <f>INDEX(Data!$C$55:$C$83,MATCH('RFPR cover'!$C$7,Data!$B$55:$B$83,0),0)</f>
        <v>1</v>
      </c>
      <c r="E75" s="58">
        <f>INDEX(Data!$C$55:$C$83,MATCH('RFPR cover'!$C$7,Data!$B$55:$B$83,0),0)</f>
        <v>1</v>
      </c>
      <c r="F75" s="58">
        <f>INDEX(Data!$C$55:$C$83,MATCH('RFPR cover'!$C$7,Data!$B$55:$B$83,0),0)</f>
        <v>1</v>
      </c>
      <c r="G75" s="58">
        <f>INDEX(Data!$C$55:$C$83,MATCH('RFPR cover'!$C$7,Data!$B$55:$B$83,0),0)</f>
        <v>1</v>
      </c>
      <c r="H75" s="58">
        <f>INDEX(Data!$C$55:$C$83,MATCH('RFPR cover'!$C$7,Data!$B$55:$B$83,0),0)</f>
        <v>1</v>
      </c>
      <c r="I75" s="36"/>
      <c r="J75" s="36"/>
      <c r="K75"/>
      <c r="L75"/>
      <c r="M75"/>
      <c r="N75"/>
      <c r="O75"/>
      <c r="P75"/>
    </row>
    <row r="76" spans="2:17">
      <c r="K76"/>
      <c r="L76"/>
      <c r="M76"/>
      <c r="N76"/>
      <c r="O76"/>
      <c r="P76"/>
    </row>
    <row r="77" spans="2:17">
      <c r="B77" s="67" t="s">
        <v>320</v>
      </c>
      <c r="C77" s="39" t="str">
        <f>Data!$C$9</f>
        <v>£m 18/19</v>
      </c>
      <c r="D77" s="1132">
        <f>D73*D75</f>
        <v>0</v>
      </c>
      <c r="E77" s="1132">
        <f t="shared" ref="E77:H77" si="35">E73*E75</f>
        <v>0</v>
      </c>
      <c r="F77" s="1132">
        <f t="shared" si="35"/>
        <v>0</v>
      </c>
      <c r="G77" s="1132">
        <f t="shared" si="35"/>
        <v>0</v>
      </c>
      <c r="H77" s="1132">
        <f t="shared" si="35"/>
        <v>0</v>
      </c>
      <c r="I77" s="178">
        <f>SUM(D77:INDEX(D77:H77,0,MATCH('RFPR cover'!$C$9,$D$6:$H$6,0)))</f>
        <v>0</v>
      </c>
      <c r="J77" s="437">
        <f>SUM(D77:H77)</f>
        <v>0</v>
      </c>
      <c r="K77"/>
      <c r="L77"/>
      <c r="M77"/>
      <c r="N77"/>
      <c r="O77"/>
      <c r="P77"/>
    </row>
    <row r="78" spans="2:17">
      <c r="B78" s="67" t="s">
        <v>321</v>
      </c>
      <c r="C78" s="39" t="str">
        <f>Data!$C$9</f>
        <v>£m 18/19</v>
      </c>
      <c r="D78" s="1132">
        <f>D73*(1-D75)</f>
        <v>0</v>
      </c>
      <c r="E78" s="1132">
        <f t="shared" ref="E78:H78" si="36">E73*(1-E75)</f>
        <v>0</v>
      </c>
      <c r="F78" s="1132">
        <f t="shared" si="36"/>
        <v>0</v>
      </c>
      <c r="G78" s="1132">
        <f t="shared" si="36"/>
        <v>0</v>
      </c>
      <c r="H78" s="1132">
        <f t="shared" si="36"/>
        <v>0</v>
      </c>
      <c r="I78" s="440">
        <f>SUM(D78:INDEX(D78:H78,0,MATCH('RFPR cover'!$C$9,$D$6:$H$6,0)))</f>
        <v>0</v>
      </c>
      <c r="J78" s="441">
        <f>SUM(D78:H78)</f>
        <v>0</v>
      </c>
      <c r="K78"/>
      <c r="L78"/>
      <c r="M78"/>
      <c r="N78"/>
      <c r="O78"/>
      <c r="P78"/>
    </row>
    <row r="79" spans="2:17">
      <c r="C79" s="67"/>
      <c r="D79" s="67"/>
      <c r="E79" s="67"/>
      <c r="F79" s="67"/>
      <c r="G79" s="67"/>
      <c r="H79" s="67"/>
      <c r="I79" s="67"/>
      <c r="J79" s="67"/>
      <c r="K79" s="67"/>
      <c r="L79" s="67"/>
      <c r="M79"/>
      <c r="N79"/>
      <c r="O79"/>
      <c r="P79"/>
    </row>
    <row r="80" spans="2:17">
      <c r="B80" s="371" t="s">
        <v>322</v>
      </c>
      <c r="K80" s="67"/>
      <c r="L80" s="67"/>
      <c r="M80"/>
      <c r="N80"/>
      <c r="O80"/>
      <c r="P80"/>
    </row>
    <row r="81" spans="2:16">
      <c r="B81" s="806" t="s">
        <v>323</v>
      </c>
      <c r="C81" s="39" t="str">
        <f>Data!$C$9</f>
        <v>£m 18/19</v>
      </c>
      <c r="D81" s="446"/>
      <c r="E81" s="446"/>
      <c r="F81" s="446"/>
      <c r="G81" s="446"/>
      <c r="H81" s="446"/>
      <c r="I81" s="44">
        <f>SUM(D81:INDEX(D81:H81,0,MATCH('RFPR cover'!$C$9,$D$6:$H$6,0)))</f>
        <v>0</v>
      </c>
      <c r="J81" s="46">
        <f>SUM(D81:H81)</f>
        <v>0</v>
      </c>
      <c r="K81" s="67"/>
      <c r="L81" s="67"/>
      <c r="M81"/>
      <c r="N81"/>
      <c r="O81"/>
      <c r="P81"/>
    </row>
    <row r="82" spans="2:16">
      <c r="B82" s="806" t="s">
        <v>324</v>
      </c>
      <c r="C82" s="39" t="str">
        <f>Data!$C$9</f>
        <v>£m 18/19</v>
      </c>
      <c r="D82" s="446"/>
      <c r="E82" s="446"/>
      <c r="F82" s="446"/>
      <c r="G82" s="446"/>
      <c r="H82" s="446"/>
      <c r="I82" s="44">
        <f>SUM(D82:INDEX(D82:H82,0,MATCH('RFPR cover'!$C$9,$D$6:$H$6,0)))</f>
        <v>0</v>
      </c>
      <c r="J82" s="46">
        <f t="shared" ref="J82:J83" si="37">SUM(D82:H82)</f>
        <v>0</v>
      </c>
      <c r="K82" s="67"/>
      <c r="L82" s="67"/>
      <c r="M82"/>
      <c r="N82"/>
      <c r="O82"/>
      <c r="P82"/>
    </row>
    <row r="83" spans="2:16">
      <c r="B83" s="371" t="s">
        <v>325</v>
      </c>
      <c r="C83" s="39" t="str">
        <f>Data!$C$9</f>
        <v>£m 18/19</v>
      </c>
      <c r="D83" s="1132">
        <f>SUM(D81:D82)</f>
        <v>0</v>
      </c>
      <c r="E83" s="1132">
        <f t="shared" ref="E83" si="38">SUM(E81:E82)</f>
        <v>0</v>
      </c>
      <c r="F83" s="1132">
        <f t="shared" ref="F83" si="39">SUM(F81:F82)</f>
        <v>0</v>
      </c>
      <c r="G83" s="1132">
        <f t="shared" ref="G83" si="40">SUM(G81:G82)</f>
        <v>0</v>
      </c>
      <c r="H83" s="1132">
        <f t="shared" ref="H83" si="41">SUM(H81:H82)</f>
        <v>0</v>
      </c>
      <c r="I83" s="44">
        <f>SUM(D83:INDEX(D83:H83,0,MATCH('RFPR cover'!$C$9,$D$6:$H$6,0)))</f>
        <v>0</v>
      </c>
      <c r="J83" s="46">
        <f t="shared" si="37"/>
        <v>0</v>
      </c>
      <c r="K83" s="67"/>
      <c r="L83" s="67"/>
      <c r="M83"/>
      <c r="N83"/>
      <c r="O83"/>
      <c r="P83"/>
    </row>
    <row r="84" spans="2:16">
      <c r="B84" s="371"/>
      <c r="C84" s="371"/>
      <c r="D84" s="371"/>
      <c r="E84" s="371"/>
      <c r="F84" s="371"/>
      <c r="G84" s="371"/>
      <c r="H84" s="371"/>
      <c r="I84" s="371"/>
      <c r="J84" s="371"/>
      <c r="K84" s="67"/>
      <c r="L84" s="67"/>
      <c r="M84"/>
      <c r="N84"/>
      <c r="O84"/>
      <c r="P84"/>
    </row>
    <row r="85" spans="2:16">
      <c r="B85" s="67" t="s">
        <v>327</v>
      </c>
      <c r="C85" s="39"/>
      <c r="D85" s="1132">
        <f>D83*D75</f>
        <v>0</v>
      </c>
      <c r="E85" s="1132">
        <f t="shared" ref="E85:H85" si="42">E83*E75</f>
        <v>0</v>
      </c>
      <c r="F85" s="1132">
        <f t="shared" si="42"/>
        <v>0</v>
      </c>
      <c r="G85" s="1132">
        <f t="shared" si="42"/>
        <v>0</v>
      </c>
      <c r="H85" s="1132">
        <f t="shared" si="42"/>
        <v>0</v>
      </c>
      <c r="I85" s="47">
        <f>SUM(D85:INDEX(D85:H85,0,MATCH('RFPR cover'!$C$9,$D$6:$H$6,0)))</f>
        <v>0</v>
      </c>
      <c r="J85" s="49">
        <f>SUM(D85:H85)</f>
        <v>0</v>
      </c>
      <c r="K85" s="67"/>
      <c r="L85" s="67"/>
      <c r="M85"/>
      <c r="N85"/>
      <c r="O85"/>
      <c r="P85"/>
    </row>
    <row r="86" spans="2:16">
      <c r="B86" s="67" t="s">
        <v>328</v>
      </c>
      <c r="C86" s="39"/>
      <c r="D86" s="1132">
        <f>D83*(1-D75)</f>
        <v>0</v>
      </c>
      <c r="E86" s="1132">
        <f t="shared" ref="E86:H86" si="43">E83*(1-E75)</f>
        <v>0</v>
      </c>
      <c r="F86" s="1132">
        <f t="shared" si="43"/>
        <v>0</v>
      </c>
      <c r="G86" s="1132">
        <f t="shared" si="43"/>
        <v>0</v>
      </c>
      <c r="H86" s="1132">
        <f t="shared" si="43"/>
        <v>0</v>
      </c>
      <c r="I86" s="44">
        <v>0</v>
      </c>
      <c r="J86" s="46">
        <f>SUM(D86:H86)</f>
        <v>0</v>
      </c>
      <c r="K86" s="67"/>
      <c r="L86" s="67"/>
      <c r="M86"/>
      <c r="N86"/>
      <c r="O86"/>
      <c r="P86"/>
    </row>
    <row r="87" spans="2:16">
      <c r="B87" s="371"/>
      <c r="C87" s="371"/>
      <c r="D87" s="371"/>
      <c r="E87" s="371"/>
      <c r="F87" s="371"/>
      <c r="G87" s="371"/>
      <c r="H87" s="371"/>
      <c r="I87" s="371"/>
      <c r="J87" s="371"/>
      <c r="K87" s="67"/>
      <c r="L87" s="67"/>
      <c r="M87"/>
      <c r="N87"/>
      <c r="O87"/>
      <c r="P87"/>
    </row>
    <row r="88" spans="2:16">
      <c r="B88" s="371" t="s">
        <v>329</v>
      </c>
      <c r="C88" s="371"/>
      <c r="D88" s="371"/>
      <c r="E88" s="371"/>
      <c r="F88" s="371"/>
      <c r="G88" s="371"/>
      <c r="H88" s="371"/>
      <c r="I88" s="371"/>
      <c r="J88" s="371"/>
      <c r="K88" s="67"/>
      <c r="L88" s="67"/>
      <c r="M88"/>
      <c r="N88"/>
      <c r="O88"/>
      <c r="P88"/>
    </row>
    <row r="89" spans="2:16">
      <c r="B89" s="67" t="s">
        <v>320</v>
      </c>
      <c r="C89" s="39" t="str">
        <f>Data!$C$9</f>
        <v>£m 18/19</v>
      </c>
      <c r="D89" s="1132">
        <f>D85+D77</f>
        <v>0</v>
      </c>
      <c r="E89" s="1132">
        <f t="shared" ref="E89:H89" si="44">E85+E77</f>
        <v>0</v>
      </c>
      <c r="F89" s="1132">
        <f t="shared" si="44"/>
        <v>0</v>
      </c>
      <c r="G89" s="1132">
        <f t="shared" si="44"/>
        <v>0</v>
      </c>
      <c r="H89" s="1132">
        <f t="shared" si="44"/>
        <v>0</v>
      </c>
      <c r="I89" s="44">
        <f>SUM(D89:INDEX(D89:H89,0,MATCH('RFPR cover'!$C$9,$D$6:$H$6,0)))</f>
        <v>0</v>
      </c>
      <c r="J89" s="46">
        <f>SUM(D89:H89)</f>
        <v>0</v>
      </c>
      <c r="K89" s="67"/>
      <c r="L89" s="67"/>
      <c r="M89"/>
      <c r="N89"/>
      <c r="O89"/>
      <c r="P89"/>
    </row>
    <row r="90" spans="2:16">
      <c r="B90" s="67" t="s">
        <v>321</v>
      </c>
      <c r="C90" s="39" t="str">
        <f>Data!$C$9</f>
        <v>£m 18/19</v>
      </c>
      <c r="D90" s="1132">
        <f>D78+D86</f>
        <v>0</v>
      </c>
      <c r="E90" s="1132">
        <f t="shared" ref="E90:H90" si="45">E78+E86</f>
        <v>0</v>
      </c>
      <c r="F90" s="1132">
        <f t="shared" si="45"/>
        <v>0</v>
      </c>
      <c r="G90" s="1132">
        <f t="shared" si="45"/>
        <v>0</v>
      </c>
      <c r="H90" s="1132">
        <f t="shared" si="45"/>
        <v>0</v>
      </c>
      <c r="I90" s="44">
        <f>SUM(D90:INDEX(D90:H90,0,MATCH('RFPR cover'!$C$9,$D$6:$H$6,0)))</f>
        <v>0</v>
      </c>
      <c r="J90" s="46">
        <f t="shared" ref="J90:J91" si="46">SUM(D90:H90)</f>
        <v>0</v>
      </c>
      <c r="K90" s="67"/>
      <c r="L90" s="67"/>
      <c r="M90"/>
      <c r="N90"/>
      <c r="O90"/>
      <c r="P90"/>
    </row>
    <row r="91" spans="2:16">
      <c r="B91" s="371" t="s">
        <v>330</v>
      </c>
      <c r="C91" s="78" t="str">
        <f>Data!$C$9</f>
        <v>£m 18/19</v>
      </c>
      <c r="D91" s="1132">
        <f>SUM(D89:D90)</f>
        <v>0</v>
      </c>
      <c r="E91" s="1132">
        <f t="shared" ref="E91:H91" si="47">SUM(E89:E90)</f>
        <v>0</v>
      </c>
      <c r="F91" s="1132">
        <f t="shared" si="47"/>
        <v>0</v>
      </c>
      <c r="G91" s="1132">
        <f t="shared" si="47"/>
        <v>0</v>
      </c>
      <c r="H91" s="1132">
        <f t="shared" si="47"/>
        <v>0</v>
      </c>
      <c r="I91" s="44">
        <f>SUM(D91:INDEX(D91:H91,0,MATCH('RFPR cover'!$C$9,$D$6:$H$6,0)))</f>
        <v>0</v>
      </c>
      <c r="J91" s="46">
        <f t="shared" si="46"/>
        <v>0</v>
      </c>
      <c r="K91"/>
      <c r="L91"/>
      <c r="M91"/>
      <c r="N91"/>
      <c r="O91"/>
      <c r="P91"/>
    </row>
    <row r="92" spans="2:16">
      <c r="K92"/>
      <c r="L92"/>
      <c r="M92"/>
      <c r="N92"/>
      <c r="O92"/>
      <c r="P92"/>
    </row>
    <row r="93" spans="2:16">
      <c r="B93" s="484" t="s">
        <v>336</v>
      </c>
      <c r="C93" s="74"/>
      <c r="D93" s="42"/>
      <c r="E93" s="42"/>
      <c r="F93" s="42"/>
      <c r="G93" s="42"/>
      <c r="H93" s="42"/>
      <c r="I93" s="42"/>
      <c r="J93" s="42"/>
      <c r="N93"/>
      <c r="O93"/>
      <c r="P93"/>
    </row>
    <row r="94" spans="2:16">
      <c r="K94"/>
      <c r="L94"/>
      <c r="M94"/>
      <c r="N94"/>
      <c r="O94"/>
      <c r="P94"/>
    </row>
    <row r="95" spans="2:16">
      <c r="B95" s="371" t="s">
        <v>337</v>
      </c>
      <c r="N95"/>
      <c r="O95"/>
      <c r="P95"/>
    </row>
    <row r="96" spans="2:16">
      <c r="B96" s="67" t="s">
        <v>338</v>
      </c>
      <c r="C96" s="39" t="str">
        <f>Data!$C$9</f>
        <v>£m 18/19</v>
      </c>
      <c r="D96" s="1132">
        <f t="shared" ref="D96:H97" si="48">D36+D65+D89</f>
        <v>0</v>
      </c>
      <c r="E96" s="1132">
        <f t="shared" si="48"/>
        <v>0</v>
      </c>
      <c r="F96" s="1132">
        <f t="shared" si="48"/>
        <v>0</v>
      </c>
      <c r="G96" s="1132">
        <f t="shared" si="48"/>
        <v>0</v>
      </c>
      <c r="H96" s="1132">
        <f t="shared" si="48"/>
        <v>0</v>
      </c>
      <c r="I96" s="44">
        <f>SUM(D96:INDEX(D96:H96,0,MATCH('RFPR cover'!$C$9,$D$6:$H$6,0)))</f>
        <v>0</v>
      </c>
      <c r="J96" s="46">
        <f>SUM(D96:H96)</f>
        <v>0</v>
      </c>
      <c r="N96"/>
      <c r="O96" s="780"/>
      <c r="P96"/>
    </row>
    <row r="97" spans="2:16">
      <c r="B97" s="67" t="s">
        <v>321</v>
      </c>
      <c r="C97" s="39" t="str">
        <f>Data!$C$9</f>
        <v>£m 18/19</v>
      </c>
      <c r="D97" s="1132">
        <f t="shared" si="48"/>
        <v>0</v>
      </c>
      <c r="E97" s="1132">
        <f t="shared" si="48"/>
        <v>0</v>
      </c>
      <c r="F97" s="1132">
        <f t="shared" si="48"/>
        <v>0</v>
      </c>
      <c r="G97" s="1132">
        <f t="shared" si="48"/>
        <v>0</v>
      </c>
      <c r="H97" s="1132">
        <f t="shared" si="48"/>
        <v>0</v>
      </c>
      <c r="I97" s="44">
        <f>SUM(D97:INDEX(D97:H97,0,MATCH('RFPR cover'!$C$9,$D$6:$H$6,0)))</f>
        <v>0</v>
      </c>
      <c r="J97" s="46">
        <f t="shared" ref="J97:J98" si="49">SUM(D97:H97)</f>
        <v>0</v>
      </c>
      <c r="N97"/>
      <c r="O97"/>
      <c r="P97"/>
    </row>
    <row r="98" spans="2:16">
      <c r="B98" s="371" t="s">
        <v>339</v>
      </c>
      <c r="C98" s="78" t="str">
        <f>Data!$C$9</f>
        <v>£m 18/19</v>
      </c>
      <c r="D98" s="1132">
        <f>SUM(D96:D97)</f>
        <v>0</v>
      </c>
      <c r="E98" s="1132">
        <f t="shared" ref="E98:H98" si="50">SUM(E96:E97)</f>
        <v>0</v>
      </c>
      <c r="F98" s="1132">
        <f t="shared" si="50"/>
        <v>0</v>
      </c>
      <c r="G98" s="1132">
        <f t="shared" si="50"/>
        <v>0</v>
      </c>
      <c r="H98" s="1132">
        <f t="shared" si="50"/>
        <v>0</v>
      </c>
      <c r="I98" s="44">
        <f>SUM(D98:INDEX(D98:H98,0,MATCH('RFPR cover'!$C$9,$D$6:$H$6,0)))</f>
        <v>0</v>
      </c>
      <c r="J98" s="46">
        <f t="shared" si="49"/>
        <v>0</v>
      </c>
      <c r="N98"/>
      <c r="O98"/>
      <c r="P98"/>
    </row>
    <row r="99" spans="2:16">
      <c r="B99" s="371"/>
      <c r="C99" s="78"/>
      <c r="D99" s="78"/>
      <c r="E99" s="78"/>
      <c r="F99" s="78"/>
      <c r="G99" s="78"/>
      <c r="H99" s="78"/>
      <c r="I99" s="78"/>
      <c r="J99" s="78"/>
      <c r="N99"/>
      <c r="O99"/>
      <c r="P99"/>
    </row>
    <row r="100" spans="2:16">
      <c r="B100" s="989" t="s">
        <v>340</v>
      </c>
      <c r="C100" s="129"/>
      <c r="D100" s="129"/>
      <c r="E100" s="129"/>
      <c r="F100" s="129"/>
      <c r="G100" s="129"/>
      <c r="H100" s="130"/>
      <c r="I100" s="130"/>
      <c r="J100" s="130"/>
    </row>
    <row r="102" spans="2:16">
      <c r="B102" s="2"/>
    </row>
    <row r="103" spans="2:16">
      <c r="B103" s="3"/>
      <c r="D103" s="254" t="str">
        <f t="shared" ref="D103:H103" si="51">IF(D104&lt;=Reporting_Year,"Actuals","N/A")</f>
        <v>Actuals</v>
      </c>
      <c r="E103" s="255" t="str">
        <f t="shared" si="51"/>
        <v>N/A</v>
      </c>
      <c r="F103" s="255" t="str">
        <f t="shared" si="51"/>
        <v>N/A</v>
      </c>
      <c r="G103" s="255" t="str">
        <f t="shared" si="51"/>
        <v>N/A</v>
      </c>
      <c r="H103" s="255" t="str">
        <f t="shared" si="51"/>
        <v>N/A</v>
      </c>
    </row>
    <row r="104" spans="2:16">
      <c r="B104" s="2"/>
      <c r="D104" s="63">
        <f>'RFPR cover'!$C$6</f>
        <v>2022</v>
      </c>
      <c r="E104" s="64">
        <f t="shared" ref="E104:H104" si="52">D104+1</f>
        <v>2023</v>
      </c>
      <c r="F104" s="64">
        <f t="shared" si="52"/>
        <v>2024</v>
      </c>
      <c r="G104" s="64">
        <f t="shared" si="52"/>
        <v>2025</v>
      </c>
      <c r="H104" s="64">
        <f t="shared" si="52"/>
        <v>2026</v>
      </c>
    </row>
    <row r="105" spans="2:16">
      <c r="B105" s="2"/>
      <c r="D105" s="43" t="str">
        <f>RIIO_2_start_date-1&amp;"/"&amp;RIGHT(RIIO_2_start_date,2)</f>
        <v>2021/22</v>
      </c>
      <c r="E105" s="43" t="str">
        <f>RIIO_2_start_date&amp;"/"&amp;RIGHT(RIIO_2_start_date+1,2)</f>
        <v>2022/23</v>
      </c>
      <c r="F105" s="43" t="str">
        <f>RIIO_2_start_date+1&amp;"/"&amp;RIGHT(RIIO_2_start_date+2,2)</f>
        <v>2023/24</v>
      </c>
      <c r="G105" s="43" t="str">
        <f>RIIO_2_start_date+2&amp;"/"&amp;RIGHT(RIIO_2_start_date+3,2)</f>
        <v>2024/25</v>
      </c>
      <c r="H105" s="43" t="str">
        <f>RIIO_2_start_date+3&amp;"/"&amp;RIGHT(RIIO_2_start_date+4,2)</f>
        <v>2025/26</v>
      </c>
    </row>
    <row r="106" spans="2:16">
      <c r="B106" s="2"/>
      <c r="D106" s="70"/>
      <c r="E106" s="70"/>
      <c r="F106" s="70"/>
      <c r="G106" s="70"/>
      <c r="H106" s="70"/>
      <c r="I106" s="70"/>
    </row>
    <row r="107" spans="2:16">
      <c r="B107" s="5" t="s">
        <v>341</v>
      </c>
      <c r="C107" s="71"/>
      <c r="D107" s="5"/>
      <c r="E107" s="5"/>
      <c r="F107" s="5"/>
      <c r="G107" s="5"/>
      <c r="H107" s="5"/>
      <c r="N107"/>
    </row>
    <row r="108" spans="2:16">
      <c r="B108" s="67" t="s">
        <v>342</v>
      </c>
      <c r="C108" s="76" t="s">
        <v>252</v>
      </c>
      <c r="D108" s="443">
        <v>20</v>
      </c>
      <c r="E108" s="443"/>
      <c r="F108" s="443"/>
      <c r="G108" s="443"/>
      <c r="H108" s="443"/>
    </row>
    <row r="109" spans="2:16">
      <c r="B109" s="67" t="s">
        <v>343</v>
      </c>
      <c r="C109" s="76" t="s">
        <v>252</v>
      </c>
      <c r="D109" s="445">
        <v>88.607855849999993</v>
      </c>
      <c r="E109" s="446"/>
      <c r="F109" s="446"/>
      <c r="G109" s="443"/>
      <c r="H109" s="443"/>
    </row>
    <row r="110" spans="2:16" ht="40.5">
      <c r="B110" s="68" t="s">
        <v>344</v>
      </c>
      <c r="C110" s="76" t="s">
        <v>252</v>
      </c>
      <c r="D110" s="445"/>
      <c r="E110" s="446"/>
      <c r="F110" s="446"/>
      <c r="G110" s="446"/>
      <c r="H110" s="446"/>
    </row>
    <row r="111" spans="2:16">
      <c r="B111" s="67" t="s">
        <v>345</v>
      </c>
      <c r="C111" s="76" t="s">
        <v>252</v>
      </c>
      <c r="D111" s="443">
        <v>0</v>
      </c>
      <c r="E111" s="443"/>
      <c r="F111" s="443"/>
      <c r="G111" s="443"/>
      <c r="H111" s="443"/>
    </row>
    <row r="112" spans="2:16">
      <c r="B112" s="67" t="s">
        <v>346</v>
      </c>
      <c r="C112" s="76" t="s">
        <v>252</v>
      </c>
      <c r="D112" s="445">
        <v>0.39214415000000002</v>
      </c>
      <c r="E112" s="446"/>
      <c r="F112" s="446"/>
      <c r="G112" s="446"/>
      <c r="H112" s="446"/>
      <c r="O112"/>
      <c r="P112"/>
    </row>
    <row r="113" spans="1:8">
      <c r="B113" s="67" t="s">
        <v>347</v>
      </c>
      <c r="C113" s="76" t="s">
        <v>252</v>
      </c>
      <c r="D113" s="452">
        <v>0</v>
      </c>
      <c r="E113" s="453"/>
      <c r="F113" s="453"/>
      <c r="G113" s="453"/>
      <c r="H113" s="453"/>
    </row>
    <row r="114" spans="1:8">
      <c r="A114" s="3">
        <v>1</v>
      </c>
      <c r="B114" s="806" t="s">
        <v>275</v>
      </c>
      <c r="C114" s="76" t="s">
        <v>252</v>
      </c>
      <c r="D114" s="443"/>
      <c r="E114" s="444"/>
      <c r="F114" s="444"/>
      <c r="G114" s="444"/>
      <c r="H114" s="444"/>
    </row>
    <row r="115" spans="1:8">
      <c r="A115" s="3">
        <v>2</v>
      </c>
      <c r="B115" s="806" t="s">
        <v>275</v>
      </c>
      <c r="C115" s="76" t="s">
        <v>252</v>
      </c>
      <c r="D115" s="445"/>
      <c r="E115" s="446"/>
      <c r="F115" s="446"/>
      <c r="G115" s="446"/>
      <c r="H115" s="446"/>
    </row>
    <row r="116" spans="1:8">
      <c r="A116" s="3">
        <v>3</v>
      </c>
      <c r="B116" s="806" t="s">
        <v>270</v>
      </c>
      <c r="C116" s="76" t="s">
        <v>252</v>
      </c>
      <c r="D116" s="445"/>
      <c r="E116" s="446"/>
      <c r="F116" s="446"/>
      <c r="G116" s="446"/>
      <c r="H116" s="446"/>
    </row>
    <row r="117" spans="1:8">
      <c r="B117" s="5" t="s">
        <v>348</v>
      </c>
      <c r="C117" s="76" t="s">
        <v>252</v>
      </c>
      <c r="D117" s="454">
        <f t="shared" ref="D117:H117" si="53">SUM(D108:D116)</f>
        <v>109</v>
      </c>
      <c r="E117" s="1132">
        <f t="shared" si="53"/>
        <v>0</v>
      </c>
      <c r="F117" s="1132">
        <f t="shared" si="53"/>
        <v>0</v>
      </c>
      <c r="G117" s="1132">
        <f t="shared" si="53"/>
        <v>0</v>
      </c>
      <c r="H117" s="1132">
        <f t="shared" si="53"/>
        <v>0</v>
      </c>
    </row>
    <row r="118" spans="1:8">
      <c r="B118" s="67" t="s">
        <v>349</v>
      </c>
      <c r="C118" s="76" t="s">
        <v>252</v>
      </c>
      <c r="D118" s="443">
        <v>3465</v>
      </c>
      <c r="E118" s="443"/>
      <c r="F118" s="443"/>
      <c r="G118" s="443"/>
      <c r="H118" s="443"/>
    </row>
    <row r="119" spans="1:8">
      <c r="A119" s="3">
        <v>1</v>
      </c>
      <c r="B119" s="806" t="s">
        <v>275</v>
      </c>
      <c r="C119" s="76" t="s">
        <v>252</v>
      </c>
      <c r="D119" s="443"/>
      <c r="E119" s="444"/>
      <c r="F119" s="444"/>
      <c r="G119" s="444"/>
      <c r="H119" s="444"/>
    </row>
    <row r="120" spans="1:8">
      <c r="A120" s="3">
        <v>2</v>
      </c>
      <c r="B120" s="806" t="s">
        <v>275</v>
      </c>
      <c r="C120" s="76" t="s">
        <v>252</v>
      </c>
      <c r="D120" s="445"/>
      <c r="E120" s="446"/>
      <c r="F120" s="446"/>
      <c r="G120" s="446"/>
      <c r="H120" s="446"/>
    </row>
    <row r="121" spans="1:8">
      <c r="A121" s="3">
        <v>3</v>
      </c>
      <c r="B121" s="806" t="s">
        <v>270</v>
      </c>
      <c r="C121" s="76" t="s">
        <v>252</v>
      </c>
      <c r="D121" s="445"/>
      <c r="E121" s="446"/>
      <c r="F121" s="446"/>
      <c r="G121" s="446"/>
      <c r="H121" s="446"/>
    </row>
    <row r="122" spans="1:8">
      <c r="A122" s="3"/>
      <c r="B122" s="5" t="s">
        <v>350</v>
      </c>
      <c r="C122" s="76" t="s">
        <v>252</v>
      </c>
      <c r="D122" s="1132">
        <f>SUM(D118:D121)</f>
        <v>3465</v>
      </c>
      <c r="E122" s="1132">
        <f t="shared" ref="E122:H122" si="54">SUM(E118:E121)</f>
        <v>0</v>
      </c>
      <c r="F122" s="1132">
        <f t="shared" si="54"/>
        <v>0</v>
      </c>
      <c r="G122" s="1132">
        <f t="shared" si="54"/>
        <v>0</v>
      </c>
      <c r="H122" s="1132">
        <f t="shared" si="54"/>
        <v>0</v>
      </c>
    </row>
    <row r="123" spans="1:8" s="386" customFormat="1" ht="15" customHeight="1">
      <c r="B123" s="590" t="s">
        <v>351</v>
      </c>
      <c r="C123" s="802" t="s">
        <v>252</v>
      </c>
      <c r="D123" s="1132">
        <f>SUM(D117,D122)</f>
        <v>3574</v>
      </c>
      <c r="E123" s="1132">
        <f t="shared" ref="E123:H123" si="55">SUM(E117,E122)</f>
        <v>0</v>
      </c>
      <c r="F123" s="1132">
        <f t="shared" si="55"/>
        <v>0</v>
      </c>
      <c r="G123" s="1132">
        <f t="shared" si="55"/>
        <v>0</v>
      </c>
      <c r="H123" s="1132">
        <f t="shared" si="55"/>
        <v>0</v>
      </c>
    </row>
    <row r="124" spans="1:8" ht="7.5" customHeight="1">
      <c r="B124" s="2"/>
      <c r="D124" s="30"/>
      <c r="E124" s="30"/>
      <c r="F124" s="30"/>
      <c r="G124" s="30"/>
      <c r="H124" s="30"/>
    </row>
    <row r="125" spans="1:8" ht="26.5" customHeight="1">
      <c r="B125" s="5" t="s">
        <v>352</v>
      </c>
      <c r="C125" s="76"/>
    </row>
    <row r="126" spans="1:8">
      <c r="B126" s="1146" t="s">
        <v>353</v>
      </c>
      <c r="C126" s="76"/>
    </row>
    <row r="127" spans="1:8">
      <c r="A127" s="3">
        <v>1</v>
      </c>
      <c r="B127" s="806" t="s">
        <v>354</v>
      </c>
      <c r="C127" s="76" t="s">
        <v>252</v>
      </c>
      <c r="D127" s="443">
        <v>-3153.36620128</v>
      </c>
      <c r="E127" s="443"/>
      <c r="F127" s="443"/>
      <c r="G127" s="443"/>
      <c r="H127" s="443"/>
    </row>
    <row r="128" spans="1:8">
      <c r="A128" s="3">
        <v>2</v>
      </c>
      <c r="B128" s="806" t="s">
        <v>355</v>
      </c>
      <c r="C128" s="76" t="s">
        <v>252</v>
      </c>
      <c r="D128" s="443">
        <v>-30.598175999999999</v>
      </c>
      <c r="E128" s="443"/>
      <c r="F128" s="443"/>
      <c r="G128" s="443"/>
      <c r="H128" s="443"/>
    </row>
    <row r="129" spans="1:16">
      <c r="A129" s="3">
        <v>3</v>
      </c>
      <c r="B129" s="806" t="s">
        <v>356</v>
      </c>
      <c r="C129" s="76" t="s">
        <v>252</v>
      </c>
      <c r="D129" s="443">
        <v>-12.405208890000001</v>
      </c>
      <c r="E129" s="443"/>
      <c r="F129" s="443"/>
      <c r="G129" s="443"/>
      <c r="H129" s="443"/>
    </row>
    <row r="130" spans="1:16">
      <c r="A130" s="3">
        <v>4</v>
      </c>
      <c r="B130" s="806" t="s">
        <v>357</v>
      </c>
      <c r="C130" s="76" t="s">
        <v>252</v>
      </c>
      <c r="D130" s="443">
        <v>-12.22098693</v>
      </c>
      <c r="E130" s="443"/>
      <c r="F130" s="443"/>
      <c r="G130" s="443"/>
      <c r="H130" s="443"/>
    </row>
    <row r="131" spans="1:16">
      <c r="A131" s="3">
        <v>5</v>
      </c>
      <c r="B131" s="806" t="s">
        <v>275</v>
      </c>
      <c r="C131" s="76" t="s">
        <v>252</v>
      </c>
      <c r="D131" s="443"/>
      <c r="E131" s="443"/>
      <c r="F131" s="443"/>
      <c r="G131" s="443"/>
      <c r="H131" s="443"/>
    </row>
    <row r="132" spans="1:16">
      <c r="A132" s="3">
        <v>6</v>
      </c>
      <c r="B132" s="806" t="s">
        <v>275</v>
      </c>
      <c r="C132" s="76" t="s">
        <v>252</v>
      </c>
      <c r="D132" s="443"/>
      <c r="E132" s="443"/>
      <c r="F132" s="443"/>
      <c r="G132" s="443"/>
      <c r="H132" s="443"/>
    </row>
    <row r="133" spans="1:16">
      <c r="A133" s="3">
        <v>7</v>
      </c>
      <c r="B133" s="806" t="s">
        <v>358</v>
      </c>
      <c r="C133" s="76" t="s">
        <v>252</v>
      </c>
      <c r="D133" s="443">
        <v>0</v>
      </c>
      <c r="E133" s="443"/>
      <c r="F133" s="443"/>
      <c r="G133" s="443"/>
      <c r="H133" s="443"/>
    </row>
    <row r="134" spans="1:16" ht="18.649999999999999" customHeight="1">
      <c r="A134" s="3"/>
      <c r="B134" s="2" t="s">
        <v>359</v>
      </c>
      <c r="C134" s="76" t="s">
        <v>252</v>
      </c>
      <c r="D134" s="1132">
        <f>SUM(D127:D133)</f>
        <v>-3208.5905730999998</v>
      </c>
      <c r="E134" s="1132">
        <f t="shared" ref="E134:H134" si="56">SUM(E127:E133)</f>
        <v>0</v>
      </c>
      <c r="F134" s="1132">
        <f t="shared" si="56"/>
        <v>0</v>
      </c>
      <c r="G134" s="1132">
        <f t="shared" si="56"/>
        <v>0</v>
      </c>
      <c r="H134" s="1132">
        <f t="shared" si="56"/>
        <v>0</v>
      </c>
    </row>
    <row r="135" spans="1:16">
      <c r="A135" s="3"/>
      <c r="B135" s="1146" t="s">
        <v>360</v>
      </c>
      <c r="C135" s="5"/>
      <c r="D135" s="5"/>
      <c r="E135" s="5"/>
      <c r="F135" s="5"/>
      <c r="G135" s="5"/>
      <c r="H135" s="5"/>
    </row>
    <row r="136" spans="1:16">
      <c r="A136" s="3">
        <v>8</v>
      </c>
      <c r="B136" s="806" t="s">
        <v>361</v>
      </c>
      <c r="C136" s="76" t="s">
        <v>252</v>
      </c>
      <c r="D136" s="443">
        <v>-82.6</v>
      </c>
      <c r="E136" s="443"/>
      <c r="F136" s="443"/>
      <c r="G136" s="443"/>
      <c r="H136" s="443"/>
    </row>
    <row r="137" spans="1:16">
      <c r="A137" s="3">
        <v>9</v>
      </c>
      <c r="B137" s="806" t="s">
        <v>275</v>
      </c>
      <c r="C137" s="76" t="s">
        <v>252</v>
      </c>
      <c r="D137" s="443"/>
      <c r="E137" s="443"/>
      <c r="F137" s="443"/>
      <c r="G137" s="443"/>
      <c r="H137" s="443"/>
    </row>
    <row r="138" spans="1:16">
      <c r="A138" s="3">
        <v>10</v>
      </c>
      <c r="B138" s="806" t="s">
        <v>275</v>
      </c>
      <c r="C138" s="76" t="s">
        <v>252</v>
      </c>
      <c r="D138" s="443"/>
      <c r="E138" s="443"/>
      <c r="F138" s="443"/>
      <c r="G138" s="443"/>
      <c r="H138" s="443"/>
    </row>
    <row r="139" spans="1:16">
      <c r="A139" s="3">
        <v>11</v>
      </c>
      <c r="B139" s="806" t="s">
        <v>275</v>
      </c>
      <c r="C139" s="76" t="s">
        <v>252</v>
      </c>
      <c r="D139" s="443"/>
      <c r="E139" s="443"/>
      <c r="F139" s="443"/>
      <c r="G139" s="443"/>
      <c r="H139" s="443"/>
      <c r="O139"/>
      <c r="P139"/>
    </row>
    <row r="140" spans="1:16">
      <c r="A140" s="3">
        <v>12</v>
      </c>
      <c r="B140" s="806" t="s">
        <v>275</v>
      </c>
      <c r="C140" s="76" t="s">
        <v>252</v>
      </c>
      <c r="D140" s="443"/>
      <c r="E140" s="443"/>
      <c r="F140" s="443"/>
      <c r="G140" s="443"/>
      <c r="H140" s="443"/>
      <c r="O140"/>
      <c r="P140"/>
    </row>
    <row r="141" spans="1:16">
      <c r="A141" s="3">
        <v>13</v>
      </c>
      <c r="B141" s="806" t="s">
        <v>275</v>
      </c>
      <c r="C141" s="76" t="s">
        <v>252</v>
      </c>
      <c r="D141" s="443"/>
      <c r="E141" s="443"/>
      <c r="F141" s="443"/>
      <c r="G141" s="443"/>
      <c r="H141" s="443"/>
      <c r="O141"/>
      <c r="P141"/>
    </row>
    <row r="142" spans="1:16">
      <c r="A142" s="3">
        <v>14</v>
      </c>
      <c r="B142" s="806" t="s">
        <v>358</v>
      </c>
      <c r="C142" s="76" t="s">
        <v>252</v>
      </c>
      <c r="D142" s="443">
        <v>0</v>
      </c>
      <c r="E142" s="443"/>
      <c r="F142" s="443"/>
      <c r="G142" s="443"/>
      <c r="H142" s="443"/>
      <c r="O142"/>
      <c r="P142"/>
    </row>
    <row r="143" spans="1:16" ht="19.5" customHeight="1">
      <c r="A143" s="3"/>
      <c r="B143" s="2" t="s">
        <v>359</v>
      </c>
      <c r="C143" s="76" t="s">
        <v>252</v>
      </c>
      <c r="D143" s="1132">
        <f>SUM(D136:D142)</f>
        <v>-82.6</v>
      </c>
      <c r="E143" s="1132">
        <f t="shared" ref="E143:H143" si="57">SUM(E136:E142)</f>
        <v>0</v>
      </c>
      <c r="F143" s="1132">
        <f t="shared" si="57"/>
        <v>0</v>
      </c>
      <c r="G143" s="1132">
        <f t="shared" si="57"/>
        <v>0</v>
      </c>
      <c r="H143" s="1132">
        <f t="shared" si="57"/>
        <v>0</v>
      </c>
      <c r="O143"/>
      <c r="P143"/>
    </row>
    <row r="144" spans="1:16" ht="17.5" customHeight="1">
      <c r="B144" s="5" t="s">
        <v>362</v>
      </c>
      <c r="C144" s="76" t="s">
        <v>252</v>
      </c>
      <c r="D144" s="1132">
        <f>D134+D143</f>
        <v>-3291.1905730999997</v>
      </c>
      <c r="E144" s="1132">
        <f t="shared" ref="E144:H144" si="58">E134+E143</f>
        <v>0</v>
      </c>
      <c r="F144" s="1132">
        <f t="shared" si="58"/>
        <v>0</v>
      </c>
      <c r="G144" s="1132">
        <f t="shared" si="58"/>
        <v>0</v>
      </c>
      <c r="H144" s="1132">
        <f t="shared" si="58"/>
        <v>0</v>
      </c>
      <c r="O144"/>
      <c r="P144"/>
    </row>
    <row r="145" spans="1:16">
      <c r="B145" s="2"/>
      <c r="D145" s="30"/>
      <c r="E145" s="30"/>
      <c r="F145" s="30"/>
      <c r="G145" s="30"/>
      <c r="H145" s="30"/>
      <c r="O145"/>
      <c r="P145"/>
    </row>
    <row r="146" spans="1:16">
      <c r="B146" s="5" t="s">
        <v>363</v>
      </c>
      <c r="C146" s="76" t="s">
        <v>252</v>
      </c>
      <c r="D146" s="1132">
        <f>D144+D123</f>
        <v>282.80942690000029</v>
      </c>
      <c r="E146" s="1132">
        <f>E144+E123</f>
        <v>0</v>
      </c>
      <c r="F146" s="1132">
        <f>F144+F123</f>
        <v>0</v>
      </c>
      <c r="G146" s="1132">
        <f>G144+G123</f>
        <v>0</v>
      </c>
      <c r="H146" s="1132">
        <f>H144+H123</f>
        <v>0</v>
      </c>
      <c r="O146" s="780"/>
      <c r="P146"/>
    </row>
    <row r="147" spans="1:16">
      <c r="B147" s="2" t="s">
        <v>364</v>
      </c>
      <c r="C147" s="76" t="s">
        <v>23</v>
      </c>
      <c r="D147" s="1153"/>
      <c r="E147" s="1153"/>
      <c r="F147" s="1153"/>
      <c r="G147" s="1153"/>
      <c r="H147" s="1153"/>
      <c r="I147" s="2" t="s">
        <v>365</v>
      </c>
      <c r="O147"/>
      <c r="P147"/>
    </row>
    <row r="148" spans="1:16">
      <c r="B148" s="2" t="s">
        <v>366</v>
      </c>
      <c r="C148" s="76" t="s">
        <v>252</v>
      </c>
      <c r="D148" s="1153"/>
      <c r="E148" s="1153"/>
      <c r="F148" s="1153"/>
      <c r="G148" s="1153"/>
      <c r="H148" s="1153"/>
      <c r="I148" s="2" t="s">
        <v>365</v>
      </c>
    </row>
    <row r="149" spans="1:16">
      <c r="B149" s="2" t="s">
        <v>367</v>
      </c>
      <c r="C149" s="76" t="s">
        <v>252</v>
      </c>
      <c r="D149" s="1098">
        <f>IF(A2="ESO",D148,D147*INDEX(real_to_nominal_CF,MATCH(D6,calendar_year,0)))</f>
        <v>0</v>
      </c>
      <c r="E149" s="1098">
        <f>IF(B2="ESO",E148,E147*INDEX(real_to_nominal_CF,MATCH(E6,calendar_year,0)))</f>
        <v>0</v>
      </c>
      <c r="F149" s="1098">
        <f>IF(C2="ESO",F148,F147*INDEX(real_to_nominal_CF,MATCH(F6,calendar_year,0)))</f>
        <v>0</v>
      </c>
      <c r="G149" s="1098">
        <f>IF(D2="ESO",G148,G147*INDEX(real_to_nominal_CF,MATCH(G6,calendar_year,0)))</f>
        <v>0</v>
      </c>
      <c r="H149" s="1098">
        <f>IF(E2="ESO",H148,H147*INDEX(real_to_nominal_CF,MATCH(H6,calendar_year,0)))</f>
        <v>0</v>
      </c>
      <c r="I149"/>
      <c r="O149"/>
      <c r="P149"/>
    </row>
    <row r="150" spans="1:16">
      <c r="B150" s="2"/>
      <c r="C150" s="70" t="s">
        <v>368</v>
      </c>
      <c r="D150" s="455" t="str">
        <f>IF(D$103="Actuals",IF(ABS(D146-D149)&lt;materiality_threshold,"OK","ERROR"),"N/A")</f>
        <v>ERROR</v>
      </c>
      <c r="E150" s="455" t="str">
        <f>IF(E$103="Actuals",IF(ABS(E146-E149)&lt;materiality_threshold,"OK","ERROR"),"N/A")</f>
        <v>N/A</v>
      </c>
      <c r="F150" s="455" t="str">
        <f>IF(F$103="Actuals",IF(ABS(F146-F149)&lt;materiality_threshold,"OK","ERROR"),"N/A")</f>
        <v>N/A</v>
      </c>
      <c r="G150" s="455" t="str">
        <f>IF(G$103="Actuals",IF(ABS(G146-G149)&lt;materiality_threshold,"OK","ERROR"),"N/A")</f>
        <v>N/A</v>
      </c>
      <c r="H150" s="455" t="str">
        <f>IF(H$103="Actuals",IF(ABS(H146-H149)&lt;materiality_threshold,"OK","ERROR"),"N/A")</f>
        <v>N/A</v>
      </c>
      <c r="O150"/>
      <c r="P150"/>
    </row>
    <row r="151" spans="1:16">
      <c r="B151" s="2" t="s">
        <v>160</v>
      </c>
      <c r="O151"/>
      <c r="P151"/>
    </row>
    <row r="152" spans="1:16">
      <c r="B152" s="5" t="s">
        <v>369</v>
      </c>
      <c r="C152" s="76"/>
    </row>
    <row r="153" spans="1:16">
      <c r="A153" s="3">
        <v>1</v>
      </c>
      <c r="B153" s="1308" t="s">
        <v>370</v>
      </c>
      <c r="C153" s="76" t="s">
        <v>252</v>
      </c>
      <c r="D153" s="443">
        <v>12.475013000000001</v>
      </c>
      <c r="E153" s="443"/>
      <c r="F153" s="443"/>
      <c r="G153" s="443"/>
      <c r="H153" s="443"/>
    </row>
    <row r="154" spans="1:16">
      <c r="A154" s="3">
        <v>2</v>
      </c>
      <c r="B154" s="1308" t="s">
        <v>371</v>
      </c>
      <c r="C154" s="76" t="s">
        <v>252</v>
      </c>
      <c r="D154" s="443">
        <v>6.1727152399999987</v>
      </c>
      <c r="E154" s="446"/>
      <c r="F154" s="446"/>
      <c r="G154" s="446"/>
      <c r="H154" s="446"/>
    </row>
    <row r="155" spans="1:16">
      <c r="A155" s="3">
        <v>3</v>
      </c>
      <c r="B155" s="1308" t="s">
        <v>372</v>
      </c>
      <c r="C155" s="76" t="s">
        <v>252</v>
      </c>
      <c r="D155" s="443">
        <v>5.1073982999999998</v>
      </c>
      <c r="E155" s="446"/>
      <c r="F155" s="446"/>
      <c r="G155" s="446"/>
      <c r="H155" s="446"/>
    </row>
    <row r="156" spans="1:16">
      <c r="A156" s="3">
        <v>4</v>
      </c>
      <c r="B156" s="1308" t="s">
        <v>373</v>
      </c>
      <c r="C156" s="76" t="s">
        <v>252</v>
      </c>
      <c r="D156" s="443">
        <v>0.75336000000000003</v>
      </c>
      <c r="E156" s="446"/>
      <c r="F156" s="446"/>
      <c r="G156" s="446"/>
      <c r="H156" s="446"/>
    </row>
    <row r="157" spans="1:16">
      <c r="A157" s="3">
        <v>5</v>
      </c>
      <c r="B157" s="1308" t="s">
        <v>374</v>
      </c>
      <c r="C157" s="76" t="s">
        <v>252</v>
      </c>
      <c r="D157" s="443">
        <v>-2.5661111132475387</v>
      </c>
      <c r="E157" s="446"/>
      <c r="F157" s="446"/>
      <c r="G157" s="446"/>
      <c r="H157" s="446"/>
    </row>
    <row r="158" spans="1:16">
      <c r="A158" s="3">
        <v>6</v>
      </c>
      <c r="B158" s="1308" t="s">
        <v>375</v>
      </c>
      <c r="C158" s="76" t="s">
        <v>252</v>
      </c>
      <c r="D158" s="443">
        <v>-1.50790157</v>
      </c>
      <c r="E158" s="446"/>
      <c r="F158" s="446"/>
      <c r="G158" s="446"/>
      <c r="H158" s="446"/>
    </row>
    <row r="159" spans="1:16">
      <c r="A159" s="3">
        <v>7</v>
      </c>
      <c r="B159" s="1308" t="s">
        <v>376</v>
      </c>
      <c r="C159" s="76" t="s">
        <v>252</v>
      </c>
      <c r="D159" s="443">
        <v>-0.744896</v>
      </c>
      <c r="E159" s="446"/>
      <c r="F159" s="446"/>
      <c r="G159" s="446"/>
      <c r="H159" s="446"/>
    </row>
    <row r="160" spans="1:16">
      <c r="A160" s="3">
        <v>8</v>
      </c>
      <c r="B160" s="1308" t="s">
        <v>377</v>
      </c>
      <c r="C160" s="76" t="s">
        <v>252</v>
      </c>
      <c r="D160" s="443">
        <v>-0.4</v>
      </c>
      <c r="E160" s="446"/>
      <c r="F160" s="446"/>
      <c r="G160" s="446"/>
      <c r="H160" s="446"/>
    </row>
    <row r="161" spans="1:16">
      <c r="A161" s="3">
        <v>9</v>
      </c>
      <c r="B161" s="1308" t="s">
        <v>378</v>
      </c>
      <c r="C161" s="76" t="s">
        <v>252</v>
      </c>
      <c r="D161" s="443">
        <v>-0.4</v>
      </c>
      <c r="E161" s="446"/>
      <c r="F161" s="446"/>
      <c r="G161" s="446"/>
      <c r="H161" s="446"/>
    </row>
    <row r="162" spans="1:16">
      <c r="A162" s="3">
        <v>10</v>
      </c>
      <c r="B162" s="1308" t="s">
        <v>346</v>
      </c>
      <c r="C162" s="76" t="s">
        <v>252</v>
      </c>
      <c r="D162" s="443">
        <v>0.39214415000000002</v>
      </c>
      <c r="E162" s="446"/>
      <c r="F162" s="446"/>
      <c r="G162" s="446"/>
      <c r="H162" s="446"/>
    </row>
    <row r="163" spans="1:16">
      <c r="A163" s="3">
        <v>11</v>
      </c>
      <c r="B163" s="1308" t="s">
        <v>379</v>
      </c>
      <c r="C163" s="76" t="s">
        <v>252</v>
      </c>
      <c r="D163" s="443">
        <v>0.41099999999999998</v>
      </c>
      <c r="E163" s="446"/>
      <c r="F163" s="446"/>
      <c r="G163" s="446"/>
      <c r="H163" s="446"/>
    </row>
    <row r="164" spans="1:16">
      <c r="A164" s="3">
        <v>12</v>
      </c>
      <c r="B164" s="806" t="s">
        <v>275</v>
      </c>
      <c r="C164" s="76" t="s">
        <v>252</v>
      </c>
      <c r="D164" s="445"/>
      <c r="E164" s="446"/>
      <c r="F164" s="446"/>
      <c r="G164" s="446"/>
      <c r="H164" s="446"/>
    </row>
    <row r="165" spans="1:16">
      <c r="A165" s="3">
        <v>13</v>
      </c>
      <c r="B165" s="806" t="s">
        <v>275</v>
      </c>
      <c r="C165" s="76" t="s">
        <v>252</v>
      </c>
      <c r="D165" s="445"/>
      <c r="E165" s="446"/>
      <c r="F165" s="446"/>
      <c r="G165" s="446"/>
      <c r="H165" s="446"/>
    </row>
    <row r="166" spans="1:16">
      <c r="A166" s="3">
        <v>14</v>
      </c>
      <c r="B166" s="806" t="s">
        <v>275</v>
      </c>
      <c r="C166" s="76" t="s">
        <v>252</v>
      </c>
      <c r="D166" s="445"/>
      <c r="E166" s="446"/>
      <c r="F166" s="446"/>
      <c r="G166" s="446"/>
      <c r="H166" s="446"/>
      <c r="O166"/>
      <c r="P166"/>
    </row>
    <row r="167" spans="1:16">
      <c r="A167" s="3">
        <v>15</v>
      </c>
      <c r="B167" s="806" t="s">
        <v>275</v>
      </c>
      <c r="C167" s="76" t="s">
        <v>252</v>
      </c>
      <c r="D167" s="445"/>
      <c r="E167" s="446"/>
      <c r="F167" s="446"/>
      <c r="G167" s="446"/>
      <c r="H167" s="446"/>
      <c r="O167"/>
      <c r="P167"/>
    </row>
    <row r="168" spans="1:16">
      <c r="A168" s="3">
        <v>16</v>
      </c>
      <c r="B168" s="806" t="s">
        <v>275</v>
      </c>
      <c r="C168" s="76" t="s">
        <v>252</v>
      </c>
      <c r="D168" s="445"/>
      <c r="E168" s="446"/>
      <c r="F168" s="446"/>
      <c r="G168" s="446"/>
      <c r="H168" s="446"/>
      <c r="O168"/>
      <c r="P168"/>
    </row>
    <row r="169" spans="1:16">
      <c r="A169" s="3">
        <v>17</v>
      </c>
      <c r="B169" s="806" t="s">
        <v>275</v>
      </c>
      <c r="C169" s="76" t="s">
        <v>252</v>
      </c>
      <c r="D169" s="445"/>
      <c r="E169" s="446"/>
      <c r="F169" s="446"/>
      <c r="G169" s="446"/>
      <c r="H169" s="446"/>
      <c r="O169"/>
      <c r="P169"/>
    </row>
    <row r="170" spans="1:16">
      <c r="A170" s="3">
        <v>18</v>
      </c>
      <c r="B170" s="806" t="s">
        <v>275</v>
      </c>
      <c r="C170" s="76" t="s">
        <v>252</v>
      </c>
      <c r="D170" s="445"/>
      <c r="E170" s="446"/>
      <c r="F170" s="446"/>
      <c r="G170" s="446"/>
      <c r="H170" s="446"/>
      <c r="O170"/>
      <c r="P170"/>
    </row>
    <row r="171" spans="1:16">
      <c r="A171" s="3">
        <v>19</v>
      </c>
      <c r="B171" s="806" t="s">
        <v>275</v>
      </c>
      <c r="C171" s="76" t="s">
        <v>252</v>
      </c>
      <c r="D171" s="445"/>
      <c r="E171" s="446"/>
      <c r="F171" s="446"/>
      <c r="G171" s="446"/>
      <c r="H171" s="446"/>
      <c r="O171"/>
      <c r="P171"/>
    </row>
    <row r="172" spans="1:16">
      <c r="A172" s="3">
        <v>20</v>
      </c>
      <c r="B172" s="806" t="s">
        <v>275</v>
      </c>
      <c r="C172" s="76" t="s">
        <v>252</v>
      </c>
      <c r="D172" s="445"/>
      <c r="E172" s="446"/>
      <c r="F172" s="446"/>
      <c r="G172" s="446"/>
      <c r="H172" s="446"/>
      <c r="O172"/>
      <c r="P172"/>
    </row>
    <row r="173" spans="1:16">
      <c r="A173" s="3">
        <v>21</v>
      </c>
      <c r="B173" s="806" t="s">
        <v>275</v>
      </c>
      <c r="C173" s="76" t="s">
        <v>252</v>
      </c>
      <c r="D173" s="445"/>
      <c r="E173" s="446"/>
      <c r="F173" s="446"/>
      <c r="G173" s="446"/>
      <c r="H173" s="446"/>
      <c r="O173"/>
      <c r="P173"/>
    </row>
    <row r="174" spans="1:16">
      <c r="A174" s="3">
        <v>22</v>
      </c>
      <c r="B174" s="806" t="s">
        <v>275</v>
      </c>
      <c r="C174" s="76" t="s">
        <v>252</v>
      </c>
      <c r="D174" s="445"/>
      <c r="E174" s="446"/>
      <c r="F174" s="446"/>
      <c r="G174" s="446"/>
      <c r="H174" s="446"/>
      <c r="O174"/>
      <c r="P174"/>
    </row>
    <row r="175" spans="1:16">
      <c r="A175" s="3">
        <v>23</v>
      </c>
      <c r="B175" s="806" t="s">
        <v>275</v>
      </c>
      <c r="C175" s="76" t="s">
        <v>252</v>
      </c>
      <c r="D175" s="445"/>
      <c r="E175" s="446"/>
      <c r="F175" s="446"/>
      <c r="G175" s="446"/>
      <c r="H175" s="446"/>
      <c r="O175"/>
      <c r="P175"/>
    </row>
    <row r="176" spans="1:16">
      <c r="A176" s="3">
        <v>24</v>
      </c>
      <c r="B176" s="806" t="s">
        <v>275</v>
      </c>
      <c r="C176" s="76" t="s">
        <v>252</v>
      </c>
      <c r="D176" s="445"/>
      <c r="E176" s="446"/>
      <c r="F176" s="446"/>
      <c r="G176" s="446"/>
      <c r="H176" s="446"/>
      <c r="O176" s="780"/>
      <c r="P176"/>
    </row>
    <row r="177" spans="1:16">
      <c r="A177" s="3">
        <v>25</v>
      </c>
      <c r="B177" s="806" t="s">
        <v>358</v>
      </c>
      <c r="C177" s="76" t="s">
        <v>252</v>
      </c>
      <c r="D177" s="445">
        <v>-0.36048548338813868</v>
      </c>
      <c r="E177" s="446"/>
      <c r="F177" s="446"/>
      <c r="G177" s="446"/>
      <c r="H177" s="446"/>
      <c r="O177"/>
      <c r="P177"/>
    </row>
    <row r="178" spans="1:16">
      <c r="B178" s="5" t="s">
        <v>380</v>
      </c>
      <c r="C178" s="76" t="s">
        <v>252</v>
      </c>
      <c r="D178" s="1132">
        <f>SUM(D153:D177)</f>
        <v>19.332236523364326</v>
      </c>
      <c r="E178" s="1132">
        <v>0</v>
      </c>
      <c r="F178" s="1132">
        <v>0</v>
      </c>
      <c r="G178" s="1132">
        <v>0</v>
      </c>
      <c r="H178" s="1132">
        <v>0</v>
      </c>
      <c r="O178"/>
      <c r="P178"/>
    </row>
    <row r="179" spans="1:16">
      <c r="B179" s="2"/>
      <c r="D179" s="70"/>
      <c r="E179" s="70"/>
      <c r="F179" s="70"/>
      <c r="G179" s="70"/>
      <c r="H179" s="70"/>
      <c r="I179" s="70"/>
      <c r="J179" s="70"/>
      <c r="O179"/>
      <c r="P179"/>
    </row>
    <row r="180" spans="1:16">
      <c r="B180" s="5" t="s">
        <v>381</v>
      </c>
      <c r="C180" s="76" t="s">
        <v>252</v>
      </c>
      <c r="D180" s="1132">
        <f>D146-D178</f>
        <v>263.47719037663597</v>
      </c>
      <c r="E180" s="1132">
        <f>E146-E176</f>
        <v>0</v>
      </c>
      <c r="F180" s="1132">
        <f>F146-F176</f>
        <v>0</v>
      </c>
      <c r="G180" s="1132">
        <f>G146-G176</f>
        <v>0</v>
      </c>
      <c r="H180" s="1132">
        <f>H146-H176</f>
        <v>0</v>
      </c>
    </row>
    <row r="181" spans="1:16">
      <c r="B181" s="5" t="s">
        <v>382</v>
      </c>
      <c r="C181" s="76" t="s">
        <v>252</v>
      </c>
      <c r="D181" s="1133">
        <v>263.5424768363759</v>
      </c>
      <c r="E181" s="1133">
        <f>('R3 - Totex - Reconciliation'!E$13+'R3 - Totex - Reconciliation'!E$42+'R3 - Totex - Reconciliation'!E71)*INDEX(real_to_nominal_CF,MATCH(E$104,calendar_year,0))</f>
        <v>0</v>
      </c>
      <c r="F181" s="1133">
        <f>('R3 - Totex - Reconciliation'!F$13+'R3 - Totex - Reconciliation'!F$42+'R3 - Totex - Reconciliation'!F71)*INDEX(real_to_nominal_CF,MATCH(F$104,calendar_year,0))</f>
        <v>0</v>
      </c>
      <c r="G181" s="1133">
        <f>('R3 - Totex - Reconciliation'!G$13+'R3 - Totex - Reconciliation'!G$42+'R3 - Totex - Reconciliation'!G71)*INDEX(real_to_nominal_CF,MATCH(G$104,calendar_year,0))</f>
        <v>0</v>
      </c>
      <c r="H181" s="1165">
        <f>('R3 - Totex - Reconciliation'!H$13+'R3 - Totex - Reconciliation'!H$42+'R3 - Totex - Reconciliation'!H71)*INDEX(real_to_nominal_CF,MATCH(H$104,calendar_year,0))</f>
        <v>0</v>
      </c>
      <c r="I181" s="2" t="s">
        <v>383</v>
      </c>
    </row>
    <row r="182" spans="1:16">
      <c r="B182" s="2"/>
      <c r="C182" s="70" t="s">
        <v>368</v>
      </c>
      <c r="D182" s="1316" t="str">
        <f>IF(D$103="Actuals",IF(ABS(D178-('R3 - Totex - Reconciliation'!D13+'R3 - Totex - Reconciliation'!D42+D71)*INDEX(real_to_nominal_CF,MATCH(D6,Data!$E$25:$L$25,0)))&lt;materiality_threshold,"OK","Error"),"N/A")</f>
        <v>Error</v>
      </c>
      <c r="E182" s="436" t="str">
        <f>IF(E$103="Actuals",IF(ABS(E178-('R3 - Totex - Reconciliation'!E13+'R3 - Totex - Reconciliation'!E42+E71)*INDEX(real_to_nominal_CF,MATCH(E6,Data!$E$25:$L$25,0)))&lt;materiality_threshold,"OK","Error"),"N/A")</f>
        <v>N/A</v>
      </c>
      <c r="F182" s="436" t="str">
        <f>IF(F$103="Actuals",IF(ABS(F178-('R3 - Totex - Reconciliation'!F13+'R3 - Totex - Reconciliation'!F42+F71)*INDEX(real_to_nominal_CF,MATCH(F6,Data!$E$25:$L$25,0)))&lt;materiality_threshold,"OK","Error"),"N/A")</f>
        <v>N/A</v>
      </c>
      <c r="G182" s="436" t="str">
        <f>IF(G$103="Actuals",IF(ABS(G178-('R3 - Totex - Reconciliation'!G13+'R3 - Totex - Reconciliation'!G42+G71)*INDEX(real_to_nominal_CF,MATCH(G6,Data!$E$25:$L$25,0)))&lt;materiality_threshold,"OK","Error"),"N/A")</f>
        <v>N/A</v>
      </c>
      <c r="H182" s="436" t="str">
        <f>IF(H$103="Actuals",IF(ABS(H178-('R3 - Totex - Reconciliation'!H13+'R3 - Totex - Reconciliation'!H42+H71)*INDEX(real_to_nominal_CF,MATCH(H6,Data!$E$25:$L$25,0)))&lt;materiality_threshold,"OK","Error"),"N/A")</f>
        <v>N/A</v>
      </c>
    </row>
    <row r="183" spans="1:16">
      <c r="B183" s="2"/>
      <c r="C183" s="2"/>
    </row>
    <row r="184" spans="1:16">
      <c r="B184" s="780" t="s">
        <v>384</v>
      </c>
    </row>
    <row r="186" spans="1:16">
      <c r="B186" s="6" t="s">
        <v>307</v>
      </c>
      <c r="C186"/>
      <c r="D186"/>
      <c r="E186"/>
      <c r="F186"/>
    </row>
    <row r="187" spans="1:16">
      <c r="B187" s="1368" t="s">
        <v>385</v>
      </c>
      <c r="C187" s="1369"/>
      <c r="D187" s="1369"/>
      <c r="E187" s="1369"/>
      <c r="F187" s="1370"/>
    </row>
    <row r="188" spans="1:16">
      <c r="B188" s="1309" t="s">
        <v>386</v>
      </c>
      <c r="C188" s="1310"/>
      <c r="D188" s="1311"/>
      <c r="E188" s="1312"/>
      <c r="F188" s="1313"/>
    </row>
    <row r="189" spans="1:16">
      <c r="B189" s="1309" t="s">
        <v>387</v>
      </c>
      <c r="C189" s="793"/>
      <c r="D189" s="794"/>
      <c r="E189" s="765"/>
      <c r="F189" s="795"/>
    </row>
    <row r="190" spans="1:16">
      <c r="B190" s="792"/>
      <c r="C190" s="793"/>
      <c r="D190" s="794"/>
      <c r="E190" s="765"/>
      <c r="F190" s="795"/>
    </row>
    <row r="191" spans="1:16">
      <c r="B191" s="792" t="s">
        <v>210</v>
      </c>
      <c r="C191" s="793"/>
      <c r="D191" s="794"/>
      <c r="E191" s="765"/>
      <c r="F191" s="795"/>
      <c r="O191"/>
      <c r="P191"/>
    </row>
    <row r="192" spans="1:16">
      <c r="B192" s="796" t="s">
        <v>211</v>
      </c>
      <c r="C192" s="1059"/>
      <c r="D192" s="1060"/>
      <c r="E192" s="1061"/>
      <c r="F192" s="797"/>
    </row>
    <row r="209" spans="2:3">
      <c r="B209" s="2"/>
      <c r="C209" s="2"/>
    </row>
    <row r="210" spans="2:3">
      <c r="B210" s="2"/>
      <c r="C210" s="2"/>
    </row>
    <row r="211" spans="2:3">
      <c r="B211" s="2"/>
      <c r="C211" s="2"/>
    </row>
    <row r="212" spans="2:3">
      <c r="B212" s="2"/>
      <c r="C212" s="2"/>
    </row>
    <row r="213" spans="2:3">
      <c r="B213" s="2"/>
      <c r="C213" s="2"/>
    </row>
    <row r="214" spans="2:3">
      <c r="B214" s="2"/>
      <c r="C214" s="2"/>
    </row>
    <row r="215" spans="2:3">
      <c r="B215" s="2"/>
      <c r="C215" s="2"/>
    </row>
    <row r="216" spans="2:3">
      <c r="B216" s="2"/>
      <c r="C216" s="2"/>
    </row>
    <row r="220" spans="2:3" ht="12.75" customHeight="1"/>
    <row r="227" ht="29.25" customHeight="1"/>
  </sheetData>
  <sheetProtection algorithmName="SHA-512" hashValue="mY9HJikvfOs/VH28M5v3Kwsyc6ckV0Hezjr+OQVqY5D4fK24OfN7AMweX2R1dd6/f9PsM8MU/brVGL+w9ApAYA==" saltValue="kKtX6lmyLR+sDiSujxeirg==" spinCount="100000" sheet="1" objects="1" scenarios="1"/>
  <mergeCells count="2">
    <mergeCell ref="K15:M15"/>
    <mergeCell ref="B187:F187"/>
  </mergeCells>
  <phoneticPr fontId="265" type="noConversion"/>
  <conditionalFormatting sqref="I5 D5:G6">
    <cfRule type="expression" dxfId="80" priority="71">
      <formula>AND(D$5="Actuals",E$5="Forecast")</formula>
    </cfRule>
  </conditionalFormatting>
  <conditionalFormatting sqref="B92:C92 C40 C69 B68:C68 B41:C49 B70:C79 N68:Q68">
    <cfRule type="expression" dxfId="79" priority="67">
      <formula>$B$40="n/a"</formula>
    </cfRule>
  </conditionalFormatting>
  <conditionalFormatting sqref="D103:G104">
    <cfRule type="expression" dxfId="78" priority="63">
      <formula>AND(D$5="Actuals",E$5="N/A")</formula>
    </cfRule>
  </conditionalFormatting>
  <conditionalFormatting sqref="H5:H6">
    <cfRule type="expression" dxfId="77" priority="272">
      <formula>AND(H$5="Actuals",#REF!="Forecast")</formula>
    </cfRule>
  </conditionalFormatting>
  <conditionalFormatting sqref="H103:H104">
    <cfRule type="expression" dxfId="76" priority="289">
      <formula>AND(H$5="Actuals",#REF!="N/A")</formula>
    </cfRule>
  </conditionalFormatting>
  <conditionalFormatting sqref="D7:H7">
    <cfRule type="expression" dxfId="75" priority="56">
      <formula>AND(D$5="Actuals",E$5="Forecast")</formula>
    </cfRule>
  </conditionalFormatting>
  <conditionalFormatting sqref="D105:H105">
    <cfRule type="expression" dxfId="74" priority="55">
      <formula>AND(D$5="Actuals",E$5="Forecast")</formula>
    </cfRule>
  </conditionalFormatting>
  <conditionalFormatting sqref="D108:H116 D118:H121 D127:H133 D136:H142 D151:H175">
    <cfRule type="expression" dxfId="73" priority="53">
      <formula>D$103="N/A"</formula>
    </cfRule>
  </conditionalFormatting>
  <conditionalFormatting sqref="C23:C24">
    <cfRule type="expression" dxfId="72" priority="52">
      <formula>$B$40="n/a"</formula>
    </cfRule>
  </conditionalFormatting>
  <conditionalFormatting sqref="C52:C53">
    <cfRule type="expression" dxfId="71" priority="51">
      <formula>$B$40="n/a"</formula>
    </cfRule>
  </conditionalFormatting>
  <conditionalFormatting sqref="C25">
    <cfRule type="expression" dxfId="70" priority="50">
      <formula>$B$40="n/a"</formula>
    </cfRule>
  </conditionalFormatting>
  <conditionalFormatting sqref="C54">
    <cfRule type="expression" dxfId="69" priority="49">
      <formula>$B$40="n/a"</formula>
    </cfRule>
  </conditionalFormatting>
  <conditionalFormatting sqref="C81:C82">
    <cfRule type="expression" dxfId="68" priority="48">
      <formula>$B$40="n/a"</formula>
    </cfRule>
  </conditionalFormatting>
  <conditionalFormatting sqref="C83">
    <cfRule type="expression" dxfId="67" priority="47">
      <formula>$B$40="n/a"</formula>
    </cfRule>
  </conditionalFormatting>
  <conditionalFormatting sqref="B35">
    <cfRule type="expression" dxfId="66" priority="46">
      <formula>$B$46="n/a"</formula>
    </cfRule>
  </conditionalFormatting>
  <conditionalFormatting sqref="B64">
    <cfRule type="expression" dxfId="65" priority="45">
      <formula>$B$46="n/a"</formula>
    </cfRule>
  </conditionalFormatting>
  <conditionalFormatting sqref="B88">
    <cfRule type="expression" dxfId="64" priority="44">
      <formula>$B$46="n/a"</formula>
    </cfRule>
  </conditionalFormatting>
  <conditionalFormatting sqref="E117:H117">
    <cfRule type="expression" dxfId="63" priority="43">
      <formula>E$103="N/A"</formula>
    </cfRule>
  </conditionalFormatting>
  <conditionalFormatting sqref="D122:H123">
    <cfRule type="expression" dxfId="62" priority="25">
      <formula>D$103="N/A"</formula>
    </cfRule>
  </conditionalFormatting>
  <conditionalFormatting sqref="D144:H144">
    <cfRule type="expression" dxfId="61" priority="24">
      <formula>D$103="N/A"</formula>
    </cfRule>
  </conditionalFormatting>
  <conditionalFormatting sqref="D146:H146">
    <cfRule type="expression" dxfId="60" priority="23">
      <formula>D$103="N/A"</formula>
    </cfRule>
  </conditionalFormatting>
  <conditionalFormatting sqref="D176:H177">
    <cfRule type="expression" dxfId="59" priority="22">
      <formula>D$103="N/A"</formula>
    </cfRule>
  </conditionalFormatting>
  <conditionalFormatting sqref="D178:H178">
    <cfRule type="expression" dxfId="58" priority="21">
      <formula>D$103="N/A"</formula>
    </cfRule>
  </conditionalFormatting>
  <conditionalFormatting sqref="D147:H148">
    <cfRule type="expression" dxfId="57" priority="16">
      <formula>D$103="N/A"</formula>
    </cfRule>
  </conditionalFormatting>
  <conditionalFormatting sqref="D134:H134">
    <cfRule type="expression" dxfId="56" priority="11">
      <formula>D$103="N/A"</formula>
    </cfRule>
  </conditionalFormatting>
  <conditionalFormatting sqref="D143:H143">
    <cfRule type="expression" dxfId="55" priority="10">
      <formula>D$103="N/A"</formula>
    </cfRule>
  </conditionalFormatting>
  <conditionalFormatting sqref="C32:C33">
    <cfRule type="expression" dxfId="54" priority="8">
      <formula>$B$39="n/a"</formula>
    </cfRule>
  </conditionalFormatting>
  <conditionalFormatting sqref="C61:C62">
    <cfRule type="expression" dxfId="53" priority="7">
      <formula>$B$39="n/a"</formula>
    </cfRule>
  </conditionalFormatting>
  <conditionalFormatting sqref="C85:C86">
    <cfRule type="expression" dxfId="52" priority="6">
      <formula>$B$39="n/a"</formula>
    </cfRule>
  </conditionalFormatting>
  <conditionalFormatting sqref="C28:C29">
    <cfRule type="expression" dxfId="51" priority="4">
      <formula>$B$40="n/a"</formula>
    </cfRule>
  </conditionalFormatting>
  <conditionalFormatting sqref="C30">
    <cfRule type="expression" dxfId="50" priority="3">
      <formula>$B$40="n/a"</formula>
    </cfRule>
  </conditionalFormatting>
  <conditionalFormatting sqref="C57:C58">
    <cfRule type="expression" dxfId="49" priority="2">
      <formula>$B$40="n/a"</formula>
    </cfRule>
  </conditionalFormatting>
  <conditionalFormatting sqref="C59">
    <cfRule type="expression" dxfId="48" priority="1">
      <formula>$B$40="n/a"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8" activePane="bottomLeft" state="frozen"/>
      <selection pane="bottomLeft" activeCell="D16" sqref="D16"/>
    </sheetView>
  </sheetViews>
  <sheetFormatPr defaultRowHeight="13.5"/>
  <cols>
    <col min="1" max="1" width="8.3828125" customWidth="1"/>
    <col min="2" max="2" width="71.3828125" bestFit="1" customWidth="1"/>
    <col min="3" max="3" width="13.3828125" style="70" customWidth="1"/>
    <col min="4" max="8" width="11.15234375" customWidth="1"/>
    <col min="9" max="9" width="12.84375" customWidth="1"/>
    <col min="10" max="10" width="12.765625" customWidth="1"/>
    <col min="11" max="11" width="5.765625" bestFit="1" customWidth="1"/>
  </cols>
  <sheetData>
    <row r="1" spans="1:11" ht="20">
      <c r="A1" s="1285" t="s">
        <v>388</v>
      </c>
      <c r="B1" s="847"/>
      <c r="C1" s="848"/>
      <c r="D1" s="849"/>
      <c r="E1" s="849"/>
      <c r="F1" s="849"/>
      <c r="G1" s="849"/>
      <c r="H1" s="849"/>
      <c r="I1" s="841"/>
      <c r="J1" s="841"/>
      <c r="K1" s="1284"/>
    </row>
    <row r="2" spans="1:11" ht="20">
      <c r="A2" s="712" t="str">
        <f>Licensee</f>
        <v>ESO</v>
      </c>
      <c r="B2" s="716"/>
      <c r="C2" s="77"/>
      <c r="D2" s="20"/>
      <c r="E2" s="20"/>
      <c r="F2" s="20"/>
      <c r="G2" s="20"/>
      <c r="H2" s="20"/>
      <c r="I2" s="15"/>
      <c r="J2" s="15"/>
      <c r="K2" s="66"/>
    </row>
    <row r="3" spans="1:11" ht="20">
      <c r="A3" s="707">
        <f>Reporting_Year</f>
        <v>2022</v>
      </c>
      <c r="B3" s="16" t="str">
        <f>IF(Licensee=Data!$B$81,"not required to be completed","")</f>
        <v>not required to be completed</v>
      </c>
      <c r="C3" s="1064"/>
      <c r="D3" s="1065"/>
      <c r="E3" s="1065"/>
      <c r="F3" s="1065"/>
      <c r="G3" s="1065"/>
      <c r="H3" s="1065"/>
      <c r="I3" s="1055"/>
      <c r="J3" s="1055"/>
      <c r="K3" s="120"/>
    </row>
    <row r="4" spans="1:11" s="2" customFormat="1" ht="12.75" customHeight="1">
      <c r="B4" s="3"/>
      <c r="C4" s="70"/>
    </row>
    <row r="5" spans="1:11" s="2" customFormat="1" ht="21.65" customHeight="1">
      <c r="B5" s="3"/>
      <c r="C5" s="70"/>
      <c r="D5" s="254" t="str">
        <f t="shared" ref="D5:I5" si="0">IF(D6&lt;=Reporting_Year,"Actuals","Forecast")</f>
        <v>Actuals</v>
      </c>
      <c r="E5" s="254" t="str">
        <f t="shared" si="0"/>
        <v>Forecast</v>
      </c>
      <c r="F5" s="254" t="str">
        <f t="shared" si="0"/>
        <v>Forecast</v>
      </c>
      <c r="G5" s="254" t="str">
        <f t="shared" si="0"/>
        <v>Forecast</v>
      </c>
      <c r="H5" s="254" t="str">
        <f t="shared" si="0"/>
        <v>Forecast</v>
      </c>
      <c r="I5" s="254" t="str">
        <f t="shared" si="0"/>
        <v>Forecast</v>
      </c>
    </row>
    <row r="6" spans="1:11" s="2" customFormat="1" ht="29.25" customHeight="1">
      <c r="C6" s="70"/>
      <c r="D6" s="63">
        <f>'RFPR cover'!$C$6</f>
        <v>2022</v>
      </c>
      <c r="E6" s="64">
        <f>D6+1</f>
        <v>2023</v>
      </c>
      <c r="F6" s="64">
        <f t="shared" ref="F6:H6" si="1">E6+1</f>
        <v>2024</v>
      </c>
      <c r="G6" s="64">
        <f t="shared" si="1"/>
        <v>2025</v>
      </c>
      <c r="H6" s="64">
        <f t="shared" si="1"/>
        <v>2026</v>
      </c>
      <c r="I6" s="50" t="str">
        <f>"Cumulative to "&amp;'RFPR cover'!$C$9</f>
        <v>Cumulative to 2022</v>
      </c>
      <c r="J6" s="65" t="s">
        <v>213</v>
      </c>
    </row>
    <row r="7" spans="1:11" s="2" customFormat="1">
      <c r="C7" s="7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1" s="2" customFormat="1" ht="17.5">
      <c r="B8" s="926" t="s">
        <v>389</v>
      </c>
      <c r="C8" s="74"/>
      <c r="D8" s="41"/>
      <c r="E8" s="41"/>
      <c r="F8" s="41"/>
      <c r="G8" s="41"/>
      <c r="H8" s="41"/>
      <c r="I8" s="41"/>
      <c r="J8" s="41"/>
      <c r="K8" s="41"/>
    </row>
    <row r="9" spans="1:11" s="2" customFormat="1"/>
    <row r="10" spans="1:11" s="2" customFormat="1"/>
    <row r="11" spans="1:11" s="2" customFormat="1"/>
    <row r="12" spans="1:11" s="2" customFormat="1">
      <c r="A12" s="79" t="s">
        <v>217</v>
      </c>
      <c r="B12" s="5" t="s">
        <v>390</v>
      </c>
      <c r="C12" s="39" t="str">
        <f>Data!$C$9</f>
        <v>£m 18/19</v>
      </c>
      <c r="D12" s="1157"/>
      <c r="E12" s="1157"/>
      <c r="F12" s="1157"/>
      <c r="G12" s="1157"/>
      <c r="H12" s="1157"/>
    </row>
    <row r="13" spans="1:11" s="2" customFormat="1" ht="19.5" customHeight="1">
      <c r="A13" s="79"/>
      <c r="B13" s="760" t="s">
        <v>391</v>
      </c>
    </row>
    <row r="14" spans="1:11" s="2" customFormat="1">
      <c r="A14" s="79" t="s">
        <v>218</v>
      </c>
      <c r="B14" s="988" t="str">
        <f>Data!B124</f>
        <v>Reporting &amp; Incentive Arrangements (ESORIt)</v>
      </c>
      <c r="C14" s="39" t="str">
        <f>Data!$C$9</f>
        <v>£m 18/19</v>
      </c>
      <c r="D14" s="1066"/>
      <c r="E14" s="1066"/>
      <c r="F14" s="1066"/>
      <c r="G14" s="1066"/>
      <c r="H14" s="1066"/>
    </row>
    <row r="15" spans="1:11" s="2" customFormat="1">
      <c r="A15" s="79" t="s">
        <v>219</v>
      </c>
      <c r="B15" s="988" t="str">
        <f>Data!B125</f>
        <v/>
      </c>
      <c r="C15" s="39" t="str">
        <f>Data!$C$9</f>
        <v>£m 18/19</v>
      </c>
      <c r="D15" s="1066"/>
      <c r="E15" s="1066"/>
      <c r="F15" s="1066"/>
      <c r="G15" s="1066"/>
      <c r="H15" s="1066"/>
    </row>
    <row r="16" spans="1:11" s="2" customFormat="1">
      <c r="A16" s="79" t="s">
        <v>220</v>
      </c>
      <c r="B16" s="988" t="str">
        <f>Data!B126</f>
        <v/>
      </c>
      <c r="C16" s="39" t="str">
        <f>Data!$C$9</f>
        <v>£m 18/19</v>
      </c>
      <c r="D16" s="1066"/>
      <c r="E16" s="1066"/>
      <c r="F16" s="1066"/>
      <c r="G16" s="1066"/>
      <c r="H16" s="1066"/>
    </row>
    <row r="17" spans="1:11" s="2" customFormat="1">
      <c r="A17" s="79" t="s">
        <v>221</v>
      </c>
      <c r="B17" s="988" t="str">
        <f>Data!B127</f>
        <v/>
      </c>
      <c r="C17" s="39" t="str">
        <f>Data!$C$9</f>
        <v>£m 18/19</v>
      </c>
      <c r="D17" s="1066"/>
      <c r="E17" s="1066"/>
      <c r="F17" s="1066"/>
      <c r="G17" s="1066"/>
      <c r="H17" s="1066"/>
    </row>
    <row r="18" spans="1:11" s="2" customFormat="1">
      <c r="A18" s="79" t="s">
        <v>222</v>
      </c>
      <c r="B18" s="988" t="str">
        <f>Data!B128</f>
        <v/>
      </c>
      <c r="C18" s="39" t="str">
        <f>Data!$C$9</f>
        <v>£m 18/19</v>
      </c>
      <c r="D18" s="1066"/>
      <c r="E18" s="1066"/>
      <c r="F18" s="1066"/>
      <c r="G18" s="1066"/>
      <c r="H18" s="1066"/>
    </row>
    <row r="19" spans="1:11" s="2" customFormat="1">
      <c r="A19" s="79" t="s">
        <v>223</v>
      </c>
      <c r="B19" s="988" t="str">
        <f>Data!B129</f>
        <v/>
      </c>
      <c r="C19" s="39" t="str">
        <f>Data!$C$9</f>
        <v>£m 18/19</v>
      </c>
      <c r="D19" s="1066"/>
      <c r="E19" s="1066"/>
      <c r="F19" s="1066"/>
      <c r="G19" s="1066"/>
      <c r="H19" s="1066"/>
    </row>
    <row r="20" spans="1:11" s="2" customFormat="1">
      <c r="B20" s="5" t="s">
        <v>392</v>
      </c>
      <c r="C20" s="78" t="str">
        <f>Data!$C$9</f>
        <v>£m 18/19</v>
      </c>
      <c r="D20" s="450">
        <f>SUM(D14:D19)</f>
        <v>0</v>
      </c>
      <c r="E20" s="450">
        <f>SUM(E14:E19)</f>
        <v>0</v>
      </c>
      <c r="F20" s="450">
        <f>SUM(F14:F19)</f>
        <v>0</v>
      </c>
      <c r="G20" s="450">
        <f>SUM(G14:G19)</f>
        <v>0</v>
      </c>
      <c r="H20" s="450">
        <f>SUM(H14:H19)</f>
        <v>0</v>
      </c>
    </row>
    <row r="21" spans="1:11" s="2" customFormat="1"/>
    <row r="22" spans="1:11" s="431" customFormat="1" ht="14.25" customHeight="1">
      <c r="A22" s="430"/>
    </row>
    <row r="23" spans="1:11" s="2" customFormat="1">
      <c r="A23" s="891"/>
      <c r="B23" s="892" t="s">
        <v>393</v>
      </c>
      <c r="C23" s="893"/>
      <c r="D23" s="893"/>
      <c r="E23" s="893"/>
      <c r="F23" s="893"/>
      <c r="G23" s="893"/>
      <c r="H23" s="893"/>
      <c r="I23" s="893"/>
      <c r="J23" s="893"/>
    </row>
    <row r="24" spans="1:11" s="2" customFormat="1">
      <c r="A24" s="894" t="s">
        <v>217</v>
      </c>
      <c r="B24" s="1371"/>
      <c r="C24" s="1371"/>
      <c r="D24" s="1371"/>
      <c r="E24" s="1371"/>
      <c r="F24" s="1371"/>
      <c r="G24" s="1371"/>
      <c r="H24" s="1371"/>
      <c r="I24" s="1371"/>
      <c r="J24" s="1371"/>
    </row>
    <row r="25" spans="1:11" s="2" customFormat="1">
      <c r="A25" s="894" t="s">
        <v>218</v>
      </c>
      <c r="B25" s="1371"/>
      <c r="C25" s="1371"/>
      <c r="D25" s="1371"/>
      <c r="E25" s="1371"/>
      <c r="F25" s="1371"/>
      <c r="G25" s="1371"/>
      <c r="H25" s="1371"/>
      <c r="I25" s="1371"/>
      <c r="J25" s="1371"/>
    </row>
    <row r="26" spans="1:11" s="2" customFormat="1">
      <c r="A26" s="894" t="s">
        <v>219</v>
      </c>
      <c r="B26" s="1371"/>
      <c r="C26" s="1371"/>
      <c r="D26" s="1371"/>
      <c r="E26" s="1371"/>
      <c r="F26" s="1371"/>
      <c r="G26" s="1371"/>
      <c r="H26" s="1371"/>
      <c r="I26" s="1371"/>
      <c r="J26" s="1371"/>
    </row>
    <row r="27" spans="1:11" s="2" customFormat="1">
      <c r="A27" s="894" t="s">
        <v>220</v>
      </c>
      <c r="B27" s="1371"/>
      <c r="C27" s="1371"/>
      <c r="D27" s="1371"/>
      <c r="E27" s="1371"/>
      <c r="F27" s="1371"/>
      <c r="G27" s="1371"/>
      <c r="H27" s="1371"/>
      <c r="I27" s="1371"/>
      <c r="J27" s="1371"/>
    </row>
    <row r="28" spans="1:11" s="2" customFormat="1">
      <c r="A28" s="894" t="s">
        <v>221</v>
      </c>
      <c r="B28" s="1371"/>
      <c r="C28" s="1371"/>
      <c r="D28" s="1371"/>
      <c r="E28" s="1371"/>
      <c r="F28" s="1371"/>
      <c r="G28" s="1371"/>
      <c r="H28" s="1371"/>
      <c r="I28" s="1371"/>
      <c r="J28" s="1371"/>
    </row>
    <row r="29" spans="1:11" s="2" customFormat="1">
      <c r="A29" s="894" t="s">
        <v>222</v>
      </c>
      <c r="B29" s="1371"/>
      <c r="C29" s="1371"/>
      <c r="D29" s="1371"/>
      <c r="E29" s="1371"/>
      <c r="F29" s="1371"/>
      <c r="G29" s="1371"/>
      <c r="H29" s="1371"/>
      <c r="I29" s="1371"/>
      <c r="J29" s="1371"/>
    </row>
    <row r="30" spans="1:11" s="2" customFormat="1">
      <c r="A30" s="894" t="s">
        <v>223</v>
      </c>
      <c r="B30" s="1371"/>
      <c r="C30" s="1371"/>
      <c r="D30" s="1371"/>
      <c r="E30" s="1371"/>
      <c r="F30" s="1371"/>
      <c r="G30" s="1371"/>
      <c r="H30" s="1371"/>
      <c r="I30" s="1371"/>
      <c r="J30" s="1371"/>
    </row>
    <row r="31" spans="1:11" s="2" customFormat="1">
      <c r="A31" s="79"/>
      <c r="C31" s="39"/>
      <c r="D31" s="39"/>
      <c r="E31" s="39"/>
      <c r="F31" s="39"/>
      <c r="G31" s="39"/>
      <c r="H31" s="39"/>
      <c r="I31" s="39"/>
      <c r="J31" s="39"/>
    </row>
    <row r="32" spans="1:11" s="2" customFormat="1" ht="20.5">
      <c r="B32" s="926" t="s">
        <v>394</v>
      </c>
      <c r="C32" s="74"/>
      <c r="D32" s="41"/>
      <c r="E32" s="41"/>
      <c r="F32" s="41"/>
      <c r="G32" s="41"/>
      <c r="H32" s="41"/>
      <c r="I32" s="41"/>
      <c r="J32" s="41"/>
      <c r="K32" s="41"/>
    </row>
    <row r="33" spans="1:11" s="2" customFormat="1">
      <c r="A33" s="5"/>
      <c r="C33" s="70"/>
    </row>
    <row r="34" spans="1:11">
      <c r="B34" s="945" t="s">
        <v>395</v>
      </c>
    </row>
    <row r="35" spans="1:11">
      <c r="B35" s="5"/>
    </row>
    <row r="36" spans="1:11" s="2" customFormat="1">
      <c r="A36" s="1" t="s">
        <v>224</v>
      </c>
      <c r="B36" s="5" t="s">
        <v>115</v>
      </c>
      <c r="C36" s="71"/>
      <c r="D36" s="30"/>
      <c r="E36" s="30"/>
      <c r="F36" s="30"/>
      <c r="G36" s="30"/>
      <c r="H36" s="30"/>
    </row>
    <row r="37" spans="1:11" s="2" customFormat="1">
      <c r="B37" s="67" t="s">
        <v>396</v>
      </c>
      <c r="C37" s="39" t="str">
        <f>Data!$C$9</f>
        <v>£m 18/19</v>
      </c>
      <c r="D37" s="735"/>
      <c r="E37" s="735"/>
      <c r="F37" s="735"/>
      <c r="G37" s="735"/>
      <c r="H37" s="735"/>
      <c r="I37" s="2" t="s">
        <v>397</v>
      </c>
    </row>
    <row r="38" spans="1:11" s="2" customFormat="1">
      <c r="B38" s="67" t="s">
        <v>398</v>
      </c>
      <c r="C38" s="39" t="str">
        <f>Data!$C$9</f>
        <v>£m 18/19</v>
      </c>
      <c r="D38" s="1156"/>
      <c r="E38" s="899"/>
      <c r="F38" s="899"/>
      <c r="G38" s="899"/>
      <c r="H38" s="899"/>
    </row>
    <row r="39" spans="1:11" s="2" customFormat="1">
      <c r="B39" s="67" t="s">
        <v>399</v>
      </c>
      <c r="C39" s="39" t="str">
        <f>Data!$C$9</f>
        <v>£m 18/19</v>
      </c>
      <c r="D39" s="443"/>
      <c r="E39" s="443"/>
      <c r="F39" s="443"/>
      <c r="G39" s="443"/>
      <c r="H39" s="443"/>
    </row>
    <row r="40" spans="1:11" s="5" customFormat="1">
      <c r="B40" s="2" t="s">
        <v>400</v>
      </c>
      <c r="C40" s="39" t="str">
        <f>Data!$C$9</f>
        <v>£m 18/19</v>
      </c>
      <c r="D40" s="450">
        <f>D37-D38-D39</f>
        <v>0</v>
      </c>
      <c r="E40" s="451">
        <f t="shared" ref="E40:H40" si="2">E37-E38-E39</f>
        <v>0</v>
      </c>
      <c r="F40" s="451">
        <f t="shared" si="2"/>
        <v>0</v>
      </c>
      <c r="G40" s="451">
        <f t="shared" si="2"/>
        <v>0</v>
      </c>
      <c r="H40" s="451">
        <f t="shared" si="2"/>
        <v>0</v>
      </c>
      <c r="I40" s="2"/>
      <c r="J40" s="2"/>
      <c r="K40" s="2"/>
    </row>
    <row r="41" spans="1:11" s="2" customFormat="1">
      <c r="A41" s="3"/>
      <c r="B41" s="5" t="s">
        <v>401</v>
      </c>
      <c r="C41" s="39" t="str">
        <f>Data!$C$9</f>
        <v>£m 18/19</v>
      </c>
      <c r="D41" s="456">
        <f>D38+D39</f>
        <v>0</v>
      </c>
      <c r="E41" s="456">
        <f t="shared" ref="E41:H41" si="3">E38+E39</f>
        <v>0</v>
      </c>
      <c r="F41" s="456">
        <f t="shared" si="3"/>
        <v>0</v>
      </c>
      <c r="G41" s="456">
        <f t="shared" si="3"/>
        <v>0</v>
      </c>
      <c r="H41" s="456">
        <f t="shared" si="3"/>
        <v>0</v>
      </c>
    </row>
    <row r="42" spans="1:11" s="2" customFormat="1">
      <c r="A42" s="3"/>
      <c r="B42" s="5"/>
      <c r="C42" s="39"/>
      <c r="D42" s="890"/>
      <c r="E42" s="890"/>
      <c r="F42" s="890"/>
      <c r="G42" s="890"/>
      <c r="H42" s="890"/>
    </row>
    <row r="43" spans="1:11" s="2" customFormat="1">
      <c r="A43" s="1" t="s">
        <v>225</v>
      </c>
      <c r="B43" s="5" t="s">
        <v>116</v>
      </c>
      <c r="C43" s="39"/>
      <c r="D43" s="890"/>
      <c r="E43" s="890"/>
      <c r="F43" s="890"/>
      <c r="G43" s="890"/>
      <c r="H43" s="890"/>
    </row>
    <row r="44" spans="1:11" s="2" customFormat="1" ht="14">
      <c r="A44" s="3"/>
      <c r="B44" s="67" t="s">
        <v>402</v>
      </c>
      <c r="C44" s="39" t="str">
        <f>Data!$C$9</f>
        <v>£m 18/19</v>
      </c>
      <c r="D44" s="735"/>
      <c r="E44" s="1033"/>
      <c r="F44" s="1033"/>
      <c r="G44" s="1033"/>
      <c r="H44" s="1033"/>
      <c r="I44" s="2" t="s">
        <v>397</v>
      </c>
    </row>
    <row r="45" spans="1:11" s="2" customFormat="1" ht="14">
      <c r="A45" s="3"/>
      <c r="B45" s="67" t="s">
        <v>398</v>
      </c>
      <c r="C45" s="39" t="str">
        <f>Data!$C$9</f>
        <v>£m 18/19</v>
      </c>
      <c r="D45" s="1156"/>
      <c r="E45" s="1033"/>
      <c r="F45" s="1033"/>
      <c r="G45" s="1033"/>
      <c r="H45" s="1033"/>
    </row>
    <row r="46" spans="1:11" s="2" customFormat="1" ht="14">
      <c r="A46" s="3"/>
      <c r="B46" s="67" t="s">
        <v>399</v>
      </c>
      <c r="C46" s="39" t="str">
        <f>Data!$C$9</f>
        <v>£m 18/19</v>
      </c>
      <c r="D46" s="443"/>
      <c r="E46" s="1033"/>
      <c r="F46" s="1033"/>
      <c r="G46" s="1033"/>
      <c r="H46" s="1033"/>
    </row>
    <row r="47" spans="1:11" s="2" customFormat="1" ht="14">
      <c r="A47" s="3"/>
      <c r="B47" s="2" t="s">
        <v>403</v>
      </c>
      <c r="C47" s="39" t="str">
        <f>Data!$C$9</f>
        <v>£m 18/19</v>
      </c>
      <c r="D47" s="450">
        <f>D44-D45-D46</f>
        <v>0</v>
      </c>
      <c r="E47" s="1033"/>
      <c r="F47" s="1033"/>
      <c r="G47" s="1033"/>
      <c r="H47" s="1033"/>
    </row>
    <row r="48" spans="1:11" ht="14">
      <c r="A48" s="92"/>
      <c r="B48" s="5" t="s">
        <v>404</v>
      </c>
      <c r="C48" s="39" t="str">
        <f>Data!$C$9</f>
        <v>£m 18/19</v>
      </c>
      <c r="D48" s="451">
        <f>D45+D46</f>
        <v>0</v>
      </c>
      <c r="E48" s="1033"/>
      <c r="F48" s="1033"/>
      <c r="G48" s="1033"/>
      <c r="H48" s="1033"/>
      <c r="I48" s="2"/>
    </row>
    <row r="49" spans="1:11">
      <c r="B49" s="5"/>
      <c r="C49" s="39"/>
      <c r="D49" s="39"/>
      <c r="E49" s="39"/>
      <c r="F49" s="39"/>
      <c r="G49" s="39"/>
      <c r="H49" s="39"/>
      <c r="I49" s="39"/>
    </row>
    <row r="50" spans="1:11">
      <c r="A50" s="1" t="s">
        <v>226</v>
      </c>
      <c r="B50" s="5" t="s">
        <v>117</v>
      </c>
      <c r="C50" s="39"/>
      <c r="D50" s="890"/>
      <c r="E50" s="890"/>
      <c r="F50" s="890"/>
      <c r="G50" s="890"/>
      <c r="H50" s="890"/>
      <c r="I50" s="2"/>
    </row>
    <row r="51" spans="1:11">
      <c r="A51" s="3"/>
      <c r="B51" s="67" t="s">
        <v>405</v>
      </c>
      <c r="C51" s="39" t="str">
        <f>Data!$C$9</f>
        <v>£m 18/19</v>
      </c>
      <c r="D51" s="735"/>
      <c r="E51" s="735"/>
      <c r="F51" s="735"/>
      <c r="G51" s="735"/>
      <c r="H51" s="735"/>
      <c r="I51" s="2" t="s">
        <v>397</v>
      </c>
    </row>
    <row r="52" spans="1:11">
      <c r="A52" s="3"/>
      <c r="B52" s="67" t="s">
        <v>406</v>
      </c>
      <c r="C52" s="39" t="str">
        <f>Data!$C$9</f>
        <v>£m 18/19</v>
      </c>
      <c r="D52" s="1156"/>
      <c r="E52" s="899"/>
      <c r="F52" s="899"/>
      <c r="G52" s="899"/>
      <c r="H52" s="899"/>
      <c r="I52" s="2"/>
    </row>
    <row r="53" spans="1:11">
      <c r="A53" s="3"/>
      <c r="B53" s="67" t="s">
        <v>399</v>
      </c>
      <c r="C53" s="39" t="str">
        <f>Data!$C$9</f>
        <v>£m 18/19</v>
      </c>
      <c r="D53" s="443"/>
      <c r="E53" s="443"/>
      <c r="F53" s="443"/>
      <c r="G53" s="443"/>
      <c r="H53" s="443"/>
      <c r="I53" s="2"/>
    </row>
    <row r="54" spans="1:11">
      <c r="A54" s="3"/>
      <c r="B54" s="2" t="s">
        <v>407</v>
      </c>
      <c r="C54" s="39" t="str">
        <f>Data!$C$9</f>
        <v>£m 18/19</v>
      </c>
      <c r="D54" s="450">
        <f>D51-D52-D53</f>
        <v>0</v>
      </c>
      <c r="E54" s="451">
        <f>E51-E52-E53</f>
        <v>0</v>
      </c>
      <c r="F54" s="451">
        <f>F51-F52-F53</f>
        <v>0</v>
      </c>
      <c r="G54" s="451">
        <f>G51-G52-G53</f>
        <v>0</v>
      </c>
      <c r="H54" s="451">
        <f>H51-H52-H53</f>
        <v>0</v>
      </c>
      <c r="I54" s="2"/>
    </row>
    <row r="55" spans="1:11">
      <c r="A55" s="92"/>
      <c r="B55" s="5" t="s">
        <v>408</v>
      </c>
      <c r="C55" s="39" t="str">
        <f>Data!$C$9</f>
        <v>£m 18/19</v>
      </c>
      <c r="D55" s="451">
        <f>D52+D53</f>
        <v>0</v>
      </c>
      <c r="E55" s="451">
        <f>E52+E53</f>
        <v>0</v>
      </c>
      <c r="F55" s="451">
        <f>F52+F53</f>
        <v>0</v>
      </c>
      <c r="G55" s="451">
        <f>G52+G53</f>
        <v>0</v>
      </c>
      <c r="H55" s="451">
        <f>H52+H53</f>
        <v>0</v>
      </c>
      <c r="I55" s="2"/>
    </row>
    <row r="56" spans="1:11">
      <c r="B56" s="5"/>
      <c r="C56" s="39"/>
      <c r="D56" s="39"/>
      <c r="E56" s="39"/>
      <c r="F56" s="39"/>
      <c r="G56" s="39"/>
      <c r="H56" s="39"/>
      <c r="I56" s="39"/>
    </row>
    <row r="57" spans="1:11">
      <c r="B57" s="5"/>
      <c r="C57" s="39"/>
      <c r="D57" s="39"/>
      <c r="E57" s="39"/>
      <c r="F57" s="39"/>
      <c r="G57" s="39"/>
      <c r="H57" s="39"/>
      <c r="I57" s="39"/>
    </row>
    <row r="58" spans="1:11" s="2" customFormat="1">
      <c r="B58" s="945" t="s">
        <v>409</v>
      </c>
      <c r="C58" s="70"/>
    </row>
    <row r="59" spans="1:11" s="2" customFormat="1" ht="16">
      <c r="B59" s="147" t="s">
        <v>410</v>
      </c>
      <c r="C59" s="1145" t="s">
        <v>411</v>
      </c>
      <c r="D59" s="147"/>
      <c r="E59" s="147"/>
      <c r="F59" s="147"/>
      <c r="G59" s="147"/>
      <c r="H59" s="147"/>
      <c r="I59" s="147"/>
      <c r="J59" s="147"/>
      <c r="K59" s="147"/>
    </row>
    <row r="60" spans="1:11" s="2" customFormat="1">
      <c r="B60" s="990" t="s">
        <v>412</v>
      </c>
      <c r="C60" s="70"/>
    </row>
    <row r="61" spans="1:11" s="2" customFormat="1" ht="19" customHeight="1">
      <c r="A61" s="79"/>
      <c r="B61" s="760" t="s">
        <v>413</v>
      </c>
    </row>
    <row r="62" spans="1:11" s="2" customFormat="1" ht="14.5" customHeight="1">
      <c r="A62" s="79" t="s">
        <v>227</v>
      </c>
      <c r="B62" s="927" t="str">
        <f>Data!B187</f>
        <v/>
      </c>
      <c r="C62" s="39" t="str">
        <f>Data!$C$9</f>
        <v>£m 18/19</v>
      </c>
      <c r="D62" s="1066"/>
      <c r="E62" s="1066"/>
      <c r="F62" s="1066"/>
      <c r="G62" s="1066"/>
      <c r="H62" s="1066"/>
    </row>
    <row r="63" spans="1:11" s="2" customFormat="1" ht="14.5" customHeight="1">
      <c r="A63" s="79" t="s">
        <v>228</v>
      </c>
      <c r="B63" s="927" t="str">
        <f>Data!B188</f>
        <v/>
      </c>
      <c r="C63" s="39" t="str">
        <f>Data!$C$9</f>
        <v>£m 18/19</v>
      </c>
      <c r="D63" s="1066"/>
      <c r="E63" s="1066"/>
      <c r="F63" s="1066"/>
      <c r="G63" s="1066"/>
      <c r="H63" s="1066"/>
    </row>
    <row r="64" spans="1:11" s="2" customFormat="1" ht="14.5" customHeight="1">
      <c r="A64" s="79" t="s">
        <v>229</v>
      </c>
      <c r="B64" s="927" t="str">
        <f>Data!B189</f>
        <v/>
      </c>
      <c r="C64" s="39" t="str">
        <f>Data!$C$9</f>
        <v>£m 18/19</v>
      </c>
      <c r="D64" s="1066"/>
      <c r="E64" s="1066"/>
      <c r="F64" s="1066"/>
      <c r="G64" s="1066"/>
      <c r="H64" s="1066"/>
    </row>
    <row r="65" spans="1:13" s="2" customFormat="1" ht="14.5" customHeight="1">
      <c r="A65" s="79" t="s">
        <v>230</v>
      </c>
      <c r="B65" s="927" t="str">
        <f>Data!B190</f>
        <v/>
      </c>
      <c r="C65" s="39" t="str">
        <f>Data!$C$9</f>
        <v>£m 18/19</v>
      </c>
      <c r="D65" s="1066"/>
      <c r="E65" s="1066"/>
      <c r="F65" s="1066"/>
      <c r="G65" s="1066"/>
      <c r="H65" s="1066"/>
    </row>
    <row r="66" spans="1:13" s="2" customFormat="1" ht="14.5" customHeight="1">
      <c r="A66" s="79" t="s">
        <v>231</v>
      </c>
      <c r="B66" s="927" t="str">
        <f>Data!B191</f>
        <v/>
      </c>
      <c r="C66" s="39" t="str">
        <f>Data!$C$9</f>
        <v>£m 18/19</v>
      </c>
      <c r="D66" s="1066"/>
      <c r="E66" s="1066"/>
      <c r="F66" s="1066"/>
      <c r="G66" s="1066"/>
      <c r="H66" s="1066"/>
    </row>
    <row r="67" spans="1:13" s="2" customFormat="1" ht="14.5" customHeight="1">
      <c r="B67" s="5"/>
      <c r="C67" s="78" t="str">
        <f>Data!$C$9</f>
        <v>£m 18/19</v>
      </c>
      <c r="D67" s="450">
        <f>SUM(D62:D66)</f>
        <v>0</v>
      </c>
      <c r="E67" s="450">
        <f>SUM(E62:E66)</f>
        <v>0</v>
      </c>
      <c r="F67" s="450">
        <f>SUM(F62:F66)</f>
        <v>0</v>
      </c>
      <c r="G67" s="450">
        <f>SUM(G62:G66)</f>
        <v>0</v>
      </c>
      <c r="H67" s="450">
        <f>SUM(H62:H66)</f>
        <v>0</v>
      </c>
    </row>
    <row r="68" spans="1:13" s="2" customFormat="1" ht="14.5" customHeight="1">
      <c r="B68" s="5"/>
      <c r="C68" s="78"/>
      <c r="D68" s="78"/>
      <c r="E68" s="78"/>
      <c r="F68" s="78"/>
      <c r="G68" s="78"/>
      <c r="H68" s="78"/>
      <c r="I68" s="78"/>
    </row>
    <row r="69" spans="1:13" s="431" customFormat="1" ht="14.25" customHeight="1">
      <c r="A69" s="430"/>
      <c r="M69" s="2"/>
    </row>
    <row r="70" spans="1:13" s="2" customFormat="1">
      <c r="A70" s="891"/>
      <c r="B70" s="892" t="s">
        <v>393</v>
      </c>
      <c r="C70" s="893"/>
      <c r="D70" s="893"/>
      <c r="E70" s="893"/>
      <c r="F70" s="893"/>
      <c r="G70" s="893"/>
      <c r="H70" s="893"/>
      <c r="I70" s="893"/>
      <c r="J70" s="893"/>
    </row>
    <row r="71" spans="1:13" s="2" customFormat="1">
      <c r="A71" s="894" t="s">
        <v>224</v>
      </c>
      <c r="B71" s="892"/>
      <c r="C71" s="893"/>
      <c r="D71" s="893"/>
      <c r="E71" s="893"/>
      <c r="F71" s="893"/>
      <c r="G71" s="893"/>
      <c r="H71" s="893"/>
      <c r="I71" s="893"/>
      <c r="J71" s="893"/>
    </row>
    <row r="72" spans="1:13" s="2" customFormat="1">
      <c r="A72" s="894" t="s">
        <v>225</v>
      </c>
      <c r="B72" s="892"/>
      <c r="C72" s="893"/>
      <c r="D72" s="893"/>
      <c r="E72" s="893"/>
      <c r="F72" s="893"/>
      <c r="G72" s="893"/>
      <c r="H72" s="893"/>
      <c r="I72" s="893"/>
      <c r="J72" s="893"/>
    </row>
    <row r="73" spans="1:13" s="2" customFormat="1">
      <c r="A73" s="894" t="s">
        <v>226</v>
      </c>
      <c r="B73" s="1371"/>
      <c r="C73" s="1371"/>
      <c r="D73" s="1371"/>
      <c r="E73" s="1371"/>
      <c r="F73" s="1371"/>
      <c r="G73" s="1371"/>
      <c r="H73" s="1371"/>
      <c r="I73" s="1371"/>
      <c r="J73" s="1371"/>
    </row>
    <row r="74" spans="1:13" s="2" customFormat="1">
      <c r="A74" s="894" t="s">
        <v>227</v>
      </c>
      <c r="B74" s="1371"/>
      <c r="C74" s="1371"/>
      <c r="D74" s="1371"/>
      <c r="E74" s="1371"/>
      <c r="F74" s="1371"/>
      <c r="G74" s="1371"/>
      <c r="H74" s="1371"/>
      <c r="I74" s="1371"/>
      <c r="J74" s="1371"/>
    </row>
    <row r="75" spans="1:13" s="2" customFormat="1">
      <c r="A75" s="894" t="s">
        <v>228</v>
      </c>
      <c r="B75" s="1371"/>
      <c r="C75" s="1371"/>
      <c r="D75" s="1371"/>
      <c r="E75" s="1371"/>
      <c r="F75" s="1371"/>
      <c r="G75" s="1371"/>
      <c r="H75" s="1371"/>
      <c r="I75" s="1371"/>
      <c r="J75" s="1371"/>
    </row>
    <row r="76" spans="1:13" s="2" customFormat="1">
      <c r="A76" s="894" t="s">
        <v>229</v>
      </c>
      <c r="B76" s="1371"/>
      <c r="C76" s="1371"/>
      <c r="D76" s="1371"/>
      <c r="E76" s="1371"/>
      <c r="F76" s="1371"/>
      <c r="G76" s="1371"/>
      <c r="H76" s="1371"/>
      <c r="I76" s="1371"/>
      <c r="J76" s="1371"/>
    </row>
    <row r="77" spans="1:13" s="2" customFormat="1">
      <c r="A77" s="894" t="s">
        <v>230</v>
      </c>
      <c r="B77" s="806"/>
      <c r="C77" s="806"/>
      <c r="D77" s="806"/>
      <c r="E77" s="806"/>
      <c r="F77" s="806"/>
      <c r="G77" s="806"/>
      <c r="H77" s="806"/>
      <c r="I77" s="806"/>
      <c r="J77" s="806"/>
    </row>
    <row r="78" spans="1:13" s="2" customFormat="1">
      <c r="A78" s="894" t="s">
        <v>231</v>
      </c>
      <c r="B78" s="1371"/>
      <c r="C78" s="1371"/>
      <c r="D78" s="1371"/>
      <c r="E78" s="1371"/>
      <c r="F78" s="1371"/>
      <c r="G78" s="1371"/>
      <c r="H78" s="1371"/>
      <c r="I78" s="1371"/>
      <c r="J78" s="1371"/>
    </row>
  </sheetData>
  <sheetProtection algorithmName="SHA-512" hashValue="tdG+WuC2ARmEGk2dKRH7ZtBR8bnuWt4ZmvFreECSCs/Sn2y2NzYLTKuE2RWI91PrgYMDuh2PicWIoV0V9CZCGg==" saltValue="QQoc1pLFF0lyN68SGCvPaA==" spinCount="100000" sheet="1" objects="1" scenarios="1"/>
  <mergeCells count="12">
    <mergeCell ref="B24:J24"/>
    <mergeCell ref="B78:J78"/>
    <mergeCell ref="B73:J73"/>
    <mergeCell ref="B74:J74"/>
    <mergeCell ref="B75:J75"/>
    <mergeCell ref="B76:J76"/>
    <mergeCell ref="B30:J30"/>
    <mergeCell ref="B25:J25"/>
    <mergeCell ref="B26:J26"/>
    <mergeCell ref="B27:J27"/>
    <mergeCell ref="B28:J28"/>
    <mergeCell ref="B29:J29"/>
  </mergeCells>
  <conditionalFormatting sqref="D5:G6 I5">
    <cfRule type="expression" dxfId="47" priority="33">
      <formula>AND(D$5="Actuals",E$5="Forecast")</formula>
    </cfRule>
  </conditionalFormatting>
  <conditionalFormatting sqref="H5:H6">
    <cfRule type="expression" dxfId="46" priority="237">
      <formula>AND(H$5="Actuals",#REF!="Forecast")</formula>
    </cfRule>
  </conditionalFormatting>
  <conditionalFormatting sqref="D7:H7">
    <cfRule type="expression" dxfId="45"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1"/>
  <sheetViews>
    <sheetView showGridLines="0" zoomScale="70" zoomScaleNormal="70" workbookViewId="0">
      <pane ySplit="7" topLeftCell="A29" activePane="bottomLeft" state="frozen"/>
      <selection activeCell="B1" sqref="B1"/>
      <selection pane="bottomLeft" activeCell="H48" sqref="H48"/>
    </sheetView>
  </sheetViews>
  <sheetFormatPr defaultRowHeight="13.5"/>
  <cols>
    <col min="1" max="1" width="8.3828125" customWidth="1"/>
    <col min="2" max="2" width="101.765625" customWidth="1"/>
    <col min="3" max="3" width="14.15234375" customWidth="1"/>
    <col min="4" max="8" width="11.15234375" customWidth="1"/>
    <col min="9" max="10" width="12.84375" customWidth="1"/>
    <col min="11" max="11" width="5" customWidth="1"/>
  </cols>
  <sheetData>
    <row r="1" spans="1:11" ht="20">
      <c r="A1" s="1275" t="s">
        <v>180</v>
      </c>
      <c r="B1" s="839"/>
      <c r="C1" s="840"/>
      <c r="D1" s="840"/>
      <c r="E1" s="840"/>
      <c r="F1" s="840"/>
      <c r="G1" s="840"/>
      <c r="H1" s="840"/>
      <c r="I1" s="841"/>
      <c r="J1" s="841"/>
      <c r="K1" s="1284"/>
    </row>
    <row r="2" spans="1:11" ht="20">
      <c r="A2" s="712" t="str">
        <f>Licensee</f>
        <v>ESO</v>
      </c>
      <c r="B2" s="707"/>
      <c r="C2" s="16"/>
      <c r="D2" s="16"/>
      <c r="E2" s="16"/>
      <c r="F2" s="16"/>
      <c r="G2" s="16"/>
      <c r="H2" s="16"/>
      <c r="I2" s="15"/>
      <c r="J2" s="15"/>
      <c r="K2" s="66"/>
    </row>
    <row r="3" spans="1:11" ht="20">
      <c r="A3" s="707">
        <f>Reporting_Year</f>
        <v>2022</v>
      </c>
      <c r="B3" s="1067" t="str">
        <f>IF('RFPR cover'!C7=Data!B78,"Not required to be completed for System Operator","")</f>
        <v/>
      </c>
      <c r="C3" s="1068"/>
      <c r="D3" s="1054"/>
      <c r="E3" s="1054"/>
      <c r="F3" s="1054"/>
      <c r="G3" s="1054"/>
      <c r="H3" s="1054"/>
      <c r="I3" s="1055"/>
      <c r="J3" s="1055"/>
      <c r="K3" s="120"/>
    </row>
    <row r="4" spans="1:11" ht="12.75" customHeight="1">
      <c r="A4" s="22"/>
      <c r="B4" s="22"/>
      <c r="C4" s="22"/>
      <c r="D4" s="22"/>
      <c r="E4" s="22"/>
      <c r="F4" s="22"/>
      <c r="G4" s="22"/>
      <c r="H4" s="22"/>
      <c r="I4" s="19"/>
    </row>
    <row r="5" spans="1:11" s="2" customFormat="1">
      <c r="B5" s="3"/>
      <c r="C5" s="3"/>
      <c r="D5" s="254" t="str">
        <f t="shared" ref="D5:I5" si="0">IF(D6&lt;=Reporting_Year,"Actuals","Forecast")</f>
        <v>Actuals</v>
      </c>
      <c r="E5" s="254" t="str">
        <f t="shared" si="0"/>
        <v>Forecast</v>
      </c>
      <c r="F5" s="254" t="str">
        <f t="shared" si="0"/>
        <v>Forecast</v>
      </c>
      <c r="G5" s="254" t="str">
        <f t="shared" si="0"/>
        <v>Forecast</v>
      </c>
      <c r="H5" s="254" t="str">
        <f t="shared" si="0"/>
        <v>Forecast</v>
      </c>
      <c r="I5" s="254" t="str">
        <f t="shared" si="0"/>
        <v>Forecast</v>
      </c>
    </row>
    <row r="6" spans="1:11" s="2" customFormat="1" ht="27">
      <c r="D6" s="63">
        <f>'RFPR cover'!$C$6</f>
        <v>2022</v>
      </c>
      <c r="E6" s="64">
        <f>D6+1</f>
        <v>2023</v>
      </c>
      <c r="F6" s="64">
        <f t="shared" ref="F6:H6" si="1">E6+1</f>
        <v>2024</v>
      </c>
      <c r="G6" s="64">
        <f t="shared" si="1"/>
        <v>2025</v>
      </c>
      <c r="H6" s="88">
        <f t="shared" si="1"/>
        <v>2026</v>
      </c>
      <c r="I6" s="895" t="str">
        <f>"Cumulative to "&amp;'RFPR cover'!$C$9</f>
        <v>Cumulative to 2022</v>
      </c>
      <c r="J6" s="125" t="s">
        <v>213</v>
      </c>
    </row>
    <row r="7" spans="1:11"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896" t="str">
        <f>RIIO_2_start_date+3&amp;"/"&amp;RIGHT(RIIO_2_start_date+4,2)</f>
        <v>2025/26</v>
      </c>
    </row>
    <row r="8" spans="1:11" s="2" customFormat="1"/>
    <row r="9" spans="1:11">
      <c r="B9" s="410" t="str">
        <f>'R5a - Financing input'!C462</f>
        <v>Net Interest Per Statutory Accounts</v>
      </c>
      <c r="C9" s="76" t="s">
        <v>252</v>
      </c>
      <c r="D9" s="177">
        <f>'R5a - Financing input'!M462</f>
        <v>0.6749180899999998</v>
      </c>
      <c r="E9" s="190">
        <f>'R5a - Financing input'!N462</f>
        <v>1.1857912399999999</v>
      </c>
      <c r="F9" s="190">
        <f>'R5a - Financing input'!O462</f>
        <v>1.1857912399999999</v>
      </c>
      <c r="G9" s="190">
        <f>'R5a - Financing input'!P462</f>
        <v>1.1857912399999999</v>
      </c>
      <c r="H9" s="190">
        <f>'R5a - Financing input'!Q462</f>
        <v>1.1857912399999999</v>
      </c>
      <c r="I9" s="2"/>
      <c r="J9" s="2"/>
    </row>
    <row r="10" spans="1:11">
      <c r="B10" s="6"/>
      <c r="C10" s="76"/>
      <c r="D10" s="106"/>
      <c r="E10" s="106"/>
      <c r="F10" s="106"/>
      <c r="G10" s="106"/>
      <c r="H10" s="106"/>
      <c r="I10" s="2"/>
      <c r="J10" s="2"/>
    </row>
    <row r="11" spans="1:11">
      <c r="B11" s="6" t="s">
        <v>414</v>
      </c>
      <c r="C11" s="8"/>
      <c r="D11" s="107"/>
      <c r="E11" s="107"/>
      <c r="F11" s="107"/>
      <c r="G11" s="107"/>
      <c r="H11" s="107"/>
      <c r="I11" s="2"/>
      <c r="J11" s="2"/>
    </row>
    <row r="12" spans="1:11">
      <c r="B12" s="184" t="str">
        <f>'R5a - Financing input'!C470</f>
        <v>Interest not qualifying for corporation tax relief</v>
      </c>
      <c r="C12" s="76" t="s">
        <v>252</v>
      </c>
      <c r="D12" s="177">
        <f>'R5a - Financing input'!M470</f>
        <v>0</v>
      </c>
      <c r="E12" s="190">
        <f>'R5a - Financing input'!N470</f>
        <v>0</v>
      </c>
      <c r="F12" s="190">
        <f>'R5a - Financing input'!O470</f>
        <v>0</v>
      </c>
      <c r="G12" s="190">
        <f>'R5a - Financing input'!P470</f>
        <v>0</v>
      </c>
      <c r="H12" s="190">
        <f>'R5a - Financing input'!Q470</f>
        <v>0</v>
      </c>
      <c r="I12" s="2"/>
      <c r="J12" s="2"/>
    </row>
    <row r="13" spans="1:11">
      <c r="B13" s="184" t="str">
        <f>'R5a - Financing input'!C471</f>
        <v>Fair value adjustments (e.g. losses on derivatives)</v>
      </c>
      <c r="C13" s="76" t="s">
        <v>252</v>
      </c>
      <c r="D13" s="177">
        <f>'R5a - Financing input'!M471</f>
        <v>0</v>
      </c>
      <c r="E13" s="190">
        <f>'R5a - Financing input'!N471</f>
        <v>0</v>
      </c>
      <c r="F13" s="190">
        <f>'R5a - Financing input'!O471</f>
        <v>0</v>
      </c>
      <c r="G13" s="190">
        <f>'R5a - Financing input'!P471</f>
        <v>0</v>
      </c>
      <c r="H13" s="190">
        <f>'R5a - Financing input'!Q471</f>
        <v>0</v>
      </c>
      <c r="I13" s="2"/>
      <c r="J13" s="2"/>
    </row>
    <row r="14" spans="1:11">
      <c r="B14" s="184" t="str">
        <f>'R5a - Financing input'!C472</f>
        <v>Dividends on preference shares</v>
      </c>
      <c r="C14" s="76" t="s">
        <v>252</v>
      </c>
      <c r="D14" s="177">
        <f>'R5a - Financing input'!M472</f>
        <v>0</v>
      </c>
      <c r="E14" s="190">
        <f>'R5a - Financing input'!N472</f>
        <v>0</v>
      </c>
      <c r="F14" s="190">
        <f>'R5a - Financing input'!O472</f>
        <v>0</v>
      </c>
      <c r="G14" s="190">
        <f>'R5a - Financing input'!P472</f>
        <v>0</v>
      </c>
      <c r="H14" s="190">
        <f>'R5a - Financing input'!Q472</f>
        <v>0</v>
      </c>
      <c r="I14" s="2"/>
      <c r="J14" s="2"/>
    </row>
    <row r="15" spans="1:11">
      <c r="B15" s="184" t="str">
        <f>'R5a - Financing input'!C473</f>
        <v>Costs of early redemption on long term debt</v>
      </c>
      <c r="C15" s="76" t="s">
        <v>252</v>
      </c>
      <c r="D15" s="177">
        <f>'R5a - Financing input'!M473</f>
        <v>0</v>
      </c>
      <c r="E15" s="190">
        <f>'R5a - Financing input'!N473</f>
        <v>0</v>
      </c>
      <c r="F15" s="190">
        <f>'R5a - Financing input'!O473</f>
        <v>0</v>
      </c>
      <c r="G15" s="190">
        <f>'R5a - Financing input'!P473</f>
        <v>0</v>
      </c>
      <c r="H15" s="190">
        <f>'R5a - Financing input'!Q473</f>
        <v>0</v>
      </c>
      <c r="I15" s="2"/>
      <c r="J15" s="2"/>
    </row>
    <row r="16" spans="1:11">
      <c r="B16" s="184" t="str">
        <f>'R5a - Financing input'!C474</f>
        <v>Swap Termination Costs paid</v>
      </c>
      <c r="C16" s="76" t="s">
        <v>252</v>
      </c>
      <c r="D16" s="177">
        <f>'R5a - Financing input'!M474</f>
        <v>0</v>
      </c>
      <c r="E16" s="190">
        <f>'R5a - Financing input'!N474</f>
        <v>0</v>
      </c>
      <c r="F16" s="190">
        <f>'R5a - Financing input'!O474</f>
        <v>0</v>
      </c>
      <c r="G16" s="190">
        <f>'R5a - Financing input'!P474</f>
        <v>0</v>
      </c>
      <c r="H16" s="190">
        <f>'R5a - Financing input'!Q474</f>
        <v>0</v>
      </c>
      <c r="I16" s="2"/>
      <c r="J16" s="2"/>
    </row>
    <row r="17" spans="2:9">
      <c r="B17" s="184" t="str">
        <f>'R5a - Financing input'!C475</f>
        <v>Movements relating to pension fund liabilities reported within net interest</v>
      </c>
      <c r="C17" s="76" t="s">
        <v>252</v>
      </c>
      <c r="D17" s="177">
        <f>'R5a - Financing input'!M475</f>
        <v>0</v>
      </c>
      <c r="E17" s="190">
        <f>'R5a - Financing input'!N475</f>
        <v>0</v>
      </c>
      <c r="F17" s="190">
        <f>'R5a - Financing input'!O475</f>
        <v>0</v>
      </c>
      <c r="G17" s="190">
        <f>'R5a - Financing input'!P475</f>
        <v>0</v>
      </c>
      <c r="H17" s="190">
        <f>'R5a - Financing input'!Q475</f>
        <v>0</v>
      </c>
      <c r="I17" s="2"/>
    </row>
    <row r="18" spans="2:9">
      <c r="B18" s="184" t="str">
        <f>'R5a - Financing input'!C476</f>
        <v>Debt issuance expenses (inc. amortisation to discounts that had previously benefitted from a tax deduction)</v>
      </c>
      <c r="C18" s="76" t="s">
        <v>252</v>
      </c>
      <c r="D18" s="177">
        <f>'R5a - Financing input'!M476</f>
        <v>0</v>
      </c>
      <c r="E18" s="190">
        <f>'R5a - Financing input'!N476</f>
        <v>0</v>
      </c>
      <c r="F18" s="190">
        <f>'R5a - Financing input'!O476</f>
        <v>0</v>
      </c>
      <c r="G18" s="190">
        <f>'R5a - Financing input'!P476</f>
        <v>0</v>
      </c>
      <c r="H18" s="190">
        <f>'R5a - Financing input'!Q476</f>
        <v>0</v>
      </c>
      <c r="I18" s="2"/>
    </row>
    <row r="19" spans="2:9" ht="12.75" customHeight="1">
      <c r="B19" s="184" t="str">
        <f>'R5a - Financing input'!C477</f>
        <v>Commitment fees for undrawn liquidity backup lines</v>
      </c>
      <c r="C19" s="76" t="s">
        <v>252</v>
      </c>
      <c r="D19" s="177">
        <f>'R5a - Financing input'!M477</f>
        <v>0</v>
      </c>
      <c r="E19" s="190">
        <f>'R5a - Financing input'!N477</f>
        <v>0</v>
      </c>
      <c r="F19" s="190">
        <f>'R5a - Financing input'!O477</f>
        <v>0</v>
      </c>
      <c r="G19" s="190">
        <f>'R5a - Financing input'!P477</f>
        <v>0</v>
      </c>
      <c r="H19" s="190">
        <f>'R5a - Financing input'!Q477</f>
        <v>0</v>
      </c>
      <c r="I19" s="2"/>
    </row>
    <row r="20" spans="2:9">
      <c r="B20" s="184" t="str">
        <f>'R5a - Financing input'!C478</f>
        <v>1. Capitalised Interest</v>
      </c>
      <c r="C20" s="76" t="s">
        <v>252</v>
      </c>
      <c r="D20" s="177">
        <f>'R5a - Financing input'!M478</f>
        <v>0.40495103999999998</v>
      </c>
      <c r="E20" s="190">
        <f>'R5a - Financing input'!N478</f>
        <v>0</v>
      </c>
      <c r="F20" s="190">
        <f>'R5a - Financing input'!O478</f>
        <v>0</v>
      </c>
      <c r="G20" s="190">
        <f>'R5a - Financing input'!P478</f>
        <v>0</v>
      </c>
      <c r="H20" s="190">
        <f>'R5a - Financing input'!Q478</f>
        <v>0</v>
      </c>
      <c r="I20" s="2"/>
    </row>
    <row r="21" spans="2:9">
      <c r="B21" s="1314" t="s">
        <v>415</v>
      </c>
      <c r="C21" s="76" t="s">
        <v>252</v>
      </c>
      <c r="D21" s="177">
        <f>'R5a - Financing input'!M479</f>
        <v>0</v>
      </c>
      <c r="E21" s="190">
        <f>'R5a - Financing input'!N479</f>
        <v>0</v>
      </c>
      <c r="F21" s="190">
        <f>'R5a - Financing input'!O479</f>
        <v>0</v>
      </c>
      <c r="G21" s="190">
        <f>'R5a - Financing input'!P479</f>
        <v>0</v>
      </c>
      <c r="H21" s="190">
        <f>'R5a - Financing input'!Q479</f>
        <v>0</v>
      </c>
      <c r="I21" s="2"/>
    </row>
    <row r="22" spans="2:9">
      <c r="B22" s="1314" t="s">
        <v>416</v>
      </c>
      <c r="C22" s="76" t="s">
        <v>252</v>
      </c>
      <c r="D22" s="177">
        <f>'R5a - Financing input'!M480</f>
        <v>0.95578613000000001</v>
      </c>
      <c r="E22" s="190">
        <f>'R5a - Financing input'!N480</f>
        <v>0</v>
      </c>
      <c r="F22" s="190">
        <f>'R5a - Financing input'!O480</f>
        <v>0</v>
      </c>
      <c r="G22" s="190">
        <f>'R5a - Financing input'!P480</f>
        <v>0</v>
      </c>
      <c r="H22" s="190">
        <f>'R5a - Financing input'!Q480</f>
        <v>0</v>
      </c>
      <c r="I22" s="2"/>
    </row>
    <row r="23" spans="2:9">
      <c r="B23" s="184" t="str">
        <f>'R5a - Financing input'!C481</f>
        <v>4. WCF facility fees</v>
      </c>
      <c r="C23" s="76" t="s">
        <v>252</v>
      </c>
      <c r="D23" s="177">
        <f>'R5a - Financing input'!M481</f>
        <v>-1.07065126</v>
      </c>
      <c r="E23" s="190">
        <f>'R5a - Financing input'!N481</f>
        <v>0</v>
      </c>
      <c r="F23" s="190">
        <f>'R5a - Financing input'!O481</f>
        <v>0</v>
      </c>
      <c r="G23" s="190">
        <f>'R5a - Financing input'!P481</f>
        <v>0</v>
      </c>
      <c r="H23" s="190">
        <f>'R5a - Financing input'!Q481</f>
        <v>0</v>
      </c>
      <c r="I23" s="2"/>
    </row>
    <row r="24" spans="2:9">
      <c r="B24" s="184" t="str">
        <f>'R5a - Financing input'!C482</f>
        <v>5. Net interest charged to and from customers for cash received that is higher or lower than invoiced</v>
      </c>
      <c r="C24" s="76" t="s">
        <v>252</v>
      </c>
      <c r="D24" s="177">
        <f>'R5a - Financing input'!M482</f>
        <v>0.30187214000000001</v>
      </c>
      <c r="E24" s="190">
        <f>'R5a - Financing input'!N482</f>
        <v>0</v>
      </c>
      <c r="F24" s="190">
        <f>'R5a - Financing input'!O482</f>
        <v>0</v>
      </c>
      <c r="G24" s="190">
        <f>'R5a - Financing input'!P482</f>
        <v>0</v>
      </c>
      <c r="H24" s="190">
        <f>'R5a - Financing input'!Q482</f>
        <v>0</v>
      </c>
      <c r="I24" s="2"/>
    </row>
    <row r="25" spans="2:9">
      <c r="B25" s="184" t="str">
        <f>'R5a - Financing input'!C483</f>
        <v>6. [Insert adjustment as necessary]</v>
      </c>
      <c r="C25" s="76" t="s">
        <v>252</v>
      </c>
      <c r="D25" s="177">
        <f>'R5a - Financing input'!M483</f>
        <v>0</v>
      </c>
      <c r="E25" s="190">
        <f>'R5a - Financing input'!N483</f>
        <v>0</v>
      </c>
      <c r="F25" s="190">
        <f>'R5a - Financing input'!O483</f>
        <v>0</v>
      </c>
      <c r="G25" s="190">
        <f>'R5a - Financing input'!P483</f>
        <v>0</v>
      </c>
      <c r="H25" s="190">
        <f>'R5a - Financing input'!Q483</f>
        <v>0</v>
      </c>
      <c r="I25" s="2"/>
    </row>
    <row r="26" spans="2:9">
      <c r="B26" s="184" t="str">
        <f>'R5a - Financing input'!C484</f>
        <v>7. Bank fees</v>
      </c>
      <c r="C26" s="76" t="s">
        <v>252</v>
      </c>
      <c r="D26" s="177">
        <f>'R5a - Financing input'!M484</f>
        <v>-8.1084899999999988E-2</v>
      </c>
      <c r="E26" s="190">
        <f>'R5a - Financing input'!N484</f>
        <v>0</v>
      </c>
      <c r="F26" s="190">
        <f>'R5a - Financing input'!O484</f>
        <v>0</v>
      </c>
      <c r="G26" s="190">
        <f>'R5a - Financing input'!P484</f>
        <v>0</v>
      </c>
      <c r="H26" s="190">
        <f>'R5a - Financing input'!Q484</f>
        <v>0</v>
      </c>
      <c r="I26" s="2"/>
    </row>
    <row r="27" spans="2:9">
      <c r="B27" s="184" t="str">
        <f>'R5a - Financing input'!C485</f>
        <v>Other Adjustments [please specify]</v>
      </c>
      <c r="C27" s="76" t="s">
        <v>252</v>
      </c>
      <c r="D27" s="177">
        <f>'R5a - Financing input'!M485</f>
        <v>0</v>
      </c>
      <c r="E27" s="190">
        <f>'R5a - Financing input'!N485</f>
        <v>0</v>
      </c>
      <c r="F27" s="190">
        <f>'R5a - Financing input'!O485</f>
        <v>0</v>
      </c>
      <c r="G27" s="190">
        <f>'R5a - Financing input'!P485</f>
        <v>0</v>
      </c>
      <c r="H27" s="190">
        <f>'R5a - Financing input'!Q485</f>
        <v>0</v>
      </c>
      <c r="I27" s="2"/>
    </row>
    <row r="28" spans="2:9">
      <c r="B28" s="184" t="str">
        <f>'R5a - Financing input'!C486</f>
        <v>Other Adjustments [please specify]</v>
      </c>
      <c r="C28" s="76" t="s">
        <v>252</v>
      </c>
      <c r="D28" s="177">
        <f>'R5a - Financing input'!M486</f>
        <v>0</v>
      </c>
      <c r="E28" s="190">
        <f>'R5a - Financing input'!N486</f>
        <v>0</v>
      </c>
      <c r="F28" s="190">
        <f>'R5a - Financing input'!O486</f>
        <v>0</v>
      </c>
      <c r="G28" s="190">
        <f>'R5a - Financing input'!P486</f>
        <v>0</v>
      </c>
      <c r="H28" s="190">
        <f>'R5a - Financing input'!Q486</f>
        <v>0</v>
      </c>
      <c r="I28" s="2"/>
    </row>
    <row r="29" spans="2:9">
      <c r="B29" s="816" t="s">
        <v>300</v>
      </c>
      <c r="C29" s="76" t="s">
        <v>252</v>
      </c>
      <c r="D29" s="72">
        <f>SUM(D9,D12:D28)</f>
        <v>1.1857912399999999</v>
      </c>
      <c r="E29" s="73">
        <f t="shared" ref="E29:H29" si="2">SUM(E9,E12:E28)</f>
        <v>1.1857912399999999</v>
      </c>
      <c r="F29" s="73">
        <f t="shared" si="2"/>
        <v>1.1857912399999999</v>
      </c>
      <c r="G29" s="73">
        <f t="shared" si="2"/>
        <v>1.1857912399999999</v>
      </c>
      <c r="H29" s="73">
        <f t="shared" si="2"/>
        <v>1.1857912399999999</v>
      </c>
      <c r="I29" s="2"/>
    </row>
    <row r="30" spans="2:9" ht="14">
      <c r="B30" s="185" t="s">
        <v>417</v>
      </c>
      <c r="C30" s="76" t="s">
        <v>252</v>
      </c>
      <c r="D30" s="1033"/>
      <c r="E30" s="442">
        <v>0</v>
      </c>
      <c r="F30" s="442">
        <v>0</v>
      </c>
      <c r="G30" s="442">
        <v>0</v>
      </c>
      <c r="H30" s="442">
        <v>0</v>
      </c>
      <c r="I30" s="2"/>
    </row>
    <row r="31" spans="2:9">
      <c r="B31" s="816" t="s">
        <v>418</v>
      </c>
      <c r="C31" s="76" t="s">
        <v>252</v>
      </c>
      <c r="D31" s="72">
        <f>SUM(D29:D30)</f>
        <v>1.1857912399999999</v>
      </c>
      <c r="E31" s="73">
        <f t="shared" ref="E31:H31" si="3">SUM(E29:E30)</f>
        <v>1.1857912399999999</v>
      </c>
      <c r="F31" s="73">
        <f t="shared" si="3"/>
        <v>1.1857912399999999</v>
      </c>
      <c r="G31" s="73">
        <f t="shared" si="3"/>
        <v>1.1857912399999999</v>
      </c>
      <c r="H31" s="73">
        <f t="shared" si="3"/>
        <v>1.1857912399999999</v>
      </c>
      <c r="I31" s="2"/>
    </row>
    <row r="32" spans="2:9">
      <c r="B32" s="89" t="s">
        <v>419</v>
      </c>
      <c r="C32" s="76" t="s">
        <v>252</v>
      </c>
      <c r="D32" s="442">
        <v>1.2147499999999312E-3</v>
      </c>
      <c r="E32" s="442">
        <v>1.1857912399999999</v>
      </c>
      <c r="F32" s="442">
        <v>1.1857912399999999</v>
      </c>
      <c r="G32" s="442">
        <v>1.1857912399999999</v>
      </c>
      <c r="H32" s="442">
        <v>1.1857912399999999</v>
      </c>
      <c r="I32" s="2"/>
    </row>
    <row r="33" spans="2:11">
      <c r="B33" s="89" t="s">
        <v>420</v>
      </c>
      <c r="C33" s="76" t="s">
        <v>252</v>
      </c>
      <c r="D33" s="442">
        <v>1.1857912399999999</v>
      </c>
      <c r="E33" s="442">
        <v>0</v>
      </c>
      <c r="F33" s="442">
        <v>0</v>
      </c>
      <c r="G33" s="442">
        <v>0</v>
      </c>
      <c r="H33" s="442">
        <v>0</v>
      </c>
      <c r="I33" s="2"/>
    </row>
    <row r="34" spans="2:11">
      <c r="B34" s="89"/>
      <c r="D34" s="104" t="str">
        <f>IF(ABS(D31-SUM(D32:D33))&lt;Data!$F$7,"OK","ERROR")</f>
        <v>OK</v>
      </c>
      <c r="E34" s="105" t="str">
        <f>IF(ABS(E31-SUM(E32:E33))&lt;Data!$F$7,"OK","ERROR")</f>
        <v>OK</v>
      </c>
      <c r="F34" s="105" t="str">
        <f>IF(ABS(F31-SUM(F32:F33))&lt;Data!$F$7,"OK","ERROR")</f>
        <v>OK</v>
      </c>
      <c r="G34" s="105" t="str">
        <f>IF(ABS(G31-SUM(G32:G33))&lt;Data!$F$7,"OK","ERROR")</f>
        <v>OK</v>
      </c>
      <c r="H34" s="105" t="str">
        <f>IF(ABS(H31-SUM(H32:H33))&lt;Data!$F$7,"OK","ERROR")</f>
        <v>OK</v>
      </c>
      <c r="I34" s="2"/>
    </row>
    <row r="35" spans="2:11">
      <c r="D35" s="12"/>
      <c r="E35" s="12"/>
      <c r="F35" s="12"/>
      <c r="G35" s="12"/>
      <c r="H35" s="12"/>
      <c r="I35" s="2"/>
    </row>
    <row r="36" spans="2:11">
      <c r="B36" s="89" t="s">
        <v>421</v>
      </c>
      <c r="C36" s="76" t="s">
        <v>252</v>
      </c>
      <c r="D36" s="442" t="s">
        <v>1048</v>
      </c>
      <c r="E36" s="442">
        <v>0</v>
      </c>
      <c r="F36" s="442">
        <v>0</v>
      </c>
      <c r="G36" s="442">
        <v>0</v>
      </c>
      <c r="H36" s="442">
        <v>0</v>
      </c>
      <c r="I36" s="2"/>
    </row>
    <row r="37" spans="2:11">
      <c r="D37" s="12"/>
      <c r="E37" s="12"/>
      <c r="F37" s="12"/>
      <c r="G37" s="12"/>
      <c r="H37" s="12"/>
      <c r="I37" s="2"/>
    </row>
    <row r="38" spans="2:11">
      <c r="B38" s="1318" t="s">
        <v>422</v>
      </c>
      <c r="C38" s="76" t="s">
        <v>252</v>
      </c>
      <c r="D38" s="656">
        <f>('R6 - Net Debt'!D$55-AVERAGE('R6 - Net Debt'!D$9,('R6 - Net Debt'!D$11-'R6a - Net Debt input'!T$18)))*(INDEX(YEFactor_change,MATCH('R5 - Financing'!D$6,calendar_year,0))-1)</f>
        <v>5.082250504780605</v>
      </c>
      <c r="E38" s="656">
        <f>('R6 - Net Debt'!E$55-AVERAGE('R6 - Net Debt'!E$9,('R6 - Net Debt'!E$11-'R6a - Net Debt input'!U$18)))*(INDEX(YEFactor_change,MATCH('R5 - Financing'!E$6,calendar_year,0))-1)</f>
        <v>8.8642189892292969</v>
      </c>
      <c r="F38" s="656">
        <f>('R6 - Net Debt'!F$55-AVERAGE('R6 - Net Debt'!F$9,('R6 - Net Debt'!F$11-'R6a - Net Debt input'!V$18)))*(INDEX(YEFactor_change,MATCH('R5 - Financing'!F$6,calendar_year,0))-1)</f>
        <v>4.0086181644099721</v>
      </c>
      <c r="G38" s="656">
        <f>('R6 - Net Debt'!G$55-AVERAGE('R6 - Net Debt'!G$9,('R6 - Net Debt'!G$11-'R6a - Net Debt input'!W$18)))*(INDEX(YEFactor_change,MATCH('R5 - Financing'!G$6,calendar_year,0))-1)</f>
        <v>2.0427431072644842</v>
      </c>
      <c r="H38" s="656">
        <f>('R6 - Net Debt'!H$55-AVERAGE('R6 - Net Debt'!H$9,('R6 - Net Debt'!H$11-'R6a - Net Debt input'!X$18)))*(INDEX(YEFactor_change,MATCH('R5 - Financing'!H$6,calendar_year,0))-1)</f>
        <v>2.3032351313017294</v>
      </c>
      <c r="I38" s="2"/>
      <c r="K38" s="131"/>
    </row>
    <row r="39" spans="2:11">
      <c r="B39" s="89"/>
      <c r="C39" s="76"/>
      <c r="D39" s="587"/>
      <c r="E39" s="587"/>
      <c r="F39" s="587"/>
      <c r="G39" s="587"/>
      <c r="H39" s="587"/>
      <c r="I39" s="2"/>
      <c r="K39" s="131"/>
    </row>
    <row r="40" spans="2:11">
      <c r="B40" s="89" t="s">
        <v>423</v>
      </c>
      <c r="C40" s="76" t="s">
        <v>252</v>
      </c>
      <c r="D40" s="51">
        <f>D31-D38</f>
        <v>-3.8964592647806051</v>
      </c>
      <c r="E40" s="51">
        <f t="shared" ref="E40:H40" si="4">E31-E38</f>
        <v>-7.6784277492292965</v>
      </c>
      <c r="F40" s="51">
        <f t="shared" si="4"/>
        <v>-2.8228269244099722</v>
      </c>
      <c r="G40" s="51">
        <f t="shared" si="4"/>
        <v>-0.85695186726448425</v>
      </c>
      <c r="H40" s="51">
        <f t="shared" si="4"/>
        <v>-1.1174438913017295</v>
      </c>
    </row>
    <row r="41" spans="2:11">
      <c r="B41" s="89"/>
      <c r="C41" s="76"/>
      <c r="D41" s="76"/>
      <c r="E41" s="76"/>
      <c r="F41" s="76"/>
      <c r="G41" s="76"/>
      <c r="H41" s="76"/>
      <c r="I41" s="76"/>
      <c r="K41" s="131"/>
    </row>
    <row r="42" spans="2:11">
      <c r="B42" s="636" t="s">
        <v>424</v>
      </c>
      <c r="C42" s="76" t="s">
        <v>425</v>
      </c>
      <c r="D42" s="413">
        <f t="shared" ref="D42:H42" si="5">INDEX(real_to_nominal_CF,MATCH(D$6,calendar_year,0))</f>
        <v>1.0847835302284383</v>
      </c>
      <c r="E42" s="413">
        <f t="shared" si="5"/>
        <v>1.1682111694202062</v>
      </c>
      <c r="F42" s="413">
        <f t="shared" si="5"/>
        <v>1.2070548174037865</v>
      </c>
      <c r="G42" s="413">
        <f t="shared" si="5"/>
        <v>1.2275072378847331</v>
      </c>
      <c r="H42" s="413">
        <f t="shared" si="5"/>
        <v>1.2509585044470788</v>
      </c>
      <c r="I42" s="76"/>
      <c r="K42" s="131"/>
    </row>
    <row r="43" spans="2:11">
      <c r="I43" s="39"/>
      <c r="J43" s="39"/>
      <c r="K43" s="39"/>
    </row>
    <row r="44" spans="2:11">
      <c r="B44" s="486" t="s">
        <v>426</v>
      </c>
      <c r="C44" s="78" t="str">
        <f>Data!$C$9</f>
        <v>£m 18/19</v>
      </c>
      <c r="D44" s="72">
        <f t="shared" ref="D44:H44" si="6">D40/D42</f>
        <v>-3.5919233249790143</v>
      </c>
      <c r="E44" s="73">
        <f t="shared" si="6"/>
        <v>-6.5728080249739183</v>
      </c>
      <c r="F44" s="73">
        <f t="shared" si="6"/>
        <v>-2.338607065486467</v>
      </c>
      <c r="G44" s="73">
        <f t="shared" si="6"/>
        <v>-0.69812367765847316</v>
      </c>
      <c r="H44" s="73">
        <f t="shared" si="6"/>
        <v>-0.89327015031217005</v>
      </c>
      <c r="I44" s="467">
        <f>SUM(D44:INDEX(D44:H44,0,MATCH('RFPR cover'!$C$9,$D$6:$H$6,0)))</f>
        <v>-3.5919233249790143</v>
      </c>
      <c r="J44" s="468">
        <f>SUM(D44:H44)</f>
        <v>-14.094732243410043</v>
      </c>
    </row>
    <row r="45" spans="2:11">
      <c r="B45" s="89"/>
      <c r="C45" s="39"/>
      <c r="D45" s="554"/>
      <c r="E45" s="554"/>
      <c r="F45" s="554"/>
      <c r="G45" s="554"/>
      <c r="H45" s="554"/>
      <c r="I45" s="591"/>
      <c r="J45" s="591"/>
    </row>
    <row r="46" spans="2:11">
      <c r="B46" s="486" t="s">
        <v>427</v>
      </c>
      <c r="C46" s="76"/>
      <c r="D46" s="554"/>
      <c r="E46" s="554"/>
      <c r="F46" s="554"/>
      <c r="G46" s="554"/>
      <c r="H46" s="554"/>
      <c r="I46" s="591"/>
      <c r="J46" s="591"/>
    </row>
    <row r="47" spans="2:11">
      <c r="B47" s="184" t="str">
        <f>'R5a - Financing input'!C489</f>
        <v>Add back Debt Issuance expenses</v>
      </c>
      <c r="C47" s="76" t="s">
        <v>252</v>
      </c>
      <c r="D47" s="655">
        <f>'R5a - Financing input'!M489</f>
        <v>0</v>
      </c>
      <c r="E47" s="655">
        <f>'R5a - Financing input'!N489</f>
        <v>0</v>
      </c>
      <c r="F47" s="655">
        <f>'R5a - Financing input'!O489</f>
        <v>0</v>
      </c>
      <c r="G47" s="655">
        <f>'R5a - Financing input'!P489</f>
        <v>0</v>
      </c>
      <c r="H47" s="655">
        <f>'R5a - Financing input'!Q489</f>
        <v>0</v>
      </c>
      <c r="I47" s="467">
        <f>SUM(D47:INDEX(D47:H47,0,MATCH('RFPR cover'!$C$9,$D$6:$H$6,0)))</f>
        <v>0</v>
      </c>
      <c r="J47" s="467">
        <f t="shared" ref="J47:J54" si="7">SUM(D47:H47)</f>
        <v>0</v>
      </c>
    </row>
    <row r="48" spans="2:11" ht="14">
      <c r="B48" s="184" t="s">
        <v>428</v>
      </c>
      <c r="C48" s="76" t="s">
        <v>252</v>
      </c>
      <c r="D48" s="1033"/>
      <c r="E48" s="442">
        <v>0</v>
      </c>
      <c r="F48" s="442">
        <v>0</v>
      </c>
      <c r="G48" s="442">
        <v>0</v>
      </c>
      <c r="H48" s="442">
        <v>0</v>
      </c>
      <c r="I48" s="467">
        <f>SUM(D48:INDEX(D48:H48,0,MATCH('RFPR cover'!$C$9,$D$6:$H$6,0)))</f>
        <v>0</v>
      </c>
      <c r="J48" s="467">
        <f t="shared" si="7"/>
        <v>0</v>
      </c>
    </row>
    <row r="49" spans="1:11">
      <c r="B49" s="184" t="str">
        <f>'R5a - Financing input'!C490</f>
        <v>Costs of early redemption on long term debt (excluding exceptional costs of buy backs associated with M&amp;A activity)</v>
      </c>
      <c r="C49" s="76" t="s">
        <v>252</v>
      </c>
      <c r="D49" s="655">
        <f>'R5a - Financing input'!M490</f>
        <v>0</v>
      </c>
      <c r="E49" s="655">
        <f>'R5a - Financing input'!N490</f>
        <v>0</v>
      </c>
      <c r="F49" s="655">
        <f>'R5a - Financing input'!O490</f>
        <v>0</v>
      </c>
      <c r="G49" s="655">
        <f>'R5a - Financing input'!P490</f>
        <v>0</v>
      </c>
      <c r="H49" s="655">
        <f>'R5a - Financing input'!Q490</f>
        <v>0</v>
      </c>
      <c r="I49" s="467">
        <f>SUM(D49:INDEX(D49:H49,0,MATCH('RFPR cover'!$C$9,$D$6:$H$6,0)))</f>
        <v>0</v>
      </c>
      <c r="J49" s="467">
        <f t="shared" si="7"/>
        <v>0</v>
      </c>
    </row>
    <row r="50" spans="1:11">
      <c r="B50" s="184" t="str">
        <f>'R5a - Financing input'!C491</f>
        <v>Add accrual for inflation accretion on index-linked swaps (if applicable)</v>
      </c>
      <c r="C50" s="76" t="s">
        <v>252</v>
      </c>
      <c r="D50" s="655">
        <f>'R5a - Financing input'!M491</f>
        <v>0</v>
      </c>
      <c r="E50" s="655">
        <f>'R5a - Financing input'!N491</f>
        <v>0</v>
      </c>
      <c r="F50" s="655">
        <f>'R5a - Financing input'!O491</f>
        <v>0</v>
      </c>
      <c r="G50" s="655">
        <f>'R5a - Financing input'!P491</f>
        <v>0</v>
      </c>
      <c r="H50" s="655">
        <f>'R5a - Financing input'!Q491</f>
        <v>0</v>
      </c>
      <c r="I50" s="467">
        <f>SUM(D50:INDEX(D50:H50,0,MATCH('RFPR cover'!$C$9,$D$6:$H$6,0)))</f>
        <v>0</v>
      </c>
      <c r="J50" s="467">
        <f t="shared" si="7"/>
        <v>0</v>
      </c>
    </row>
    <row r="51" spans="1:11">
      <c r="B51" s="1162" t="str">
        <f>'R5a - Financing input'!C492</f>
        <v>Other Adjustments [please specify]</v>
      </c>
      <c r="C51" s="76" t="s">
        <v>252</v>
      </c>
      <c r="D51" s="655">
        <f>'R5a - Financing input'!M492</f>
        <v>0</v>
      </c>
      <c r="E51" s="655">
        <f>'R5a - Financing input'!N492</f>
        <v>0</v>
      </c>
      <c r="F51" s="655">
        <f>'R5a - Financing input'!O492</f>
        <v>0</v>
      </c>
      <c r="G51" s="655">
        <f>'R5a - Financing input'!P492</f>
        <v>0</v>
      </c>
      <c r="H51" s="655">
        <f>'R5a - Financing input'!Q492</f>
        <v>0</v>
      </c>
      <c r="I51" s="467">
        <f>SUM(D51:INDEX(D51:H51,0,MATCH('RFPR cover'!$C$9,$D$6:$H$6,0)))</f>
        <v>0</v>
      </c>
      <c r="J51" s="467">
        <f t="shared" si="7"/>
        <v>0</v>
      </c>
    </row>
    <row r="52" spans="1:11">
      <c r="B52" s="1162" t="str">
        <f>'R5a - Financing input'!C493</f>
        <v>Other Adjustments [please specify]</v>
      </c>
      <c r="C52" s="76" t="s">
        <v>252</v>
      </c>
      <c r="D52" s="655">
        <f>'R5a - Financing input'!M493</f>
        <v>0</v>
      </c>
      <c r="E52" s="655">
        <f>'R5a - Financing input'!N493</f>
        <v>0</v>
      </c>
      <c r="F52" s="655">
        <f>'R5a - Financing input'!O493</f>
        <v>0</v>
      </c>
      <c r="G52" s="655">
        <f>'R5a - Financing input'!P493</f>
        <v>0</v>
      </c>
      <c r="H52" s="655">
        <f>'R5a - Financing input'!Q493</f>
        <v>0</v>
      </c>
      <c r="I52" s="467">
        <f>SUM(D52:INDEX(D52:H52,0,MATCH('RFPR cover'!$C$9,$D$6:$H$6,0)))</f>
        <v>0</v>
      </c>
      <c r="J52" s="467">
        <f t="shared" si="7"/>
        <v>0</v>
      </c>
    </row>
    <row r="53" spans="1:11">
      <c r="B53" s="1162" t="str">
        <f>'R5a - Financing input'!C494</f>
        <v>Other Adjustments [please specify]</v>
      </c>
      <c r="C53" s="76" t="s">
        <v>252</v>
      </c>
      <c r="D53" s="655">
        <f>'R5a - Financing input'!M494</f>
        <v>0</v>
      </c>
      <c r="E53" s="655">
        <f>'R5a - Financing input'!N494</f>
        <v>0</v>
      </c>
      <c r="F53" s="655">
        <f>'R5a - Financing input'!O494</f>
        <v>0</v>
      </c>
      <c r="G53" s="655">
        <f>'R5a - Financing input'!P494</f>
        <v>0</v>
      </c>
      <c r="H53" s="655">
        <f>'R5a - Financing input'!Q494</f>
        <v>0</v>
      </c>
      <c r="I53" s="467">
        <f>SUM(D53:INDEX(D53:H53,0,MATCH('RFPR cover'!$C$9,$D$6:$H$6,0)))</f>
        <v>0</v>
      </c>
      <c r="J53" s="467">
        <f t="shared" si="7"/>
        <v>0</v>
      </c>
    </row>
    <row r="54" spans="1:11">
      <c r="B54" s="1162" t="str">
        <f>'R5a - Financing input'!C495</f>
        <v>Other Adjustments [please specify]</v>
      </c>
      <c r="C54" s="76" t="s">
        <v>252</v>
      </c>
      <c r="D54" s="655">
        <f>'R5a - Financing input'!M495</f>
        <v>0</v>
      </c>
      <c r="E54" s="655">
        <f>'R5a - Financing input'!N495</f>
        <v>0</v>
      </c>
      <c r="F54" s="655">
        <f>'R5a - Financing input'!O495</f>
        <v>0</v>
      </c>
      <c r="G54" s="655">
        <f>'R5a - Financing input'!P495</f>
        <v>0</v>
      </c>
      <c r="H54" s="655">
        <f>'R5a - Financing input'!Q495</f>
        <v>0</v>
      </c>
      <c r="I54" s="467">
        <f>SUM(D54:INDEX(D54:H54,0,MATCH('RFPR cover'!$C$9,$D$6:$H$6,0)))</f>
        <v>0</v>
      </c>
      <c r="J54" s="467">
        <f t="shared" si="7"/>
        <v>0</v>
      </c>
    </row>
    <row r="55" spans="1:11" s="25" customFormat="1">
      <c r="B55" s="646"/>
      <c r="C55" s="647"/>
      <c r="D55" s="1069"/>
      <c r="E55" s="1069"/>
      <c r="F55" s="1069"/>
      <c r="G55" s="1069"/>
      <c r="H55" s="1069"/>
      <c r="I55" s="1070"/>
      <c r="J55" s="1070"/>
    </row>
    <row r="56" spans="1:11">
      <c r="B56" s="640" t="s">
        <v>429</v>
      </c>
      <c r="C56" s="110" t="s">
        <v>252</v>
      </c>
      <c r="D56" s="72">
        <f>SUM(D47:D54)</f>
        <v>0</v>
      </c>
      <c r="E56" s="72">
        <f t="shared" ref="E56:H56" si="8">SUM(E47:E54)</f>
        <v>0</v>
      </c>
      <c r="F56" s="72">
        <f t="shared" si="8"/>
        <v>0</v>
      </c>
      <c r="G56" s="72">
        <f t="shared" si="8"/>
        <v>0</v>
      </c>
      <c r="H56" s="72">
        <f t="shared" si="8"/>
        <v>0</v>
      </c>
      <c r="I56" s="467">
        <f>SUM(D56:INDEX(D56:H56,0,MATCH('RFPR cover'!$C$9,$D$6:$H$6,0)))</f>
        <v>0</v>
      </c>
      <c r="J56" s="468">
        <f>SUM(D56:H56)</f>
        <v>0</v>
      </c>
    </row>
    <row r="57" spans="1:11">
      <c r="B57" s="640" t="s">
        <v>429</v>
      </c>
      <c r="C57" s="78" t="str">
        <f>Data!$C$9</f>
        <v>£m 18/19</v>
      </c>
      <c r="D57" s="72">
        <f>D56/D42</f>
        <v>0</v>
      </c>
      <c r="E57" s="72">
        <f t="shared" ref="E57:H57" si="9">E56/E42</f>
        <v>0</v>
      </c>
      <c r="F57" s="72">
        <f t="shared" si="9"/>
        <v>0</v>
      </c>
      <c r="G57" s="72">
        <f t="shared" si="9"/>
        <v>0</v>
      </c>
      <c r="H57" s="72">
        <f t="shared" si="9"/>
        <v>0</v>
      </c>
      <c r="I57" s="467">
        <f>SUM(D57:INDEX(D57:H57,0,MATCH('RFPR cover'!$C$9,$D$6:$H$6,0)))</f>
        <v>0</v>
      </c>
      <c r="J57" s="468">
        <f>SUM(D57:H57)</f>
        <v>0</v>
      </c>
    </row>
    <row r="58" spans="1:11">
      <c r="B58" s="89"/>
      <c r="C58" s="39"/>
      <c r="D58" s="554"/>
      <c r="E58" s="554"/>
      <c r="F58" s="554"/>
      <c r="G58" s="554"/>
      <c r="H58" s="554"/>
      <c r="I58" s="591"/>
      <c r="J58" s="591"/>
    </row>
    <row r="59" spans="1:11" s="2" customFormat="1">
      <c r="A59" s="1"/>
    </row>
    <row r="60" spans="1:11" s="2" customFormat="1">
      <c r="A60" s="1"/>
      <c r="B60" s="592" t="s">
        <v>430</v>
      </c>
      <c r="C60" s="41"/>
      <c r="D60" s="41"/>
      <c r="E60" s="41"/>
      <c r="F60" s="41"/>
      <c r="G60" s="41"/>
      <c r="H60" s="41"/>
      <c r="I60" s="41"/>
      <c r="J60" s="41"/>
      <c r="K60" s="41"/>
    </row>
    <row r="61" spans="1:11" s="2" customFormat="1">
      <c r="A61" s="1"/>
      <c r="B61" s="183" t="s">
        <v>431</v>
      </c>
      <c r="C61" s="1126"/>
      <c r="D61" s="1126"/>
      <c r="E61" s="1126"/>
      <c r="F61" s="1126"/>
      <c r="G61" s="1126"/>
      <c r="H61" s="1126"/>
      <c r="I61" s="1126"/>
      <c r="J61" s="1126"/>
      <c r="K61" s="1126"/>
    </row>
    <row r="62" spans="1:11" s="2" customFormat="1">
      <c r="A62" s="1"/>
    </row>
    <row r="63" spans="1:11">
      <c r="B63" s="89" t="s">
        <v>24</v>
      </c>
      <c r="C63" s="39" t="s">
        <v>216</v>
      </c>
      <c r="D63" s="657">
        <f>Data!$C$8</f>
        <v>0.55000000000000004</v>
      </c>
      <c r="E63" s="658">
        <f>Data!$C$8</f>
        <v>0.55000000000000004</v>
      </c>
      <c r="F63" s="658">
        <f>Data!$C$8</f>
        <v>0.55000000000000004</v>
      </c>
      <c r="G63" s="658">
        <f>Data!$C$8</f>
        <v>0.55000000000000004</v>
      </c>
      <c r="H63" s="658">
        <f>Data!$C$8</f>
        <v>0.55000000000000004</v>
      </c>
      <c r="I63" s="2"/>
      <c r="K63" s="131"/>
    </row>
    <row r="64" spans="1:11">
      <c r="B64" s="89" t="s">
        <v>432</v>
      </c>
      <c r="C64" s="39" t="s">
        <v>216</v>
      </c>
      <c r="D64" s="658">
        <f>'R6 - Net Debt'!D65</f>
        <v>0.40022041296118049</v>
      </c>
      <c r="E64" s="658">
        <f>'R6 - Net Debt'!E65</f>
        <v>0.34796490153768761</v>
      </c>
      <c r="F64" s="658">
        <f>'R6 - Net Debt'!F65</f>
        <v>0.27570288973406132</v>
      </c>
      <c r="G64" s="658">
        <f>'R6 - Net Debt'!G65</f>
        <v>0.22590070222421069</v>
      </c>
      <c r="H64" s="658">
        <f>'R6 - Net Debt'!H65</f>
        <v>0.19837411015725742</v>
      </c>
      <c r="I64" s="2" t="s">
        <v>433</v>
      </c>
      <c r="K64" s="131"/>
    </row>
    <row r="65" spans="2:12">
      <c r="B65" s="89"/>
      <c r="C65" s="39"/>
      <c r="D65" s="39"/>
      <c r="E65" s="39"/>
      <c r="F65" s="39"/>
      <c r="G65" s="39"/>
      <c r="H65" s="39"/>
      <c r="I65" s="2"/>
      <c r="K65" s="131"/>
    </row>
    <row r="66" spans="2:12">
      <c r="B66" s="89" t="s">
        <v>426</v>
      </c>
      <c r="C66" s="76" t="s">
        <v>252</v>
      </c>
      <c r="D66" s="47">
        <f t="shared" ref="D66:H66" si="10">D40</f>
        <v>-3.8964592647806051</v>
      </c>
      <c r="E66" s="48">
        <f t="shared" si="10"/>
        <v>-7.6784277492292965</v>
      </c>
      <c r="F66" s="48">
        <f t="shared" si="10"/>
        <v>-2.8228269244099722</v>
      </c>
      <c r="G66" s="48">
        <f t="shared" si="10"/>
        <v>-0.85695186726448425</v>
      </c>
      <c r="H66" s="48">
        <f t="shared" si="10"/>
        <v>-1.1174438913017295</v>
      </c>
    </row>
    <row r="67" spans="2:12">
      <c r="B67" s="89" t="s">
        <v>434</v>
      </c>
      <c r="C67" s="76" t="s">
        <v>252</v>
      </c>
      <c r="D67" s="47">
        <f>((D63-D64)/D64)*D66</f>
        <v>-1.4582216216168586</v>
      </c>
      <c r="E67" s="47">
        <f t="shared" ref="E67:H67" si="11">((E63-E64)/E64)*E66</f>
        <v>-4.4582424822041204</v>
      </c>
      <c r="F67" s="47">
        <f t="shared" si="11"/>
        <v>-2.8084336326449604</v>
      </c>
      <c r="G67" s="47">
        <f t="shared" si="11"/>
        <v>-1.2294671759471165</v>
      </c>
      <c r="H67" s="47">
        <f t="shared" si="11"/>
        <v>-1.980713119856345</v>
      </c>
      <c r="K67" s="131"/>
    </row>
    <row r="68" spans="2:12">
      <c r="B68" s="89" t="s">
        <v>435</v>
      </c>
      <c r="C68" s="76" t="s">
        <v>252</v>
      </c>
      <c r="D68" s="51">
        <f>SUM(D66:D67)</f>
        <v>-5.354680886397464</v>
      </c>
      <c r="E68" s="52">
        <f t="shared" ref="E68:H68" si="12">SUM(E66:E67)</f>
        <v>-12.136670231433417</v>
      </c>
      <c r="F68" s="52">
        <f t="shared" si="12"/>
        <v>-5.631260557054933</v>
      </c>
      <c r="G68" s="52">
        <f t="shared" si="12"/>
        <v>-2.0864190432116008</v>
      </c>
      <c r="H68" s="52">
        <f t="shared" si="12"/>
        <v>-3.0981570111580745</v>
      </c>
    </row>
    <row r="69" spans="2:12">
      <c r="B69" s="89"/>
      <c r="C69" s="76"/>
      <c r="D69" s="76"/>
      <c r="E69" s="76"/>
      <c r="F69" s="76"/>
      <c r="G69" s="76"/>
      <c r="H69" s="76"/>
      <c r="I69" s="76"/>
      <c r="J69" s="76"/>
      <c r="K69" s="76"/>
      <c r="L69" s="76"/>
    </row>
    <row r="70" spans="2:12">
      <c r="B70" s="486" t="s">
        <v>435</v>
      </c>
      <c r="C70" s="78" t="str">
        <f>Data!$C$9</f>
        <v>£m 18/19</v>
      </c>
      <c r="D70" s="72">
        <f t="shared" ref="D70:H70" si="13">D68/D42</f>
        <v>-4.936174579706103</v>
      </c>
      <c r="E70" s="73">
        <f t="shared" si="13"/>
        <v>-10.389106481028559</v>
      </c>
      <c r="F70" s="73">
        <f t="shared" si="13"/>
        <v>-4.6652898243403902</v>
      </c>
      <c r="G70" s="73">
        <f t="shared" si="13"/>
        <v>-1.6997203591295826</v>
      </c>
      <c r="H70" s="73">
        <f t="shared" si="13"/>
        <v>-2.4766265228976989</v>
      </c>
      <c r="I70" s="467">
        <f>SUM(D70:INDEX(D70:H70,0,MATCH('RFPR cover'!$C$9,$D$6:$H$6,0)))</f>
        <v>-4.936174579706103</v>
      </c>
      <c r="J70" s="468">
        <f>SUM(D70:H70)</f>
        <v>-24.166917767102333</v>
      </c>
    </row>
    <row r="71" spans="2:12">
      <c r="B71" s="89" t="s">
        <v>436</v>
      </c>
      <c r="C71" s="39" t="str">
        <f>Data!$C$9</f>
        <v>£m 18/19</v>
      </c>
      <c r="D71" s="47">
        <f>D57*((D63-D64)/D64)+D57</f>
        <v>0</v>
      </c>
      <c r="E71" s="47">
        <f t="shared" ref="E71:H71" si="14">E57*((E63-E64)/E64)+E57</f>
        <v>0</v>
      </c>
      <c r="F71" s="47">
        <f t="shared" si="14"/>
        <v>0</v>
      </c>
      <c r="G71" s="47">
        <f t="shared" si="14"/>
        <v>0</v>
      </c>
      <c r="H71" s="47">
        <f t="shared" si="14"/>
        <v>0</v>
      </c>
      <c r="I71" s="465">
        <f>SUM(D71:INDEX(D71:H71,0,MATCH('RFPR cover'!$C$9,$D$6:$H$6,0)))</f>
        <v>0</v>
      </c>
      <c r="J71" s="466">
        <f>SUM(D71:H71)</f>
        <v>0</v>
      </c>
      <c r="K71" s="39"/>
    </row>
    <row r="73" spans="2:12">
      <c r="B73" s="588" t="s">
        <v>437</v>
      </c>
      <c r="C73" s="589"/>
      <c r="D73" s="589"/>
      <c r="E73" s="589"/>
      <c r="F73" s="589"/>
      <c r="G73" s="589"/>
      <c r="H73" s="589"/>
      <c r="I73" s="589"/>
      <c r="J73" s="589"/>
      <c r="K73" s="589"/>
      <c r="L73" s="39"/>
    </row>
    <row r="74" spans="2:12">
      <c r="B74" s="590"/>
      <c r="C74" s="39"/>
      <c r="D74" s="39"/>
      <c r="E74" s="39"/>
      <c r="F74" s="39"/>
      <c r="G74" s="39"/>
      <c r="H74" s="39"/>
      <c r="I74" s="39"/>
      <c r="J74" s="39"/>
      <c r="K74" s="39"/>
      <c r="L74" s="39"/>
    </row>
    <row r="75" spans="2:12">
      <c r="B75" s="183" t="s">
        <v>438</v>
      </c>
      <c r="C75" s="182"/>
      <c r="D75" s="182"/>
      <c r="E75" s="182"/>
      <c r="F75" s="182"/>
      <c r="G75" s="182"/>
      <c r="H75" s="182"/>
      <c r="I75" s="182"/>
      <c r="J75" s="182"/>
      <c r="K75" s="182"/>
      <c r="L75" s="39"/>
    </row>
    <row r="76" spans="2:12">
      <c r="B76" s="186"/>
      <c r="C76" s="186"/>
      <c r="D76" s="186"/>
      <c r="E76" s="186"/>
      <c r="F76" s="186"/>
      <c r="G76" s="186"/>
      <c r="H76" s="186"/>
      <c r="I76" s="186"/>
      <c r="J76" s="186"/>
      <c r="K76" s="186"/>
      <c r="L76" s="39"/>
    </row>
    <row r="77" spans="2:12">
      <c r="B77" s="89" t="s">
        <v>439</v>
      </c>
      <c r="C77" s="39" t="str">
        <f>Data!$C$9</f>
        <v>£m 18/19</v>
      </c>
      <c r="D77" s="1133">
        <f>'R7 - RAV'!E43</f>
        <v>-1.2996267300604712E-2</v>
      </c>
      <c r="E77" s="1133">
        <f>'R7 - RAV'!F43</f>
        <v>1.4875401837780471</v>
      </c>
      <c r="F77" s="1133">
        <f>'R7 - RAV'!G43</f>
        <v>2.0691591221230952</v>
      </c>
      <c r="G77" s="1133">
        <f>'R7 - RAV'!H43</f>
        <v>2.1532800024138914</v>
      </c>
      <c r="H77" s="1133">
        <f>'R7 - RAV'!I43</f>
        <v>2.0442295921372895</v>
      </c>
      <c r="I77" s="186"/>
      <c r="J77" s="706"/>
      <c r="L77" s="39"/>
    </row>
    <row r="78" spans="2:12">
      <c r="B78" s="89"/>
      <c r="C78" s="39"/>
      <c r="D78" s="593"/>
      <c r="E78" s="593"/>
      <c r="F78" s="593"/>
      <c r="G78" s="593"/>
      <c r="H78" s="593"/>
      <c r="I78" s="186"/>
      <c r="J78" s="591"/>
      <c r="L78" s="39"/>
    </row>
    <row r="79" spans="2:12">
      <c r="B79" s="89"/>
      <c r="C79" s="39"/>
      <c r="D79" s="593"/>
      <c r="E79" s="594"/>
      <c r="F79" s="594"/>
      <c r="G79" s="594"/>
      <c r="H79" s="594"/>
      <c r="I79" s="591"/>
      <c r="J79" s="591"/>
      <c r="L79" s="39"/>
    </row>
    <row r="80" spans="2:12">
      <c r="B80" s="595" t="s">
        <v>440</v>
      </c>
      <c r="C80" s="589"/>
      <c r="D80" s="589"/>
      <c r="E80" s="589"/>
      <c r="F80" s="589"/>
      <c r="G80" s="589"/>
      <c r="H80" s="589"/>
      <c r="I80" s="589"/>
      <c r="J80" s="589"/>
      <c r="K80" s="589"/>
    </row>
    <row r="81" spans="2:11">
      <c r="B81" s="89"/>
      <c r="C81" s="39"/>
      <c r="D81" s="39"/>
      <c r="E81" s="39"/>
      <c r="F81" s="39"/>
      <c r="G81" s="39"/>
      <c r="H81" s="39"/>
      <c r="I81" s="39"/>
      <c r="J81" s="39"/>
      <c r="K81" s="39"/>
    </row>
    <row r="82" spans="2:11">
      <c r="B82" s="8" t="s">
        <v>441</v>
      </c>
      <c r="C82" s="39"/>
      <c r="D82" s="39"/>
      <c r="E82" s="39"/>
      <c r="F82" s="39"/>
      <c r="G82" s="39"/>
      <c r="H82" s="39"/>
      <c r="I82" s="39"/>
      <c r="J82" s="39"/>
      <c r="K82" s="39"/>
    </row>
    <row r="83" spans="2:11">
      <c r="B83" s="89" t="s">
        <v>442</v>
      </c>
      <c r="C83" s="39" t="str">
        <f>Data!$C$9</f>
        <v>£m 18/19</v>
      </c>
      <c r="D83" s="72">
        <f>D77-D44-D57</f>
        <v>3.5789270576784098</v>
      </c>
      <c r="E83" s="72">
        <f>E77-E44-E57</f>
        <v>8.0603482087519644</v>
      </c>
      <c r="F83" s="72">
        <f>F77-F44-F57</f>
        <v>4.4077661876095622</v>
      </c>
      <c r="G83" s="72">
        <f>G77-G44-G57</f>
        <v>2.8514036800723646</v>
      </c>
      <c r="H83" s="72">
        <f>H77-H44-H57</f>
        <v>2.9374997424494595</v>
      </c>
      <c r="I83" s="467">
        <f>SUM(D83:INDEX(D83:H83,0,MATCH('RFPR cover'!$C$9,$D$6:$H$6,0)))</f>
        <v>3.5789270576784098</v>
      </c>
      <c r="J83" s="468">
        <f>SUM(D83:H83)</f>
        <v>21.835944876561761</v>
      </c>
      <c r="K83" s="39"/>
    </row>
    <row r="84" spans="2:11">
      <c r="B84" s="89"/>
      <c r="K84" s="39"/>
    </row>
    <row r="85" spans="2:11">
      <c r="B85" s="89" t="s">
        <v>443</v>
      </c>
      <c r="C85" s="39" t="str">
        <f>Data!$C$9</f>
        <v>£m 18/19</v>
      </c>
      <c r="D85" s="72">
        <f>D77-D70-D71</f>
        <v>4.923178312405498</v>
      </c>
      <c r="E85" s="1109">
        <f>E77-E70-E71</f>
        <v>11.876646664806607</v>
      </c>
      <c r="F85" s="1109">
        <f>F77-F70-F71</f>
        <v>6.7344489464634858</v>
      </c>
      <c r="G85" s="1109">
        <f>G77-G70-G71</f>
        <v>3.853000361543474</v>
      </c>
      <c r="H85" s="1109">
        <f>H77-H70-H71</f>
        <v>4.520856115034988</v>
      </c>
      <c r="I85" s="467">
        <f>SUM(D85:INDEX(D85:H85,0,MATCH('RFPR cover'!$C$9,$D$6:$H$6,0)))</f>
        <v>4.923178312405498</v>
      </c>
      <c r="J85" s="468">
        <f>SUM(D85:H85)</f>
        <v>31.908130400254052</v>
      </c>
      <c r="K85" s="39"/>
    </row>
    <row r="86" spans="2:11">
      <c r="B86" s="89"/>
      <c r="K86" s="39"/>
    </row>
    <row r="87" spans="2:11">
      <c r="B87" s="89" t="s">
        <v>444</v>
      </c>
      <c r="C87" s="39" t="str">
        <f>Data!$C$9</f>
        <v>£m 18/19</v>
      </c>
      <c r="D87" s="72">
        <f>D83-D85</f>
        <v>-1.3442512547270882</v>
      </c>
      <c r="E87" s="72">
        <f t="shared" ref="E87:H87" si="15">E83-E85</f>
        <v>-3.8162984560546427</v>
      </c>
      <c r="F87" s="72">
        <f t="shared" si="15"/>
        <v>-2.3266827588539236</v>
      </c>
      <c r="G87" s="72">
        <f t="shared" si="15"/>
        <v>-1.0015966814711095</v>
      </c>
      <c r="H87" s="72">
        <f t="shared" si="15"/>
        <v>-1.5833563725855284</v>
      </c>
      <c r="I87" s="467">
        <f>SUM(D87:INDEX(D87:H87,0,MATCH('RFPR cover'!$C$9,$D$6:$H$6,0)))</f>
        <v>-1.3442512547270882</v>
      </c>
      <c r="J87" s="468">
        <f>SUM(D87:H87)</f>
        <v>-10.072185523692292</v>
      </c>
      <c r="K87" s="39"/>
    </row>
    <row r="88" spans="2:11">
      <c r="K88" s="39"/>
    </row>
    <row r="89" spans="2:11">
      <c r="K89" s="39"/>
    </row>
    <row r="90" spans="2:11">
      <c r="K90" s="39"/>
    </row>
    <row r="91" spans="2:11">
      <c r="K91" s="39"/>
    </row>
  </sheetData>
  <sheetProtection algorithmName="SHA-512" hashValue="CWpH0NZX5GpEk5eSr+/tYlD4jxJOskpXW2loQRMcFJWzeTT5mxzAPzHhmJYZsu1HCC3DvXx+0UC030SVtxHiLw==" saltValue="lin/5Sn7YwrlBsujsqzzqA==" spinCount="100000" sheet="1" objects="1" scenarios="1"/>
  <conditionalFormatting sqref="D48">
    <cfRule type="expression" dxfId="44" priority="4">
      <formula>C$12="N/A"</formula>
    </cfRule>
  </conditionalFormatting>
  <conditionalFormatting sqref="D48">
    <cfRule type="expression" dxfId="43" priority="3">
      <formula>D$5="Forecast"</formula>
    </cfRule>
  </conditionalFormatting>
  <conditionalFormatting sqref="D30">
    <cfRule type="expression" dxfId="42" priority="2">
      <formula>C$12="N/A"</formula>
    </cfRule>
  </conditionalFormatting>
  <conditionalFormatting sqref="D30">
    <cfRule type="expression" dxfId="41"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e170047-b809-40ad-9dba-75e0aa00433d">
      <UserInfo>
        <DisplayName/>
        <AccountId xsi:nil="true"/>
        <AccountType/>
      </UserInfo>
    </SharedWithUsers>
    <TaxCatchAll xmlns="cadce026-d35b-4a62-a2ee-1436bb44fb55" xsi:nil="true"/>
    <lcf76f155ced4ddcb4097134ff3c332f xmlns="2b186592-6fc7-4da6-a108-5245382356be">
      <Terms xmlns="http://schemas.microsoft.com/office/infopath/2007/PartnerControls"/>
    </lcf76f155ced4ddcb4097134ff3c332f>
    <_Flow_SignoffStatus xmlns="2b186592-6fc7-4da6-a108-5245382356b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1E16098C20FA1A49B12255A088B9D556" ma:contentTypeVersion="17" ma:contentTypeDescription="Create a new document." ma:contentTypeScope="" ma:versionID="5b1a83672d4c47be679a8e91bf6e1425">
  <xsd:schema xmlns:xsd="http://www.w3.org/2001/XMLSchema" xmlns:xs="http://www.w3.org/2001/XMLSchema" xmlns:p="http://schemas.microsoft.com/office/2006/metadata/properties" xmlns:ns2="2b186592-6fc7-4da6-a108-5245382356be" xmlns:ns3="9e170047-b809-40ad-9dba-75e0aa00433d" xmlns:ns4="cadce026-d35b-4a62-a2ee-1436bb44fb55" targetNamespace="http://schemas.microsoft.com/office/2006/metadata/properties" ma:root="true" ma:fieldsID="c2ec8d9f52a7ac5db4cdde30c8c22142" ns2:_="" ns3:_="" ns4:_="">
    <xsd:import namespace="2b186592-6fc7-4da6-a108-5245382356be"/>
    <xsd:import namespace="9e170047-b809-40ad-9dba-75e0aa00433d"/>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Flow_SignoffStatu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186592-6fc7-4da6-a108-5245382356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e170047-b809-40ad-9dba-75e0aa00433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8255fdf1-eb70-4514-94b9-466d671c52b3}" ma:internalName="TaxCatchAll" ma:showField="CatchAllData" ma:web="9e170047-b809-40ad-9dba-75e0aa0043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Props1.xml><?xml version="1.0" encoding="utf-8"?>
<ds:datastoreItem xmlns:ds="http://schemas.openxmlformats.org/officeDocument/2006/customXml" ds:itemID="{CC285FE4-1466-4BF7-8FA9-67F63A3D57B8}">
  <ds:schemaRefs>
    <ds:schemaRef ds:uri="http://purl.org/dc/dcmitype/"/>
    <ds:schemaRef ds:uri="9e170047-b809-40ad-9dba-75e0aa00433d"/>
    <ds:schemaRef ds:uri="http://purl.org/dc/elements/1.1/"/>
    <ds:schemaRef ds:uri="http://schemas.microsoft.com/office/2006/metadata/properties"/>
    <ds:schemaRef ds:uri="http://schemas.microsoft.com/office/infopath/2007/PartnerControls"/>
    <ds:schemaRef ds:uri="cadce026-d35b-4a62-a2ee-1436bb44fb55"/>
    <ds:schemaRef ds:uri="http://purl.org/dc/terms/"/>
    <ds:schemaRef ds:uri="http://schemas.microsoft.com/office/2006/documentManagement/types"/>
    <ds:schemaRef ds:uri="http://schemas.openxmlformats.org/package/2006/metadata/core-properties"/>
    <ds:schemaRef ds:uri="2b186592-6fc7-4da6-a108-5245382356be"/>
    <ds:schemaRef ds:uri="http://www.w3.org/XML/1998/namespace"/>
  </ds:schemaRefs>
</ds:datastoreItem>
</file>

<file path=customXml/itemProps2.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3.xml><?xml version="1.0" encoding="utf-8"?>
<ds:datastoreItem xmlns:ds="http://schemas.openxmlformats.org/officeDocument/2006/customXml" ds:itemID="{2F5CBD59-7422-4BAB-BA03-01DF49B526B0}">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D36A887E-C86C-4629-8721-13EDF768A6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186592-6fc7-4da6-a108-5245382356be"/>
    <ds:schemaRef ds:uri="9e170047-b809-40ad-9dba-75e0aa00433d"/>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D8114B6-BDD8-4CB5-AA20-4A909702B5C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Sangha, Taranjit</cp:lastModifiedBy>
  <cp:revision/>
  <dcterms:created xsi:type="dcterms:W3CDTF">2018-06-13T08:32:09Z</dcterms:created>
  <dcterms:modified xsi:type="dcterms:W3CDTF">2022-08-31T12:54:55Z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7aec2b7a-f8b9-4ab5-b737-b7416b464323</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0x0101001E16098C20FA1A49B12255A088B9D556</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y fmtid="{D5CDD505-2E9C-101B-9397-08002B2CF9AE}" pid="24" name="MediaServiceImageTags">
    <vt:lpwstr/>
  </property>
  <property fmtid="{D5CDD505-2E9C-101B-9397-08002B2CF9AE}" pid="25" name="MSIP_Label_38144ccb-b10a-4c0f-b070-7a3b00ac7463_Enabled">
    <vt:lpwstr>true</vt:lpwstr>
  </property>
  <property fmtid="{D5CDD505-2E9C-101B-9397-08002B2CF9AE}" pid="26" name="MSIP_Label_38144ccb-b10a-4c0f-b070-7a3b00ac7463_SetDate">
    <vt:lpwstr>2022-05-27T11:21:22Z</vt:lpwstr>
  </property>
  <property fmtid="{D5CDD505-2E9C-101B-9397-08002B2CF9AE}" pid="27" name="MSIP_Label_38144ccb-b10a-4c0f-b070-7a3b00ac7463_Method">
    <vt:lpwstr>Standard</vt:lpwstr>
  </property>
  <property fmtid="{D5CDD505-2E9C-101B-9397-08002B2CF9AE}" pid="28" name="MSIP_Label_38144ccb-b10a-4c0f-b070-7a3b00ac7463_Name">
    <vt:lpwstr>InternalOnly</vt:lpwstr>
  </property>
  <property fmtid="{D5CDD505-2E9C-101B-9397-08002B2CF9AE}" pid="29" name="MSIP_Label_38144ccb-b10a-4c0f-b070-7a3b00ac7463_SiteId">
    <vt:lpwstr>185562ad-39bc-4840-8e40-be6216340c52</vt:lpwstr>
  </property>
  <property fmtid="{D5CDD505-2E9C-101B-9397-08002B2CF9AE}" pid="30" name="MSIP_Label_38144ccb-b10a-4c0f-b070-7a3b00ac7463_ActionId">
    <vt:lpwstr>e0564de4-bc5c-4fe1-932a-3f653e36482c</vt:lpwstr>
  </property>
  <property fmtid="{D5CDD505-2E9C-101B-9397-08002B2CF9AE}" pid="31" name="MSIP_Label_38144ccb-b10a-4c0f-b070-7a3b00ac7463_ContentBits">
    <vt:lpwstr>2</vt:lpwstr>
  </property>
  <property fmtid="{D5CDD505-2E9C-101B-9397-08002B2CF9AE}" pid="32" name="Order">
    <vt:r8>764600</vt:r8>
  </property>
  <property fmtid="{D5CDD505-2E9C-101B-9397-08002B2CF9AE}" pid="33" name="xd_Signature">
    <vt:bool>false</vt:bool>
  </property>
  <property fmtid="{D5CDD505-2E9C-101B-9397-08002B2CF9AE}" pid="34" name="xd_ProgID">
    <vt:lpwstr/>
  </property>
  <property fmtid="{D5CDD505-2E9C-101B-9397-08002B2CF9AE}" pid="35" name="ComplianceAssetId">
    <vt:lpwstr/>
  </property>
  <property fmtid="{D5CDD505-2E9C-101B-9397-08002B2CF9AE}" pid="36" name="TemplateUrl">
    <vt:lpwstr/>
  </property>
  <property fmtid="{D5CDD505-2E9C-101B-9397-08002B2CF9AE}" pid="37" name="_ExtendedDescription">
    <vt:lpwstr/>
  </property>
  <property fmtid="{D5CDD505-2E9C-101B-9397-08002B2CF9AE}" pid="38" name="TriggerFlowInfo">
    <vt:lpwstr/>
  </property>
</Properties>
</file>