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drawings/drawing7.xml" ContentType="application/vnd.openxmlformats-officedocument.drawing+xml"/>
  <Override PartName="/xl/customProperty11.bin" ContentType="application/vnd.openxmlformats-officedocument.spreadsheetml.customProperty"/>
  <Override PartName="/xl/drawings/drawing8.xml" ContentType="application/vnd.openxmlformats-officedocument.drawing+xml"/>
  <Override PartName="/xl/customProperty12.bin" ContentType="application/vnd.openxmlformats-officedocument.spreadsheetml.customProperty"/>
  <Override PartName="/xl/drawings/drawing9.xml" ContentType="application/vnd.openxmlformats-officedocument.drawing+xml"/>
  <Override PartName="/xl/customProperty13.bin" ContentType="application/vnd.openxmlformats-officedocument.spreadsheetml.customProperty"/>
  <Override PartName="/xl/drawings/drawing10.xml" ContentType="application/vnd.openxmlformats-officedocument.drawing+xml"/>
  <Override PartName="/xl/customProperty14.bin" ContentType="application/vnd.openxmlformats-officedocument.spreadsheetml.customProperty"/>
  <Override PartName="/xl/drawings/drawing11.xml" ContentType="application/vnd.openxmlformats-officedocument.drawing+xml"/>
  <Override PartName="/xl/customProperty15.bin" ContentType="application/vnd.openxmlformats-officedocument.spreadsheetml.customProperty"/>
  <Override PartName="/xl/drawings/drawing12.xml" ContentType="application/vnd.openxmlformats-officedocument.drawing+xml"/>
  <Override PartName="/xl/customProperty16.bin" ContentType="application/vnd.openxmlformats-officedocument.spreadsheetml.customProperty"/>
  <Override PartName="/xl/drawings/drawing13.xml" ContentType="application/vnd.openxmlformats-officedocument.drawing+xml"/>
  <Override PartName="/xl/customProperty17.bin" ContentType="application/vnd.openxmlformats-officedocument.spreadsheetml.customProperty"/>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uk.corporg.net\NGDFS\Shared\NGDSSWRK002\Strategic_Financial_Planning\A - RIIO Business Partnering\RFPR\2019-20\03 Publication Versions\"/>
    </mc:Choice>
  </mc:AlternateContent>
  <xr:revisionPtr revIDLastSave="0" documentId="13_ncr:1_{C796972A-AF63-4291-9EB8-5139EC8900FE}" xr6:coauthVersionLast="41" xr6:coauthVersionMax="43" xr10:uidLastSave="{00000000-0000-0000-0000-000000000000}"/>
  <workbookProtection workbookAlgorithmName="SHA-512" workbookHashValue="g8bikwQcckSZsO6VRAKIBdF0K+8xNJfjwK5bdZahQiaOpCxWuiaEoys0nBw5Pg4bOZQqy7VF79CpvQkFySzQ4g==" workbookSaltValue="9Fr4LqAU2aNP2fZESamDww==" workbookSpinCount="100000" lockStructure="1"/>
  <bookViews>
    <workbookView xWindow="-120" yWindow="-120" windowWidth="19440" windowHeight="15000" tabRatio="847" xr2:uid="{00000000-000D-0000-FFFF-FFFF00000000}"/>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log'!$A$1:$D$60</definedName>
    <definedName name="_xlnm.Print_Area" localSheetId="2">'Content &amp; Version Control'!$A$1:$H$19</definedName>
    <definedName name="_xlnm.Print_Area" localSheetId="4">'R1 - RoRE'!$A$1:$O$47</definedName>
    <definedName name="_xlnm.Print_Area" localSheetId="13">'R10 - Tax'!$A$1:$L$45</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02" i="5" l="1"/>
  <c r="J18" i="15" l="1"/>
  <c r="B21" i="1" l="1"/>
  <c r="B3" i="1" l="1"/>
  <c r="E50" i="29" l="1"/>
  <c r="F50" i="29"/>
  <c r="G50" i="29"/>
  <c r="H50" i="29"/>
  <c r="I50" i="29"/>
  <c r="D50" i="29"/>
  <c r="M47" i="17"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B3" i="11"/>
  <c r="A3" i="11"/>
  <c r="A2" i="11"/>
  <c r="K62" i="29"/>
  <c r="J62" i="29"/>
  <c r="I62" i="29"/>
  <c r="H62" i="29"/>
  <c r="G62" i="29"/>
  <c r="F62" i="29"/>
  <c r="E62" i="29"/>
  <c r="D62" i="29"/>
  <c r="K19" i="29"/>
  <c r="J19" i="29"/>
  <c r="I19" i="29"/>
  <c r="H19" i="29"/>
  <c r="G19" i="29"/>
  <c r="F19" i="29"/>
  <c r="E19" i="29"/>
  <c r="D19" i="29"/>
  <c r="A3" i="29"/>
  <c r="A2" i="29"/>
  <c r="K28" i="10"/>
  <c r="J28" i="10"/>
  <c r="I28" i="10"/>
  <c r="H28" i="10"/>
  <c r="G28" i="10"/>
  <c r="F28" i="10"/>
  <c r="E28" i="10"/>
  <c r="D28" i="10"/>
  <c r="A3" i="10"/>
  <c r="A2" i="10"/>
  <c r="K8" i="27"/>
  <c r="I8" i="27"/>
  <c r="K52" i="27"/>
  <c r="J52" i="27"/>
  <c r="I52" i="27"/>
  <c r="H52" i="27"/>
  <c r="G52" i="27"/>
  <c r="F52" i="27"/>
  <c r="E52" i="27"/>
  <c r="D52" i="27"/>
  <c r="B41" i="27"/>
  <c r="B40" i="27"/>
  <c r="B39" i="27"/>
  <c r="B38" i="27"/>
  <c r="B37" i="27"/>
  <c r="B36" i="27"/>
  <c r="B35" i="27"/>
  <c r="B34" i="27"/>
  <c r="B29" i="27"/>
  <c r="B28" i="27"/>
  <c r="B27" i="27"/>
  <c r="B26" i="27"/>
  <c r="B3" i="27"/>
  <c r="A3" i="27"/>
  <c r="A2" i="27"/>
  <c r="B53" i="17"/>
  <c r="B52" i="17"/>
  <c r="B51" i="17"/>
  <c r="M50" i="17"/>
  <c r="B50" i="17"/>
  <c r="B49" i="17"/>
  <c r="B48" i="17"/>
  <c r="B46" i="17"/>
  <c r="B27" i="17"/>
  <c r="B26" i="17"/>
  <c r="B25" i="17"/>
  <c r="B24" i="17"/>
  <c r="B23" i="17"/>
  <c r="B22" i="17"/>
  <c r="B21" i="17"/>
  <c r="B20" i="17"/>
  <c r="B19" i="17"/>
  <c r="B18" i="17"/>
  <c r="B17" i="17"/>
  <c r="B16" i="17"/>
  <c r="B15" i="17"/>
  <c r="B14" i="17"/>
  <c r="B13" i="17"/>
  <c r="B12" i="17"/>
  <c r="B11" i="17"/>
  <c r="B8" i="17"/>
  <c r="L6" i="17"/>
  <c r="B3" i="17"/>
  <c r="A3" i="17"/>
  <c r="A2" i="17"/>
  <c r="K17" i="3"/>
  <c r="K18" i="4" s="1"/>
  <c r="J17" i="3"/>
  <c r="J18" i="4" s="1"/>
  <c r="I17" i="3"/>
  <c r="I18" i="4" s="1"/>
  <c r="H17" i="3"/>
  <c r="H18" i="4" s="1"/>
  <c r="G17" i="3"/>
  <c r="G18" i="4" s="1"/>
  <c r="F17" i="3"/>
  <c r="F18" i="4" s="1"/>
  <c r="E17" i="3"/>
  <c r="E18" i="4" s="1"/>
  <c r="D17" i="3"/>
  <c r="D18" i="4" s="1"/>
  <c r="K12" i="3"/>
  <c r="K17" i="4" s="1"/>
  <c r="J12" i="3"/>
  <c r="J17" i="4" s="1"/>
  <c r="I12" i="3"/>
  <c r="I17" i="4" s="1"/>
  <c r="H12" i="3"/>
  <c r="H17" i="4" s="1"/>
  <c r="G12" i="3"/>
  <c r="G17" i="4" s="1"/>
  <c r="F12" i="3"/>
  <c r="F17" i="4" s="1"/>
  <c r="E12" i="3"/>
  <c r="E17" i="4" s="1"/>
  <c r="D12" i="3"/>
  <c r="D17" i="4" s="1"/>
  <c r="B3" i="3"/>
  <c r="A3" i="3"/>
  <c r="A2" i="3"/>
  <c r="K102" i="5"/>
  <c r="K15" i="4" s="1"/>
  <c r="J15" i="4"/>
  <c r="I102" i="5"/>
  <c r="I15" i="4" s="1"/>
  <c r="H102" i="5"/>
  <c r="H15" i="4" s="1"/>
  <c r="G102" i="5"/>
  <c r="G15" i="4" s="1"/>
  <c r="F102" i="5"/>
  <c r="F15" i="4" s="1"/>
  <c r="E102" i="5"/>
  <c r="E15" i="4" s="1"/>
  <c r="D102" i="5"/>
  <c r="D15" i="4" s="1"/>
  <c r="A100" i="5"/>
  <c r="A111" i="5" s="1"/>
  <c r="A97" i="5"/>
  <c r="A110" i="5" s="1"/>
  <c r="A94" i="5"/>
  <c r="A109" i="5" s="1"/>
  <c r="A91" i="5"/>
  <c r="A108" i="5" s="1"/>
  <c r="A88" i="5"/>
  <c r="A107" i="5" s="1"/>
  <c r="A85" i="5"/>
  <c r="A106" i="5" s="1"/>
  <c r="A82" i="5"/>
  <c r="A105" i="5" s="1"/>
  <c r="K73" i="5"/>
  <c r="J73" i="5"/>
  <c r="I73" i="5"/>
  <c r="H73" i="5"/>
  <c r="G73" i="5"/>
  <c r="F73" i="5"/>
  <c r="E73" i="5"/>
  <c r="D73" i="5"/>
  <c r="A69" i="5"/>
  <c r="J69" i="5" s="1"/>
  <c r="A65" i="5"/>
  <c r="H65" i="5" s="1"/>
  <c r="A61" i="5"/>
  <c r="J61" i="5" s="1"/>
  <c r="A57" i="5"/>
  <c r="H57" i="5" s="1"/>
  <c r="A53" i="5"/>
  <c r="J53" i="5" s="1"/>
  <c r="A49" i="5"/>
  <c r="H49" i="5" s="1"/>
  <c r="A45" i="5"/>
  <c r="A44" i="5"/>
  <c r="A43" i="5"/>
  <c r="A42" i="5"/>
  <c r="A41" i="5"/>
  <c r="A40" i="5"/>
  <c r="A39" i="5"/>
  <c r="A25" i="5"/>
  <c r="A24" i="5"/>
  <c r="A23" i="5"/>
  <c r="A22" i="5"/>
  <c r="A21" i="5"/>
  <c r="K18" i="5"/>
  <c r="J18" i="5"/>
  <c r="I18" i="5"/>
  <c r="H18" i="5"/>
  <c r="G18" i="5"/>
  <c r="F18" i="5"/>
  <c r="E18" i="5"/>
  <c r="D18" i="5"/>
  <c r="M17" i="5"/>
  <c r="M16" i="5"/>
  <c r="M15" i="5"/>
  <c r="M14" i="5"/>
  <c r="M13" i="5"/>
  <c r="M12"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K56" i="2"/>
  <c r="J56" i="2"/>
  <c r="I56" i="2"/>
  <c r="H56" i="2"/>
  <c r="G56" i="2"/>
  <c r="F56" i="2"/>
  <c r="E56" i="2"/>
  <c r="D56" i="2"/>
  <c r="M56" i="2" s="1"/>
  <c r="M55" i="2"/>
  <c r="M54" i="2"/>
  <c r="M53" i="2"/>
  <c r="M52" i="2"/>
  <c r="M51" i="2"/>
  <c r="M50" i="2"/>
  <c r="K44" i="2"/>
  <c r="J44" i="2"/>
  <c r="I44" i="2"/>
  <c r="I58" i="2" s="1"/>
  <c r="H44" i="2"/>
  <c r="H58" i="2" s="1"/>
  <c r="G44" i="2"/>
  <c r="F44" i="2"/>
  <c r="E44" i="2"/>
  <c r="E58" i="2" s="1"/>
  <c r="D44" i="2"/>
  <c r="K42" i="2"/>
  <c r="J42" i="2"/>
  <c r="I42" i="2"/>
  <c r="H42" i="2"/>
  <c r="G42" i="2"/>
  <c r="F42" i="2"/>
  <c r="E42" i="2"/>
  <c r="D42" i="2"/>
  <c r="M41" i="2"/>
  <c r="M40" i="2"/>
  <c r="M27" i="2"/>
  <c r="M26" i="2"/>
  <c r="M25" i="2"/>
  <c r="M24" i="2"/>
  <c r="K16" i="2"/>
  <c r="J16" i="2"/>
  <c r="I16" i="2"/>
  <c r="H16" i="2"/>
  <c r="G16" i="2"/>
  <c r="F16" i="2"/>
  <c r="E16" i="2"/>
  <c r="D16" i="2"/>
  <c r="L6" i="2"/>
  <c r="A3" i="2"/>
  <c r="A2" i="2"/>
  <c r="K78" i="15"/>
  <c r="J78" i="15"/>
  <c r="I78" i="15"/>
  <c r="H78" i="15"/>
  <c r="G78" i="15"/>
  <c r="F78" i="15"/>
  <c r="E78" i="15"/>
  <c r="D78" i="15"/>
  <c r="K46" i="15"/>
  <c r="J46" i="15"/>
  <c r="I46" i="15"/>
  <c r="H46" i="15"/>
  <c r="G46" i="15"/>
  <c r="F46" i="15"/>
  <c r="E46" i="15"/>
  <c r="D46" i="15"/>
  <c r="K18" i="15"/>
  <c r="K23" i="15" s="1"/>
  <c r="J23" i="15"/>
  <c r="I18" i="15"/>
  <c r="I23" i="15" s="1"/>
  <c r="H18" i="15"/>
  <c r="H23" i="15" s="1"/>
  <c r="G18" i="15"/>
  <c r="G23" i="15" s="1"/>
  <c r="F18" i="15"/>
  <c r="F23" i="15" s="1"/>
  <c r="E18" i="15"/>
  <c r="E23" i="15" s="1"/>
  <c r="D18" i="15"/>
  <c r="D23" i="15" s="1"/>
  <c r="A3" i="15"/>
  <c r="A2" i="15"/>
  <c r="K64" i="4"/>
  <c r="J64" i="4"/>
  <c r="I64" i="4"/>
  <c r="H64" i="4"/>
  <c r="G64" i="4"/>
  <c r="F64" i="4"/>
  <c r="E64" i="4"/>
  <c r="D64" i="4"/>
  <c r="K45" i="4"/>
  <c r="K66" i="4" s="1"/>
  <c r="K68" i="4" s="1"/>
  <c r="J45" i="4"/>
  <c r="J66" i="4" s="1"/>
  <c r="J68" i="4" s="1"/>
  <c r="I45" i="4"/>
  <c r="H45" i="4"/>
  <c r="G45" i="4"/>
  <c r="F45" i="4"/>
  <c r="F66" i="4" s="1"/>
  <c r="F68" i="4" s="1"/>
  <c r="E45" i="4"/>
  <c r="D45" i="4"/>
  <c r="K28"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F159" i="28" s="1"/>
  <c r="B202" i="28"/>
  <c r="E192" i="28"/>
  <c r="B192" i="28"/>
  <c r="E182" i="28"/>
  <c r="F155" i="28" s="1"/>
  <c r="B182" i="28"/>
  <c r="F158" i="28"/>
  <c r="F157" i="28"/>
  <c r="F156" i="28"/>
  <c r="F154" i="28"/>
  <c r="F153" i="28"/>
  <c r="F152" i="28"/>
  <c r="D118" i="28"/>
  <c r="E118" i="28" s="1"/>
  <c r="F118" i="28" s="1"/>
  <c r="G118" i="28" s="1"/>
  <c r="H118" i="28" s="1"/>
  <c r="I118" i="28" s="1"/>
  <c r="J118" i="28" s="1"/>
  <c r="K118" i="28" s="1"/>
  <c r="L118" i="28" s="1"/>
  <c r="D105" i="28"/>
  <c r="E105" i="28" s="1"/>
  <c r="F105" i="28" s="1"/>
  <c r="G105" i="28" s="1"/>
  <c r="H105" i="28" s="1"/>
  <c r="I105" i="28" s="1"/>
  <c r="J105" i="28" s="1"/>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C14" i="13" s="1"/>
  <c r="C42" i="2" s="1"/>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L72" i="28"/>
  <c r="M72" i="28" s="1"/>
  <c r="N72" i="28" s="1"/>
  <c r="O72" i="28" s="1"/>
  <c r="P72" i="28" s="1"/>
  <c r="Q72" i="28" s="1"/>
  <c r="R72" i="28" s="1"/>
  <c r="S72" i="28" s="1"/>
  <c r="T72" i="28" s="1"/>
  <c r="D62" i="28"/>
  <c r="E62" i="28" s="1"/>
  <c r="F62" i="28" s="1"/>
  <c r="G62" i="28" s="1"/>
  <c r="H62" i="28" s="1"/>
  <c r="I62" i="28" s="1"/>
  <c r="J62" i="28" s="1"/>
  <c r="K62" i="28" s="1"/>
  <c r="L62" i="28" s="1"/>
  <c r="J51" i="28"/>
  <c r="I51" i="28"/>
  <c r="H51" i="28"/>
  <c r="G51" i="28"/>
  <c r="F51" i="28"/>
  <c r="E51" i="28"/>
  <c r="D51" i="28"/>
  <c r="C51" i="28"/>
  <c r="D50" i="28"/>
  <c r="E50" i="28" s="1"/>
  <c r="F50" i="28" s="1"/>
  <c r="G50" i="28" s="1"/>
  <c r="H50" i="28" s="1"/>
  <c r="I50" i="28" s="1"/>
  <c r="J50" i="28" s="1"/>
  <c r="C48" i="28"/>
  <c r="B45" i="28"/>
  <c r="J43" i="28"/>
  <c r="I43" i="28"/>
  <c r="H43" i="28"/>
  <c r="G43" i="28"/>
  <c r="E42" i="28"/>
  <c r="F42" i="28" s="1"/>
  <c r="E38" i="28"/>
  <c r="F38" i="28" s="1"/>
  <c r="G38" i="28" s="1"/>
  <c r="H38" i="28" s="1"/>
  <c r="I38" i="28" s="1"/>
  <c r="J38" i="28" s="1"/>
  <c r="D30" i="28"/>
  <c r="D29" i="28"/>
  <c r="D28" i="28"/>
  <c r="D27" i="28"/>
  <c r="D26" i="28"/>
  <c r="D25" i="28"/>
  <c r="D24" i="28"/>
  <c r="D23" i="28"/>
  <c r="D22" i="28"/>
  <c r="D21" i="28"/>
  <c r="D20" i="28"/>
  <c r="D19" i="28"/>
  <c r="D18" i="28"/>
  <c r="D17" i="28"/>
  <c r="D16" i="28"/>
  <c r="D15" i="28"/>
  <c r="D14" i="28"/>
  <c r="A3" i="28"/>
  <c r="A2" i="28"/>
  <c r="C13" i="13"/>
  <c r="D6" i="15" s="1"/>
  <c r="C12" i="13"/>
  <c r="C11" i="13"/>
  <c r="C10" i="13"/>
  <c r="C6" i="13"/>
  <c r="E156" i="28" s="1"/>
  <c r="A3" i="13"/>
  <c r="A2" i="13"/>
  <c r="G66" i="4" l="1"/>
  <c r="G68" i="4" s="1"/>
  <c r="E66" i="4"/>
  <c r="E68" i="4" s="1"/>
  <c r="I66" i="4"/>
  <c r="I68" i="4" s="1"/>
  <c r="D66" i="4"/>
  <c r="D68" i="4" s="1"/>
  <c r="M73" i="5"/>
  <c r="H66" i="4"/>
  <c r="H68" i="4" s="1"/>
  <c r="M18" i="5"/>
  <c r="M42" i="2"/>
  <c r="M49" i="17"/>
  <c r="M53" i="17"/>
  <c r="K55" i="17"/>
  <c r="E55" i="17"/>
  <c r="I55" i="17"/>
  <c r="G55" i="17"/>
  <c r="J26" i="4"/>
  <c r="J28" i="4" s="1"/>
  <c r="F26" i="4"/>
  <c r="F28" i="4" s="1"/>
  <c r="G26" i="4"/>
  <c r="G28" i="4" s="1"/>
  <c r="D26" i="4"/>
  <c r="D28" i="4" s="1"/>
  <c r="H26" i="4"/>
  <c r="H28" i="4" s="1"/>
  <c r="E26" i="4"/>
  <c r="E28" i="4" s="1"/>
  <c r="I26" i="4"/>
  <c r="I28" i="4" s="1"/>
  <c r="K26" i="4"/>
  <c r="H8" i="27"/>
  <c r="E23" i="27"/>
  <c r="D55" i="17"/>
  <c r="H55" i="17"/>
  <c r="F55" i="17"/>
  <c r="J55" i="17"/>
  <c r="D48" i="15"/>
  <c r="D80" i="15" s="1"/>
  <c r="H48" i="15"/>
  <c r="H80" i="15" s="1"/>
  <c r="G42" i="28"/>
  <c r="H42" i="28" s="1"/>
  <c r="I42" i="28" s="1"/>
  <c r="J42" i="28" s="1"/>
  <c r="E48" i="15"/>
  <c r="E80" i="15" s="1"/>
  <c r="I48" i="15"/>
  <c r="I80" i="15" s="1"/>
  <c r="F48" i="15"/>
  <c r="F80" i="15" s="1"/>
  <c r="J48" i="15"/>
  <c r="J80" i="15" s="1"/>
  <c r="G48" i="15"/>
  <c r="G80" i="15" s="1"/>
  <c r="K48" i="15"/>
  <c r="K80" i="15" s="1"/>
  <c r="E49" i="5"/>
  <c r="I49" i="5"/>
  <c r="G53" i="5"/>
  <c r="K53" i="5"/>
  <c r="E57" i="5"/>
  <c r="I57" i="5"/>
  <c r="G61" i="5"/>
  <c r="K61" i="5"/>
  <c r="E65" i="5"/>
  <c r="I65" i="5"/>
  <c r="G69" i="5"/>
  <c r="K69" i="5"/>
  <c r="M52" i="17"/>
  <c r="F46" i="2"/>
  <c r="F49" i="5"/>
  <c r="J49" i="5"/>
  <c r="D53" i="5"/>
  <c r="H53" i="5"/>
  <c r="F57" i="5"/>
  <c r="J57" i="5"/>
  <c r="D61" i="5"/>
  <c r="H61" i="5"/>
  <c r="F65" i="5"/>
  <c r="J65" i="5"/>
  <c r="D69" i="5"/>
  <c r="H69" i="5"/>
  <c r="M48" i="17"/>
  <c r="K47" i="2"/>
  <c r="G49" i="5"/>
  <c r="K49" i="5"/>
  <c r="E53" i="5"/>
  <c r="I53" i="5"/>
  <c r="G57" i="5"/>
  <c r="K57" i="5"/>
  <c r="E61" i="5"/>
  <c r="I61" i="5"/>
  <c r="G65" i="5"/>
  <c r="K65" i="5"/>
  <c r="E69" i="5"/>
  <c r="I69" i="5"/>
  <c r="D49" i="5"/>
  <c r="F53" i="5"/>
  <c r="D57" i="5"/>
  <c r="F61" i="5"/>
  <c r="D65" i="5"/>
  <c r="F69" i="5"/>
  <c r="M51" i="17"/>
  <c r="D23" i="27"/>
  <c r="I59" i="2"/>
  <c r="K46" i="2"/>
  <c r="F47" i="2"/>
  <c r="E46" i="2"/>
  <c r="E62" i="2" s="1"/>
  <c r="I46" i="2"/>
  <c r="I62" i="2" s="1"/>
  <c r="E59" i="2"/>
  <c r="E6" i="15"/>
  <c r="D5" i="15"/>
  <c r="E154" i="28"/>
  <c r="E159" i="28"/>
  <c r="C51" i="1"/>
  <c r="C55" i="1"/>
  <c r="C61" i="1"/>
  <c r="C11" i="4"/>
  <c r="J46" i="29"/>
  <c r="F46" i="29"/>
  <c r="J42" i="10"/>
  <c r="F42" i="10"/>
  <c r="I65" i="27"/>
  <c r="E65" i="27"/>
  <c r="H58" i="27"/>
  <c r="D58" i="27"/>
  <c r="J62" i="17"/>
  <c r="F62" i="17"/>
  <c r="I46" i="29"/>
  <c r="E46" i="29"/>
  <c r="I42" i="10"/>
  <c r="E42" i="10"/>
  <c r="H65" i="27"/>
  <c r="D65" i="27"/>
  <c r="K58" i="27"/>
  <c r="G58" i="27"/>
  <c r="I62" i="17"/>
  <c r="E62" i="17"/>
  <c r="H46" i="29"/>
  <c r="D46" i="29"/>
  <c r="H42" i="10"/>
  <c r="D42" i="10"/>
  <c r="K65" i="27"/>
  <c r="G65" i="27"/>
  <c r="J58" i="27"/>
  <c r="F58" i="27"/>
  <c r="H62" i="17"/>
  <c r="D62" i="17"/>
  <c r="J65" i="27"/>
  <c r="E58" i="27"/>
  <c r="K42" i="10"/>
  <c r="F65" i="27"/>
  <c r="K62" i="17"/>
  <c r="K46" i="29"/>
  <c r="G42" i="10"/>
  <c r="G62" i="17"/>
  <c r="G46" i="29"/>
  <c r="I58" i="27"/>
  <c r="C33" i="28"/>
  <c r="C50" i="1"/>
  <c r="C54" i="1"/>
  <c r="C66" i="1"/>
  <c r="E157" i="28"/>
  <c r="E153" i="28"/>
  <c r="D6" i="20"/>
  <c r="D6" i="19"/>
  <c r="D6" i="3"/>
  <c r="D6" i="10"/>
  <c r="D5" i="10" s="1"/>
  <c r="D6" i="27"/>
  <c r="D6" i="11"/>
  <c r="D6" i="29"/>
  <c r="D5" i="29" s="1"/>
  <c r="D6" i="17"/>
  <c r="E6" i="17" s="1"/>
  <c r="D6" i="4"/>
  <c r="D6" i="1"/>
  <c r="D6" i="2"/>
  <c r="D6" i="5"/>
  <c r="B48" i="28"/>
  <c r="B10" i="2" s="1"/>
  <c r="B88" i="2" s="1"/>
  <c r="B149" i="28"/>
  <c r="E158" i="28"/>
  <c r="C48" i="1"/>
  <c r="C53" i="1"/>
  <c r="C12" i="2"/>
  <c r="F58" i="2"/>
  <c r="F59" i="2"/>
  <c r="J58" i="2"/>
  <c r="J59" i="2"/>
  <c r="J47" i="2"/>
  <c r="J46" i="2"/>
  <c r="J41" i="10"/>
  <c r="F41" i="10"/>
  <c r="I41" i="10"/>
  <c r="E41" i="10"/>
  <c r="H41" i="10"/>
  <c r="D41" i="10"/>
  <c r="G41" i="10"/>
  <c r="K41" i="10"/>
  <c r="C8" i="20"/>
  <c r="C14" i="19"/>
  <c r="C86" i="29"/>
  <c r="C74" i="29"/>
  <c r="C68" i="29"/>
  <c r="C61" i="29"/>
  <c r="C47" i="10"/>
  <c r="C29" i="10"/>
  <c r="C25" i="10"/>
  <c r="C21" i="10"/>
  <c r="C17" i="10"/>
  <c r="C16" i="10"/>
  <c r="C61" i="27"/>
  <c r="C90" i="17"/>
  <c r="C79" i="17"/>
  <c r="C28" i="3"/>
  <c r="C19" i="19"/>
  <c r="C83" i="29"/>
  <c r="C73" i="29"/>
  <c r="C67" i="29"/>
  <c r="C60" i="29"/>
  <c r="C51" i="10"/>
  <c r="C46" i="10"/>
  <c r="C28" i="10"/>
  <c r="C24" i="10"/>
  <c r="C20" i="10"/>
  <c r="C11" i="10"/>
  <c r="C88" i="17"/>
  <c r="C70" i="17"/>
  <c r="C18" i="19"/>
  <c r="C89" i="29"/>
  <c r="C81" i="29"/>
  <c r="C72" i="29"/>
  <c r="C66" i="29"/>
  <c r="C53" i="29"/>
  <c r="C50" i="10"/>
  <c r="C45" i="10"/>
  <c r="C27" i="10"/>
  <c r="C23" i="10"/>
  <c r="C19" i="10"/>
  <c r="C63" i="27"/>
  <c r="C86" i="17"/>
  <c r="C69" i="17"/>
  <c r="C17" i="19"/>
  <c r="C71" i="29"/>
  <c r="C41" i="29"/>
  <c r="C49" i="10"/>
  <c r="C26" i="10"/>
  <c r="C80" i="17"/>
  <c r="C69" i="5"/>
  <c r="C53" i="5"/>
  <c r="C43" i="5"/>
  <c r="C39" i="5"/>
  <c r="C17" i="5"/>
  <c r="C16" i="5"/>
  <c r="C15" i="5"/>
  <c r="C14" i="5"/>
  <c r="C13" i="5"/>
  <c r="C12" i="5"/>
  <c r="C11" i="5"/>
  <c r="C62" i="29"/>
  <c r="C22" i="10"/>
  <c r="C88" i="29"/>
  <c r="C18" i="10"/>
  <c r="C62" i="27"/>
  <c r="C73" i="5"/>
  <c r="C61" i="5"/>
  <c r="C79" i="29"/>
  <c r="C31" i="10"/>
  <c r="C56" i="17"/>
  <c r="C43" i="17"/>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E155" i="28"/>
  <c r="C52" i="1"/>
  <c r="C57" i="1"/>
  <c r="C18" i="2"/>
  <c r="C24" i="2"/>
  <c r="C27" i="2"/>
  <c r="G58" i="2"/>
  <c r="G59" i="2"/>
  <c r="K58" i="2"/>
  <c r="K59" i="2"/>
  <c r="G46" i="2"/>
  <c r="G62" i="2" s="1"/>
  <c r="G47" i="2"/>
  <c r="G63" i="2" s="1"/>
  <c r="D59" i="2"/>
  <c r="D46" i="2"/>
  <c r="H59" i="2"/>
  <c r="H46" i="2"/>
  <c r="H62" i="2" s="1"/>
  <c r="H47" i="2"/>
  <c r="D47" i="2"/>
  <c r="D58" i="2"/>
  <c r="E47" i="2"/>
  <c r="I47" i="2"/>
  <c r="I63" i="2" s="1"/>
  <c r="F23" i="27"/>
  <c r="E8" i="27"/>
  <c r="J23" i="27"/>
  <c r="K23" i="27"/>
  <c r="H23" i="27"/>
  <c r="G8" i="27"/>
  <c r="M57" i="5" l="1"/>
  <c r="M65" i="5"/>
  <c r="M49" i="5"/>
  <c r="G23" i="27"/>
  <c r="F8" i="27"/>
  <c r="D50" i="15"/>
  <c r="M46" i="17"/>
  <c r="K63" i="2"/>
  <c r="K62" i="2"/>
  <c r="F62" i="2"/>
  <c r="B153" i="28"/>
  <c r="F25" i="28"/>
  <c r="F26" i="28" s="1"/>
  <c r="F27" i="28" s="1"/>
  <c r="M69" i="5"/>
  <c r="M61" i="5"/>
  <c r="M53" i="5"/>
  <c r="E25" i="28"/>
  <c r="E26" i="28" s="1"/>
  <c r="I64" i="2"/>
  <c r="F63" i="2"/>
  <c r="M58" i="2"/>
  <c r="M59" i="2"/>
  <c r="E63" i="2"/>
  <c r="E64" i="2" s="1"/>
  <c r="D78" i="2"/>
  <c r="E6" i="2"/>
  <c r="D5" i="2"/>
  <c r="D77" i="2"/>
  <c r="E6" i="27"/>
  <c r="D5" i="27"/>
  <c r="D5" i="20"/>
  <c r="E6" i="20"/>
  <c r="F6" i="15"/>
  <c r="E5" i="15"/>
  <c r="E50" i="15" s="1"/>
  <c r="D5" i="1"/>
  <c r="E6" i="1"/>
  <c r="E6" i="29"/>
  <c r="E5" i="29" s="1"/>
  <c r="D22" i="29"/>
  <c r="E6" i="10"/>
  <c r="E5" i="10" s="1"/>
  <c r="D40" i="10"/>
  <c r="D43" i="10" s="1"/>
  <c r="D36" i="10"/>
  <c r="D63" i="2"/>
  <c r="M47" i="2"/>
  <c r="G64" i="2"/>
  <c r="H63" i="2"/>
  <c r="D62" i="2"/>
  <c r="M46" i="2"/>
  <c r="B159" i="28"/>
  <c r="B17" i="5" s="1"/>
  <c r="B160" i="28"/>
  <c r="B156" i="28"/>
  <c r="B157" i="28"/>
  <c r="B15" i="5" s="1"/>
  <c r="B154" i="28"/>
  <c r="B12" i="5" s="1"/>
  <c r="B155" i="28"/>
  <c r="B13" i="5" s="1"/>
  <c r="B158" i="28"/>
  <c r="B16" i="5" s="1"/>
  <c r="B11" i="5"/>
  <c r="J62" i="2"/>
  <c r="D5" i="4"/>
  <c r="E6" i="4"/>
  <c r="D5" i="3"/>
  <c r="E6" i="3"/>
  <c r="J63"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J8" i="27"/>
  <c r="I23" i="27"/>
  <c r="M55" i="17"/>
  <c r="E5" i="17"/>
  <c r="F6" i="17"/>
  <c r="K64" i="2" l="1"/>
  <c r="F64" i="2"/>
  <c r="J64" i="2"/>
  <c r="D79" i="2"/>
  <c r="D42" i="5"/>
  <c r="D41" i="5"/>
  <c r="B49" i="5"/>
  <c r="B82" i="5"/>
  <c r="B39" i="5"/>
  <c r="B51" i="1" s="1"/>
  <c r="B94" i="5"/>
  <c r="B65" i="5"/>
  <c r="B43" i="5"/>
  <c r="B55" i="1" s="1"/>
  <c r="M63" i="2"/>
  <c r="E78" i="2"/>
  <c r="E77" i="2"/>
  <c r="E5" i="2"/>
  <c r="F6" i="2"/>
  <c r="E33" i="28"/>
  <c r="D36" i="28"/>
  <c r="D35" i="28"/>
  <c r="E34" i="10" s="1"/>
  <c r="D34" i="28"/>
  <c r="D32" i="28"/>
  <c r="F6" i="11"/>
  <c r="E5" i="11"/>
  <c r="F6" i="4"/>
  <c r="E5" i="4"/>
  <c r="B97" i="5"/>
  <c r="B44" i="5"/>
  <c r="B69" i="5"/>
  <c r="B91" i="5"/>
  <c r="B61" i="5"/>
  <c r="B42" i="5"/>
  <c r="B54" i="1" s="1"/>
  <c r="M62" i="2"/>
  <c r="D64" i="2"/>
  <c r="F6" i="29"/>
  <c r="F5" i="29" s="1"/>
  <c r="E22" i="29"/>
  <c r="H64" i="2"/>
  <c r="D35" i="10"/>
  <c r="D39" i="29"/>
  <c r="D41" i="17"/>
  <c r="D56" i="17" s="1"/>
  <c r="D8" i="20"/>
  <c r="D14" i="19"/>
  <c r="D86" i="2"/>
  <c r="D28" i="3"/>
  <c r="F6" i="19"/>
  <c r="E5" i="19"/>
  <c r="D40" i="5"/>
  <c r="E96" i="5"/>
  <c r="E90" i="5"/>
  <c r="E84" i="5"/>
  <c r="E99" i="5"/>
  <c r="E70" i="5"/>
  <c r="E71" i="5" s="1"/>
  <c r="E44" i="5" s="1"/>
  <c r="E54" i="5"/>
  <c r="E55" i="5" s="1"/>
  <c r="E40" i="5" s="1"/>
  <c r="F6" i="5"/>
  <c r="E81" i="5"/>
  <c r="E87" i="5"/>
  <c r="E74" i="5"/>
  <c r="E75" i="5" s="1"/>
  <c r="E45" i="5" s="1"/>
  <c r="E62" i="5"/>
  <c r="E63" i="5" s="1"/>
  <c r="E42" i="5" s="1"/>
  <c r="E93" i="5"/>
  <c r="E66" i="5"/>
  <c r="E67" i="5" s="1"/>
  <c r="E43" i="5" s="1"/>
  <c r="E50" i="5"/>
  <c r="E51" i="5" s="1"/>
  <c r="E39" i="5" s="1"/>
  <c r="E5" i="5"/>
  <c r="E58" i="5"/>
  <c r="E59" i="5" s="1"/>
  <c r="E41" i="5" s="1"/>
  <c r="D43" i="5"/>
  <c r="B57" i="5"/>
  <c r="B88" i="5"/>
  <c r="B41" i="5"/>
  <c r="B53" i="1" s="1"/>
  <c r="E40" i="10"/>
  <c r="E43" i="10" s="1"/>
  <c r="F6" i="10"/>
  <c r="F5" i="10" s="1"/>
  <c r="F6" i="1"/>
  <c r="E5" i="1"/>
  <c r="G6" i="15"/>
  <c r="F5" i="15"/>
  <c r="F50" i="15" s="1"/>
  <c r="E5" i="27"/>
  <c r="F6" i="27"/>
  <c r="D45" i="5"/>
  <c r="D44" i="5"/>
  <c r="D39" i="5"/>
  <c r="F6" i="3"/>
  <c r="E5" i="3"/>
  <c r="B85" i="5"/>
  <c r="B40" i="5"/>
  <c r="B52" i="1" s="1"/>
  <c r="B53" i="5"/>
  <c r="B100" i="5"/>
  <c r="B73" i="5"/>
  <c r="B45" i="5"/>
  <c r="F6" i="20"/>
  <c r="E5" i="20"/>
  <c r="E27" i="28"/>
  <c r="G6" i="17"/>
  <c r="F5" i="17"/>
  <c r="B33" i="1" l="1"/>
  <c r="B14" i="1"/>
  <c r="D46" i="5"/>
  <c r="G6" i="19"/>
  <c r="F5" i="19"/>
  <c r="G6" i="4"/>
  <c r="F5" i="4"/>
  <c r="E41" i="17"/>
  <c r="E56" i="17" s="1"/>
  <c r="E8" i="20"/>
  <c r="E35" i="10"/>
  <c r="E14" i="19"/>
  <c r="E39" i="29"/>
  <c r="E86" i="2"/>
  <c r="E28" i="3"/>
  <c r="E79" i="2"/>
  <c r="B36" i="1"/>
  <c r="B17" i="1"/>
  <c r="B35" i="1"/>
  <c r="B16" i="1"/>
  <c r="F77" i="2"/>
  <c r="G6" i="2"/>
  <c r="F78" i="2"/>
  <c r="F5" i="2"/>
  <c r="G6" i="20"/>
  <c r="F5" i="20"/>
  <c r="G5" i="15"/>
  <c r="H6" i="15"/>
  <c r="G6" i="1"/>
  <c r="F5" i="1"/>
  <c r="B34" i="1"/>
  <c r="B15" i="1"/>
  <c r="F96" i="5"/>
  <c r="F90" i="5"/>
  <c r="F84" i="5"/>
  <c r="F99" i="5"/>
  <c r="F93" i="5"/>
  <c r="F87" i="5"/>
  <c r="F81" i="5"/>
  <c r="F58" i="5"/>
  <c r="F59" i="5" s="1"/>
  <c r="F41" i="5" s="1"/>
  <c r="F5" i="5"/>
  <c r="F74" i="5"/>
  <c r="F75" i="5" s="1"/>
  <c r="F66" i="5"/>
  <c r="F67" i="5" s="1"/>
  <c r="F43" i="5" s="1"/>
  <c r="F70" i="5"/>
  <c r="F71" i="5" s="1"/>
  <c r="F54" i="5"/>
  <c r="F55" i="5" s="1"/>
  <c r="F40" i="5" s="1"/>
  <c r="G6" i="5"/>
  <c r="F62" i="5"/>
  <c r="F63" i="5" s="1"/>
  <c r="F42" i="5" s="1"/>
  <c r="F50" i="5"/>
  <c r="F51" i="5" s="1"/>
  <c r="D119" i="2"/>
  <c r="D131" i="2"/>
  <c r="D130" i="2"/>
  <c r="D132" i="2"/>
  <c r="D103" i="2"/>
  <c r="D118" i="2"/>
  <c r="D104" i="2"/>
  <c r="D128" i="2"/>
  <c r="D133" i="2"/>
  <c r="D102" i="2"/>
  <c r="D105" i="2"/>
  <c r="D129" i="2"/>
  <c r="D86" i="29"/>
  <c r="D88" i="29"/>
  <c r="D23" i="29"/>
  <c r="D34" i="29" s="1"/>
  <c r="D37" i="29" s="1"/>
  <c r="F5" i="11"/>
  <c r="G6" i="11"/>
  <c r="G6" i="3"/>
  <c r="F5" i="3"/>
  <c r="G6" i="27"/>
  <c r="F5" i="27"/>
  <c r="G6" i="10"/>
  <c r="G5" i="10" s="1"/>
  <c r="F40" i="10"/>
  <c r="F43" i="10" s="1"/>
  <c r="E46" i="5"/>
  <c r="G6" i="29"/>
  <c r="G5" i="29" s="1"/>
  <c r="F22" i="29"/>
  <c r="M64" i="2"/>
  <c r="E36" i="28"/>
  <c r="E35" i="28"/>
  <c r="F34" i="10" s="1"/>
  <c r="E34" i="28"/>
  <c r="E32" i="28"/>
  <c r="F33" i="28"/>
  <c r="B32" i="1"/>
  <c r="B13" i="1"/>
  <c r="G5" i="17"/>
  <c r="H6" i="17"/>
  <c r="H5" i="17" s="1"/>
  <c r="E23" i="29" l="1"/>
  <c r="E34" i="29" s="1"/>
  <c r="E37" i="29" s="1"/>
  <c r="E49" i="29" s="1"/>
  <c r="F41" i="17"/>
  <c r="F56" i="17" s="1"/>
  <c r="F14" i="19"/>
  <c r="F35" i="10"/>
  <c r="F8" i="20"/>
  <c r="F86" i="2"/>
  <c r="F28" i="3"/>
  <c r="F39" i="29"/>
  <c r="H6" i="3"/>
  <c r="G5" i="3"/>
  <c r="D120" i="2"/>
  <c r="I6" i="15"/>
  <c r="H5" i="15"/>
  <c r="H6" i="19"/>
  <c r="G5" i="19"/>
  <c r="G99" i="5"/>
  <c r="G93" i="5"/>
  <c r="G87" i="5"/>
  <c r="G81" i="5"/>
  <c r="G74" i="5"/>
  <c r="G75" i="5" s="1"/>
  <c r="G45" i="5" s="1"/>
  <c r="G62" i="5"/>
  <c r="G63" i="5" s="1"/>
  <c r="G42" i="5" s="1"/>
  <c r="G84" i="5"/>
  <c r="G90" i="5"/>
  <c r="G70" i="5"/>
  <c r="G71" i="5" s="1"/>
  <c r="G44" i="5" s="1"/>
  <c r="G96" i="5"/>
  <c r="G58" i="5"/>
  <c r="G59" i="5" s="1"/>
  <c r="G41" i="5" s="1"/>
  <c r="G66" i="5"/>
  <c r="G67" i="5" s="1"/>
  <c r="G43" i="5" s="1"/>
  <c r="H6" i="5"/>
  <c r="G50" i="5"/>
  <c r="G51" i="5" s="1"/>
  <c r="G39" i="5" s="1"/>
  <c r="G54" i="5"/>
  <c r="G55" i="5" s="1"/>
  <c r="G5" i="5"/>
  <c r="F45" i="5"/>
  <c r="G50" i="15"/>
  <c r="F79" i="2"/>
  <c r="H6" i="4"/>
  <c r="G5" i="4"/>
  <c r="G33" i="28"/>
  <c r="F36" i="28"/>
  <c r="F35" i="28"/>
  <c r="G34" i="10" s="1"/>
  <c r="F34" i="28"/>
  <c r="F32" i="28"/>
  <c r="G22" i="29"/>
  <c r="H6" i="29"/>
  <c r="H5" i="29" s="1"/>
  <c r="H6" i="27"/>
  <c r="G5" i="27"/>
  <c r="H6" i="11"/>
  <c r="G5" i="11"/>
  <c r="D41" i="29"/>
  <c r="D49" i="29"/>
  <c r="D134" i="2"/>
  <c r="H6" i="20"/>
  <c r="G5" i="20"/>
  <c r="G77" i="2"/>
  <c r="G78" i="2"/>
  <c r="H6" i="2"/>
  <c r="G5" i="2"/>
  <c r="E102" i="2"/>
  <c r="E119" i="2"/>
  <c r="E105" i="2"/>
  <c r="E128" i="2"/>
  <c r="E131" i="2"/>
  <c r="E130" i="2"/>
  <c r="E132" i="2"/>
  <c r="E103" i="2"/>
  <c r="E118" i="2"/>
  <c r="E104" i="2"/>
  <c r="E133" i="2"/>
  <c r="E129" i="2"/>
  <c r="H6" i="10"/>
  <c r="H5" i="10" s="1"/>
  <c r="G40" i="10"/>
  <c r="G43" i="10" s="1"/>
  <c r="D89" i="29"/>
  <c r="F39" i="5"/>
  <c r="F44" i="5"/>
  <c r="H6" i="1"/>
  <c r="G5" i="1"/>
  <c r="E86" i="29"/>
  <c r="E88" i="29"/>
  <c r="I6" i="17"/>
  <c r="E41" i="29" l="1"/>
  <c r="E120" i="2"/>
  <c r="E125" i="2" s="1"/>
  <c r="G79" i="2"/>
  <c r="F46" i="5"/>
  <c r="H5" i="1"/>
  <c r="I6" i="1"/>
  <c r="I6" i="10"/>
  <c r="I5" i="10" s="1"/>
  <c r="H40" i="10"/>
  <c r="H43" i="10" s="1"/>
  <c r="G41" i="17"/>
  <c r="G14" i="19"/>
  <c r="G28" i="3"/>
  <c r="G86" i="2"/>
  <c r="G35" i="10"/>
  <c r="G8" i="20"/>
  <c r="G39" i="29"/>
  <c r="H5" i="4"/>
  <c r="I6" i="4"/>
  <c r="J6" i="15"/>
  <c r="I5" i="15"/>
  <c r="F88" i="29"/>
  <c r="F86" i="29"/>
  <c r="I6" i="27"/>
  <c r="H5" i="27"/>
  <c r="G40" i="5"/>
  <c r="G46" i="5" s="1"/>
  <c r="H5" i="3"/>
  <c r="I6" i="3"/>
  <c r="H5" i="19"/>
  <c r="I6" i="19"/>
  <c r="F103" i="2"/>
  <c r="F128" i="2"/>
  <c r="F133" i="2"/>
  <c r="F102" i="2"/>
  <c r="F129" i="2"/>
  <c r="F119" i="2"/>
  <c r="F118" i="2"/>
  <c r="F105" i="2"/>
  <c r="F130" i="2"/>
  <c r="F132" i="2"/>
  <c r="F131" i="2"/>
  <c r="F104" i="2"/>
  <c r="E134" i="2"/>
  <c r="D136" i="2"/>
  <c r="D137" i="2"/>
  <c r="I6" i="11"/>
  <c r="H5" i="11"/>
  <c r="I6" i="29"/>
  <c r="I5" i="29" s="1"/>
  <c r="H22" i="29"/>
  <c r="E89" i="29"/>
  <c r="F23" i="29"/>
  <c r="F34" i="29" s="1"/>
  <c r="F37" i="29" s="1"/>
  <c r="H78" i="2"/>
  <c r="I6" i="2"/>
  <c r="H77" i="2"/>
  <c r="H5" i="2"/>
  <c r="H5" i="20"/>
  <c r="I6" i="20"/>
  <c r="H33" i="28"/>
  <c r="G32" i="28"/>
  <c r="G35" i="28"/>
  <c r="H34" i="10" s="1"/>
  <c r="G34" i="28"/>
  <c r="G36" i="28"/>
  <c r="H99" i="5"/>
  <c r="H93" i="5"/>
  <c r="H87" i="5"/>
  <c r="H81" i="5"/>
  <c r="H96" i="5"/>
  <c r="H90" i="5"/>
  <c r="H84" i="5"/>
  <c r="H66" i="5"/>
  <c r="H67" i="5" s="1"/>
  <c r="H43" i="5" s="1"/>
  <c r="H50" i="5"/>
  <c r="H51" i="5" s="1"/>
  <c r="H39" i="5" s="1"/>
  <c r="H70" i="5"/>
  <c r="H71" i="5" s="1"/>
  <c r="H58" i="5"/>
  <c r="H59" i="5" s="1"/>
  <c r="H74" i="5"/>
  <c r="H75" i="5" s="1"/>
  <c r="H62" i="5"/>
  <c r="H63" i="5" s="1"/>
  <c r="H42" i="5" s="1"/>
  <c r="H54" i="5"/>
  <c r="H55" i="5" s="1"/>
  <c r="H40" i="5" s="1"/>
  <c r="H5" i="5"/>
  <c r="I6" i="5"/>
  <c r="H50" i="15"/>
  <c r="D125" i="2"/>
  <c r="D124" i="2"/>
  <c r="D51" i="29"/>
  <c r="D53" i="29" s="1"/>
  <c r="J6" i="17"/>
  <c r="L50" i="17" s="1"/>
  <c r="I5" i="17"/>
  <c r="E124" i="2" l="1"/>
  <c r="G23" i="29"/>
  <c r="G34" i="29" s="1"/>
  <c r="G37" i="29" s="1"/>
  <c r="D140" i="2"/>
  <c r="D141" i="2"/>
  <c r="F89" i="29"/>
  <c r="I33" i="28"/>
  <c r="H32" i="28"/>
  <c r="H35" i="28"/>
  <c r="I34" i="10" s="1"/>
  <c r="H36" i="28"/>
  <c r="H34" i="28"/>
  <c r="H79" i="2"/>
  <c r="L51" i="17"/>
  <c r="F120" i="2"/>
  <c r="F134" i="2"/>
  <c r="J6" i="19"/>
  <c r="I5" i="19"/>
  <c r="G133" i="2"/>
  <c r="G102" i="2"/>
  <c r="G129" i="2"/>
  <c r="G104" i="2"/>
  <c r="G105" i="2"/>
  <c r="G128" i="2"/>
  <c r="G130" i="2"/>
  <c r="G132" i="2"/>
  <c r="G131" i="2"/>
  <c r="G119" i="2"/>
  <c r="G118" i="2"/>
  <c r="G103" i="2"/>
  <c r="H44" i="5"/>
  <c r="L49" i="17"/>
  <c r="L53" i="17"/>
  <c r="L52" i="17"/>
  <c r="H8" i="20"/>
  <c r="H28" i="3"/>
  <c r="H14" i="19"/>
  <c r="H41" i="17"/>
  <c r="H56" i="17" s="1"/>
  <c r="H35" i="10"/>
  <c r="H39" i="29"/>
  <c r="H23" i="29" s="1"/>
  <c r="H34" i="29" s="1"/>
  <c r="H37" i="29" s="1"/>
  <c r="H86" i="2"/>
  <c r="J6" i="20"/>
  <c r="I5" i="20"/>
  <c r="L55" i="17"/>
  <c r="G88" i="29"/>
  <c r="G86" i="29"/>
  <c r="J6" i="10"/>
  <c r="J5" i="10" s="1"/>
  <c r="I40" i="10"/>
  <c r="I43" i="10" s="1"/>
  <c r="J6" i="1"/>
  <c r="I5" i="1"/>
  <c r="I96" i="5"/>
  <c r="I90" i="5"/>
  <c r="I84" i="5"/>
  <c r="I81" i="5"/>
  <c r="I70" i="5"/>
  <c r="I71" i="5" s="1"/>
  <c r="I44" i="5" s="1"/>
  <c r="I54" i="5"/>
  <c r="I55" i="5" s="1"/>
  <c r="I40" i="5" s="1"/>
  <c r="J6" i="5"/>
  <c r="L16" i="5" s="1"/>
  <c r="I87" i="5"/>
  <c r="I93" i="5"/>
  <c r="I74" i="5"/>
  <c r="I75" i="5" s="1"/>
  <c r="I45" i="5" s="1"/>
  <c r="I62" i="5"/>
  <c r="I63" i="5" s="1"/>
  <c r="I42" i="5" s="1"/>
  <c r="I99" i="5"/>
  <c r="I66" i="5"/>
  <c r="I67" i="5" s="1"/>
  <c r="I43" i="5" s="1"/>
  <c r="I50" i="5"/>
  <c r="I51" i="5" s="1"/>
  <c r="I39" i="5" s="1"/>
  <c r="I58" i="5"/>
  <c r="I59" i="5" s="1"/>
  <c r="I41" i="5" s="1"/>
  <c r="I5" i="5"/>
  <c r="H45" i="5"/>
  <c r="J6" i="11"/>
  <c r="I5" i="11"/>
  <c r="I5" i="27"/>
  <c r="J6" i="27"/>
  <c r="I50" i="15"/>
  <c r="L48" i="17"/>
  <c r="H41" i="5"/>
  <c r="I78" i="2"/>
  <c r="I77" i="2"/>
  <c r="I5" i="2"/>
  <c r="J6" i="2"/>
  <c r="L24" i="2" s="1"/>
  <c r="F41" i="29"/>
  <c r="F49" i="29"/>
  <c r="J6" i="29"/>
  <c r="J5" i="29" s="1"/>
  <c r="I22" i="29"/>
  <c r="E137" i="2"/>
  <c r="E141" i="2" s="1"/>
  <c r="E136" i="2"/>
  <c r="E140" i="2" s="1"/>
  <c r="J6" i="3"/>
  <c r="I5" i="3"/>
  <c r="L46" i="17"/>
  <c r="K6" i="15"/>
  <c r="K5" i="15" s="1"/>
  <c r="J5" i="15"/>
  <c r="J6" i="4"/>
  <c r="I5" i="4"/>
  <c r="G56" i="17"/>
  <c r="K6" i="17"/>
  <c r="J5" i="17"/>
  <c r="G49" i="29" l="1"/>
  <c r="G51" i="29" s="1"/>
  <c r="G53" i="29" s="1"/>
  <c r="D142" i="2"/>
  <c r="L56" i="2"/>
  <c r="L59" i="2"/>
  <c r="L55" i="2"/>
  <c r="L65" i="5"/>
  <c r="E142" i="2"/>
  <c r="L52" i="2"/>
  <c r="L40" i="2"/>
  <c r="L13" i="5"/>
  <c r="L17" i="5"/>
  <c r="L15" i="5"/>
  <c r="L62" i="2"/>
  <c r="L54" i="2"/>
  <c r="L61" i="5"/>
  <c r="L69" i="5"/>
  <c r="L11" i="5"/>
  <c r="J50" i="15"/>
  <c r="K6" i="3"/>
  <c r="K5" i="3" s="1"/>
  <c r="J5" i="3"/>
  <c r="I46" i="5"/>
  <c r="L64" i="2"/>
  <c r="K6" i="19"/>
  <c r="K5" i="19" s="1"/>
  <c r="J5" i="19"/>
  <c r="I14" i="19"/>
  <c r="I28" i="3"/>
  <c r="I39" i="29"/>
  <c r="I86" i="2"/>
  <c r="I35" i="10"/>
  <c r="I8" i="20"/>
  <c r="I41" i="17"/>
  <c r="I56" i="17" s="1"/>
  <c r="I32" i="28"/>
  <c r="J33" i="28"/>
  <c r="I35" i="28"/>
  <c r="J34" i="10" s="1"/>
  <c r="I36" i="28"/>
  <c r="I34" i="28"/>
  <c r="H41" i="29"/>
  <c r="H49" i="29"/>
  <c r="H51" i="29" s="1"/>
  <c r="H53" i="29" s="1"/>
  <c r="J40" i="10"/>
  <c r="J43" i="10" s="1"/>
  <c r="K6" i="10"/>
  <c r="K5" i="10" s="1"/>
  <c r="J32" i="10"/>
  <c r="G89" i="29"/>
  <c r="K6" i="20"/>
  <c r="K5" i="20" s="1"/>
  <c r="J5" i="20"/>
  <c r="F136" i="2"/>
  <c r="F137" i="2"/>
  <c r="L50" i="2"/>
  <c r="K6" i="29"/>
  <c r="K5" i="29" s="1"/>
  <c r="J22" i="29"/>
  <c r="I79" i="2"/>
  <c r="H130" i="2"/>
  <c r="H132" i="2"/>
  <c r="H131" i="2"/>
  <c r="H118" i="2"/>
  <c r="H104" i="2"/>
  <c r="H103" i="2"/>
  <c r="H102" i="2"/>
  <c r="H129" i="2"/>
  <c r="H128" i="2"/>
  <c r="H105" i="2"/>
  <c r="H119" i="2"/>
  <c r="H133" i="2"/>
  <c r="H46" i="5"/>
  <c r="E51" i="29"/>
  <c r="E53" i="29" s="1"/>
  <c r="F125" i="2"/>
  <c r="F124" i="2"/>
  <c r="K82" i="15"/>
  <c r="K50" i="15"/>
  <c r="K5" i="17"/>
  <c r="L47" i="17"/>
  <c r="K6" i="4"/>
  <c r="K5" i="4" s="1"/>
  <c r="J5" i="4"/>
  <c r="J77" i="2"/>
  <c r="J78" i="2"/>
  <c r="K6" i="2"/>
  <c r="J5" i="2"/>
  <c r="L47" i="2"/>
  <c r="L51" i="2"/>
  <c r="L63" i="2"/>
  <c r="L58" i="2"/>
  <c r="L27" i="2"/>
  <c r="K6" i="27"/>
  <c r="J5" i="27"/>
  <c r="J5" i="11"/>
  <c r="K6" i="11"/>
  <c r="K5" i="11" s="1"/>
  <c r="J96" i="5"/>
  <c r="J90" i="5"/>
  <c r="J84" i="5"/>
  <c r="J99" i="5"/>
  <c r="J93" i="5"/>
  <c r="J87" i="5"/>
  <c r="J81" i="5"/>
  <c r="J58" i="5"/>
  <c r="J59" i="5" s="1"/>
  <c r="J5" i="5"/>
  <c r="J74" i="5"/>
  <c r="J75" i="5" s="1"/>
  <c r="J66" i="5"/>
  <c r="J67" i="5" s="1"/>
  <c r="J43" i="5" s="1"/>
  <c r="J70" i="5"/>
  <c r="J71" i="5" s="1"/>
  <c r="J54" i="5"/>
  <c r="J55" i="5" s="1"/>
  <c r="L55" i="5" s="1"/>
  <c r="J50" i="5"/>
  <c r="J51" i="5" s="1"/>
  <c r="J39" i="5" s="1"/>
  <c r="L39" i="5" s="1"/>
  <c r="J62" i="5"/>
  <c r="J63" i="5" s="1"/>
  <c r="J42" i="5" s="1"/>
  <c r="K6" i="5"/>
  <c r="L73" i="5"/>
  <c r="L14" i="5"/>
  <c r="L57" i="5"/>
  <c r="K6" i="1"/>
  <c r="J5" i="1"/>
  <c r="L41" i="2"/>
  <c r="L46" i="2"/>
  <c r="H88" i="29"/>
  <c r="H86" i="29"/>
  <c r="L53" i="5"/>
  <c r="G120" i="2"/>
  <c r="G134" i="2"/>
  <c r="L26" i="2"/>
  <c r="L53" i="2"/>
  <c r="G41" i="29" l="1"/>
  <c r="L51" i="5"/>
  <c r="L63" i="5"/>
  <c r="L42" i="2"/>
  <c r="J79" i="2"/>
  <c r="L67" i="5"/>
  <c r="K99" i="5"/>
  <c r="K93" i="5"/>
  <c r="K87" i="5"/>
  <c r="K81" i="5"/>
  <c r="K84" i="5"/>
  <c r="K74" i="5"/>
  <c r="K75" i="5" s="1"/>
  <c r="K45" i="5" s="1"/>
  <c r="K62" i="5"/>
  <c r="K63" i="5" s="1"/>
  <c r="K90" i="5"/>
  <c r="K96" i="5"/>
  <c r="K70" i="5"/>
  <c r="K71" i="5" s="1"/>
  <c r="K54" i="5"/>
  <c r="K55" i="5" s="1"/>
  <c r="K40" i="5" s="1"/>
  <c r="K58" i="5"/>
  <c r="K59" i="5" s="1"/>
  <c r="K41" i="5" s="1"/>
  <c r="K5" i="5"/>
  <c r="K66" i="5"/>
  <c r="K67" i="5" s="1"/>
  <c r="K50" i="5"/>
  <c r="K51" i="5" s="1"/>
  <c r="L49" i="5"/>
  <c r="L75" i="5"/>
  <c r="L12" i="5"/>
  <c r="L18" i="5" s="1"/>
  <c r="J44" i="5"/>
  <c r="L44" i="5" s="1"/>
  <c r="L71" i="5"/>
  <c r="J41" i="5"/>
  <c r="L59" i="5"/>
  <c r="F140" i="2"/>
  <c r="H120" i="2"/>
  <c r="K32" i="10"/>
  <c r="K40" i="10"/>
  <c r="K43" i="10" s="1"/>
  <c r="J35" i="10"/>
  <c r="J8" i="20"/>
  <c r="J41" i="17"/>
  <c r="J56" i="17" s="1"/>
  <c r="J39" i="29"/>
  <c r="J14" i="19"/>
  <c r="J28" i="3"/>
  <c r="J86" i="2"/>
  <c r="I119" i="2"/>
  <c r="I105" i="2"/>
  <c r="I132" i="2"/>
  <c r="I131" i="2"/>
  <c r="I130" i="2"/>
  <c r="I128" i="2"/>
  <c r="I118" i="2"/>
  <c r="I102" i="2"/>
  <c r="I104" i="2"/>
  <c r="I103" i="2"/>
  <c r="I133" i="2"/>
  <c r="I129" i="2"/>
  <c r="G137" i="2"/>
  <c r="G136" i="2"/>
  <c r="G124" i="2"/>
  <c r="G125" i="2"/>
  <c r="H89" i="29"/>
  <c r="L42" i="5"/>
  <c r="L43" i="5"/>
  <c r="K77" i="2"/>
  <c r="K78" i="2"/>
  <c r="K5" i="2"/>
  <c r="L77" i="2"/>
  <c r="L25" i="2"/>
  <c r="F141" i="2"/>
  <c r="I23" i="29"/>
  <c r="I34" i="29" s="1"/>
  <c r="I37" i="29" s="1"/>
  <c r="I88" i="29"/>
  <c r="I86" i="29"/>
  <c r="J45" i="5"/>
  <c r="L45" i="5" s="1"/>
  <c r="K5" i="27"/>
  <c r="K5" i="1"/>
  <c r="J40" i="5"/>
  <c r="H134" i="2"/>
  <c r="K22" i="29"/>
  <c r="F51" i="29"/>
  <c r="F53" i="29" s="1"/>
  <c r="J32" i="28"/>
  <c r="J35" i="28"/>
  <c r="K34" i="10" s="1"/>
  <c r="J36" i="28"/>
  <c r="J34" i="28"/>
  <c r="M55" i="5" l="1"/>
  <c r="J46" i="5"/>
  <c r="G141" i="2"/>
  <c r="L79" i="2"/>
  <c r="K79" i="2"/>
  <c r="N50" i="1" s="1"/>
  <c r="J23" i="29"/>
  <c r="J34" i="29" s="1"/>
  <c r="M75" i="5"/>
  <c r="G140" i="2"/>
  <c r="M59" i="5"/>
  <c r="I120" i="2"/>
  <c r="I125" i="2" s="1"/>
  <c r="I89" i="29"/>
  <c r="I49" i="29"/>
  <c r="I51" i="29" s="1"/>
  <c r="I53" i="29" s="1"/>
  <c r="I41" i="29"/>
  <c r="M56" i="1"/>
  <c r="M57" i="1"/>
  <c r="F142" i="2"/>
  <c r="K35" i="10"/>
  <c r="K8" i="20"/>
  <c r="K14" i="19"/>
  <c r="K28" i="3"/>
  <c r="N56" i="1" s="1"/>
  <c r="K39" i="29"/>
  <c r="K86" i="2"/>
  <c r="K41" i="17"/>
  <c r="K56" i="17" s="1"/>
  <c r="M50" i="1"/>
  <c r="M55" i="1"/>
  <c r="K39" i="5"/>
  <c r="M51" i="5"/>
  <c r="K42" i="5"/>
  <c r="M63" i="5"/>
  <c r="H136" i="2"/>
  <c r="H137" i="2"/>
  <c r="M40" i="5"/>
  <c r="L40" i="5"/>
  <c r="H125" i="2"/>
  <c r="H124" i="2"/>
  <c r="K43" i="5"/>
  <c r="M67" i="5"/>
  <c r="K44" i="5"/>
  <c r="M44" i="5" s="1"/>
  <c r="M71" i="5"/>
  <c r="M45" i="5"/>
  <c r="M51" i="1"/>
  <c r="M77" i="2"/>
  <c r="M54" i="1"/>
  <c r="I134" i="2"/>
  <c r="J101" i="2"/>
  <c r="J119" i="2"/>
  <c r="L119" i="2" s="1"/>
  <c r="J105" i="2"/>
  <c r="L105" i="2" s="1"/>
  <c r="J131" i="2"/>
  <c r="L131" i="2" s="1"/>
  <c r="J130" i="2"/>
  <c r="L130" i="2" s="1"/>
  <c r="J104" i="2"/>
  <c r="L104" i="2" s="1"/>
  <c r="J103" i="2"/>
  <c r="L103" i="2" s="1"/>
  <c r="J118" i="2"/>
  <c r="L118" i="2" s="1"/>
  <c r="J129" i="2"/>
  <c r="L129" i="2" s="1"/>
  <c r="J128" i="2"/>
  <c r="J133" i="2"/>
  <c r="L133" i="2" s="1"/>
  <c r="J102" i="2"/>
  <c r="L102" i="2" s="1"/>
  <c r="J132" i="2"/>
  <c r="L132" i="2" s="1"/>
  <c r="L56" i="17"/>
  <c r="M41" i="5"/>
  <c r="L41" i="5"/>
  <c r="G142" i="2" l="1"/>
  <c r="M79" i="2"/>
  <c r="I124" i="2"/>
  <c r="L120" i="2"/>
  <c r="K23" i="29"/>
  <c r="K34" i="29" s="1"/>
  <c r="L46" i="5"/>
  <c r="H141" i="2"/>
  <c r="M42" i="5"/>
  <c r="K46" i="5"/>
  <c r="M39" i="5"/>
  <c r="J134" i="2"/>
  <c r="L128" i="2"/>
  <c r="I136" i="2"/>
  <c r="I140" i="2" s="1"/>
  <c r="I137" i="2"/>
  <c r="I141" i="2" s="1"/>
  <c r="L134" i="2"/>
  <c r="H140" i="2"/>
  <c r="M56" i="17"/>
  <c r="M53" i="1"/>
  <c r="N53" i="1"/>
  <c r="J120" i="2"/>
  <c r="M43" i="5"/>
  <c r="N52" i="1"/>
  <c r="M52" i="1"/>
  <c r="K131" i="2"/>
  <c r="M131" i="2" s="1"/>
  <c r="K130" i="2"/>
  <c r="M130" i="2" s="1"/>
  <c r="K104" i="2"/>
  <c r="M104" i="2" s="1"/>
  <c r="K105" i="2"/>
  <c r="M105" i="2" s="1"/>
  <c r="K103" i="2"/>
  <c r="M103" i="2" s="1"/>
  <c r="K118" i="2"/>
  <c r="M118" i="2" s="1"/>
  <c r="K132" i="2"/>
  <c r="M132" i="2" s="1"/>
  <c r="K119" i="2"/>
  <c r="K129" i="2"/>
  <c r="M129" i="2" s="1"/>
  <c r="K128" i="2"/>
  <c r="K133" i="2"/>
  <c r="M133" i="2" s="1"/>
  <c r="K102" i="2"/>
  <c r="M102" i="2" s="1"/>
  <c r="N57" i="1"/>
  <c r="M61" i="1" l="1"/>
  <c r="M46" i="5"/>
  <c r="N54" i="1"/>
  <c r="J136" i="2"/>
  <c r="L136" i="2" s="1"/>
  <c r="J137" i="2"/>
  <c r="L137" i="2" s="1"/>
  <c r="M128" i="2"/>
  <c r="K134" i="2"/>
  <c r="J124" i="2"/>
  <c r="J125" i="2"/>
  <c r="H142" i="2"/>
  <c r="N51" i="1"/>
  <c r="K120" i="2"/>
  <c r="I142" i="2"/>
  <c r="N55" i="1"/>
  <c r="M119" i="2"/>
  <c r="M120" i="2" s="1"/>
  <c r="J141" i="2" l="1"/>
  <c r="L141" i="2" s="1"/>
  <c r="L125" i="2"/>
  <c r="K124" i="2"/>
  <c r="M124" i="2" s="1"/>
  <c r="K125" i="2"/>
  <c r="J140" i="2"/>
  <c r="L124" i="2"/>
  <c r="K136" i="2"/>
  <c r="M136" i="2" s="1"/>
  <c r="K137" i="2"/>
  <c r="M137" i="2" s="1"/>
  <c r="M134" i="2"/>
  <c r="M62" i="1"/>
  <c r="N61" i="1"/>
  <c r="K141" i="2" l="1"/>
  <c r="M141" i="2" s="1"/>
  <c r="K140" i="2"/>
  <c r="J142" i="2"/>
  <c r="L142" i="2" s="1"/>
  <c r="L140" i="2"/>
  <c r="M125" i="2"/>
  <c r="K142" i="2" l="1"/>
  <c r="M142" i="2" s="1"/>
  <c r="M140" i="2"/>
  <c r="D34" i="1" l="1"/>
  <c r="D38" i="1"/>
  <c r="D37" i="1"/>
  <c r="D33" i="1"/>
  <c r="D32" i="1"/>
  <c r="D31" i="1"/>
  <c r="D35" i="1"/>
  <c r="D36" i="1"/>
  <c r="D41" i="1"/>
  <c r="D12" i="1"/>
  <c r="D18" i="1"/>
  <c r="D19" i="1"/>
  <c r="D13" i="1"/>
  <c r="D16" i="1"/>
  <c r="D15" i="1"/>
  <c r="D14" i="1"/>
  <c r="D17" i="1"/>
  <c r="D22" i="1"/>
  <c r="D10" i="1" l="1"/>
  <c r="D29" i="1"/>
  <c r="N59" i="1" l="1"/>
  <c r="M59" i="1"/>
  <c r="D21" i="1"/>
  <c r="D40" i="1" l="1"/>
  <c r="M60" i="1"/>
  <c r="N60" i="1"/>
  <c r="D11" i="1" l="1"/>
  <c r="D20" i="1" s="1"/>
  <c r="D23" i="1" s="1"/>
  <c r="D30" i="1"/>
  <c r="D39" i="1" s="1"/>
  <c r="D42" i="1" s="1"/>
  <c r="D58" i="1"/>
  <c r="D63" i="1" s="1"/>
  <c r="M49" i="1" l="1"/>
  <c r="N49" i="1"/>
  <c r="E16" i="1" l="1"/>
  <c r="E17" i="1"/>
  <c r="E19" i="1"/>
  <c r="E12" i="1"/>
  <c r="E15" i="1"/>
  <c r="E18" i="1"/>
  <c r="E13" i="1"/>
  <c r="E14" i="1"/>
  <c r="E22" i="1"/>
  <c r="E11" i="1"/>
  <c r="E32" i="1"/>
  <c r="E33" i="1"/>
  <c r="E37" i="1"/>
  <c r="E36" i="1"/>
  <c r="E34" i="1"/>
  <c r="E35" i="1"/>
  <c r="E31" i="1"/>
  <c r="E38" i="1"/>
  <c r="E41" i="1"/>
  <c r="E30" i="1"/>
  <c r="F31" i="1" l="1"/>
  <c r="F37" i="1"/>
  <c r="F33" i="1"/>
  <c r="F32" i="1"/>
  <c r="F36" i="1"/>
  <c r="F34" i="1"/>
  <c r="F35" i="1"/>
  <c r="F38" i="1"/>
  <c r="F41" i="1"/>
  <c r="F30" i="1"/>
  <c r="F12" i="1"/>
  <c r="F17" i="1"/>
  <c r="F16" i="1"/>
  <c r="F18" i="1"/>
  <c r="F15" i="1"/>
  <c r="F19" i="1"/>
  <c r="F13" i="1"/>
  <c r="F14" i="1"/>
  <c r="F22" i="1"/>
  <c r="F11" i="1"/>
  <c r="E10" i="1"/>
  <c r="E20" i="1" s="1"/>
  <c r="E58" i="1"/>
  <c r="E29" i="1"/>
  <c r="E39" i="1" s="1"/>
  <c r="E63" i="1" l="1"/>
  <c r="G13" i="1"/>
  <c r="G19" i="1"/>
  <c r="G12" i="1"/>
  <c r="G16" i="1"/>
  <c r="G18" i="1"/>
  <c r="G14" i="1"/>
  <c r="G17" i="1"/>
  <c r="G15" i="1"/>
  <c r="G22" i="1"/>
  <c r="G11" i="1"/>
  <c r="F10" i="1"/>
  <c r="F20" i="1" s="1"/>
  <c r="F58" i="1"/>
  <c r="F29" i="1"/>
  <c r="F39" i="1" s="1"/>
  <c r="E21" i="1"/>
  <c r="E23" i="1" s="1"/>
  <c r="G37" i="1"/>
  <c r="G32" i="1"/>
  <c r="G33" i="1"/>
  <c r="G38" i="1"/>
  <c r="G36" i="1"/>
  <c r="G31" i="1"/>
  <c r="G35" i="1"/>
  <c r="G34" i="1"/>
  <c r="G41" i="1"/>
  <c r="G30" i="1"/>
  <c r="H19" i="1" l="1"/>
  <c r="H15" i="1"/>
  <c r="H14" i="1"/>
  <c r="H16" i="1"/>
  <c r="H17" i="1"/>
  <c r="H13" i="1"/>
  <c r="H18" i="1"/>
  <c r="H12" i="1"/>
  <c r="H22" i="1"/>
  <c r="H11" i="1"/>
  <c r="G29" i="1"/>
  <c r="G39" i="1" s="1"/>
  <c r="G10" i="1"/>
  <c r="G20" i="1" s="1"/>
  <c r="G58" i="1"/>
  <c r="H31" i="1"/>
  <c r="H38" i="1"/>
  <c r="H34" i="1"/>
  <c r="H36" i="1"/>
  <c r="H33" i="1"/>
  <c r="H32" i="1"/>
  <c r="H35" i="1"/>
  <c r="H37" i="1"/>
  <c r="H41" i="1"/>
  <c r="H30" i="1"/>
  <c r="E40" i="1" l="1"/>
  <c r="E42" i="1" s="1"/>
  <c r="F21" i="1"/>
  <c r="F23" i="1" s="1"/>
  <c r="I36" i="1"/>
  <c r="I32" i="1"/>
  <c r="I33" i="1"/>
  <c r="I38" i="1"/>
  <c r="I35" i="1"/>
  <c r="I37" i="1"/>
  <c r="I34" i="1"/>
  <c r="I31" i="1"/>
  <c r="I41" i="1"/>
  <c r="I30" i="1"/>
  <c r="M14" i="1"/>
  <c r="I13" i="1"/>
  <c r="I18" i="1"/>
  <c r="I14" i="1"/>
  <c r="I15" i="1"/>
  <c r="I17" i="1"/>
  <c r="I19" i="1"/>
  <c r="I16" i="1"/>
  <c r="I12" i="1"/>
  <c r="I22" i="1"/>
  <c r="I11" i="1"/>
  <c r="H58" i="1"/>
  <c r="H10" i="1"/>
  <c r="H20" i="1" s="1"/>
  <c r="H29" i="1"/>
  <c r="H39" i="1" s="1"/>
  <c r="M12" i="1" l="1"/>
  <c r="M15" i="1"/>
  <c r="G63" i="1"/>
  <c r="M18" i="1"/>
  <c r="M36" i="1"/>
  <c r="J36" i="1"/>
  <c r="J35" i="1"/>
  <c r="J37" i="1"/>
  <c r="J38" i="1"/>
  <c r="J32" i="1"/>
  <c r="J31" i="1"/>
  <c r="J34" i="1"/>
  <c r="J33" i="1"/>
  <c r="J41" i="1"/>
  <c r="J30" i="1"/>
  <c r="M31" i="1"/>
  <c r="M40" i="1"/>
  <c r="M30" i="1"/>
  <c r="M34" i="1"/>
  <c r="N34" i="1"/>
  <c r="M38" i="1"/>
  <c r="M32" i="1"/>
  <c r="M35" i="1"/>
  <c r="M13" i="1"/>
  <c r="J18" i="1"/>
  <c r="J16" i="1"/>
  <c r="J12" i="1"/>
  <c r="J17" i="1"/>
  <c r="J13" i="1"/>
  <c r="J19" i="1"/>
  <c r="J15" i="1"/>
  <c r="J14" i="1"/>
  <c r="J22" i="1"/>
  <c r="J11" i="1"/>
  <c r="M11" i="1"/>
  <c r="M41" i="1"/>
  <c r="I29" i="1"/>
  <c r="I39" i="1" s="1"/>
  <c r="I10" i="1"/>
  <c r="I20" i="1" s="1"/>
  <c r="I58" i="1"/>
  <c r="M19" i="1"/>
  <c r="M22" i="1"/>
  <c r="H63" i="1"/>
  <c r="M21" i="1"/>
  <c r="M16" i="1"/>
  <c r="N19" i="1"/>
  <c r="M29" i="1"/>
  <c r="M17" i="1"/>
  <c r="M33" i="1"/>
  <c r="G40" i="1" l="1"/>
  <c r="G42" i="1" s="1"/>
  <c r="N37" i="1"/>
  <c r="H40" i="1"/>
  <c r="H42" i="1" s="1"/>
  <c r="N31" i="1"/>
  <c r="H21" i="1"/>
  <c r="H23" i="1" s="1"/>
  <c r="N40" i="1"/>
  <c r="M39" i="1"/>
  <c r="M42" i="1" s="1"/>
  <c r="N11" i="1"/>
  <c r="K18" i="1"/>
  <c r="K16" i="1"/>
  <c r="K15" i="1"/>
  <c r="K19" i="1"/>
  <c r="K14" i="1"/>
  <c r="K13" i="1"/>
  <c r="K12" i="1"/>
  <c r="K17" i="1"/>
  <c r="K22" i="1"/>
  <c r="K11" i="1"/>
  <c r="N14" i="1"/>
  <c r="N18" i="1"/>
  <c r="N21" i="1"/>
  <c r="N16" i="1"/>
  <c r="N12" i="1"/>
  <c r="N17" i="1"/>
  <c r="N22" i="1"/>
  <c r="N15" i="1"/>
  <c r="J10" i="1"/>
  <c r="J20" i="1" s="1"/>
  <c r="J58" i="1"/>
  <c r="J29" i="1"/>
  <c r="J39" i="1" s="1"/>
  <c r="M48" i="1"/>
  <c r="M58" i="1" s="1"/>
  <c r="M63" i="1" s="1"/>
  <c r="N29" i="1"/>
  <c r="M10" i="1"/>
  <c r="M20" i="1" s="1"/>
  <c r="M23" i="1" s="1"/>
  <c r="N13" i="1"/>
  <c r="K34" i="1"/>
  <c r="K35" i="1"/>
  <c r="K33" i="1"/>
  <c r="K38" i="1"/>
  <c r="K32" i="1"/>
  <c r="K31" i="1"/>
  <c r="K37" i="1"/>
  <c r="K36" i="1"/>
  <c r="K41" i="1"/>
  <c r="K30" i="1"/>
  <c r="N30" i="1"/>
  <c r="N35" i="1"/>
  <c r="N36" i="1"/>
  <c r="N38" i="1"/>
  <c r="N32" i="1"/>
  <c r="N41" i="1"/>
  <c r="I21" i="1" l="1"/>
  <c r="I23" i="1" s="1"/>
  <c r="N39" i="1"/>
  <c r="N42" i="1" s="1"/>
  <c r="N48" i="1"/>
  <c r="N58" i="1" s="1"/>
  <c r="K10" i="1"/>
  <c r="K20" i="1" s="1"/>
  <c r="K29" i="1"/>
  <c r="K39" i="1" s="1"/>
  <c r="K58" i="1"/>
  <c r="N10" i="1"/>
  <c r="N20" i="1" s="1"/>
  <c r="N23" i="1" s="1"/>
  <c r="I40" i="1" l="1"/>
  <c r="I42" i="1" s="1"/>
  <c r="J63" i="1" l="1"/>
  <c r="K40" i="1" l="1"/>
  <c r="K42" i="1" s="1"/>
  <c r="K63" i="1" l="1"/>
  <c r="K21" i="1"/>
  <c r="K23" i="1" s="1"/>
  <c r="D28" i="17" l="1"/>
  <c r="D30" i="17" s="1"/>
  <c r="F28" i="17"/>
  <c r="F30" i="17" s="1"/>
  <c r="D42" i="27"/>
  <c r="H42" i="27"/>
  <c r="I28" i="17"/>
  <c r="I30" i="17" s="1"/>
  <c r="E28" i="17"/>
  <c r="E30" i="17" s="1"/>
  <c r="K42" i="27"/>
  <c r="G42" i="27"/>
  <c r="H28" i="17"/>
  <c r="H30" i="17" s="1"/>
  <c r="J28" i="17"/>
  <c r="J30" i="17" s="1"/>
  <c r="J42" i="27"/>
  <c r="F42" i="27"/>
  <c r="G28" i="17"/>
  <c r="G30" i="17" s="1"/>
  <c r="K28" i="17"/>
  <c r="I42" i="27"/>
  <c r="E42" i="27"/>
  <c r="E31" i="17" l="1"/>
  <c r="E33" i="17" s="1"/>
  <c r="F31" i="17"/>
  <c r="F33" i="17" s="1"/>
  <c r="G31" i="17"/>
  <c r="G33" i="17" s="1"/>
  <c r="H31" i="17"/>
  <c r="H33" i="17" s="1"/>
  <c r="I31" i="17"/>
  <c r="I33" i="17" s="1"/>
  <c r="D31" i="17"/>
  <c r="D33" i="17" s="1"/>
  <c r="K45" i="27"/>
  <c r="E44" i="27"/>
  <c r="E48" i="27" s="1"/>
  <c r="F47" i="27" s="1"/>
  <c r="E45" i="27"/>
  <c r="F44" i="27"/>
  <c r="F48" i="27" s="1"/>
  <c r="G47" i="27" s="1"/>
  <c r="F45" i="27"/>
  <c r="G44" i="27"/>
  <c r="G48" i="27" s="1"/>
  <c r="H47" i="27" s="1"/>
  <c r="G45" i="27"/>
  <c r="H45" i="27"/>
  <c r="H44" i="27"/>
  <c r="H48" i="27" s="1"/>
  <c r="I47" i="27" s="1"/>
  <c r="I45" i="27"/>
  <c r="I44" i="27"/>
  <c r="I48" i="27" s="1"/>
  <c r="J47" i="27" s="1"/>
  <c r="J44" i="27"/>
  <c r="J48" i="27" s="1"/>
  <c r="K47" i="27" s="1"/>
  <c r="J45" i="27"/>
  <c r="D44" i="27"/>
  <c r="D48" i="27" s="1"/>
  <c r="D45" i="27"/>
  <c r="J54" i="27" l="1"/>
  <c r="H54" i="27"/>
  <c r="H39" i="17" s="1"/>
  <c r="G54" i="27"/>
  <c r="E47" i="27"/>
  <c r="E54" i="27" s="1"/>
  <c r="D54" i="27"/>
  <c r="I54" i="27"/>
  <c r="F54" i="27"/>
  <c r="J39" i="17" l="1"/>
  <c r="J43" i="17" s="1"/>
  <c r="H65" i="17"/>
  <c r="H43" i="17"/>
  <c r="G39" i="17"/>
  <c r="D39" i="17"/>
  <c r="F39" i="17"/>
  <c r="I39" i="17"/>
  <c r="E39" i="17"/>
  <c r="J65" i="17" l="1"/>
  <c r="I65" i="17"/>
  <c r="I43" i="17"/>
  <c r="E65" i="17"/>
  <c r="E43" i="17"/>
  <c r="G65" i="17"/>
  <c r="G43" i="17"/>
  <c r="D65" i="17"/>
  <c r="D43" i="17"/>
  <c r="F65" i="17"/>
  <c r="F43" i="17"/>
  <c r="L43" i="17" l="1"/>
  <c r="F63" i="1" l="1"/>
  <c r="I63" i="1"/>
  <c r="G21" i="1"/>
  <c r="G23" i="1" s="1"/>
  <c r="K44" i="27" l="1"/>
  <c r="K48" i="27" s="1"/>
  <c r="K54" i="27" s="1"/>
  <c r="K30" i="17" l="1"/>
  <c r="K39" i="17" l="1"/>
  <c r="K33" i="17" l="1"/>
  <c r="K43" i="17"/>
  <c r="K65" i="17"/>
  <c r="H68" i="29" l="1"/>
  <c r="D68" i="29"/>
  <c r="G68" i="29"/>
  <c r="I68" i="29"/>
  <c r="J33" i="17"/>
  <c r="M43" i="17"/>
  <c r="I81" i="29" l="1"/>
  <c r="I70" i="29"/>
  <c r="I79" i="29"/>
  <c r="D70" i="29"/>
  <c r="D79" i="29"/>
  <c r="D81" i="29"/>
  <c r="K68" i="29"/>
  <c r="E68" i="29"/>
  <c r="G70" i="29"/>
  <c r="G81" i="29"/>
  <c r="G79" i="29"/>
  <c r="H70" i="29"/>
  <c r="H81" i="29"/>
  <c r="H79" i="29"/>
  <c r="I83" i="29" l="1"/>
  <c r="H83" i="29"/>
  <c r="F68" i="29"/>
  <c r="D74" i="29"/>
  <c r="G74" i="29"/>
  <c r="D83" i="29"/>
  <c r="J68" i="29"/>
  <c r="H74" i="29"/>
  <c r="G83" i="29"/>
  <c r="E70" i="29"/>
  <c r="E79" i="29"/>
  <c r="E81" i="29"/>
  <c r="K70" i="29"/>
  <c r="I74" i="29"/>
  <c r="E83" i="29" l="1"/>
  <c r="J70" i="29"/>
  <c r="E74" i="29"/>
  <c r="K74" i="29"/>
  <c r="F79" i="29"/>
  <c r="F81" i="29"/>
  <c r="F70" i="29"/>
  <c r="J74" i="29" l="1"/>
  <c r="F83" i="29"/>
  <c r="F74" i="29"/>
  <c r="J86" i="29" l="1"/>
  <c r="K86" i="29"/>
  <c r="J37" i="29" l="1"/>
  <c r="K37" i="29"/>
  <c r="K41" i="29" l="1"/>
  <c r="K79" i="29" s="1"/>
  <c r="K49" i="29"/>
  <c r="J49" i="29"/>
  <c r="J41" i="29"/>
  <c r="J79" i="29" s="1"/>
  <c r="J88" i="29" l="1"/>
  <c r="J89" i="29" s="1"/>
  <c r="J50" i="29"/>
  <c r="J51" i="29" s="1"/>
  <c r="J53" i="29" s="1"/>
  <c r="J81" i="29" s="1"/>
  <c r="J83" i="29" s="1"/>
  <c r="K88" i="29" l="1"/>
  <c r="K89" i="29" s="1"/>
  <c r="K50" i="29"/>
  <c r="K51" i="29" s="1"/>
  <c r="K53" i="29" s="1"/>
  <c r="K81" i="29" s="1"/>
  <c r="K83" i="29" s="1"/>
  <c r="N62" i="1" s="1"/>
  <c r="N63" i="1" s="1"/>
  <c r="D90" i="2" l="1"/>
  <c r="D82" i="15" l="1"/>
  <c r="D81" i="15"/>
  <c r="I101" i="2" l="1"/>
  <c r="G101" i="2"/>
  <c r="H101" i="2"/>
  <c r="E101" i="2"/>
  <c r="D101" i="2" l="1"/>
  <c r="L23" i="2"/>
  <c r="G90" i="2" l="1"/>
  <c r="K101" i="2"/>
  <c r="E90" i="2"/>
  <c r="M23" i="2"/>
  <c r="K90" i="2"/>
  <c r="F101" i="2"/>
  <c r="H90" i="2"/>
  <c r="M12" i="2" l="1"/>
  <c r="I90" i="2"/>
  <c r="L12" i="2"/>
  <c r="L101" i="2"/>
  <c r="M101" i="2"/>
  <c r="K81" i="15"/>
  <c r="J90" i="2"/>
  <c r="H82" i="15"/>
  <c r="H81" i="15"/>
  <c r="E82" i="15"/>
  <c r="E81" i="15"/>
  <c r="F90" i="2"/>
  <c r="G82" i="15"/>
  <c r="G81" i="15"/>
  <c r="M90" i="2" l="1"/>
  <c r="L90" i="2"/>
  <c r="F81" i="15"/>
  <c r="F82" i="15"/>
  <c r="J82" i="15"/>
  <c r="J81" i="15"/>
  <c r="I81" i="15"/>
  <c r="I82" i="15"/>
  <c r="D24" i="10" l="1"/>
  <c r="G21" i="10" l="1"/>
  <c r="H21" i="10"/>
  <c r="F21" i="10" l="1"/>
  <c r="I21" i="10"/>
  <c r="K21" i="10"/>
  <c r="J21" i="10"/>
  <c r="E21" i="10" l="1"/>
  <c r="D21" i="10"/>
  <c r="D31" i="10"/>
  <c r="G24" i="10" l="1"/>
  <c r="G31" i="10"/>
  <c r="E24" i="10"/>
  <c r="E31" i="10"/>
  <c r="F24" i="10" l="1"/>
  <c r="F31" i="10"/>
  <c r="H24" i="10"/>
  <c r="H31" i="10"/>
  <c r="I24" i="10" l="1"/>
  <c r="I31" i="10"/>
  <c r="J24" i="10"/>
  <c r="J31" i="10"/>
  <c r="K24" i="10" l="1"/>
  <c r="K31" i="10"/>
  <c r="F40" i="1" l="1"/>
  <c r="F42" i="1" s="1"/>
  <c r="J21" i="1" l="1"/>
  <c r="J23" i="1" s="1"/>
  <c r="D18" i="10" l="1"/>
  <c r="D29" i="10" s="1"/>
  <c r="D47" i="10" l="1"/>
  <c r="D38" i="10"/>
  <c r="D56" i="27" s="1"/>
  <c r="E16" i="10"/>
  <c r="E18" i="10" s="1"/>
  <c r="E29" i="10" s="1"/>
  <c r="D32" i="10"/>
  <c r="F16" i="10" l="1"/>
  <c r="F18" i="10" s="1"/>
  <c r="F29" i="10" s="1"/>
  <c r="E38" i="10"/>
  <c r="E56" i="27" s="1"/>
  <c r="E47" i="10"/>
  <c r="E32" i="10"/>
  <c r="D55" i="27"/>
  <c r="D57" i="27"/>
  <c r="D63" i="27"/>
  <c r="D46" i="10"/>
  <c r="D45" i="10"/>
  <c r="E45" i="10" l="1"/>
  <c r="E63" i="27"/>
  <c r="E46" i="10"/>
  <c r="D54" i="10"/>
  <c r="D50" i="10"/>
  <c r="D58" i="10" s="1"/>
  <c r="E55" i="27"/>
  <c r="E57" i="27"/>
  <c r="D61" i="27"/>
  <c r="D64" i="27" s="1"/>
  <c r="D62" i="27"/>
  <c r="D47" i="29"/>
  <c r="D59" i="27"/>
  <c r="D53" i="10"/>
  <c r="D55" i="10" s="1"/>
  <c r="D49" i="10"/>
  <c r="G16" i="10"/>
  <c r="G18" i="10" s="1"/>
  <c r="G29" i="10" s="1"/>
  <c r="F47" i="10"/>
  <c r="F32" i="10"/>
  <c r="F38" i="10"/>
  <c r="E50" i="10" l="1"/>
  <c r="E58" i="10" s="1"/>
  <c r="E54" i="10"/>
  <c r="D66" i="27"/>
  <c r="D63" i="17"/>
  <c r="H16" i="10"/>
  <c r="H18" i="10" s="1"/>
  <c r="H29" i="10" s="1"/>
  <c r="G32" i="10"/>
  <c r="G38" i="10"/>
  <c r="G56" i="27" s="1"/>
  <c r="G47" i="10"/>
  <c r="E62" i="27"/>
  <c r="E61" i="27"/>
  <c r="E64" i="27" s="1"/>
  <c r="F46" i="10"/>
  <c r="F45" i="10"/>
  <c r="F63" i="27"/>
  <c r="E47" i="29"/>
  <c r="E59" i="27"/>
  <c r="F56" i="27"/>
  <c r="D57" i="10"/>
  <c r="D59" i="10" s="1"/>
  <c r="D51" i="10"/>
  <c r="D80" i="17"/>
  <c r="E49" i="10"/>
  <c r="E53" i="10"/>
  <c r="E55" i="10" s="1"/>
  <c r="G57" i="27" l="1"/>
  <c r="G55" i="27"/>
  <c r="D86" i="17"/>
  <c r="D70" i="17"/>
  <c r="D66" i="17"/>
  <c r="D67" i="17" s="1"/>
  <c r="D69" i="17" s="1"/>
  <c r="F50" i="10"/>
  <c r="F58" i="10" s="1"/>
  <c r="F54" i="10"/>
  <c r="G45" i="10"/>
  <c r="G46" i="10"/>
  <c r="G63" i="27"/>
  <c r="E66" i="27"/>
  <c r="E63" i="17"/>
  <c r="F57" i="27"/>
  <c r="F62" i="27" s="1"/>
  <c r="F55" i="27"/>
  <c r="F49" i="10"/>
  <c r="F53" i="10"/>
  <c r="E80" i="17"/>
  <c r="E57" i="10"/>
  <c r="E59" i="10" s="1"/>
  <c r="E51" i="10"/>
  <c r="H38" i="10"/>
  <c r="H56" i="27" s="1"/>
  <c r="I16" i="10"/>
  <c r="I18" i="10" s="1"/>
  <c r="I29" i="10" s="1"/>
  <c r="H47" i="10"/>
  <c r="H32" i="10"/>
  <c r="F55" i="10" l="1"/>
  <c r="F59" i="27"/>
  <c r="F47" i="29"/>
  <c r="G54" i="10"/>
  <c r="G50" i="10"/>
  <c r="G58" i="10" s="1"/>
  <c r="D88" i="17"/>
  <c r="D90" i="17" s="1"/>
  <c r="H57" i="27"/>
  <c r="H55" i="27"/>
  <c r="H63" i="27"/>
  <c r="H45" i="10"/>
  <c r="H46" i="10"/>
  <c r="F61" i="27"/>
  <c r="F64" i="27" s="1"/>
  <c r="E66" i="17"/>
  <c r="E67" i="17" s="1"/>
  <c r="E69" i="17" s="1"/>
  <c r="E70" i="17"/>
  <c r="G53" i="10"/>
  <c r="G55" i="10" s="1"/>
  <c r="G49" i="10"/>
  <c r="G61" i="27"/>
  <c r="G64" i="27" s="1"/>
  <c r="G62" i="27"/>
  <c r="E86" i="17"/>
  <c r="I47" i="10"/>
  <c r="I38" i="10"/>
  <c r="I56" i="27" s="1"/>
  <c r="J16" i="10"/>
  <c r="J18" i="10" s="1"/>
  <c r="J29" i="10" s="1"/>
  <c r="I32" i="10"/>
  <c r="F51" i="10"/>
  <c r="F80" i="17"/>
  <c r="F57" i="10"/>
  <c r="F59" i="10" s="1"/>
  <c r="G47" i="29"/>
  <c r="G59" i="27"/>
  <c r="E88" i="17" l="1"/>
  <c r="E90" i="17" s="1"/>
  <c r="F86" i="17"/>
  <c r="I55" i="27"/>
  <c r="I57" i="27"/>
  <c r="H49" i="10"/>
  <c r="H53" i="10"/>
  <c r="I63" i="27"/>
  <c r="I45" i="10"/>
  <c r="I46" i="10"/>
  <c r="G66" i="27"/>
  <c r="G63" i="17"/>
  <c r="H62" i="27"/>
  <c r="H61" i="27"/>
  <c r="H64" i="27" s="1"/>
  <c r="G80" i="17"/>
  <c r="G57" i="10"/>
  <c r="G59" i="10" s="1"/>
  <c r="G51" i="10"/>
  <c r="F63" i="17"/>
  <c r="F66" i="27"/>
  <c r="J38" i="10"/>
  <c r="J56" i="27" s="1"/>
  <c r="K16" i="10"/>
  <c r="K18" i="10" s="1"/>
  <c r="K29" i="10" s="1"/>
  <c r="J47" i="10"/>
  <c r="H54" i="10"/>
  <c r="H50" i="10"/>
  <c r="H58" i="10" s="1"/>
  <c r="H47" i="29"/>
  <c r="H59" i="27"/>
  <c r="J63" i="27" l="1"/>
  <c r="J46" i="10"/>
  <c r="J45" i="10"/>
  <c r="F66" i="17"/>
  <c r="F67" i="17" s="1"/>
  <c r="F69" i="17" s="1"/>
  <c r="F70" i="17"/>
  <c r="K47" i="10"/>
  <c r="K38" i="10"/>
  <c r="K56" i="27" s="1"/>
  <c r="H66" i="27"/>
  <c r="H63" i="17"/>
  <c r="I54" i="10"/>
  <c r="I50" i="10"/>
  <c r="I58" i="10" s="1"/>
  <c r="H80" i="17"/>
  <c r="H51" i="10"/>
  <c r="H57" i="10"/>
  <c r="H59" i="10" s="1"/>
  <c r="J57" i="27"/>
  <c r="J55" i="27"/>
  <c r="I53" i="10"/>
  <c r="I49" i="10"/>
  <c r="I59" i="27"/>
  <c r="I47" i="29"/>
  <c r="G86" i="17"/>
  <c r="G66" i="17"/>
  <c r="G67" i="17" s="1"/>
  <c r="G69" i="17" s="1"/>
  <c r="G70" i="17"/>
  <c r="I62" i="27"/>
  <c r="I61" i="27"/>
  <c r="I64" i="27" s="1"/>
  <c r="H55" i="10"/>
  <c r="H86" i="17" l="1"/>
  <c r="F88" i="17"/>
  <c r="J47" i="29"/>
  <c r="J59" i="27"/>
  <c r="K57" i="27"/>
  <c r="K55" i="27"/>
  <c r="J49" i="10"/>
  <c r="J53" i="10"/>
  <c r="I66" i="27"/>
  <c r="I63" i="17"/>
  <c r="I80" i="17"/>
  <c r="I51" i="10"/>
  <c r="I57" i="10"/>
  <c r="I59" i="10" s="1"/>
  <c r="K63" i="27"/>
  <c r="K46" i="10"/>
  <c r="K45" i="10"/>
  <c r="J50" i="10"/>
  <c r="J58" i="10" s="1"/>
  <c r="J54" i="10"/>
  <c r="G88" i="17"/>
  <c r="G90" i="17" s="1"/>
  <c r="I55" i="10"/>
  <c r="H66" i="17"/>
  <c r="H67" i="17" s="1"/>
  <c r="H69" i="17" s="1"/>
  <c r="H70" i="17"/>
  <c r="J62" i="27"/>
  <c r="M37" i="1" s="1"/>
  <c r="J61" i="27"/>
  <c r="J64" i="27" s="1"/>
  <c r="H88" i="17" l="1"/>
  <c r="H90" i="17" s="1"/>
  <c r="F90" i="17"/>
  <c r="J63" i="17"/>
  <c r="J66" i="27"/>
  <c r="K49" i="10"/>
  <c r="K53" i="10"/>
  <c r="K54" i="10"/>
  <c r="K50" i="10"/>
  <c r="K58" i="10" s="1"/>
  <c r="I86" i="17"/>
  <c r="J55" i="10"/>
  <c r="I66" i="17"/>
  <c r="I67" i="17" s="1"/>
  <c r="I69" i="17" s="1"/>
  <c r="I70" i="17"/>
  <c r="K59" i="27"/>
  <c r="K47" i="29"/>
  <c r="K61" i="27"/>
  <c r="K64" i="27" s="1"/>
  <c r="K62" i="27"/>
  <c r="N33" i="1" s="1"/>
  <c r="J57" i="10"/>
  <c r="J59" i="10" s="1"/>
  <c r="J80" i="17"/>
  <c r="L80" i="17" s="1"/>
  <c r="J51" i="10"/>
  <c r="K55" i="10" l="1"/>
  <c r="J66" i="17"/>
  <c r="J67" i="17" s="1"/>
  <c r="J69" i="17" s="1"/>
  <c r="J70" i="17"/>
  <c r="L70" i="17" s="1"/>
  <c r="L69" i="17"/>
  <c r="I88" i="17"/>
  <c r="I90" i="17" s="1"/>
  <c r="K63" i="17"/>
  <c r="K66" i="27"/>
  <c r="J86" i="17"/>
  <c r="K57" i="10"/>
  <c r="K59" i="10" s="1"/>
  <c r="K80" i="17"/>
  <c r="K51" i="10"/>
  <c r="J88" i="17" l="1"/>
  <c r="L88" i="17" s="1"/>
  <c r="K66" i="17"/>
  <c r="K67" i="17" s="1"/>
  <c r="K69" i="17" s="1"/>
  <c r="M69" i="17" s="1"/>
  <c r="K70" i="17"/>
  <c r="M70" i="17" s="1"/>
  <c r="K86" i="17"/>
  <c r="L86" i="17"/>
  <c r="J90" i="17"/>
  <c r="J40" i="1" s="1"/>
  <c r="J42" i="1" s="1"/>
  <c r="M80" i="17"/>
  <c r="K88" i="17" l="1"/>
  <c r="M88" i="17" s="1"/>
  <c r="M86" i="17"/>
  <c r="L90" i="17"/>
  <c r="K90" i="17" l="1"/>
  <c r="M90" i="17" s="1"/>
  <c r="D91" i="2" l="1"/>
  <c r="D14" i="2"/>
  <c r="D18" i="2" l="1"/>
  <c r="D19" i="2"/>
  <c r="D92" i="2"/>
  <c r="D96" i="2" l="1"/>
  <c r="D97" i="2"/>
  <c r="G91" i="2" l="1"/>
  <c r="G92" i="2" s="1"/>
  <c r="G14" i="2"/>
  <c r="H91" i="2"/>
  <c r="H92" i="2" s="1"/>
  <c r="H14" i="2"/>
  <c r="E91" i="2"/>
  <c r="E14" i="2"/>
  <c r="M13" i="2"/>
  <c r="L13" i="2"/>
  <c r="L14" i="2" s="1"/>
  <c r="I91" i="2"/>
  <c r="I92" i="2" s="1"/>
  <c r="I14" i="2"/>
  <c r="F91" i="2"/>
  <c r="F92" i="2" s="1"/>
  <c r="F14" i="2"/>
  <c r="J91" i="2"/>
  <c r="J92" i="2" s="1"/>
  <c r="J14" i="2"/>
  <c r="K91" i="2"/>
  <c r="K92" i="2" s="1"/>
  <c r="K14" i="2"/>
  <c r="M14" i="2" l="1"/>
  <c r="J19" i="2"/>
  <c r="J18" i="2"/>
  <c r="I18" i="2"/>
  <c r="I19" i="2"/>
  <c r="E92" i="2"/>
  <c r="M91" i="2"/>
  <c r="M92" i="2" s="1"/>
  <c r="L91" i="2"/>
  <c r="L92" i="2" s="1"/>
  <c r="H18" i="2"/>
  <c r="H19" i="2"/>
  <c r="H97" i="2"/>
  <c r="H96" i="2"/>
  <c r="J97" i="2"/>
  <c r="J96" i="2"/>
  <c r="I96" i="2"/>
  <c r="I97" i="2"/>
  <c r="K19" i="2"/>
  <c r="K18" i="2"/>
  <c r="F19" i="2"/>
  <c r="F18" i="2"/>
  <c r="G18" i="2"/>
  <c r="G19" i="2"/>
  <c r="K97" i="2"/>
  <c r="K96" i="2"/>
  <c r="F96" i="2"/>
  <c r="F97" i="2"/>
  <c r="E18" i="2"/>
  <c r="E19" i="2"/>
  <c r="G97" i="2"/>
  <c r="G96" i="2"/>
  <c r="L19" i="2" l="1"/>
  <c r="M19" i="2"/>
  <c r="M18" i="2"/>
  <c r="L18" i="2"/>
  <c r="E97" i="2"/>
  <c r="E96" i="2"/>
  <c r="M97" i="2" l="1"/>
  <c r="L97" i="2"/>
  <c r="L96" i="2"/>
  <c r="M96" i="2"/>
  <c r="H100" i="2" l="1"/>
  <c r="H106" i="2" s="1"/>
  <c r="H28" i="2"/>
  <c r="F100" i="2"/>
  <c r="F106" i="2" s="1"/>
  <c r="F28" i="2"/>
  <c r="D100" i="2"/>
  <c r="D28" i="2"/>
  <c r="J100" i="2"/>
  <c r="J106" i="2" s="1"/>
  <c r="J28" i="2"/>
  <c r="F31" i="2" l="1"/>
  <c r="F30" i="2"/>
  <c r="F34" i="2" s="1"/>
  <c r="G100" i="2"/>
  <c r="G106" i="2" s="1"/>
  <c r="G28" i="2"/>
  <c r="E100" i="2"/>
  <c r="E28" i="2"/>
  <c r="M22" i="2"/>
  <c r="F109" i="2"/>
  <c r="F113" i="2" s="1"/>
  <c r="F148" i="2" s="1"/>
  <c r="F108" i="2"/>
  <c r="F112" i="2" s="1"/>
  <c r="J109" i="2"/>
  <c r="J113" i="2" s="1"/>
  <c r="J148" i="2" s="1"/>
  <c r="J108" i="2"/>
  <c r="J112" i="2" s="1"/>
  <c r="I100" i="2"/>
  <c r="I106" i="2" s="1"/>
  <c r="I28" i="2"/>
  <c r="K100" i="2"/>
  <c r="K106" i="2" s="1"/>
  <c r="K28" i="2"/>
  <c r="D30" i="2"/>
  <c r="D31" i="2"/>
  <c r="L28" i="2"/>
  <c r="J30" i="2"/>
  <c r="J34" i="2" s="1"/>
  <c r="J31" i="2"/>
  <c r="J35" i="2" s="1"/>
  <c r="J70" i="2" s="1"/>
  <c r="L22" i="2"/>
  <c r="H30" i="2"/>
  <c r="H34" i="2" s="1"/>
  <c r="H31" i="2"/>
  <c r="H35" i="2" s="1"/>
  <c r="H70" i="2" s="1"/>
  <c r="D106" i="2"/>
  <c r="H108" i="2"/>
  <c r="H112" i="2" s="1"/>
  <c r="H109" i="2"/>
  <c r="H113" i="2" s="1"/>
  <c r="H148" i="2" s="1"/>
  <c r="M28" i="2" l="1"/>
  <c r="D108" i="2"/>
  <c r="D109" i="2"/>
  <c r="J69" i="2"/>
  <c r="J71" i="2" s="1"/>
  <c r="J36" i="2"/>
  <c r="D34" i="2"/>
  <c r="I109" i="2"/>
  <c r="I113" i="2" s="1"/>
  <c r="I148" i="2" s="1"/>
  <c r="I108" i="2"/>
  <c r="I112" i="2" s="1"/>
  <c r="G30" i="2"/>
  <c r="G34" i="2" s="1"/>
  <c r="G31" i="2"/>
  <c r="G35" i="2" s="1"/>
  <c r="G70" i="2" s="1"/>
  <c r="H114" i="2"/>
  <c r="H147" i="2"/>
  <c r="H149" i="2" s="1"/>
  <c r="H69" i="2"/>
  <c r="H71" i="2" s="1"/>
  <c r="H36" i="2"/>
  <c r="K30" i="2"/>
  <c r="K31" i="2"/>
  <c r="K35" i="2" s="1"/>
  <c r="K70" i="2" s="1"/>
  <c r="J147" i="2"/>
  <c r="J149" i="2" s="1"/>
  <c r="J114" i="2"/>
  <c r="G109" i="2"/>
  <c r="G113" i="2" s="1"/>
  <c r="G148" i="2" s="1"/>
  <c r="G108" i="2"/>
  <c r="G112" i="2" s="1"/>
  <c r="K108" i="2"/>
  <c r="K109" i="2"/>
  <c r="E31" i="2"/>
  <c r="E35" i="2" s="1"/>
  <c r="E70" i="2" s="1"/>
  <c r="E30" i="2"/>
  <c r="E34" i="2" s="1"/>
  <c r="F69" i="2"/>
  <c r="M100" i="2"/>
  <c r="D35" i="2"/>
  <c r="I31" i="2"/>
  <c r="I35" i="2" s="1"/>
  <c r="I70" i="2" s="1"/>
  <c r="I30" i="2"/>
  <c r="I34" i="2" s="1"/>
  <c r="F147" i="2"/>
  <c r="F149" i="2" s="1"/>
  <c r="F114" i="2"/>
  <c r="L100" i="2"/>
  <c r="E106" i="2"/>
  <c r="F35" i="2"/>
  <c r="F70" i="2" s="1"/>
  <c r="M106" i="2" l="1"/>
  <c r="L106" i="2"/>
  <c r="L30" i="2"/>
  <c r="M31" i="2"/>
  <c r="L31" i="2"/>
  <c r="F36" i="2"/>
  <c r="K113" i="2"/>
  <c r="K148" i="2" s="1"/>
  <c r="D69" i="2"/>
  <c r="D36" i="2"/>
  <c r="L34" i="2"/>
  <c r="D70" i="2"/>
  <c r="L35" i="2"/>
  <c r="M35" i="2"/>
  <c r="E69" i="2"/>
  <c r="E71" i="2" s="1"/>
  <c r="E36" i="2"/>
  <c r="G114" i="2"/>
  <c r="G147" i="2"/>
  <c r="G149" i="2" s="1"/>
  <c r="I114" i="2"/>
  <c r="I147" i="2"/>
  <c r="I149" i="2" s="1"/>
  <c r="D113" i="2"/>
  <c r="F71" i="2"/>
  <c r="K112" i="2"/>
  <c r="G69" i="2"/>
  <c r="G71" i="2" s="1"/>
  <c r="G36" i="2"/>
  <c r="E108" i="2"/>
  <c r="E112" i="2" s="1"/>
  <c r="E109" i="2"/>
  <c r="E113" i="2" s="1"/>
  <c r="E148" i="2" s="1"/>
  <c r="I69" i="2"/>
  <c r="I71" i="2" s="1"/>
  <c r="I36" i="2"/>
  <c r="M30" i="2"/>
  <c r="K34" i="2"/>
  <c r="M34" i="2" s="1"/>
  <c r="D112" i="2"/>
  <c r="E147" i="2" l="1"/>
  <c r="E149" i="2" s="1"/>
  <c r="E114" i="2"/>
  <c r="M108" i="2"/>
  <c r="L36" i="2"/>
  <c r="L70" i="2"/>
  <c r="M70" i="2"/>
  <c r="D71" i="2"/>
  <c r="L69" i="2"/>
  <c r="D147" i="2"/>
  <c r="D114" i="2"/>
  <c r="M112" i="2"/>
  <c r="L112" i="2"/>
  <c r="L71" i="2"/>
  <c r="L108" i="2"/>
  <c r="D148" i="2"/>
  <c r="L113" i="2"/>
  <c r="M113" i="2"/>
  <c r="M109" i="2"/>
  <c r="K36" i="2"/>
  <c r="M36" i="2" s="1"/>
  <c r="K69" i="2"/>
  <c r="K71" i="2" s="1"/>
  <c r="K114" i="2"/>
  <c r="K147" i="2"/>
  <c r="K149" i="2" s="1"/>
  <c r="L109" i="2"/>
  <c r="M148" i="2" l="1"/>
  <c r="L148" i="2"/>
  <c r="M114" i="2"/>
  <c r="L114" i="2"/>
  <c r="M71" i="2"/>
  <c r="D149" i="2"/>
  <c r="M147" i="2"/>
  <c r="L147" i="2"/>
  <c r="M69" i="2"/>
  <c r="M149" i="2" l="1"/>
  <c r="L149" i="2"/>
</calcChain>
</file>

<file path=xl/sharedStrings.xml><?xml version="1.0" encoding="utf-8"?>
<sst xmlns="http://schemas.openxmlformats.org/spreadsheetml/2006/main" count="1377" uniqueCount="611">
  <si>
    <t>Regulatory Financial Performance Report</t>
  </si>
  <si>
    <t>Licensee</t>
  </si>
  <si>
    <t>NGET (SO)</t>
  </si>
  <si>
    <t>Input cells</t>
  </si>
  <si>
    <t>Sector</t>
  </si>
  <si>
    <t>Totals cells (of formula within worksheet)</t>
  </si>
  <si>
    <t>Reporting Year:
(enter 2014 for 2013-14)</t>
  </si>
  <si>
    <t>Referencing to other worksheets</t>
  </si>
  <si>
    <t>Version (Number)</t>
  </si>
  <si>
    <t>Referencing to other workbooks</t>
  </si>
  <si>
    <t>Submitted Date:</t>
  </si>
  <si>
    <t>Check cells</t>
  </si>
  <si>
    <t>Cost of Equity</t>
  </si>
  <si>
    <t>No Input</t>
  </si>
  <si>
    <t>Sharing Factor</t>
  </si>
  <si>
    <t>Descriptions and pack data</t>
  </si>
  <si>
    <t>Notional Gearing</t>
  </si>
  <si>
    <t>RIIO-1 start date</t>
  </si>
  <si>
    <t>Materiality £m</t>
  </si>
  <si>
    <t>Price basis</t>
  </si>
  <si>
    <t>Network Operator Data</t>
  </si>
  <si>
    <t>2017-18</t>
  </si>
  <si>
    <t>2018-19</t>
  </si>
  <si>
    <t>2019-20</t>
  </si>
  <si>
    <t>2020-21</t>
  </si>
  <si>
    <t>2021-22</t>
  </si>
  <si>
    <t>2022-23</t>
  </si>
  <si>
    <t>RPI Index</t>
  </si>
  <si>
    <t>Reporting year</t>
  </si>
  <si>
    <t>Actual / Forecast index</t>
  </si>
  <si>
    <t>Financial Year Average RPI
(RPIt)</t>
  </si>
  <si>
    <t>Year end RPI</t>
  </si>
  <si>
    <t>Corp. Tax</t>
  </si>
  <si>
    <t>2009-10</t>
  </si>
  <si>
    <t>2010-11</t>
  </si>
  <si>
    <t>2011-12</t>
  </si>
  <si>
    <t>2012-13</t>
  </si>
  <si>
    <t>2013-14</t>
  </si>
  <si>
    <t>2014-15</t>
  </si>
  <si>
    <t>2015-16</t>
  </si>
  <si>
    <t>2016-17</t>
  </si>
  <si>
    <t>NG updated May 2020</t>
  </si>
  <si>
    <t>2023-24</t>
  </si>
  <si>
    <t>2024-25</t>
  </si>
  <si>
    <t>2025-26</t>
  </si>
  <si>
    <t>Financial Year Average RPI (RPIt)</t>
  </si>
  <si>
    <t>1 year change in Fin Year Ave RPI</t>
  </si>
  <si>
    <t>HMT Forecasts for UK Economy - M3 New Forecasts RPI</t>
  </si>
  <si>
    <t>Calendar Year</t>
  </si>
  <si>
    <t>Source</t>
  </si>
  <si>
    <t>M3 New Forecasts RPI</t>
  </si>
  <si>
    <t>May 2020 Publication</t>
  </si>
  <si>
    <t>Forecast growth rate</t>
  </si>
  <si>
    <t>Reporting Year</t>
  </si>
  <si>
    <t>Future inflation assumption</t>
  </si>
  <si>
    <t>RIIO1</t>
  </si>
  <si>
    <t>ED</t>
  </si>
  <si>
    <t>£m 12/13</t>
  </si>
  <si>
    <t>Totex</t>
  </si>
  <si>
    <t>n/a</t>
  </si>
  <si>
    <t>ET</t>
  </si>
  <si>
    <t>£m 09/10</t>
  </si>
  <si>
    <t>GD</t>
  </si>
  <si>
    <t>Totex excluding repex</t>
  </si>
  <si>
    <t>Repex</t>
  </si>
  <si>
    <t>GT</t>
  </si>
  <si>
    <t>Totex (non-'uncertainty rate')</t>
  </si>
  <si>
    <t>Uncertainty rate</t>
  </si>
  <si>
    <t>Allowed cost of debt %</t>
  </si>
  <si>
    <t>[Updated data to follow]</t>
  </si>
  <si>
    <t>WPD</t>
  </si>
  <si>
    <t>ED - excluding WPD</t>
  </si>
  <si>
    <t>SHET</t>
  </si>
  <si>
    <t>ET - excluding SHET</t>
  </si>
  <si>
    <t>NG Updated</t>
  </si>
  <si>
    <t>Allowed 
Cost of Equity</t>
  </si>
  <si>
    <t>TIM Incentive Strength</t>
  </si>
  <si>
    <t>Gearing</t>
  </si>
  <si>
    <t>Main Cap. Rate</t>
  </si>
  <si>
    <t>RIIO1 start date</t>
  </si>
  <si>
    <t>Price Basis</t>
  </si>
  <si>
    <t>Fast Tracked</t>
  </si>
  <si>
    <t>IQI pre or post tax</t>
  </si>
  <si>
    <t>Allowed cost of debt</t>
  </si>
  <si>
    <t>Default</t>
  </si>
  <si>
    <t>ENWL</t>
  </si>
  <si>
    <t>No</t>
  </si>
  <si>
    <t>Post</t>
  </si>
  <si>
    <t>NPgN</t>
  </si>
  <si>
    <t>NPgY</t>
  </si>
  <si>
    <t>UKPN-EPN</t>
  </si>
  <si>
    <t>UKPN-LPN</t>
  </si>
  <si>
    <t>UKPN-SPN</t>
  </si>
  <si>
    <t>SPD</t>
  </si>
  <si>
    <t>SPMW</t>
  </si>
  <si>
    <t>SSEH</t>
  </si>
  <si>
    <t>SSES</t>
  </si>
  <si>
    <t>WPD-EMID</t>
  </si>
  <si>
    <t>Yes</t>
  </si>
  <si>
    <t>Pre</t>
  </si>
  <si>
    <t>WPD-WMID</t>
  </si>
  <si>
    <t>WPD-SWALES</t>
  </si>
  <si>
    <t>WPD-SWEST</t>
  </si>
  <si>
    <t>Cadent-EOE</t>
  </si>
  <si>
    <t>Cadent-London</t>
  </si>
  <si>
    <t>Cadent-WM</t>
  </si>
  <si>
    <t>Cadent-NW</t>
  </si>
  <si>
    <t>NGN</t>
  </si>
  <si>
    <t>SGN - Scotland</t>
  </si>
  <si>
    <t>SGN - Southern</t>
  </si>
  <si>
    <t>WWU</t>
  </si>
  <si>
    <t>NGGT (TO)</t>
  </si>
  <si>
    <t>NGGT (SO)</t>
  </si>
  <si>
    <t>NGET (TO)</t>
  </si>
  <si>
    <t>SPT</t>
  </si>
  <si>
    <t>GD: Capitalised share of repex / GT: Uncertainty Rate</t>
  </si>
  <si>
    <t>IQI Additional Income</t>
  </si>
  <si>
    <t>Output incentives for each sector used to populate R5</t>
  </si>
  <si>
    <t>Input for R5 - Output Incentives</t>
  </si>
  <si>
    <t>Broad measure of customer service</t>
  </si>
  <si>
    <t>Interruptions-related quality of service</t>
  </si>
  <si>
    <t>Incentive on connections engagement</t>
  </si>
  <si>
    <t>Time to Connect Incentive</t>
  </si>
  <si>
    <t>Losses discretionary reward scheme</t>
  </si>
  <si>
    <t xml:space="preserve">Broad Measure of Customer Satisfaction </t>
  </si>
  <si>
    <t>Shrinkage Allowance Revenue Adjustment</t>
  </si>
  <si>
    <t xml:space="preserve">Environment Emissions Incentive </t>
  </si>
  <si>
    <t>Discretionary Reward Scheme</t>
  </si>
  <si>
    <t>NTS Exit Capacity</t>
  </si>
  <si>
    <t>Stakeholder Satisfaction Output</t>
  </si>
  <si>
    <t>Constraint management</t>
  </si>
  <si>
    <t>Permits revenue adjustment</t>
  </si>
  <si>
    <t>Transportation Support Services</t>
  </si>
  <si>
    <t>Shrinkage incentive</t>
  </si>
  <si>
    <t>Residual balancing</t>
  </si>
  <si>
    <t>Quality of demand forecasting</t>
  </si>
  <si>
    <t>Greenhouse gas incentive</t>
  </si>
  <si>
    <t>Maintenance incentive</t>
  </si>
  <si>
    <t>Network Reliability Incentive</t>
  </si>
  <si>
    <t>Electricity Market Reform incentive revenue</t>
  </si>
  <si>
    <t>Balancing Services Incentive Scheme</t>
  </si>
  <si>
    <t>Balancing Services Incentive Scheme / ESO Incentive Scheme 18/19</t>
  </si>
  <si>
    <t>SF6 Emissions</t>
  </si>
  <si>
    <t>Renewable wind forecasting incentive</t>
  </si>
  <si>
    <t>Environmental Discretionary Reward</t>
  </si>
  <si>
    <t xml:space="preserve">Performance re offers of timely connection </t>
  </si>
  <si>
    <t>All incentive performance recognised in t+2 allowed revenue - except TTC (t+3) and LDR (t+1) in ED</t>
  </si>
  <si>
    <t>Time to Connect Incentive revenue adjustment</t>
  </si>
  <si>
    <t>t+3</t>
  </si>
  <si>
    <t>Losses discretionary reward scheme revenue adjustment</t>
  </si>
  <si>
    <t>t+1</t>
  </si>
  <si>
    <t>Bond or loan types</t>
  </si>
  <si>
    <t>Fixed rate</t>
  </si>
  <si>
    <t>Floating</t>
  </si>
  <si>
    <t>Inflation-linked</t>
  </si>
  <si>
    <t>Reference rate</t>
  </si>
  <si>
    <t>Not applicable</t>
  </si>
  <si>
    <t>LIBOR 3 month</t>
  </si>
  <si>
    <t>LIBOR 6 month</t>
  </si>
  <si>
    <t>EURIBOR 3 month</t>
  </si>
  <si>
    <t>BOE base rate</t>
  </si>
  <si>
    <t>RPI 12 month</t>
  </si>
  <si>
    <t>CPI 12 month</t>
  </si>
  <si>
    <t>Currency</t>
  </si>
  <si>
    <t>GBP</t>
  </si>
  <si>
    <t>EUR</t>
  </si>
  <si>
    <t>USD</t>
  </si>
  <si>
    <t>HKD</t>
  </si>
  <si>
    <t>CAD</t>
  </si>
  <si>
    <t>Rank</t>
  </si>
  <si>
    <t>Senior</t>
  </si>
  <si>
    <t>Junior</t>
  </si>
  <si>
    <t>Hedged</t>
  </si>
  <si>
    <t>Yes - fully hedged</t>
  </si>
  <si>
    <t>Yes - partially hedged</t>
  </si>
  <si>
    <t>Special features</t>
  </si>
  <si>
    <t>Callable</t>
  </si>
  <si>
    <t>Puttable</t>
  </si>
  <si>
    <t>Counterparty</t>
  </si>
  <si>
    <t>EIB</t>
  </si>
  <si>
    <t>RBS</t>
  </si>
  <si>
    <t>Swap legs</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</si>
  <si>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</si>
  <si>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</si>
  <si>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</si>
  <si>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</si>
  <si>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</si>
  <si>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</si>
  <si>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</si>
  <si>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</si>
  <si>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</si>
  <si>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</si>
  <si>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</si>
  <si>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</si>
  <si>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</si>
  <si>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</si>
  <si>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</si>
  <si>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</si>
  <si>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R1 - RoRE</t>
  </si>
  <si>
    <t>R2 - Revenue</t>
  </si>
  <si>
    <t>R3 - Rec to totex</t>
  </si>
  <si>
    <t>R4 - Totex</t>
  </si>
  <si>
    <t>R5 - Output Incentives</t>
  </si>
  <si>
    <t>R6 - Innovation</t>
  </si>
  <si>
    <t>R7 - Financing</t>
  </si>
  <si>
    <t>R8 - Net Debt</t>
  </si>
  <si>
    <t>R9 - RAV</t>
  </si>
  <si>
    <t>R10 - Tax</t>
  </si>
  <si>
    <t>R11 - Dividends</t>
  </si>
  <si>
    <t>R12 - Pensions</t>
  </si>
  <si>
    <t>R13 - Other Activities</t>
  </si>
  <si>
    <t>Change log</t>
  </si>
  <si>
    <t>Version</t>
  </si>
  <si>
    <t>Table Reference</t>
  </si>
  <si>
    <t>Changes made to RFPR template</t>
  </si>
  <si>
    <t>R8</t>
  </si>
  <si>
    <t>Row 26 added to pick up unamortised issues costs row in table R8a.</t>
  </si>
  <si>
    <t>Row 42 updated to include new row 26 (unamortised issue costs) in the subtotal</t>
  </si>
  <si>
    <t>R1</t>
  </si>
  <si>
    <t>Amended formating to percentages (Column M:N, rows 10-23 and rows 29-42)</t>
  </si>
  <si>
    <t>R7</t>
  </si>
  <si>
    <t>B29 to add "Net Interest" into the title to make it clear that this should include regulatory definition of net interest associated with new/refinanced debt raised in future years</t>
  </si>
  <si>
    <t>Row 47 added to allow input of issuance expenses forecast for new/refinanced debt in future years</t>
  </si>
  <si>
    <t>R8a</t>
  </si>
  <si>
    <t>Additional row added for restricted cash balances in table R8a in row 18, guidance updated.</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</si>
  <si>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</si>
  <si>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</si>
  <si>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</si>
  <si>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</si>
  <si>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</si>
  <si>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</si>
  <si>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</si>
  <si>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</si>
  <si>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</si>
  <si>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</si>
  <si>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</si>
  <si>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</si>
  <si>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</si>
  <si>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</si>
  <si>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</si>
  <si>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</si>
  <si>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</si>
  <si>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</si>
  <si>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</si>
  <si>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</si>
  <si>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Changed the format of Column Q to be a RPI number to two decimal places, instead of a percentage</t>
  </si>
  <si>
    <t>R1 - Return on Regulatory Equity (RoRE)</t>
  </si>
  <si>
    <t>RIIO-1 period</t>
  </si>
  <si>
    <t>RoRE based on Notional Gearing</t>
  </si>
  <si>
    <t>Allowed Equity Return</t>
  </si>
  <si>
    <t>%</t>
  </si>
  <si>
    <t>RoRE based on Actual Gearing</t>
  </si>
  <si>
    <t>Debt performance - at actual gearing</t>
  </si>
  <si>
    <t>Tax performance - at actual gearing</t>
  </si>
  <si>
    <t>RoRE input values</t>
  </si>
  <si>
    <t>Equity Return on the RAV</t>
  </si>
  <si>
    <t>Totex outperformance</t>
  </si>
  <si>
    <t>IQI Reward</t>
  </si>
  <si>
    <t xml:space="preserve">Network Innovation </t>
  </si>
  <si>
    <t>Penalties and fines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</si>
  <si>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</si>
  <si>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</si>
  <si>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</si>
  <si>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</si>
  <si>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</si>
  <si>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</si>
  <si>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element of RAV</t>
  </si>
  <si>
    <t>Equity RAV based on actual gearing</t>
  </si>
  <si>
    <t>Enduring Value Appendix in Commentary</t>
  </si>
  <si>
    <t>Totex per the latest RRP submission</t>
  </si>
  <si>
    <t>Latest Totex actuals/forecast</t>
  </si>
  <si>
    <t>Totex allowance 
   including allowed adjustments and uncertainty mechanisms</t>
  </si>
  <si>
    <t>Totex out(under)performance</t>
  </si>
  <si>
    <t>Funding Adjustment Rate (often referred to as 'sharing factor')</t>
  </si>
  <si>
    <t>Customer share of out(under) performance</t>
  </si>
  <si>
    <t>NWO share of performance</t>
  </si>
  <si>
    <t>Enduring Value adjustments to Totex performance</t>
  </si>
  <si>
    <t>a</t>
  </si>
  <si>
    <t>b</t>
  </si>
  <si>
    <t>c</t>
  </si>
  <si>
    <t>[Enduring Value adjustment]</t>
  </si>
  <si>
    <t>d</t>
  </si>
  <si>
    <t>e</t>
  </si>
  <si>
    <t>f</t>
  </si>
  <si>
    <t>Total enduring value adjustments</t>
  </si>
  <si>
    <t>Enduring Value: Customer share of performance</t>
  </si>
  <si>
    <t>Enduring Value: NWO share of performance</t>
  </si>
  <si>
    <t>Total out(under) performance (including enduring value adjustments)</t>
  </si>
  <si>
    <t>Customer share of performance</t>
  </si>
  <si>
    <t>Total</t>
  </si>
  <si>
    <t>Totex Summary</t>
  </si>
  <si>
    <t>Additional Income is Pre-tax for Fast Track companies and Post-tax for Slow Track.</t>
  </si>
  <si>
    <t>IQI Additional Income per PCFM</t>
  </si>
  <si>
    <t>Corporation tax rate when recognised in allowed revenue</t>
  </si>
  <si>
    <t>Post tax</t>
  </si>
  <si>
    <t>£m Nominal</t>
  </si>
  <si>
    <t>Index</t>
  </si>
  <si>
    <t>£m nominal</t>
  </si>
  <si>
    <t>Totex allowance 
   including forecast allowed adjustments and uncertainty mechanisms</t>
  </si>
  <si>
    <t>NO share of performance</t>
  </si>
  <si>
    <r>
      <t xml:space="preserve">Allowed Revenue </t>
    </r>
    <r>
      <rPr>
        <sz val="10"/>
        <color theme="1"/>
        <rFont val="Verdana"/>
        <family val="2"/>
      </rPr>
      <t>- per latest submitted Revenue Return</t>
    </r>
  </si>
  <si>
    <t>Opening Base Revenue Allowance</t>
  </si>
  <si>
    <t>MOD</t>
  </si>
  <si>
    <t>True Up</t>
  </si>
  <si>
    <t>Retail Price Index Forecast (RPIF term)</t>
  </si>
  <si>
    <t>Nominal Base Revenue</t>
  </si>
  <si>
    <t>Incentive revenue adjustment</t>
  </si>
  <si>
    <t>Adjustments for Allowed Pass-Through items</t>
  </si>
  <si>
    <t>Network Innovation Allowance</t>
  </si>
  <si>
    <t>Low Carbon Networks Fund revenue adjustment</t>
  </si>
  <si>
    <t>Innovation Adjustment</t>
  </si>
  <si>
    <t>Correction factor</t>
  </si>
  <si>
    <t>Allowed Network Revenue</t>
  </si>
  <si>
    <t>(Under) / Over recovery</t>
  </si>
  <si>
    <t>Reconciliation: Regulated Network Revenue to Accounts</t>
  </si>
  <si>
    <t>Collected Regulated Network Revenue</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</si>
  <si>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</si>
  <si>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</si>
  <si>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</si>
  <si>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</si>
  <si>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</si>
  <si>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</si>
  <si>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</si>
  <si>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</si>
  <si>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</si>
  <si>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</si>
  <si>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</si>
  <si>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</si>
  <si>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Total other adjustments</t>
  </si>
  <si>
    <t>Reconciled total revenue</t>
  </si>
  <si>
    <t>Turnover as per Profit and Loss (Accounts)</t>
  </si>
  <si>
    <t>Check</t>
  </si>
  <si>
    <t>R3 - 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</si>
  <si>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</si>
  <si>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</si>
  <si>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</si>
  <si>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</si>
  <si>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</si>
  <si>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</si>
  <si>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</si>
  <si>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[Input description]</t>
  </si>
  <si>
    <t>Capex Incurred</t>
  </si>
  <si>
    <t>Operational Costs Incurred</t>
  </si>
  <si>
    <t>Total Expenditure Incurred</t>
  </si>
  <si>
    <t>Reconciling Items to Total Net costs after non-price control allocations</t>
  </si>
  <si>
    <t>Total Reconciling Items</t>
  </si>
  <si>
    <t>Total Net costs after non-price control allocations</t>
  </si>
  <si>
    <t>Total Costs per latest RRP submission</t>
  </si>
  <si>
    <t>check</t>
  </si>
  <si>
    <t>Reconciling Items to Totex</t>
  </si>
  <si>
    <t>Other/Rounding</t>
  </si>
  <si>
    <t>Total reconciling items not recognised in totex</t>
  </si>
  <si>
    <t>PCFM Totex (excluding enduring value)</t>
  </si>
  <si>
    <t>RRP reported totex</t>
  </si>
  <si>
    <r>
      <t xml:space="preserve">Pre-tax Earned Incentives </t>
    </r>
    <r>
      <rPr>
        <sz val="10"/>
        <color theme="1"/>
        <rFont val="Verdana"/>
        <family val="2"/>
      </rPr>
      <t>(Actuals may be updated once all incentives are determined)</t>
    </r>
  </si>
  <si>
    <t>These values exclude any inflation, interest or time value of money adjustments</t>
  </si>
  <si>
    <t>g</t>
  </si>
  <si>
    <t>Earned Incentive revenue</t>
  </si>
  <si>
    <t>Additional Commentary</t>
  </si>
  <si>
    <r>
      <t xml:space="preserve">Post-tax Earned Incentives </t>
    </r>
    <r>
      <rPr>
        <sz val="10"/>
        <color theme="1"/>
        <rFont val="Verdana"/>
        <family val="2"/>
      </rPr>
      <t>(Actuals may be updated once all incentives are determined)</t>
    </r>
  </si>
  <si>
    <t>Year tax paid when incentive recognised in allowed revenue. Select from dropdown in Column C</t>
  </si>
  <si>
    <t>-</t>
  </si>
  <si>
    <t>t+0</t>
  </si>
  <si>
    <t>t+2</t>
  </si>
  <si>
    <t>Post-Tax Earned Incentive revenue</t>
  </si>
  <si>
    <t>Impact on Allowed Revenue within RIIO-1</t>
  </si>
  <si>
    <t>This table shows the impact on allowed revenue in the relevant year - with actuals (subject to determination) and forecasts thereafter.</t>
  </si>
  <si>
    <t>The cells above the allowed revenue indicate the year of performance</t>
  </si>
  <si>
    <t xml:space="preserve">Performance Year </t>
  </si>
  <si>
    <t>Total Impact on Allowed Revenue</t>
  </si>
  <si>
    <t>Eligible NIA expenditure and Bid Preparation costs</t>
  </si>
  <si>
    <t>Unrecoverable Expenditure (eg not conforming to technical requirements)</t>
  </si>
  <si>
    <t>Company Compulsory Contribution (including % contribution funded by licensee)</t>
  </si>
  <si>
    <t>Allowed NIA adjustment</t>
  </si>
  <si>
    <t>Low Carbon Networks Fund</t>
  </si>
  <si>
    <t>Second Tier and Discretionary (as per latest Revenue RRP)</t>
  </si>
  <si>
    <t>First Tier Funding Mechanism (as per latest Revenue RRP)</t>
  </si>
  <si>
    <t>Network Innovation Competition</t>
  </si>
  <si>
    <t>Awarded NIC funding actually spent or forecast to be spent</t>
  </si>
  <si>
    <t>Successful Delivery Rewards</t>
  </si>
  <si>
    <t>RoRE Inputs</t>
  </si>
  <si>
    <t>Network innovation</t>
  </si>
  <si>
    <t>Reconciliation with Statutory Accounts</t>
  </si>
  <si>
    <t>Net Interest Per Regulatory (RIIO-1) Definition</t>
  </si>
  <si>
    <t>Forecast new financing/refinancing Net Interest costs</t>
  </si>
  <si>
    <t>Net Interest including forecast new financing/refinancing costs</t>
  </si>
  <si>
    <t>External Net Interest</t>
  </si>
  <si>
    <t>Intra-company Net Interest</t>
  </si>
  <si>
    <t>Memo: Net interest (RIIO-1) Definition that relates to non-cash principal inflation accretion on bonds and loans</t>
  </si>
  <si>
    <t>Less inflation in interest charge</t>
  </si>
  <si>
    <t>Assumed Regulatory finance cost at actual gearing</t>
  </si>
  <si>
    <t>Assumed regulatory finance cost at actual gearing</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</si>
  <si>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</si>
  <si>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</si>
  <si>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</si>
  <si>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</si>
  <si>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</si>
  <si>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</si>
  <si>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Adjustment to regulatory finance cost relating to variance from notional gearing</t>
  </si>
  <si>
    <t>Assumed regulatory finance cost at notional gearing</t>
  </si>
  <si>
    <t>Adjustments to be applied for performance assessment (at notional gearing)</t>
  </si>
  <si>
    <t>Cost of Debt Allowance</t>
  </si>
  <si>
    <t xml:space="preserve">The latest published PCFM contains the allowed cost of debt rate (%) for the reporting year. </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</si>
  <si>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</si>
  <si>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</si>
  <si>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To address this timing issue, network operators should forecast the allowance in row 79 (linked to R9-RAV table) - which will be trued-up over time.</t>
  </si>
  <si>
    <t>Cost of Debt Allowance as per latest published PCFM (prior year AIP)</t>
  </si>
  <si>
    <t>Forecast revised Cost of Debt Allowance</t>
  </si>
  <si>
    <t>Out(under) performance</t>
  </si>
  <si>
    <t>Pre-Tax performance</t>
  </si>
  <si>
    <t>Pre-Tax Cost of Debt out(under)performance at actual gearing</t>
  </si>
  <si>
    <t>Pre-Tax Cost of Debt out(under)performance at notional gearing</t>
  </si>
  <si>
    <t>Pre-Tax Impact on out(under) performance relating to deviating from notional levels of gearing</t>
  </si>
  <si>
    <t>£m</t>
  </si>
  <si>
    <t>System operator allocation (transmission companies only)</t>
  </si>
  <si>
    <t>Transmission or distribution allocation</t>
  </si>
  <si>
    <t>Opening Cash, short term deposits and overdrafts (per Balance Sheet)</t>
  </si>
  <si>
    <t>Closing Cash, short term deposits and overdrafts (per Balance Sheet)</t>
  </si>
  <si>
    <t>External borrowings, bonds, external loans and finance leases (+ve)</t>
  </si>
  <si>
    <t>Loans from other group companies (+ve)</t>
  </si>
  <si>
    <t>Loans to other group companies (-ve)</t>
  </si>
  <si>
    <t>Other amounts due to/(from) group companies per Balance Sheet</t>
  </si>
  <si>
    <t>Guarantees given on behalf of other group companies (per Notes to the Accounts) (+ve)</t>
  </si>
  <si>
    <t>Currency SWAPS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</si>
  <si>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</si>
  <si>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</si>
  <si>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</si>
  <si>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</si>
  <si>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</si>
  <si>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</si>
  <si>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Total Debt per Statutory Accounts</t>
  </si>
  <si>
    <t>Conversion to Regulatory (RIIO-1) Definition of Net Debt</t>
  </si>
  <si>
    <t>Total Net Debt per Regulatory (RIIO-1) definition</t>
  </si>
  <si>
    <t>Forecast new debt/refinancing</t>
  </si>
  <si>
    <t>Regulatory Net Debt including forecast new debt/refinancing</t>
  </si>
  <si>
    <t>Opening Regulatory Net Debt including forecast new debt/refinancing</t>
  </si>
  <si>
    <t>Closing Regulatory Net Debt including forecast new debt/refinancing</t>
  </si>
  <si>
    <t>Allocation of net debt (Per regulatory definition.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</si>
  <si>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</si>
  <si>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</si>
  <si>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</si>
  <si>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</si>
  <si>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</si>
  <si>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</si>
  <si>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</si>
  <si>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</si>
  <si>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t>R9 - Regulatory Asset Value (RAV)</t>
  </si>
  <si>
    <t>RAV per latest published PCFM</t>
  </si>
  <si>
    <t>The latest published PCFM does not account for the impact of the reporting years totex. This will be published in the forthcoming annual iteration process.</t>
  </si>
  <si>
    <t>Closing RAV per latest published PCFM</t>
  </si>
  <si>
    <t>Revised RAV - including forecast totex, allowances and enduring value</t>
  </si>
  <si>
    <t>Revised adjusted RAV including forecast totex, allowances and enduring value</t>
  </si>
  <si>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</si>
  <si>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</si>
  <si>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</si>
  <si>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</si>
  <si>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</si>
  <si>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</si>
  <si>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</si>
  <si>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</si>
  <si>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</si>
  <si>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[Input other adjustment]</t>
  </si>
  <si>
    <t>Other adjustments</t>
  </si>
  <si>
    <t>Adjusted Closing RAV</t>
  </si>
  <si>
    <t>Total enduring value and other adjustments</t>
  </si>
  <si>
    <t>CHECK</t>
  </si>
  <si>
    <t>Index for Opening RAV conversion to nominal in yr 1</t>
  </si>
  <si>
    <t>Cost of debt</t>
  </si>
  <si>
    <t>annual real %</t>
  </si>
  <si>
    <t>Cost of equity</t>
  </si>
  <si>
    <t>Notional gearing</t>
  </si>
  <si>
    <t>Vanilla WACC</t>
  </si>
  <si>
    <t>NPV-neutral debt element of RAV</t>
  </si>
  <si>
    <t>NPV-neutral RAV return base</t>
  </si>
  <si>
    <t>Debt Return on RAV</t>
  </si>
  <si>
    <t>Equity Return on RAV</t>
  </si>
  <si>
    <t>Total return on RAV</t>
  </si>
  <si>
    <t>Adjusted NPV-neutral average RAV</t>
  </si>
  <si>
    <t>Equity Return on NPV-neutral RAV</t>
  </si>
  <si>
    <t>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</si>
  <si>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</si>
  <si>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This will be corrected / trued-up in future years</t>
  </si>
  <si>
    <t>Tax liability per latest submitted CT600 (pre-group relief)</t>
  </si>
  <si>
    <t>Adjustments to remove non-regulated tax liability</t>
  </si>
  <si>
    <t>Tax on non-regulated activities</t>
  </si>
  <si>
    <t>[Insert adjustment as necessary]</t>
  </si>
  <si>
    <t>Non-regulated tax</t>
  </si>
  <si>
    <t>Tax on output incentives</t>
  </si>
  <si>
    <t>Tax on IQI</t>
  </si>
  <si>
    <t>Collected revenue adjustment ('k')</t>
  </si>
  <si>
    <t>Pension - timing adjustment</t>
  </si>
  <si>
    <t>Pension - disallowed contributions</t>
  </si>
  <si>
    <t>Tax on derivatives not disregarded</t>
  </si>
  <si>
    <t>Tax arising from MOD values</t>
  </si>
  <si>
    <t>[Insert new rows here as necessary]</t>
  </si>
  <si>
    <t>Forecast regulated tax liability (including impact of enduring value adjustments)</t>
  </si>
  <si>
    <t xml:space="preserve">Adjusted forecast regulated tax liability with timing differences </t>
  </si>
  <si>
    <t>Financial year average RPI</t>
  </si>
  <si>
    <t xml:space="preserve">Adjusted/forecast regulated tax liability with timing differences </t>
  </si>
  <si>
    <t>Tax out(under)performance at notional gearing</t>
  </si>
  <si>
    <t>Adjustment to regulatory tax cost relating to variance from notional gearing</t>
  </si>
  <si>
    <t>Revised regulated tax liability for comparison against allowance</t>
  </si>
  <si>
    <t>Allowance</t>
  </si>
  <si>
    <t>The latest published PCFM does not account for the forecast TIM performance - and ultimate impact on tax allowance.</t>
  </si>
  <si>
    <t>Tax Allowance per latest published PCFM</t>
  </si>
  <si>
    <t>Tax clawbacks</t>
  </si>
  <si>
    <t>Net Tax Allowance</t>
  </si>
  <si>
    <t>Network operators should provide forecast allowances taking account of the latest totex, allowances, reopeners, enduring value adjustments - and other financial variables</t>
  </si>
  <si>
    <t>Forecast tax allowance</t>
  </si>
  <si>
    <t>Forecast tax clawbacks</t>
  </si>
  <si>
    <t>Net forecast tax allowance</t>
  </si>
  <si>
    <t>Reconciliation of forecast movement in allowance</t>
  </si>
  <si>
    <t>Changes in corporation tax rates</t>
  </si>
  <si>
    <t>Tax allowance retained within deadband</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</si>
  <si>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</si>
  <si>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</si>
  <si>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</si>
  <si>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</si>
  <si>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Tax impact of financing performance (at notional gearing)</t>
  </si>
  <si>
    <t>Tax impact of financing performance relating to deviating from notional levels of gearing</t>
  </si>
  <si>
    <t xml:space="preserve">R11 - Dividends </t>
  </si>
  <si>
    <t>Dividend paid as per Statutory Accounts</t>
  </si>
  <si>
    <t>Less dividend paid not related to Regulated business</t>
  </si>
  <si>
    <t>Dividend paid relating to the Regulated Business</t>
  </si>
  <si>
    <t>Shareholder loan interest (not included as Net Interest per Regulatory (RIIO-1) definition)</t>
  </si>
  <si>
    <t>Licensee share of total pension deficit repair payment made for defined benefit scheme</t>
  </si>
  <si>
    <t>Of which:</t>
  </si>
  <si>
    <t>Established deficit element funded via specific allowances</t>
  </si>
  <si>
    <t>Incremental deficit funded via totex</t>
  </si>
  <si>
    <t>Established deficit (EDE) allowance as per PCFM</t>
  </si>
  <si>
    <t>Less Pension Payment History Allowance (PPH)</t>
  </si>
  <si>
    <t>Established deficit allowance less PPH</t>
  </si>
  <si>
    <t>Enter valuation date</t>
  </si>
  <si>
    <t>Latest pension scheme valuation</t>
  </si>
  <si>
    <t>Price base</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</si>
  <si>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</si>
  <si>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</si>
  <si>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</si>
  <si>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</si>
  <si>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</si>
  <si>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</si>
  <si>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</si>
  <si>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</si>
  <si>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R13 - 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</si>
  <si>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</si>
  <si>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</si>
  <si>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</si>
  <si>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</si>
  <si>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</si>
  <si>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</si>
  <si>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</si>
  <si>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</si>
  <si>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</si>
  <si>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E24: 290.642; F24: 292.60 - per ofgem request</t>
  </si>
  <si>
    <t>M3 New Forecasts RPI - H39: 2.0; I39: 2.5; J39: 2.8 - per Ofgem request</t>
  </si>
  <si>
    <t>Formula error corrected as requested by Ofgem. Old, incorrect formula:
Cell D37 = ('R8 - Net Debt'!D54-AVERAGE('R8 - Net Debt'!D8,('R8 - Net Debt'!E10-'R8a - Net Debt input'!T18)))*(Data!C36-1)
Correct updated formula:
Cell D37 =('R8 - Net Debt'!D54-AVERAGE('R8 - Net Debt'!D8,('R8 - Net Debt'!D10-'R8a - Net Debt input'!T18)))*(Data!C36-1)</t>
  </si>
  <si>
    <t>TO excluded, consented and de minimis services</t>
  </si>
  <si>
    <t xml:space="preserve">System Operator external income </t>
  </si>
  <si>
    <t>Revenue classified as totex</t>
  </si>
  <si>
    <t>IFRS15 - netted off in income from FY19 - Hydro-Benefit Scheme Income</t>
  </si>
  <si>
    <t>IFRS15 - netted off in income from FY19 - Post Vesting income collected on behalf of Scottish TOs</t>
  </si>
  <si>
    <t>NGET (SO) adjustments</t>
  </si>
  <si>
    <t>TO collected income</t>
  </si>
  <si>
    <t>Excluded services reclassifications</t>
  </si>
  <si>
    <t>IFRS15 elimination of agency income</t>
  </si>
  <si>
    <t>System Operator external income per Revenue RRP</t>
  </si>
  <si>
    <t>FY19 Incentive Adjustment</t>
  </si>
  <si>
    <t>FY20 Incentive Adjustment</t>
  </si>
  <si>
    <t>SO-TO Cost Allowance</t>
  </si>
  <si>
    <t>TNUoS Revenue</t>
  </si>
  <si>
    <t>Other</t>
  </si>
  <si>
    <t>EMR functions internal costs</t>
  </si>
  <si>
    <t>EMR adjustment to allowed revenue</t>
  </si>
  <si>
    <t>External incentive revenue</t>
  </si>
  <si>
    <t>EMR Incentive Revenue</t>
  </si>
  <si>
    <t>Costs related to ET per statutory accounts</t>
  </si>
  <si>
    <t>Capex related to ET per statutory accounts</t>
  </si>
  <si>
    <t>Other non-regulated activities</t>
  </si>
  <si>
    <t>Depreciation, amortisation and capex adjustments</t>
  </si>
  <si>
    <t>Pension adjustments</t>
  </si>
  <si>
    <t>Provision Movements</t>
  </si>
  <si>
    <t>BSIS - Incentive constraint cost</t>
  </si>
  <si>
    <t>Other and roundings</t>
  </si>
  <si>
    <t>JV costs not included in Regulatory Accounts</t>
  </si>
  <si>
    <t>Exceptional Items - Additional Pension Contributions</t>
  </si>
  <si>
    <t>Betta Outage Costs</t>
  </si>
  <si>
    <t>IFRS 16 Utilisation</t>
  </si>
  <si>
    <t>Pension Deficit Payments relating to Established Deficit</t>
  </si>
  <si>
    <t>Costs of Excluded Services (SO only)</t>
  </si>
  <si>
    <t>Pension Scheme Administration &amp; PPF Levy</t>
  </si>
  <si>
    <t>Bad Debts</t>
  </si>
  <si>
    <t>Network Innovation Costs</t>
  </si>
  <si>
    <t>EMR Preparatory Costs to July 2014</t>
  </si>
  <si>
    <t>Network Rates</t>
  </si>
  <si>
    <t>License Fees</t>
  </si>
  <si>
    <t>Cross Border Trading</t>
  </si>
  <si>
    <t>Allowances in RRP</t>
  </si>
  <si>
    <t>Allowance Rephasing Adjustment</t>
  </si>
  <si>
    <t>Attributable to NGET (SO) from NGET (TO) - SO incentives</t>
  </si>
  <si>
    <t>Attributable to NGET (SO) from NGET (TO) - remainder</t>
  </si>
  <si>
    <t>Tax on remeasurements</t>
  </si>
  <si>
    <t>Debt redemption costs</t>
  </si>
  <si>
    <t>New ESO Incentive (FY19 onwards)</t>
  </si>
  <si>
    <t>FY14-20 based on incentives earnt within the period, FY21 based on average of historic performance</t>
  </si>
  <si>
    <t>FY14-17 based on incentives earnt within period, FY18 onwards incentive no longer exists</t>
  </si>
  <si>
    <t>Incentive no longer in place</t>
  </si>
  <si>
    <t>Incentive earnt is as per FY19 and FY20 directions. No forecast provided as this incentive is subjective and not driven by Licence algebra</t>
  </si>
  <si>
    <t>1. Cash Relating to TNUoS</t>
  </si>
  <si>
    <t>2. Lease Liability</t>
  </si>
  <si>
    <t>3. Interest Accrual</t>
  </si>
  <si>
    <t xml:space="preserve">4. Allocated from NGET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</si>
</sst>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2">
    <numFmt numFmtId="44" formatCode="_-&quot;£&quot;* #,##0.00_-;\-&quot;£&quot;* #,##0.00_-;_-&quot;£&quot;* &quot;-&quot;??_-;_-@_-"/>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50" formatCode="0.000%"/>
    <numFmt numFmtId="351" formatCode="_(* #,##0.000_);_(* \(#,##0.000\);_(* &quot;-&quot;??_);_(@_)"/>
    <numFmt numFmtId="352" formatCode="0.0000"/>
    <numFmt numFmtId="353" formatCode="[$-F800]dddd\,\ mmmm\ dd\,\ yyyy"/>
    <numFmt numFmtId="354" formatCode="_-* #,##0.0_-;\-* #,##0.0_-;_-* &quot;-&quot;?_-;_-@_-"/>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3">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33">
    <border>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indexed="64"/>
      </top>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4" applyNumberFormat="0" applyProtection="0">
      <alignment vertical="center"/>
    </xf>
    <xf numFmtId="4" fontId="12" fillId="18" borderId="4" applyNumberFormat="0" applyProtection="0">
      <alignment vertical="center"/>
    </xf>
    <xf numFmtId="4" fontId="11" fillId="18" borderId="4" applyNumberFormat="0" applyProtection="0">
      <alignment horizontal="left" vertical="center" indent="1"/>
    </xf>
    <xf numFmtId="0" fontId="11" fillId="18" borderId="4" applyNumberFormat="0" applyProtection="0">
      <alignment horizontal="left" vertical="top" indent="1"/>
    </xf>
    <xf numFmtId="4" fontId="11" fillId="19" borderId="0" applyNumberFormat="0" applyProtection="0">
      <alignment horizontal="left" vertical="center" indent="1"/>
    </xf>
    <xf numFmtId="4" fontId="13" fillId="20" borderId="4" applyNumberFormat="0" applyProtection="0">
      <alignment horizontal="right" vertical="center"/>
    </xf>
    <xf numFmtId="4" fontId="13" fillId="21" borderId="4" applyNumberFormat="0" applyProtection="0">
      <alignment horizontal="right" vertical="center"/>
    </xf>
    <xf numFmtId="4" fontId="13" fillId="22" borderId="4" applyNumberFormat="0" applyProtection="0">
      <alignment horizontal="right" vertical="center"/>
    </xf>
    <xf numFmtId="4" fontId="13" fillId="23" borderId="4" applyNumberFormat="0" applyProtection="0">
      <alignment horizontal="right" vertical="center"/>
    </xf>
    <xf numFmtId="4" fontId="13" fillId="24" borderId="4" applyNumberFormat="0" applyProtection="0">
      <alignment horizontal="right" vertical="center"/>
    </xf>
    <xf numFmtId="4" fontId="13" fillId="25" borderId="4" applyNumberFormat="0" applyProtection="0">
      <alignment horizontal="right" vertical="center"/>
    </xf>
    <xf numFmtId="4" fontId="13" fillId="26" borderId="4" applyNumberFormat="0" applyProtection="0">
      <alignment horizontal="right" vertical="center"/>
    </xf>
    <xf numFmtId="4" fontId="13" fillId="27" borderId="4" applyNumberFormat="0" applyProtection="0">
      <alignment horizontal="right" vertical="center"/>
    </xf>
    <xf numFmtId="4" fontId="13" fillId="28" borderId="4" applyNumberFormat="0" applyProtection="0">
      <alignment horizontal="right" vertical="center"/>
    </xf>
    <xf numFmtId="4" fontId="11" fillId="29" borderId="5"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4"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top" indent="1"/>
    </xf>
    <xf numFmtId="0" fontId="4" fillId="19" borderId="4" applyNumberFormat="0" applyProtection="0">
      <alignment horizontal="left" vertical="center" indent="1"/>
    </xf>
    <xf numFmtId="0" fontId="4" fillId="19"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top" indent="1"/>
    </xf>
    <xf numFmtId="0" fontId="4" fillId="30" borderId="4" applyNumberFormat="0" applyProtection="0">
      <alignment horizontal="left" vertical="center" indent="1"/>
    </xf>
    <xf numFmtId="0" fontId="4" fillId="30" borderId="4" applyNumberFormat="0" applyProtection="0">
      <alignment horizontal="left" vertical="top" indent="1"/>
    </xf>
    <xf numFmtId="0" fontId="4" fillId="33" borderId="2" applyNumberFormat="0">
      <protection locked="0"/>
    </xf>
    <xf numFmtId="4" fontId="13" fillId="34" borderId="4" applyNumberFormat="0" applyProtection="0">
      <alignment vertical="center"/>
    </xf>
    <xf numFmtId="4" fontId="15" fillId="34" borderId="4" applyNumberFormat="0" applyProtection="0">
      <alignment vertical="center"/>
    </xf>
    <xf numFmtId="4" fontId="13" fillId="34" borderId="4" applyNumberFormat="0" applyProtection="0">
      <alignment horizontal="left" vertical="center" indent="1"/>
    </xf>
    <xf numFmtId="0" fontId="13" fillId="34" borderId="4" applyNumberFormat="0" applyProtection="0">
      <alignment horizontal="left" vertical="top" indent="1"/>
    </xf>
    <xf numFmtId="4" fontId="13" fillId="30" borderId="4" applyNumberFormat="0" applyProtection="0">
      <alignment horizontal="right" vertical="center"/>
    </xf>
    <xf numFmtId="4" fontId="15" fillId="30" borderId="4" applyNumberFormat="0" applyProtection="0">
      <alignment horizontal="right" vertical="center"/>
    </xf>
    <xf numFmtId="4" fontId="13" fillId="19" borderId="4" applyNumberFormat="0" applyProtection="0">
      <alignment horizontal="left" vertical="center" indent="1"/>
    </xf>
    <xf numFmtId="0" fontId="13" fillId="19" borderId="4" applyNumberFormat="0" applyProtection="0">
      <alignment horizontal="left" vertical="top" indent="1"/>
    </xf>
    <xf numFmtId="4" fontId="16" fillId="35" borderId="0" applyNumberFormat="0" applyProtection="0">
      <alignment horizontal="left" vertical="center" indent="1"/>
    </xf>
    <xf numFmtId="4" fontId="17" fillId="30" borderId="4"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7"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7">
      <alignment vertical="center"/>
      <protection locked="0"/>
    </xf>
    <xf numFmtId="167" fontId="2" fillId="43" borderId="7">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7">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0">
      <alignment horizontal="centerContinuous"/>
    </xf>
    <xf numFmtId="219" fontId="59" fillId="40" borderId="13">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8" applyNumberFormat="0" applyBorder="0" applyAlignment="0">
      <alignment horizontal="centerContinuous" vertical="center"/>
      <protection hidden="1"/>
    </xf>
    <xf numFmtId="1" fontId="69" fillId="76" borderId="11"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2"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0"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4"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9"/>
    <xf numFmtId="230" fontId="38" fillId="0" borderId="9"/>
    <xf numFmtId="230" fontId="38" fillId="0" borderId="9"/>
    <xf numFmtId="231" fontId="38" fillId="0" borderId="9"/>
    <xf numFmtId="231" fontId="38" fillId="0" borderId="9"/>
    <xf numFmtId="229" fontId="38" fillId="0" borderId="9"/>
    <xf numFmtId="229" fontId="38" fillId="0" borderId="9"/>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9"/>
    <xf numFmtId="233" fontId="38" fillId="0" borderId="9"/>
    <xf numFmtId="233" fontId="38" fillId="0" borderId="9"/>
    <xf numFmtId="234" fontId="38" fillId="0" borderId="9"/>
    <xf numFmtId="234" fontId="38" fillId="0" borderId="9"/>
    <xf numFmtId="232" fontId="38" fillId="0" borderId="9"/>
    <xf numFmtId="232" fontId="38" fillId="0" borderId="9"/>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9"/>
    <xf numFmtId="238" fontId="38" fillId="0" borderId="9"/>
    <xf numFmtId="238" fontId="38" fillId="0" borderId="9"/>
    <xf numFmtId="239" fontId="38" fillId="0" borderId="9"/>
    <xf numFmtId="239" fontId="38" fillId="0" borderId="9"/>
    <xf numFmtId="237" fontId="38" fillId="0" borderId="9"/>
    <xf numFmtId="237" fontId="38" fillId="0" borderId="9"/>
    <xf numFmtId="237" fontId="38" fillId="0" borderId="0"/>
    <xf numFmtId="240" fontId="4" fillId="46" borderId="0"/>
    <xf numFmtId="180" fontId="4" fillId="0" borderId="0">
      <alignment vertical="center"/>
    </xf>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189" fontId="83" fillId="61" borderId="15" applyNumberFormat="0" applyAlignment="0" applyProtection="0"/>
    <xf numFmtId="189" fontId="83" fillId="61" borderId="15" applyNumberFormat="0" applyAlignment="0" applyProtection="0"/>
    <xf numFmtId="38" fontId="84" fillId="0" borderId="0" applyNumberFormat="0" applyFill="0" applyBorder="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189" fontId="86" fillId="79" borderId="16"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0">
      <alignment horizontal="center"/>
    </xf>
    <xf numFmtId="37" fontId="59" fillId="0" borderId="0">
      <alignment horizontal="center" vertical="center" wrapText="1"/>
    </xf>
    <xf numFmtId="1" fontId="87" fillId="0" borderId="17">
      <alignment vertical="top"/>
    </xf>
    <xf numFmtId="173" fontId="88" fillId="0" borderId="0" applyBorder="0">
      <alignment horizontal="right"/>
    </xf>
    <xf numFmtId="173" fontId="88" fillId="0" borderId="18"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2">
      <alignment horizontal="right"/>
    </xf>
    <xf numFmtId="260" fontId="36" fillId="0" borderId="0" applyFont="0" applyFill="0" applyBorder="0" applyAlignment="0" applyProtection="0"/>
    <xf numFmtId="229" fontId="38" fillId="45" borderId="19">
      <protection locked="0"/>
    </xf>
    <xf numFmtId="230" fontId="38" fillId="45" borderId="19">
      <protection locked="0"/>
    </xf>
    <xf numFmtId="231" fontId="38" fillId="45" borderId="19">
      <protection locked="0"/>
    </xf>
    <xf numFmtId="229" fontId="38" fillId="45" borderId="19">
      <protection locked="0"/>
    </xf>
    <xf numFmtId="232" fontId="38" fillId="45" borderId="19">
      <protection locked="0"/>
    </xf>
    <xf numFmtId="233" fontId="38" fillId="45" borderId="19">
      <protection locked="0"/>
    </xf>
    <xf numFmtId="234" fontId="38" fillId="45" borderId="19">
      <protection locked="0"/>
    </xf>
    <xf numFmtId="232" fontId="38" fillId="45" borderId="19">
      <protection locked="0"/>
    </xf>
    <xf numFmtId="235" fontId="38" fillId="37" borderId="19">
      <alignment horizontal="right"/>
      <protection locked="0"/>
    </xf>
    <xf numFmtId="236" fontId="38" fillId="37" borderId="19">
      <alignment horizontal="right"/>
      <protection locked="0"/>
    </xf>
    <xf numFmtId="0" fontId="38" fillId="82" borderId="19">
      <alignment horizontal="left"/>
      <protection locked="0"/>
    </xf>
    <xf numFmtId="49" fontId="38" fillId="38" borderId="19">
      <alignment horizontal="left" vertical="top" wrapText="1"/>
      <protection locked="0"/>
    </xf>
    <xf numFmtId="237" fontId="38" fillId="45" borderId="19">
      <protection locked="0"/>
    </xf>
    <xf numFmtId="238" fontId="38" fillId="45" borderId="19">
      <protection locked="0"/>
    </xf>
    <xf numFmtId="239" fontId="38" fillId="45" borderId="19">
      <protection locked="0"/>
    </xf>
    <xf numFmtId="237" fontId="38" fillId="45" borderId="19">
      <protection locked="0"/>
    </xf>
    <xf numFmtId="49" fontId="38" fillId="38" borderId="19">
      <alignment horizontal="left"/>
      <protection locked="0"/>
    </xf>
    <xf numFmtId="261" fontId="38" fillId="45" borderId="19">
      <alignment horizontal="left" indent="1"/>
      <protection locked="0"/>
    </xf>
    <xf numFmtId="262" fontId="4" fillId="45" borderId="20"/>
    <xf numFmtId="262" fontId="4" fillId="45" borderId="20"/>
    <xf numFmtId="262" fontId="4" fillId="45" borderId="20"/>
    <xf numFmtId="262" fontId="4" fillId="45" borderId="20"/>
    <xf numFmtId="262" fontId="4" fillId="45" borderId="2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1" applyNumberFormat="0" applyFont="0" applyFill="0" applyAlignment="0" applyProtection="0"/>
    <xf numFmtId="210" fontId="95" fillId="0" borderId="22"/>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3" applyAlignment="0" applyProtection="0"/>
    <xf numFmtId="283" fontId="14" fillId="61" borderId="3"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19">
      <alignment horizontal="center"/>
      <protection locked="0"/>
    </xf>
    <xf numFmtId="285" fontId="101" fillId="45" borderId="19" applyAlignment="0">
      <protection locked="0"/>
    </xf>
    <xf numFmtId="286" fontId="101" fillId="45" borderId="19"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3" applyNumberFormat="0" applyFont="0" applyAlignment="0" applyProtection="0"/>
    <xf numFmtId="0" fontId="36" fillId="0" borderId="23" applyNumberFormat="0" applyFont="0" applyAlignment="0" applyProtection="0"/>
    <xf numFmtId="0" fontId="36" fillId="0" borderId="23" applyNumberFormat="0" applyFont="0" applyAlignment="0" applyProtection="0"/>
    <xf numFmtId="0" fontId="36" fillId="0" borderId="23" applyNumberFormat="0" applyFont="0" applyAlignment="0" applyProtection="0"/>
    <xf numFmtId="0" fontId="36" fillId="0" borderId="24" applyNumberFormat="0" applyFont="0" applyAlignment="0" applyProtection="0"/>
    <xf numFmtId="0" fontId="36" fillId="0" borderId="24" applyNumberFormat="0" applyFont="0" applyAlignment="0" applyProtection="0"/>
    <xf numFmtId="0" fontId="36" fillId="0" borderId="24" applyNumberFormat="0" applyFont="0" applyAlignment="0" applyProtection="0"/>
    <xf numFmtId="0" fontId="36" fillId="0" borderId="24"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5"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6"/>
    <xf numFmtId="291" fontId="39" fillId="46" borderId="12">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2"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27"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28" applyNumberFormat="0" applyAlignment="0" applyProtection="0">
      <alignment horizontal="left" vertical="center"/>
    </xf>
    <xf numFmtId="180" fontId="73" fillId="0" borderId="29">
      <alignment horizontal="left" vertical="center"/>
    </xf>
    <xf numFmtId="2" fontId="69" fillId="76" borderId="0" applyAlignment="0">
      <alignment horizontal="right"/>
      <protection locked="0"/>
    </xf>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189" fontId="119" fillId="0" borderId="31"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189" fontId="122" fillId="0" borderId="32"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189" fontId="125" fillId="0" borderId="33"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4"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27" applyNumberFormat="0" applyBorder="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189" fontId="139" fillId="60" borderId="35" applyNumberFormat="0" applyAlignment="0" applyProtection="0"/>
    <xf numFmtId="189" fontId="139" fillId="60" borderId="35"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189" fontId="152" fillId="0" borderId="37"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18"/>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0"/>
    <xf numFmtId="311" fontId="40" fillId="0" borderId="38"/>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38"/>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189" fontId="4" fillId="34" borderId="39" applyNumberFormat="0" applyFont="0" applyAlignment="0" applyProtection="0"/>
    <xf numFmtId="189" fontId="4" fillId="34" borderId="39" applyNumberFormat="0" applyFont="0" applyAlignment="0" applyProtection="0"/>
    <xf numFmtId="0" fontId="168" fillId="83" borderId="0" applyAlignment="0" applyProtection="0">
      <alignment horizontal="left" vertical="top" wrapText="1"/>
    </xf>
    <xf numFmtId="284" fontId="4" fillId="45" borderId="40" applyFont="0" applyFill="0" applyBorder="0" applyAlignment="0" applyProtection="0">
      <protection locked="0"/>
    </xf>
    <xf numFmtId="37" fontId="4" fillId="0" borderId="0"/>
    <xf numFmtId="318" fontId="35" fillId="50" borderId="41" applyNumberFormat="0">
      <alignment vertical="center"/>
    </xf>
    <xf numFmtId="318" fontId="35" fillId="88" borderId="41" applyNumberFormat="0">
      <alignment vertical="center"/>
    </xf>
    <xf numFmtId="318" fontId="35" fillId="40" borderId="41" applyNumberFormat="0">
      <alignment vertical="center"/>
    </xf>
    <xf numFmtId="318" fontId="35" fillId="38" borderId="41" applyNumberFormat="0">
      <alignment vertical="center"/>
    </xf>
    <xf numFmtId="318" fontId="35" fillId="89" borderId="41" applyNumberFormat="0">
      <alignment vertical="center"/>
    </xf>
    <xf numFmtId="318" fontId="35" fillId="46" borderId="41" applyNumberFormat="0">
      <alignment vertical="center"/>
    </xf>
    <xf numFmtId="318" fontId="35" fillId="90" borderId="41" applyNumberFormat="0">
      <alignment vertical="center"/>
    </xf>
    <xf numFmtId="318" fontId="35" fillId="80" borderId="41" applyNumberFormat="0">
      <alignment vertical="center"/>
    </xf>
    <xf numFmtId="318" fontId="35" fillId="91" borderId="41" applyNumberFormat="0">
      <alignment vertical="center"/>
    </xf>
    <xf numFmtId="318" fontId="35" fillId="92" borderId="41" applyNumberFormat="0">
      <alignment vertical="center"/>
    </xf>
    <xf numFmtId="318" fontId="169" fillId="45" borderId="41">
      <protection locked="0"/>
    </xf>
    <xf numFmtId="318" fontId="169" fillId="37" borderId="41">
      <protection locked="0"/>
    </xf>
    <xf numFmtId="318" fontId="170" fillId="37" borderId="42"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3">
      <alignment vertical="center"/>
    </xf>
    <xf numFmtId="0" fontId="34" fillId="95" borderId="27" applyNumberFormat="0" applyFont="0" applyAlignment="0">
      <alignment vertical="center"/>
    </xf>
    <xf numFmtId="0" fontId="34" fillId="45" borderId="27" applyNumberFormat="0" applyFont="0" applyAlignment="0">
      <alignment vertical="center"/>
    </xf>
    <xf numFmtId="0" fontId="34" fillId="37" borderId="27" applyNumberFormat="0" applyFont="0" applyAlignment="0">
      <alignment vertical="center"/>
    </xf>
    <xf numFmtId="0" fontId="34" fillId="96" borderId="27"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4" applyNumberFormat="0" applyBorder="0" applyAlignment="0">
      <alignment horizontal="center"/>
      <protection hidden="1"/>
    </xf>
    <xf numFmtId="180" fontId="177" fillId="0" borderId="44" applyNumberFormat="0" applyBorder="0" applyAlignment="0">
      <alignment horizontal="center"/>
      <protection locked="0"/>
    </xf>
    <xf numFmtId="2" fontId="178" fillId="50" borderId="12">
      <alignment horizontal="left"/>
    </xf>
    <xf numFmtId="0" fontId="179" fillId="78" borderId="45"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4" fillId="0" borderId="0" applyNumberFormat="0" applyFont="0" applyFill="0" applyBorder="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4" fillId="0" borderId="0" applyNumberFormat="0" applyFont="0" applyFill="0" applyBorder="0" applyAlignment="0" applyProtection="0"/>
    <xf numFmtId="0" fontId="179" fillId="78"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4" fillId="0" borderId="0" applyNumberFormat="0" applyFont="0" applyFill="0" applyBorder="0" applyAlignment="0" applyProtection="0"/>
    <xf numFmtId="0" fontId="179" fillId="61" borderId="45" applyNumberFormat="0" applyAlignment="0" applyProtection="0"/>
    <xf numFmtId="0" fontId="4" fillId="0" borderId="0" applyNumberFormat="0" applyFont="0" applyFill="0" applyBorder="0" applyAlignment="0" applyProtection="0"/>
    <xf numFmtId="0" fontId="179" fillId="78" borderId="45"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189" fontId="180" fillId="61" borderId="45" applyNumberFormat="0" applyAlignment="0" applyProtection="0"/>
    <xf numFmtId="189" fontId="180" fillId="61" borderId="45"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330" fontId="2" fillId="101" borderId="7">
      <alignment vertical="center"/>
    </xf>
    <xf numFmtId="0"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2" fillId="101"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101" borderId="7">
      <alignment vertical="center"/>
    </xf>
    <xf numFmtId="167" fontId="2" fillId="101" borderId="7">
      <alignment vertical="center"/>
    </xf>
    <xf numFmtId="0" fontId="19" fillId="101" borderId="7">
      <alignment vertical="center"/>
    </xf>
    <xf numFmtId="167" fontId="2" fillId="101" borderId="7">
      <alignment vertical="center"/>
    </xf>
    <xf numFmtId="0" fontId="19" fillId="101" borderId="7">
      <alignment vertical="center"/>
    </xf>
    <xf numFmtId="167" fontId="2" fillId="101" borderId="7">
      <alignment vertical="center"/>
    </xf>
    <xf numFmtId="0" fontId="19" fillId="101" borderId="7">
      <alignment vertical="center"/>
    </xf>
    <xf numFmtId="167"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167"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0" fontId="4" fillId="32" borderId="4" applyNumberFormat="0" applyProtection="0">
      <alignment horizontal="left" vertical="center" indent="1"/>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101" borderId="7">
      <alignment vertical="center"/>
    </xf>
    <xf numFmtId="171" fontId="2" fillId="101" borderId="7">
      <alignment vertical="center"/>
    </xf>
    <xf numFmtId="171" fontId="19" fillId="101" borderId="7">
      <alignment vertical="center"/>
    </xf>
    <xf numFmtId="171" fontId="2" fillId="101" borderId="7">
      <alignment vertical="center"/>
    </xf>
    <xf numFmtId="171" fontId="19" fillId="101" borderId="7">
      <alignment vertical="center"/>
    </xf>
    <xf numFmtId="171" fontId="2"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67" fontId="19" fillId="90"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101" borderId="7">
      <alignment vertical="center"/>
    </xf>
    <xf numFmtId="167" fontId="2" fillId="101" borderId="7">
      <alignment vertical="center"/>
    </xf>
    <xf numFmtId="171" fontId="19" fillId="101" borderId="7">
      <alignment vertical="center"/>
    </xf>
    <xf numFmtId="167" fontId="2" fillId="101" borderId="7">
      <alignment vertical="center"/>
    </xf>
    <xf numFmtId="171" fontId="19" fillId="101" borderId="7">
      <alignment vertical="center"/>
    </xf>
    <xf numFmtId="167" fontId="2" fillId="101" borderId="7">
      <alignment vertical="center"/>
    </xf>
    <xf numFmtId="171" fontId="19" fillId="101" borderId="7">
      <alignment vertical="center"/>
    </xf>
    <xf numFmtId="167"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71"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67"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101" borderId="7">
      <alignment vertical="center"/>
    </xf>
    <xf numFmtId="331" fontId="2" fillId="101" borderId="7">
      <alignment vertical="center"/>
    </xf>
    <xf numFmtId="171" fontId="19" fillId="101" borderId="7">
      <alignment vertical="center"/>
    </xf>
    <xf numFmtId="331" fontId="2" fillId="101" borderId="7">
      <alignment vertical="center"/>
    </xf>
    <xf numFmtId="171" fontId="19" fillId="101" borderId="7">
      <alignment vertical="center"/>
    </xf>
    <xf numFmtId="331" fontId="2" fillId="101" borderId="7">
      <alignment vertical="center"/>
    </xf>
    <xf numFmtId="171" fontId="19" fillId="101" borderId="7">
      <alignment vertical="center"/>
    </xf>
    <xf numFmtId="33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7">
      <alignment vertical="center"/>
    </xf>
    <xf numFmtId="331" fontId="19"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101" borderId="7">
      <alignment vertical="center"/>
    </xf>
    <xf numFmtId="331" fontId="19"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17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101" borderId="7">
      <alignment vertical="center"/>
    </xf>
    <xf numFmtId="171" fontId="2" fillId="101" borderId="7">
      <alignment vertical="center"/>
    </xf>
    <xf numFmtId="0" fontId="19" fillId="101" borderId="7">
      <alignment vertical="center"/>
    </xf>
    <xf numFmtId="171" fontId="2" fillId="101" borderId="7">
      <alignment vertical="center"/>
    </xf>
    <xf numFmtId="0" fontId="19" fillId="101" borderId="7">
      <alignment vertical="center"/>
    </xf>
    <xf numFmtId="171" fontId="2" fillId="101" borderId="7">
      <alignment vertical="center"/>
    </xf>
    <xf numFmtId="0" fontId="19" fillId="101" borderId="7">
      <alignment vertical="center"/>
    </xf>
    <xf numFmtId="171" fontId="2" fillId="101"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18">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29">
      <alignment horizontal="right"/>
    </xf>
    <xf numFmtId="180" fontId="59" fillId="0" borderId="27" applyNumberFormat="0" applyFont="0" applyBorder="0">
      <alignment horizontal="right"/>
    </xf>
    <xf numFmtId="180" fontId="190" fillId="0" borderId="0" applyFill="0"/>
    <xf numFmtId="180" fontId="59" fillId="0" borderId="0" applyFill="0"/>
    <xf numFmtId="334" fontId="12" fillId="0" borderId="29"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29"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29"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29"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29"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29" applyFill="0"/>
    <xf numFmtId="180" fontId="4" fillId="0" borderId="0" applyNumberFormat="0" applyFont="0" applyFill="0" applyBorder="0" applyAlignment="0"/>
    <xf numFmtId="180" fontId="59" fillId="0" borderId="0" applyFill="0">
      <alignment horizontal="left" indent="6"/>
    </xf>
    <xf numFmtId="335" fontId="39" fillId="46" borderId="12">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67"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67"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9"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6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167" fontId="19" fillId="43" borderId="27">
      <alignment vertical="center"/>
    </xf>
    <xf numFmtId="337" fontId="2" fillId="43" borderId="27">
      <alignment vertical="center"/>
    </xf>
    <xf numFmtId="167" fontId="19" fillId="43" borderId="27">
      <alignment vertical="center"/>
    </xf>
    <xf numFmtId="337" fontId="2" fillId="43" borderId="27">
      <alignment vertical="center"/>
    </xf>
    <xf numFmtId="167" fontId="19" fillId="43" borderId="27">
      <alignment vertical="center"/>
    </xf>
    <xf numFmtId="33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27">
      <alignment vertical="center"/>
    </xf>
    <xf numFmtId="331" fontId="19"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43" borderId="27">
      <alignment vertical="center"/>
    </xf>
    <xf numFmtId="331" fontId="19"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19" fillId="38"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43" borderId="27">
      <alignment vertical="center"/>
    </xf>
    <xf numFmtId="337" fontId="2" fillId="43" borderId="27">
      <alignment vertical="center"/>
    </xf>
    <xf numFmtId="171" fontId="19" fillId="43" borderId="27">
      <alignment vertical="center"/>
    </xf>
    <xf numFmtId="337" fontId="2" fillId="43" borderId="27">
      <alignment vertical="center"/>
    </xf>
    <xf numFmtId="171" fontId="19" fillId="43" borderId="27">
      <alignment vertical="center"/>
    </xf>
    <xf numFmtId="337" fontId="2" fillId="43" borderId="27">
      <alignment vertical="center"/>
    </xf>
    <xf numFmtId="171" fontId="19" fillId="43" borderId="27">
      <alignment vertical="center"/>
    </xf>
    <xf numFmtId="337"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71"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171" fontId="19" fillId="38" borderId="27">
      <alignment vertical="center"/>
    </xf>
    <xf numFmtId="337" fontId="2" fillId="43" borderId="27">
      <alignment vertical="center"/>
    </xf>
    <xf numFmtId="171"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43" borderId="27">
      <alignment vertical="center"/>
    </xf>
    <xf numFmtId="171" fontId="2" fillId="43" borderId="27">
      <alignment vertical="center"/>
    </xf>
    <xf numFmtId="0" fontId="19" fillId="43" borderId="27">
      <alignment vertical="center"/>
    </xf>
    <xf numFmtId="171" fontId="2" fillId="43" borderId="27">
      <alignment vertical="center"/>
    </xf>
    <xf numFmtId="0" fontId="19" fillId="43" borderId="27">
      <alignment vertical="center"/>
    </xf>
    <xf numFmtId="171" fontId="2" fillId="43" borderId="27">
      <alignment vertical="center"/>
    </xf>
    <xf numFmtId="0" fontId="19" fillId="43" borderId="27">
      <alignment vertical="center"/>
    </xf>
    <xf numFmtId="171" fontId="2" fillId="43" borderId="27">
      <alignment vertical="center"/>
    </xf>
    <xf numFmtId="0" fontId="2" fillId="43" borderId="27">
      <alignment vertical="center"/>
    </xf>
    <xf numFmtId="0" fontId="2" fillId="43" borderId="27">
      <alignment vertical="center"/>
    </xf>
    <xf numFmtId="0"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43" borderId="27">
      <alignment vertical="center"/>
    </xf>
    <xf numFmtId="171" fontId="2" fillId="43" borderId="27">
      <alignment vertical="center"/>
    </xf>
    <xf numFmtId="167" fontId="19" fillId="43" borderId="27">
      <alignment vertical="center"/>
    </xf>
    <xf numFmtId="171" fontId="2" fillId="43" borderId="27">
      <alignment vertical="center"/>
    </xf>
    <xf numFmtId="167" fontId="19" fillId="43" borderId="27">
      <alignment vertical="center"/>
    </xf>
    <xf numFmtId="171" fontId="2" fillId="43" borderId="27">
      <alignment vertical="center"/>
    </xf>
    <xf numFmtId="167" fontId="19" fillId="43" borderId="27">
      <alignment vertical="center"/>
    </xf>
    <xf numFmtId="171"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67"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4"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27">
      <alignment horizontal="right" vertical="center"/>
      <protection locked="0"/>
    </xf>
    <xf numFmtId="331" fontId="19"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44" borderId="27">
      <alignment horizontal="right" vertical="center"/>
      <protection locked="0"/>
    </xf>
    <xf numFmtId="331" fontId="19"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17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67"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336" fontId="19" fillId="0" borderId="0">
      <protection locked="0"/>
    </xf>
    <xf numFmtId="338" fontId="194" fillId="0" borderId="0"/>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protection locked="0"/>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0"/>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protection locked="0"/>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protection locked="0"/>
    </xf>
    <xf numFmtId="180" fontId="196" fillId="0" borderId="47">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4" fillId="45" borderId="4" applyNumberFormat="0" applyProtection="0">
      <alignment vertical="center"/>
    </xf>
    <xf numFmtId="4" fontId="14" fillId="45"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4" fillId="45"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97" fillId="45" borderId="4" applyNumberFormat="0" applyProtection="0">
      <alignment vertical="center"/>
    </xf>
    <xf numFmtId="4" fontId="197" fillId="45"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97" fillId="45" borderId="4" applyNumberFormat="0" applyProtection="0">
      <alignment vertical="center"/>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98" fillId="45" borderId="4" applyNumberFormat="0" applyProtection="0">
      <alignment horizontal="left" vertical="center" indent="1"/>
    </xf>
    <xf numFmtId="4" fontId="198" fillId="45"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98" fillId="45" borderId="4" applyNumberFormat="0" applyProtection="0">
      <alignment horizontal="left" vertical="center"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98" fillId="104" borderId="4" applyNumberFormat="0" applyProtection="0">
      <alignment horizontal="right" vertical="center"/>
    </xf>
    <xf numFmtId="4" fontId="198" fillId="104"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98" fillId="104"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98" fillId="89" borderId="4" applyNumberFormat="0" applyProtection="0">
      <alignment horizontal="right" vertical="center"/>
    </xf>
    <xf numFmtId="4" fontId="198" fillId="89"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98" fillId="89"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98" fillId="86" borderId="4" applyNumberFormat="0" applyProtection="0">
      <alignment horizontal="right" vertical="center"/>
    </xf>
    <xf numFmtId="4" fontId="198" fillId="86"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98" fillId="86"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98" fillId="38" borderId="4" applyNumberFormat="0" applyProtection="0">
      <alignment horizontal="right" vertical="center"/>
    </xf>
    <xf numFmtId="4" fontId="198" fillId="38"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98" fillId="38"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98" fillId="90" borderId="4" applyNumberFormat="0" applyProtection="0">
      <alignment horizontal="right" vertical="center"/>
    </xf>
    <xf numFmtId="4" fontId="198" fillId="90"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98" fillId="90"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98" fillId="37" borderId="4" applyNumberFormat="0" applyProtection="0">
      <alignment horizontal="right" vertical="center"/>
    </xf>
    <xf numFmtId="4" fontId="198" fillId="37"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98" fillId="37"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98" fillId="91" borderId="4" applyNumberFormat="0" applyProtection="0">
      <alignment horizontal="right" vertical="center"/>
    </xf>
    <xf numFmtId="4" fontId="198" fillId="91"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98" fillId="91"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98" fillId="105" borderId="4" applyNumberFormat="0" applyProtection="0">
      <alignment horizontal="right" vertical="center"/>
    </xf>
    <xf numFmtId="4" fontId="198" fillId="105"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98" fillId="105"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98" fillId="97" borderId="4" applyNumberFormat="0" applyProtection="0">
      <alignment horizontal="right" vertical="center"/>
    </xf>
    <xf numFmtId="4" fontId="198" fillId="97"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98" fillId="97" borderId="4" applyNumberFormat="0" applyProtection="0">
      <alignment horizontal="right" vertical="center"/>
    </xf>
    <xf numFmtId="4" fontId="14" fillId="106" borderId="5" applyNumberFormat="0" applyProtection="0">
      <alignment horizontal="left" vertical="center" indent="1"/>
    </xf>
    <xf numFmtId="4" fontId="14" fillId="106" borderId="5"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98" fillId="40" borderId="4" applyNumberFormat="0" applyProtection="0">
      <alignment horizontal="right" vertical="center"/>
    </xf>
    <xf numFmtId="4" fontId="198" fillId="40"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98" fillId="40" borderId="4" applyNumberFormat="0" applyProtection="0">
      <alignment horizontal="right" vertical="center"/>
    </xf>
    <xf numFmtId="4" fontId="13" fillId="30" borderId="0" applyNumberFormat="0" applyProtection="0">
      <alignment horizontal="left" vertical="center" indent="1"/>
    </xf>
    <xf numFmtId="4" fontId="48" fillId="30" borderId="48" applyNumberFormat="0" applyProtection="0">
      <alignment horizontal="left" vertical="center" indent="1"/>
    </xf>
    <xf numFmtId="4" fontId="13" fillId="19" borderId="0" applyNumberFormat="0" applyProtection="0">
      <alignment horizontal="left" vertical="center" indent="1"/>
    </xf>
    <xf numFmtId="4" fontId="48" fillId="19" borderId="48"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8" fillId="61" borderId="49" applyNumberFormat="0" applyProtection="0">
      <alignment horizontal="left" vertical="center"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8" fillId="31" borderId="4" applyNumberFormat="0" applyProtection="0">
      <alignment horizontal="left" vertical="top"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8" fillId="83" borderId="49" applyNumberFormat="0" applyProtection="0">
      <alignment horizontal="left" vertical="center"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8" fillId="19"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8" fillId="32" borderId="49" applyNumberFormat="0" applyProtection="0">
      <alignment horizontal="left" vertical="center"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8" fillId="32" borderId="4" applyNumberFormat="0" applyProtection="0">
      <alignment horizontal="left" vertical="top"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8" fillId="30" borderId="49" applyNumberFormat="0" applyProtection="0">
      <alignment horizontal="left" vertical="center"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8" fillId="30" borderId="4" applyNumberFormat="0" applyProtection="0">
      <alignment horizontal="left" vertical="top" indent="1"/>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8" fillId="33" borderId="50" applyNumberFormat="0">
      <protection locked="0"/>
    </xf>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98" fillId="107" borderId="4" applyNumberFormat="0" applyProtection="0">
      <alignment vertical="center"/>
    </xf>
    <xf numFmtId="4" fontId="198" fillId="107"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98" fillId="107"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99" fillId="107" borderId="4" applyNumberFormat="0" applyProtection="0">
      <alignment vertical="center"/>
    </xf>
    <xf numFmtId="4" fontId="199" fillId="107"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99" fillId="107" borderId="4" applyNumberFormat="0" applyProtection="0">
      <alignment vertical="center"/>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4" fillId="40" borderId="52" applyNumberFormat="0" applyProtection="0">
      <alignment horizontal="left" vertical="center" indent="1"/>
    </xf>
    <xf numFmtId="4" fontId="14" fillId="40" borderId="52"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4" fillId="40" borderId="52" applyNumberFormat="0" applyProtection="0">
      <alignment horizontal="left" vertical="center"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98" fillId="107" borderId="4" applyNumberFormat="0" applyProtection="0">
      <alignment horizontal="right" vertical="center"/>
    </xf>
    <xf numFmtId="4" fontId="198" fillId="107"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98" fillId="107"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99" fillId="107" borderId="4" applyNumberFormat="0" applyProtection="0">
      <alignment horizontal="right" vertical="center"/>
    </xf>
    <xf numFmtId="4" fontId="199" fillId="107"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99" fillId="107" borderId="4" applyNumberFormat="0" applyProtection="0">
      <alignment horizontal="right" vertical="center"/>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4" fillId="40" borderId="4" applyNumberFormat="0" applyProtection="0">
      <alignment horizontal="left" vertical="center" indent="1"/>
    </xf>
    <xf numFmtId="4" fontId="14" fillId="40"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4" fillId="40" borderId="4" applyNumberFormat="0" applyProtection="0">
      <alignment horizontal="left" vertical="center"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4" fontId="16" fillId="108" borderId="52" applyNumberFormat="0" applyProtection="0">
      <alignment horizontal="left" vertical="center" indent="1"/>
    </xf>
    <xf numFmtId="4" fontId="16" fillId="108" borderId="52" applyNumberFormat="0" applyProtection="0">
      <alignment horizontal="left" vertical="center" indent="1"/>
    </xf>
    <xf numFmtId="4" fontId="16" fillId="108" borderId="52" applyNumberFormat="0" applyProtection="0">
      <alignment horizontal="left" vertical="center" indent="1"/>
    </xf>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8" fillId="109" borderId="7"/>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8" fillId="109" borderId="7"/>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180" fontId="48" fillId="109" borderId="7"/>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0" fontId="4" fillId="0" borderId="0" applyNumberFormat="0" applyFont="0" applyFill="0" applyBorder="0" applyAlignment="0" applyProtection="0"/>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0" fontId="4" fillId="0" borderId="0" applyNumberFormat="0" applyFont="0" applyFill="0" applyBorder="0" applyAlignment="0" applyProtection="0"/>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200" fillId="107" borderId="4" applyNumberFormat="0" applyProtection="0">
      <alignment horizontal="right" vertical="center"/>
    </xf>
    <xf numFmtId="38" fontId="201" fillId="0" borderId="53">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4" applyNumberFormat="0"/>
    <xf numFmtId="40" fontId="4" fillId="0" borderId="0" applyBorder="0">
      <alignment horizontal="right"/>
    </xf>
    <xf numFmtId="37" fontId="59" fillId="0" borderId="54" applyNumberFormat="0"/>
    <xf numFmtId="40" fontId="219" fillId="0" borderId="0" applyBorder="0">
      <alignment horizontal="right"/>
    </xf>
    <xf numFmtId="0" fontId="220" fillId="0" borderId="55"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7">
      <protection locked="0"/>
    </xf>
    <xf numFmtId="0" fontId="211" fillId="46" borderId="7">
      <protection locked="0"/>
    </xf>
    <xf numFmtId="180" fontId="221" fillId="0" borderId="0" applyBorder="0" applyProtection="0">
      <alignment vertical="center"/>
    </xf>
    <xf numFmtId="180" fontId="221" fillId="0" borderId="10" applyBorder="0" applyProtection="0">
      <alignment horizontal="right" vertical="center"/>
    </xf>
    <xf numFmtId="180" fontId="222" fillId="115" borderId="0" applyBorder="0" applyProtection="0">
      <alignment horizontal="centerContinuous" vertical="center"/>
    </xf>
    <xf numFmtId="180" fontId="222" fillId="114" borderId="10"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1"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4" applyNumberFormat="0" applyFont="0" applyFill="0" applyAlignment="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7"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57" applyNumberFormat="0" applyFill="0" applyAlignment="0" applyProtection="0"/>
    <xf numFmtId="189" fontId="234" fillId="0" borderId="57" applyNumberFormat="0" applyFill="0" applyAlignment="0" applyProtection="0"/>
    <xf numFmtId="0" fontId="4" fillId="0" borderId="0" applyNumberFormat="0" applyFont="0" applyFill="0" applyBorder="0" applyAlignment="0" applyProtection="0"/>
    <xf numFmtId="37" fontId="59" fillId="0" borderId="58" applyNumberFormat="0" applyFill="0"/>
    <xf numFmtId="315" fontId="87" fillId="0" borderId="59" applyAlignment="0"/>
    <xf numFmtId="316" fontId="87" fillId="0" borderId="59" applyAlignment="0"/>
    <xf numFmtId="173" fontId="46" fillId="0" borderId="59"/>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4" applyProtection="0"/>
    <xf numFmtId="4" fontId="46" fillId="0" borderId="0">
      <protection locked="0"/>
    </xf>
    <xf numFmtId="343" fontId="187" fillId="46" borderId="11"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27">
      <alignment vertical="center"/>
    </xf>
    <xf numFmtId="167" fontId="2" fillId="3" borderId="27">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27">
      <alignment vertical="center"/>
    </xf>
    <xf numFmtId="10" fontId="31" fillId="0" borderId="0" applyFont="0" applyFill="0" applyBorder="0" applyAlignment="0" applyProtection="0">
      <alignment vertical="center"/>
    </xf>
    <xf numFmtId="353" fontId="4" fillId="0" borderId="0"/>
    <xf numFmtId="353" fontId="4" fillId="0" borderId="0"/>
    <xf numFmtId="353" fontId="7"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7" fillId="0" borderId="0"/>
    <xf numFmtId="353" fontId="4" fillId="0" borderId="0"/>
    <xf numFmtId="353" fontId="7" fillId="0" borderId="0"/>
    <xf numFmtId="353" fontId="4" fillId="0" borderId="0"/>
    <xf numFmtId="353" fontId="7"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lignment vertical="center"/>
    </xf>
    <xf numFmtId="353" fontId="7" fillId="0" borderId="0"/>
    <xf numFmtId="353" fontId="7" fillId="0" borderId="0"/>
    <xf numFmtId="353" fontId="7" fillId="0" borderId="0"/>
    <xf numFmtId="353" fontId="7" fillId="0" borderId="0"/>
    <xf numFmtId="353" fontId="4" fillId="0" borderId="0">
      <alignment vertical="center"/>
    </xf>
    <xf numFmtId="353" fontId="4" fillId="0" borderId="0">
      <alignment vertical="center"/>
    </xf>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7" fillId="0" borderId="0">
      <alignment vertical="justify"/>
    </xf>
    <xf numFmtId="353" fontId="13" fillId="30" borderId="0" applyNumberFormat="0" applyBorder="0" applyAlignment="0" applyProtection="0"/>
    <xf numFmtId="353" fontId="13" fillId="30"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7" borderId="0" applyNumberFormat="0" applyBorder="0" applyAlignment="0" applyProtection="0"/>
    <xf numFmtId="353" fontId="13" fillId="27" borderId="0" applyNumberFormat="0" applyBorder="0" applyAlignment="0" applyProtection="0"/>
    <xf numFmtId="353" fontId="13" fillId="119" borderId="0" applyNumberFormat="0" applyBorder="0" applyAlignment="0" applyProtection="0"/>
    <xf numFmtId="353" fontId="13" fillId="119" borderId="0" applyNumberFormat="0" applyBorder="0" applyAlignment="0" applyProtection="0"/>
    <xf numFmtId="353" fontId="13" fillId="30" borderId="0" applyNumberFormat="0" applyBorder="0" applyAlignment="0" applyProtection="0"/>
    <xf numFmtId="353" fontId="13" fillId="30"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13" fillId="61" borderId="0" applyNumberFormat="0" applyBorder="0" applyAlignment="0" applyProtection="0"/>
    <xf numFmtId="353" fontId="13" fillId="61"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6" borderId="0" applyNumberFormat="0" applyBorder="0" applyAlignment="0" applyProtection="0"/>
    <xf numFmtId="353" fontId="13" fillId="26" borderId="0" applyNumberFormat="0" applyBorder="0" applyAlignment="0" applyProtection="0"/>
    <xf numFmtId="353" fontId="13" fillId="120" borderId="0" applyNumberFormat="0" applyBorder="0" applyAlignment="0" applyProtection="0"/>
    <xf numFmtId="353" fontId="13" fillId="120" borderId="0" applyNumberFormat="0" applyBorder="0" applyAlignment="0" applyProtection="0"/>
    <xf numFmtId="353" fontId="13" fillId="31" borderId="0" applyNumberFormat="0" applyBorder="0" applyAlignment="0" applyProtection="0"/>
    <xf numFmtId="353" fontId="13" fillId="31"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56" fillId="121" borderId="0" applyNumberFormat="0" applyBorder="0" applyAlignment="0" applyProtection="0"/>
    <xf numFmtId="353" fontId="56" fillId="121" borderId="0" applyNumberFormat="0" applyBorder="0" applyAlignment="0" applyProtection="0"/>
    <xf numFmtId="353" fontId="56" fillId="19" borderId="0" applyNumberFormat="0" applyBorder="0" applyAlignment="0" applyProtection="0"/>
    <xf numFmtId="353" fontId="56" fillId="19" borderId="0" applyNumberFormat="0" applyBorder="0" applyAlignment="0" applyProtection="0"/>
    <xf numFmtId="353" fontId="56" fillId="26" borderId="0" applyNumberFormat="0" applyBorder="0" applyAlignment="0" applyProtection="0"/>
    <xf numFmtId="353" fontId="56" fillId="26" borderId="0" applyNumberFormat="0" applyBorder="0" applyAlignment="0" applyProtection="0"/>
    <xf numFmtId="353" fontId="56" fillId="120" borderId="0" applyNumberFormat="0" applyBorder="0" applyAlignment="0" applyProtection="0"/>
    <xf numFmtId="353" fontId="56" fillId="120" borderId="0" applyNumberFormat="0" applyBorder="0" applyAlignment="0" applyProtection="0"/>
    <xf numFmtId="353" fontId="56" fillId="121" borderId="0" applyNumberFormat="0" applyBorder="0" applyAlignment="0" applyProtection="0"/>
    <xf numFmtId="353" fontId="56" fillId="121" borderId="0" applyNumberFormat="0" applyBorder="0" applyAlignment="0" applyProtection="0"/>
    <xf numFmtId="353" fontId="56" fillId="23" borderId="0" applyNumberFormat="0" applyBorder="0" applyAlignment="0" applyProtection="0"/>
    <xf numFmtId="353" fontId="56" fillId="23" borderId="0" applyNumberFormat="0" applyBorder="0" applyAlignment="0" applyProtection="0"/>
    <xf numFmtId="353" fontId="8" fillId="65" borderId="0" applyNumberFormat="0" applyBorder="0" applyAlignment="0" applyProtection="0"/>
    <xf numFmtId="353" fontId="8" fillId="12" borderId="0" applyNumberFormat="0" applyBorder="0" applyAlignment="0" applyProtection="0"/>
    <xf numFmtId="353" fontId="9" fillId="122" borderId="0" applyNumberFormat="0" applyBorder="0" applyAlignment="0" applyProtection="0"/>
    <xf numFmtId="353" fontId="9" fillId="66" borderId="0" applyNumberFormat="0" applyBorder="0" applyAlignment="0" applyProtection="0"/>
    <xf numFmtId="353" fontId="9" fillId="66" borderId="0" applyNumberFormat="0" applyBorder="0" applyAlignment="0" applyProtection="0"/>
    <xf numFmtId="353" fontId="8" fillId="68" borderId="0" applyNumberFormat="0" applyBorder="0" applyAlignment="0" applyProtection="0"/>
    <xf numFmtId="353" fontId="8" fillId="11" borderId="0" applyNumberFormat="0" applyBorder="0" applyAlignment="0" applyProtection="0"/>
    <xf numFmtId="353" fontId="9" fillId="8" borderId="0" applyNumberFormat="0" applyBorder="0" applyAlignment="0" applyProtection="0"/>
    <xf numFmtId="353" fontId="9" fillId="69" borderId="0" applyNumberFormat="0" applyBorder="0" applyAlignment="0" applyProtection="0"/>
    <xf numFmtId="353" fontId="9" fillId="69" borderId="0" applyNumberFormat="0" applyBorder="0" applyAlignment="0" applyProtection="0"/>
    <xf numFmtId="353" fontId="8" fillId="70" borderId="0" applyNumberFormat="0" applyBorder="0" applyAlignment="0" applyProtection="0"/>
    <xf numFmtId="353" fontId="8" fillId="71" borderId="0" applyNumberFormat="0" applyBorder="0" applyAlignment="0" applyProtection="0"/>
    <xf numFmtId="353" fontId="9" fillId="123"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8" fillId="68" borderId="0" applyNumberFormat="0" applyBorder="0" applyAlignment="0" applyProtection="0"/>
    <xf numFmtId="353" fontId="8" fillId="9" borderId="0" applyNumberFormat="0" applyBorder="0" applyAlignment="0" applyProtection="0"/>
    <xf numFmtId="353" fontId="9" fillId="11" borderId="0" applyNumberFormat="0" applyBorder="0" applyAlignment="0" applyProtection="0"/>
    <xf numFmtId="353" fontId="9" fillId="125" borderId="0" applyNumberFormat="0" applyBorder="0" applyAlignment="0" applyProtection="0"/>
    <xf numFmtId="353" fontId="9" fillId="125" borderId="0" applyNumberFormat="0" applyBorder="0" applyAlignment="0" applyProtection="0"/>
    <xf numFmtId="353" fontId="8" fillId="10" borderId="0" applyNumberFormat="0" applyBorder="0" applyAlignment="0" applyProtection="0"/>
    <xf numFmtId="353" fontId="8" fillId="5" borderId="0" applyNumberFormat="0" applyBorder="0" applyAlignment="0" applyProtection="0"/>
    <xf numFmtId="353" fontId="9" fillId="122" borderId="0" applyNumberFormat="0" applyBorder="0" applyAlignment="0" applyProtection="0"/>
    <xf numFmtId="353" fontId="9" fillId="122" borderId="0" applyNumberFormat="0" applyBorder="0" applyAlignment="0" applyProtection="0"/>
    <xf numFmtId="353" fontId="9" fillId="122" borderId="0" applyNumberFormat="0" applyBorder="0" applyAlignment="0" applyProtection="0"/>
    <xf numFmtId="353" fontId="8" fillId="13" borderId="0" applyNumberFormat="0" applyBorder="0" applyAlignment="0" applyProtection="0"/>
    <xf numFmtId="353" fontId="8" fillId="14" borderId="0" applyNumberFormat="0" applyBorder="0" applyAlignment="0" applyProtection="0"/>
    <xf numFmtId="353" fontId="9" fillId="126" borderId="0" applyNumberFormat="0" applyBorder="0" applyAlignment="0" applyProtection="0"/>
    <xf numFmtId="353" fontId="9" fillId="127" borderId="0" applyNumberFormat="0" applyBorder="0" applyAlignment="0" applyProtection="0"/>
    <xf numFmtId="353" fontId="9" fillId="127" borderId="0" applyNumberFormat="0" applyBorder="0" applyAlignment="0" applyProtection="0"/>
    <xf numFmtId="353" fontId="247" fillId="13" borderId="0" applyNumberFormat="0" applyBorder="0" applyAlignment="0" applyProtection="0"/>
    <xf numFmtId="353" fontId="247" fillId="13" borderId="0" applyNumberFormat="0" applyBorder="0" applyAlignment="0" applyProtection="0"/>
    <xf numFmtId="353" fontId="248" fillId="128" borderId="110" applyNumberFormat="0" applyAlignment="0" applyProtection="0"/>
    <xf numFmtId="353" fontId="248" fillId="128" borderId="110" applyNumberFormat="0" applyAlignment="0" applyProtection="0"/>
    <xf numFmtId="353" fontId="85" fillId="125" borderId="16" applyNumberFormat="0" applyAlignment="0" applyProtection="0"/>
    <xf numFmtId="353" fontId="85" fillId="125" borderId="16" applyNumberFormat="0" applyAlignment="0" applyProtection="0"/>
    <xf numFmtId="37" fontId="59" fillId="0" borderId="89">
      <alignment horizontal="center"/>
    </xf>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10" fillId="129" borderId="0" applyNumberFormat="0" applyBorder="0" applyAlignment="0" applyProtection="0"/>
    <xf numFmtId="353" fontId="10" fillId="130" borderId="0" applyNumberFormat="0" applyBorder="0" applyAlignment="0" applyProtection="0"/>
    <xf numFmtId="353" fontId="10" fillId="17" borderId="0" applyNumberFormat="0" applyBorder="0" applyAlignment="0" applyProtection="0"/>
    <xf numFmtId="353" fontId="44" fillId="0" borderId="0" applyFont="0" applyFill="0" applyBorder="0" applyAlignment="0" applyProtection="0"/>
    <xf numFmtId="353" fontId="249" fillId="0" borderId="0" applyNumberFormat="0" applyFill="0" applyBorder="0" applyAlignment="0" applyProtection="0"/>
    <xf numFmtId="353" fontId="249" fillId="0" borderId="0" applyNumberFormat="0" applyFill="0" applyBorder="0" applyAlignment="0" applyProtection="0"/>
    <xf numFmtId="353" fontId="8" fillId="71" borderId="0" applyNumberFormat="0" applyBorder="0" applyAlignment="0" applyProtection="0"/>
    <xf numFmtId="353" fontId="8" fillId="71" borderId="0" applyNumberForma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117" fillId="0" borderId="30" applyNumberFormat="0" applyFill="0" applyAlignment="0" applyProtection="0"/>
    <xf numFmtId="353" fontId="117" fillId="0" borderId="30" applyNumberFormat="0" applyFill="0" applyAlignment="0" applyProtection="0"/>
    <xf numFmtId="353" fontId="120" fillId="0" borderId="111" applyNumberFormat="0" applyFill="0" applyAlignment="0" applyProtection="0"/>
    <xf numFmtId="353" fontId="120" fillId="0" borderId="111" applyNumberFormat="0" applyFill="0" applyAlignment="0" applyProtection="0"/>
    <xf numFmtId="353" fontId="123" fillId="0" borderId="112" applyNumberFormat="0" applyFill="0" applyAlignment="0" applyProtection="0"/>
    <xf numFmtId="353" fontId="123" fillId="0" borderId="112" applyNumberFormat="0" applyFill="0" applyAlignment="0" applyProtection="0"/>
    <xf numFmtId="353" fontId="123" fillId="0" borderId="0" applyNumberFormat="0" applyFill="0" applyBorder="0" applyAlignment="0" applyProtection="0"/>
    <xf numFmtId="353" fontId="123" fillId="0" borderId="0" applyNumberFormat="0" applyFill="0" applyBorder="0" applyAlignment="0" applyProtection="0"/>
    <xf numFmtId="353" fontId="137" fillId="14" borderId="110" applyNumberFormat="0" applyAlignment="0" applyProtection="0"/>
    <xf numFmtId="353" fontId="137" fillId="14" borderId="110" applyNumberFormat="0" applyAlignment="0" applyProtection="0"/>
    <xf numFmtId="353" fontId="140" fillId="34" borderId="0"/>
    <xf numFmtId="353" fontId="113" fillId="0" borderId="113" applyNumberFormat="0" applyFill="0" applyAlignment="0" applyProtection="0"/>
    <xf numFmtId="353" fontId="113" fillId="0" borderId="113" applyNumberFormat="0" applyFill="0" applyAlignment="0" applyProtection="0"/>
    <xf numFmtId="353" fontId="113" fillId="14" borderId="0" applyNumberFormat="0" applyBorder="0" applyAlignment="0" applyProtection="0"/>
    <xf numFmtId="353" fontId="113" fillId="14" borderId="0" applyNumberFormat="0" applyBorder="0" applyAlignment="0" applyProtection="0"/>
    <xf numFmtId="353" fontId="19" fillId="0" borderId="0"/>
    <xf numFmtId="353" fontId="19" fillId="0" borderId="0"/>
    <xf numFmtId="353" fontId="19" fillId="0" borderId="0"/>
    <xf numFmtId="353" fontId="19" fillId="0" borderId="0"/>
    <xf numFmtId="353" fontId="19" fillId="0" borderId="0"/>
    <xf numFmtId="353" fontId="4" fillId="0" borderId="0"/>
    <xf numFmtId="353" fontId="4" fillId="0" borderId="0"/>
    <xf numFmtId="353" fontId="4" fillId="0" borderId="0"/>
    <xf numFmtId="353" fontId="4" fillId="0" borderId="0"/>
    <xf numFmtId="0" fontId="2"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xf numFmtId="353" fontId="8" fillId="0" borderId="0" applyFill="0" applyBorder="0" applyAlignment="0" applyProtection="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2"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23" fillId="0" borderId="0"/>
    <xf numFmtId="353" fontId="1" fillId="0" borderId="0"/>
    <xf numFmtId="353" fontId="4"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1" fillId="0" borderId="0"/>
    <xf numFmtId="353" fontId="1" fillId="0" borderId="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8" fillId="0" borderId="0" applyFill="0" applyBorder="0" applyAlignment="0" applyProtection="0"/>
    <xf numFmtId="353" fontId="19"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7" fillId="0" borderId="0">
      <alignment vertical="top"/>
    </xf>
    <xf numFmtId="353" fontId="101" fillId="0" borderId="0" applyFill="0" applyBorder="0">
      <protection locked="0"/>
    </xf>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79" fillId="128" borderId="114" applyNumberFormat="0" applyAlignment="0" applyProtection="0"/>
    <xf numFmtId="353" fontId="179" fillId="128" borderId="114"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27">
      <alignment vertical="center"/>
    </xf>
    <xf numFmtId="167" fontId="19" fillId="90" borderId="27">
      <alignment vertical="center"/>
    </xf>
    <xf numFmtId="167" fontId="19" fillId="90" borderId="27">
      <alignment vertical="center"/>
    </xf>
    <xf numFmtId="353" fontId="19" fillId="90" borderId="27">
      <alignment vertical="center"/>
    </xf>
    <xf numFmtId="353" fontId="19" fillId="90" borderId="27">
      <alignment vertical="center"/>
    </xf>
    <xf numFmtId="353" fontId="19" fillId="90" borderId="27">
      <alignment vertical="center"/>
    </xf>
    <xf numFmtId="353" fontId="19" fillId="90" borderId="27">
      <alignment vertical="center"/>
    </xf>
    <xf numFmtId="171" fontId="19" fillId="90" borderId="27">
      <alignment vertical="center"/>
    </xf>
    <xf numFmtId="171" fontId="19" fillId="90" borderId="27">
      <alignment vertical="center"/>
    </xf>
    <xf numFmtId="330" fontId="19" fillId="90" borderId="27">
      <alignment vertical="center"/>
    </xf>
    <xf numFmtId="353" fontId="192" fillId="0" borderId="0"/>
    <xf numFmtId="353" fontId="19" fillId="36" borderId="27">
      <alignment vertical="center"/>
      <protection locked="0"/>
    </xf>
    <xf numFmtId="353" fontId="19" fillId="36" borderId="27">
      <alignment vertical="center"/>
      <protection locked="0"/>
    </xf>
    <xf numFmtId="353" fontId="19" fillId="36" borderId="27">
      <alignment vertical="center"/>
      <protection locked="0"/>
    </xf>
    <xf numFmtId="353" fontId="19" fillId="36" borderId="27">
      <alignment vertical="center"/>
      <protection locked="0"/>
    </xf>
    <xf numFmtId="330" fontId="19" fillId="38" borderId="27">
      <alignment vertical="center"/>
    </xf>
    <xf numFmtId="353" fontId="19" fillId="38" borderId="27">
      <alignment vertical="center"/>
    </xf>
    <xf numFmtId="353" fontId="19" fillId="38" borderId="27">
      <alignment vertical="center"/>
    </xf>
    <xf numFmtId="353" fontId="19" fillId="38" borderId="27">
      <alignment vertical="center"/>
    </xf>
    <xf numFmtId="353" fontId="19" fillId="38" borderId="27">
      <alignment vertical="center"/>
    </xf>
    <xf numFmtId="353" fontId="19" fillId="39" borderId="27">
      <alignment horizontal="right" vertical="center"/>
      <protection locked="0"/>
    </xf>
    <xf numFmtId="353" fontId="19" fillId="39" borderId="27">
      <alignment horizontal="right" vertical="center"/>
      <protection locked="0"/>
    </xf>
    <xf numFmtId="330" fontId="19" fillId="39" borderId="27">
      <alignment horizontal="right" vertical="center"/>
      <protection locked="0"/>
    </xf>
    <xf numFmtId="330" fontId="19" fillId="39" borderId="27">
      <alignment horizontal="right" vertical="center"/>
      <protection locked="0"/>
    </xf>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353" fontId="251" fillId="18" borderId="115" applyNumberFormat="0" applyProtection="0">
      <alignment horizontal="left" vertical="top"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2" borderId="116" applyNumberFormat="0" applyProtection="0">
      <alignment horizontal="right" vertical="center"/>
    </xf>
    <xf numFmtId="4" fontId="48" fillId="23" borderId="110" applyNumberFormat="0" applyProtection="0">
      <alignment horizontal="right" vertical="center"/>
    </xf>
    <xf numFmtId="4" fontId="48" fillId="24" borderId="110" applyNumberFormat="0" applyProtection="0">
      <alignment horizontal="right" vertical="center"/>
    </xf>
    <xf numFmtId="4" fontId="48" fillId="25" borderId="110" applyNumberFormat="0" applyProtection="0">
      <alignment horizontal="right" vertical="center"/>
    </xf>
    <xf numFmtId="4" fontId="48" fillId="26"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29" borderId="116" applyNumberFormat="0" applyProtection="0">
      <alignment horizontal="left" vertical="center" indent="1"/>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19" borderId="110" applyNumberFormat="0" applyProtection="0">
      <alignment horizontal="right" vertical="center"/>
    </xf>
    <xf numFmtId="4" fontId="48" fillId="30" borderId="116" applyNumberFormat="0" applyProtection="0">
      <alignment horizontal="left" vertical="center" indent="1"/>
    </xf>
    <xf numFmtId="4" fontId="48" fillId="19" borderId="116" applyNumberFormat="0" applyProtection="0">
      <alignment horizontal="left" vertical="center" indent="1"/>
    </xf>
    <xf numFmtId="353" fontId="48" fillId="61" borderId="110"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 fillId="30" borderId="115" applyNumberFormat="0" applyProtection="0">
      <alignment horizontal="left" vertical="center"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3" borderId="50" applyNumberFormat="0">
      <protection locked="0"/>
    </xf>
    <xf numFmtId="353" fontId="4" fillId="33" borderId="27"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88" fillId="31" borderId="117" applyBorder="0"/>
    <xf numFmtId="4" fontId="252" fillId="34" borderId="115" applyNumberFormat="0" applyProtection="0">
      <alignment vertical="center"/>
    </xf>
    <xf numFmtId="4" fontId="250" fillId="36" borderId="27" applyNumberFormat="0" applyProtection="0">
      <alignment vertical="center"/>
    </xf>
    <xf numFmtId="4" fontId="252" fillId="61" borderId="115" applyNumberFormat="0" applyProtection="0">
      <alignment horizontal="left" vertical="center" indent="1"/>
    </xf>
    <xf numFmtId="353" fontId="252" fillId="34" borderId="115" applyNumberFormat="0" applyProtection="0">
      <alignment horizontal="left" vertical="top" indent="1"/>
    </xf>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353" fontId="48" fillId="109" borderId="27"/>
    <xf numFmtId="4" fontId="254" fillId="33" borderId="110" applyNumberFormat="0" applyProtection="0">
      <alignment horizontal="right" vertical="center"/>
    </xf>
    <xf numFmtId="353" fontId="18" fillId="0" borderId="0" applyNumberFormat="0" applyFill="0" applyBorder="0" applyAlignment="0" applyProtection="0"/>
    <xf numFmtId="353" fontId="4" fillId="0" borderId="0" applyFont="0" applyFill="0" applyBorder="0" applyAlignment="0" applyProtection="0"/>
    <xf numFmtId="37" fontId="59" fillId="0" borderId="118" applyNumberFormat="0"/>
    <xf numFmtId="353" fontId="220" fillId="0" borderId="55" applyNumberFormat="0" applyAlignment="0" applyProtection="0"/>
    <xf numFmtId="353" fontId="18" fillId="0" borderId="0" applyNumberFormat="0" applyFill="0" applyBorder="0" applyAlignment="0" applyProtection="0"/>
    <xf numFmtId="353" fontId="18" fillId="0" borderId="0" applyNumberFormat="0" applyFill="0" applyBorder="0" applyAlignment="0" applyProtection="0"/>
    <xf numFmtId="210" fontId="59" fillId="0" borderId="29" applyFill="0"/>
    <xf numFmtId="353" fontId="10" fillId="0" borderId="119" applyNumberFormat="0" applyFill="0" applyAlignment="0" applyProtection="0"/>
    <xf numFmtId="353" fontId="10" fillId="0" borderId="119" applyNumberFormat="0" applyFill="0" applyAlignment="0" applyProtection="0"/>
    <xf numFmtId="353" fontId="255" fillId="0" borderId="0" applyNumberFormat="0" applyFill="0" applyBorder="0" applyAlignment="0" applyProtection="0"/>
    <xf numFmtId="353" fontId="255" fillId="0" borderId="0" applyNumberFormat="0" applyFill="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27">
      <alignment vertical="center"/>
    </xf>
    <xf numFmtId="171" fontId="2" fillId="101" borderId="27">
      <alignment vertical="center"/>
    </xf>
    <xf numFmtId="330" fontId="2" fillId="101" borderId="27">
      <alignment vertical="center"/>
    </xf>
    <xf numFmtId="330" fontId="2" fillId="43" borderId="27">
      <alignment vertical="center"/>
    </xf>
    <xf numFmtId="330" fontId="2" fillId="44" borderId="27">
      <alignment horizontal="right" vertical="center"/>
      <protection locked="0"/>
    </xf>
    <xf numFmtId="0" fontId="7" fillId="0" borderId="0"/>
    <xf numFmtId="0" fontId="7" fillId="0" borderId="0"/>
    <xf numFmtId="0" fontId="7" fillId="0" borderId="0"/>
    <xf numFmtId="0" fontId="7" fillId="0" borderId="0"/>
    <xf numFmtId="0" fontId="7" fillId="0" borderId="0"/>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210" fontId="59" fillId="0" borderId="29" applyFill="0"/>
    <xf numFmtId="0" fontId="7" fillId="0" borderId="0"/>
    <xf numFmtId="0" fontId="7" fillId="0" borderId="0"/>
    <xf numFmtId="164" fontId="2" fillId="0" borderId="0" applyFont="0" applyFill="0" applyBorder="0" applyAlignment="0" applyProtection="0"/>
    <xf numFmtId="0" fontId="7" fillId="0" borderId="0"/>
    <xf numFmtId="353" fontId="48" fillId="30" borderId="115" applyNumberFormat="0" applyProtection="0">
      <alignment horizontal="left" vertical="top" indent="1"/>
    </xf>
    <xf numFmtId="353" fontId="48" fillId="30" borderId="110"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32" borderId="110"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248" fillId="128" borderId="110" applyNumberFormat="0" applyAlignment="0" applyProtection="0"/>
    <xf numFmtId="353" fontId="248" fillId="128"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23" fillId="0" borderId="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79" fillId="128" borderId="114" applyNumberFormat="0" applyAlignment="0" applyProtection="0"/>
    <xf numFmtId="353" fontId="179" fillId="128" borderId="114" applyNumberFormat="0" applyAlignment="0" applyProtection="0"/>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5"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19" borderId="110" applyNumberFormat="0" applyProtection="0">
      <alignment horizontal="right" vertical="center"/>
    </xf>
    <xf numFmtId="353" fontId="48" fillId="61" borderId="110" applyNumberFormat="0" applyProtection="0">
      <alignment horizontal="left" vertical="center" indent="1"/>
    </xf>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353" fontId="251" fillId="18" borderId="115" applyNumberFormat="0" applyProtection="0">
      <alignment horizontal="left" vertical="top"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2" borderId="116" applyNumberFormat="0" applyProtection="0">
      <alignment horizontal="right" vertical="center"/>
    </xf>
    <xf numFmtId="4" fontId="48" fillId="23" borderId="110" applyNumberFormat="0" applyProtection="0">
      <alignment horizontal="right" vertical="center"/>
    </xf>
    <xf numFmtId="4" fontId="48" fillId="24" borderId="110" applyNumberFormat="0" applyProtection="0">
      <alignment horizontal="right" vertical="center"/>
    </xf>
    <xf numFmtId="4" fontId="48" fillId="25" borderId="110" applyNumberFormat="0" applyProtection="0">
      <alignment horizontal="right" vertical="center"/>
    </xf>
    <xf numFmtId="4" fontId="48" fillId="26"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29" borderId="116" applyNumberFormat="0" applyProtection="0">
      <alignment horizontal="left" vertical="center" indent="1"/>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19" borderId="110" applyNumberFormat="0" applyProtection="0">
      <alignment horizontal="right" vertical="center"/>
    </xf>
    <xf numFmtId="4" fontId="48" fillId="30" borderId="116" applyNumberFormat="0" applyProtection="0">
      <alignment horizontal="left" vertical="center" indent="1"/>
    </xf>
    <xf numFmtId="4" fontId="48" fillId="19" borderId="116" applyNumberFormat="0" applyProtection="0">
      <alignment horizontal="left" vertical="center" indent="1"/>
    </xf>
    <xf numFmtId="353" fontId="48" fillId="61" borderId="110"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 fillId="30" borderId="115" applyNumberFormat="0" applyProtection="0">
      <alignment horizontal="left" vertical="center"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2" borderId="110" applyNumberFormat="0" applyProtection="0">
      <alignment horizontal="left" vertical="center" indent="1"/>
    </xf>
    <xf numFmtId="353" fontId="88" fillId="31" borderId="117" applyBorder="0"/>
    <xf numFmtId="4" fontId="252" fillId="34" borderId="115" applyNumberFormat="0" applyProtection="0">
      <alignment vertical="center"/>
    </xf>
    <xf numFmtId="4" fontId="252" fillId="61" borderId="115" applyNumberFormat="0" applyProtection="0">
      <alignment horizontal="left" vertical="center" indent="1"/>
    </xf>
    <xf numFmtId="353" fontId="252" fillId="34" borderId="115" applyNumberFormat="0" applyProtection="0">
      <alignment horizontal="left" vertical="top" indent="1"/>
    </xf>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4" fontId="254" fillId="33" borderId="110" applyNumberFormat="0" applyProtection="0">
      <alignment horizontal="right" vertical="center"/>
    </xf>
    <xf numFmtId="37" fontId="59" fillId="0" borderId="118" applyNumberFormat="0"/>
    <xf numFmtId="353" fontId="10" fillId="0" borderId="119" applyNumberFormat="0" applyFill="0" applyAlignment="0" applyProtection="0"/>
    <xf numFmtId="353" fontId="10" fillId="0" borderId="119" applyNumberFormat="0" applyFill="0" applyAlignment="0" applyProtection="0"/>
    <xf numFmtId="353" fontId="4" fillId="30" borderId="115" applyNumberFormat="0" applyProtection="0">
      <alignment horizontal="left" vertical="center"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248" fillId="128" borderId="110" applyNumberFormat="0" applyAlignment="0" applyProtection="0"/>
    <xf numFmtId="353" fontId="248" fillId="128" borderId="110" applyNumberFormat="0" applyAlignment="0" applyProtection="0"/>
    <xf numFmtId="4" fontId="48" fillId="23" borderId="110" applyNumberFormat="0" applyProtection="0">
      <alignment horizontal="right" vertical="center"/>
    </xf>
    <xf numFmtId="4" fontId="48" fillId="24" borderId="110" applyNumberFormat="0" applyProtection="0">
      <alignment horizontal="right" vertical="center"/>
    </xf>
    <xf numFmtId="353" fontId="48" fillId="83" borderId="110" applyNumberFormat="0" applyProtection="0">
      <alignment horizontal="left" vertical="center" indent="1"/>
    </xf>
    <xf numFmtId="210" fontId="59" fillId="0" borderId="29" applyFill="0"/>
    <xf numFmtId="4" fontId="48" fillId="26" borderId="110" applyNumberFormat="0" applyProtection="0">
      <alignment horizontal="right" vertical="center"/>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88" fillId="31" borderId="117" applyBorder="0"/>
    <xf numFmtId="4" fontId="252" fillId="34" borderId="115" applyNumberFormat="0" applyProtection="0">
      <alignment vertical="center"/>
    </xf>
    <xf numFmtId="4" fontId="252" fillId="61" borderId="115" applyNumberFormat="0" applyProtection="0">
      <alignment horizontal="left" vertical="center" indent="1"/>
    </xf>
    <xf numFmtId="353" fontId="252" fillId="34" borderId="115" applyNumberFormat="0" applyProtection="0">
      <alignment horizontal="left" vertical="top" indent="1"/>
    </xf>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4" fontId="254" fillId="33" borderId="110" applyNumberFormat="0" applyProtection="0">
      <alignment horizontal="right" vertical="center"/>
    </xf>
    <xf numFmtId="37" fontId="59" fillId="0" borderId="118" applyNumberFormat="0"/>
    <xf numFmtId="353" fontId="10" fillId="0" borderId="119" applyNumberFormat="0" applyFill="0" applyAlignment="0" applyProtection="0"/>
    <xf numFmtId="353" fontId="10" fillId="0" borderId="119" applyNumberFormat="0" applyFill="0" applyAlignment="0" applyProtection="0"/>
    <xf numFmtId="353" fontId="48" fillId="30" borderId="110" applyNumberFormat="0" applyProtection="0">
      <alignment horizontal="left" vertical="center" indent="1"/>
    </xf>
    <xf numFmtId="353" fontId="248" fillId="128" borderId="110" applyNumberFormat="0" applyAlignment="0" applyProtection="0"/>
    <xf numFmtId="353" fontId="248" fillId="128" borderId="110" applyNumberFormat="0" applyAlignment="0" applyProtection="0"/>
    <xf numFmtId="210" fontId="59" fillId="0" borderId="29" applyFill="0"/>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4" fontId="254" fillId="33" borderId="110" applyNumberFormat="0" applyProtection="0">
      <alignment horizontal="right" vertical="center"/>
    </xf>
    <xf numFmtId="353" fontId="248" fillId="128" borderId="110" applyNumberFormat="0" applyAlignment="0" applyProtection="0"/>
    <xf numFmtId="353" fontId="248" fillId="128"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23" fillId="0" borderId="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79" fillId="128" borderId="114" applyNumberFormat="0" applyAlignment="0" applyProtection="0"/>
    <xf numFmtId="353" fontId="179" fillId="128" borderId="114" applyNumberFormat="0" applyAlignment="0" applyProtection="0"/>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353" fontId="251" fillId="18" borderId="115" applyNumberFormat="0" applyProtection="0">
      <alignment horizontal="left" vertical="top"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2" borderId="116" applyNumberFormat="0" applyProtection="0">
      <alignment horizontal="right" vertical="center"/>
    </xf>
    <xf numFmtId="4" fontId="48" fillId="23" borderId="110" applyNumberFormat="0" applyProtection="0">
      <alignment horizontal="right" vertical="center"/>
    </xf>
    <xf numFmtId="4" fontId="48" fillId="24" borderId="110" applyNumberFormat="0" applyProtection="0">
      <alignment horizontal="right" vertical="center"/>
    </xf>
    <xf numFmtId="4" fontId="48" fillId="25" borderId="110" applyNumberFormat="0" applyProtection="0">
      <alignment horizontal="right" vertical="center"/>
    </xf>
    <xf numFmtId="4" fontId="48" fillId="26"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29" borderId="116" applyNumberFormat="0" applyProtection="0">
      <alignment horizontal="left" vertical="center" indent="1"/>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19" borderId="110" applyNumberFormat="0" applyProtection="0">
      <alignment horizontal="right" vertical="center"/>
    </xf>
    <xf numFmtId="4" fontId="48" fillId="30" borderId="116" applyNumberFormat="0" applyProtection="0">
      <alignment horizontal="left" vertical="center" indent="1"/>
    </xf>
    <xf numFmtId="4" fontId="48" fillId="19" borderId="116" applyNumberFormat="0" applyProtection="0">
      <alignment horizontal="left" vertical="center" indent="1"/>
    </xf>
    <xf numFmtId="353" fontId="48" fillId="61" borderId="110"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 fillId="30" borderId="115" applyNumberFormat="0" applyProtection="0">
      <alignment horizontal="left" vertical="center"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88" fillId="31" borderId="117" applyBorder="0"/>
    <xf numFmtId="4" fontId="252" fillId="34" borderId="115" applyNumberFormat="0" applyProtection="0">
      <alignment vertical="center"/>
    </xf>
    <xf numFmtId="4" fontId="252" fillId="61" borderId="115" applyNumberFormat="0" applyProtection="0">
      <alignment horizontal="left" vertical="center" indent="1"/>
    </xf>
    <xf numFmtId="353" fontId="252" fillId="34" borderId="115" applyNumberFormat="0" applyProtection="0">
      <alignment horizontal="left" vertical="top" indent="1"/>
    </xf>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4" fontId="254" fillId="33" borderId="110" applyNumberFormat="0" applyProtection="0">
      <alignment horizontal="right" vertical="center"/>
    </xf>
    <xf numFmtId="37" fontId="59" fillId="0" borderId="118" applyNumberFormat="0"/>
    <xf numFmtId="353" fontId="10" fillId="0" borderId="119" applyNumberFormat="0" applyFill="0" applyAlignment="0" applyProtection="0"/>
    <xf numFmtId="353" fontId="10" fillId="0" borderId="119" applyNumberFormat="0" applyFill="0" applyAlignment="0" applyProtection="0"/>
    <xf numFmtId="210" fontId="59" fillId="0" borderId="29" applyFill="0"/>
    <xf numFmtId="353" fontId="23" fillId="0" borderId="0"/>
    <xf numFmtId="353" fontId="48" fillId="30" borderId="115" applyNumberFormat="0" applyProtection="0">
      <alignment horizontal="left" vertical="top" indent="1"/>
    </xf>
    <xf numFmtId="353" fontId="48" fillId="30" borderId="110"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32" borderId="110"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248" fillId="128" borderId="110" applyNumberFormat="0" applyAlignment="0" applyProtection="0"/>
    <xf numFmtId="353" fontId="248" fillId="128"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23" fillId="0" borderId="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79" fillId="128" borderId="114" applyNumberFormat="0" applyAlignment="0" applyProtection="0"/>
    <xf numFmtId="353" fontId="179" fillId="128" borderId="114" applyNumberFormat="0" applyAlignment="0" applyProtection="0"/>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5"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19" borderId="110" applyNumberFormat="0" applyProtection="0">
      <alignment horizontal="right" vertical="center"/>
    </xf>
    <xf numFmtId="353" fontId="48" fillId="61" borderId="110" applyNumberFormat="0" applyProtection="0">
      <alignment horizontal="left" vertical="center" indent="1"/>
    </xf>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353" fontId="251" fillId="18" borderId="115" applyNumberFormat="0" applyProtection="0">
      <alignment horizontal="left" vertical="top"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2" borderId="116" applyNumberFormat="0" applyProtection="0">
      <alignment horizontal="right" vertical="center"/>
    </xf>
    <xf numFmtId="4" fontId="48" fillId="23" borderId="110" applyNumberFormat="0" applyProtection="0">
      <alignment horizontal="right" vertical="center"/>
    </xf>
    <xf numFmtId="4" fontId="48" fillId="24" borderId="110" applyNumberFormat="0" applyProtection="0">
      <alignment horizontal="right" vertical="center"/>
    </xf>
    <xf numFmtId="4" fontId="48" fillId="25" borderId="110" applyNumberFormat="0" applyProtection="0">
      <alignment horizontal="right" vertical="center"/>
    </xf>
    <xf numFmtId="4" fontId="48" fillId="26"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29" borderId="116" applyNumberFormat="0" applyProtection="0">
      <alignment horizontal="left" vertical="center" indent="1"/>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19" borderId="110" applyNumberFormat="0" applyProtection="0">
      <alignment horizontal="right" vertical="center"/>
    </xf>
    <xf numFmtId="4" fontId="48" fillId="30" borderId="116" applyNumberFormat="0" applyProtection="0">
      <alignment horizontal="left" vertical="center" indent="1"/>
    </xf>
    <xf numFmtId="4" fontId="48" fillId="19" borderId="116" applyNumberFormat="0" applyProtection="0">
      <alignment horizontal="left" vertical="center" indent="1"/>
    </xf>
    <xf numFmtId="353" fontId="48" fillId="61" borderId="110"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 fillId="30" borderId="115" applyNumberFormat="0" applyProtection="0">
      <alignment horizontal="left" vertical="center"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2" borderId="110" applyNumberFormat="0" applyProtection="0">
      <alignment horizontal="left" vertical="center" indent="1"/>
    </xf>
    <xf numFmtId="353" fontId="88" fillId="31" borderId="117" applyBorder="0"/>
    <xf numFmtId="4" fontId="252" fillId="34" borderId="115" applyNumberFormat="0" applyProtection="0">
      <alignment vertical="center"/>
    </xf>
    <xf numFmtId="4" fontId="252" fillId="61" borderId="115" applyNumberFormat="0" applyProtection="0">
      <alignment horizontal="left" vertical="center" indent="1"/>
    </xf>
    <xf numFmtId="353" fontId="252" fillId="34" borderId="115" applyNumberFormat="0" applyProtection="0">
      <alignment horizontal="left" vertical="top" indent="1"/>
    </xf>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4" fontId="254" fillId="33" borderId="110" applyNumberFormat="0" applyProtection="0">
      <alignment horizontal="right" vertical="center"/>
    </xf>
    <xf numFmtId="37" fontId="59" fillId="0" borderId="118" applyNumberFormat="0"/>
    <xf numFmtId="353" fontId="10" fillId="0" borderId="119" applyNumberFormat="0" applyFill="0" applyAlignment="0" applyProtection="0"/>
    <xf numFmtId="353" fontId="10" fillId="0" borderId="119" applyNumberFormat="0" applyFill="0" applyAlignment="0" applyProtection="0"/>
    <xf numFmtId="353" fontId="4" fillId="30" borderId="115" applyNumberFormat="0" applyProtection="0">
      <alignment horizontal="left" vertical="center"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248" fillId="128" borderId="110" applyNumberFormat="0" applyAlignment="0" applyProtection="0"/>
    <xf numFmtId="353" fontId="248" fillId="128" borderId="110" applyNumberFormat="0" applyAlignment="0" applyProtection="0"/>
    <xf numFmtId="4" fontId="48" fillId="23" borderId="110" applyNumberFormat="0" applyProtection="0">
      <alignment horizontal="right" vertical="center"/>
    </xf>
    <xf numFmtId="4" fontId="48" fillId="24" borderId="110" applyNumberFormat="0" applyProtection="0">
      <alignment horizontal="right" vertical="center"/>
    </xf>
    <xf numFmtId="353" fontId="48" fillId="83" borderId="110" applyNumberFormat="0" applyProtection="0">
      <alignment horizontal="left" vertical="center" indent="1"/>
    </xf>
    <xf numFmtId="210" fontId="59" fillId="0" borderId="29" applyFill="0"/>
    <xf numFmtId="4" fontId="48" fillId="26" borderId="110" applyNumberFormat="0" applyProtection="0">
      <alignment horizontal="right" vertical="center"/>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88" fillId="31" borderId="117" applyBorder="0"/>
    <xf numFmtId="4" fontId="252" fillId="34" borderId="115" applyNumberFormat="0" applyProtection="0">
      <alignment vertical="center"/>
    </xf>
    <xf numFmtId="4" fontId="252" fillId="61" borderId="115" applyNumberFormat="0" applyProtection="0">
      <alignment horizontal="left" vertical="center" indent="1"/>
    </xf>
    <xf numFmtId="353" fontId="252" fillId="34" borderId="115" applyNumberFormat="0" applyProtection="0">
      <alignment horizontal="left" vertical="top" indent="1"/>
    </xf>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4" fontId="254" fillId="33" borderId="110" applyNumberFormat="0" applyProtection="0">
      <alignment horizontal="right" vertical="center"/>
    </xf>
    <xf numFmtId="37" fontId="59" fillId="0" borderId="118" applyNumberFormat="0"/>
    <xf numFmtId="353" fontId="10" fillId="0" borderId="119" applyNumberFormat="0" applyFill="0" applyAlignment="0" applyProtection="0"/>
    <xf numFmtId="353" fontId="10" fillId="0" borderId="119" applyNumberFormat="0" applyFill="0" applyAlignment="0" applyProtection="0"/>
    <xf numFmtId="353" fontId="48" fillId="30" borderId="110" applyNumberFormat="0" applyProtection="0">
      <alignment horizontal="left" vertical="center" indent="1"/>
    </xf>
    <xf numFmtId="353" fontId="248" fillId="128" borderId="110" applyNumberFormat="0" applyAlignment="0" applyProtection="0"/>
    <xf numFmtId="353" fontId="248" fillId="128" borderId="110" applyNumberFormat="0" applyAlignment="0" applyProtection="0"/>
    <xf numFmtId="210" fontId="59" fillId="0" borderId="29" applyFill="0"/>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4" fontId="254" fillId="33" borderId="110" applyNumberFormat="0" applyProtection="0">
      <alignment horizontal="right" vertical="center"/>
    </xf>
    <xf numFmtId="353" fontId="48" fillId="32" borderId="115" applyNumberFormat="0" applyProtection="0">
      <alignment horizontal="left" vertical="top" indent="1"/>
    </xf>
    <xf numFmtId="4" fontId="252" fillId="61" borderId="115" applyNumberFormat="0" applyProtection="0">
      <alignment horizontal="left" vertical="center" indent="1"/>
    </xf>
    <xf numFmtId="4" fontId="252" fillId="34" borderId="115" applyNumberFormat="0" applyProtection="0">
      <alignment vertical="center"/>
    </xf>
    <xf numFmtId="353" fontId="4" fillId="32" borderId="115" applyNumberFormat="0" applyProtection="0">
      <alignment horizontal="left" vertical="top" indent="1"/>
    </xf>
    <xf numFmtId="353" fontId="48" fillId="32" borderId="110" applyNumberFormat="0" applyProtection="0">
      <alignment horizontal="left" vertical="center" indent="1"/>
    </xf>
    <xf numFmtId="353" fontId="48" fillId="31" borderId="115" applyNumberFormat="0" applyProtection="0">
      <alignment horizontal="left" vertical="top" indent="1"/>
    </xf>
    <xf numFmtId="353" fontId="48" fillId="13" borderId="110" applyNumberFormat="0" applyFont="0" applyAlignment="0" applyProtection="0"/>
    <xf numFmtId="353" fontId="48" fillId="30" borderId="115" applyNumberFormat="0" applyProtection="0">
      <alignment horizontal="left" vertical="top" indent="1"/>
    </xf>
    <xf numFmtId="353" fontId="48" fillId="19" borderId="115" applyNumberFormat="0" applyProtection="0">
      <alignment horizontal="left" vertical="top" indent="1"/>
    </xf>
    <xf numFmtId="353" fontId="248" fillId="128" borderId="110" applyNumberFormat="0" applyAlignment="0" applyProtection="0"/>
    <xf numFmtId="353" fontId="10" fillId="0" borderId="119" applyNumberFormat="0" applyFill="0" applyAlignment="0" applyProtection="0"/>
    <xf numFmtId="353" fontId="10" fillId="0" borderId="119" applyNumberFormat="0" applyFill="0" applyAlignment="0" applyProtection="0"/>
    <xf numFmtId="37" fontId="59" fillId="0" borderId="118" applyNumberFormat="0"/>
    <xf numFmtId="4" fontId="254" fillId="33" borderId="110" applyNumberFormat="0" applyProtection="0">
      <alignment horizontal="right" vertical="center"/>
    </xf>
    <xf numFmtId="4" fontId="253" fillId="35" borderId="116" applyNumberFormat="0" applyProtection="0">
      <alignment horizontal="left" vertical="center" indent="1"/>
    </xf>
    <xf numFmtId="353" fontId="252" fillId="19" borderId="115" applyNumberFormat="0" applyProtection="0">
      <alignment horizontal="left" vertical="top" indent="1"/>
    </xf>
    <xf numFmtId="4" fontId="48" fillId="64" borderId="110" applyNumberFormat="0" applyProtection="0">
      <alignment horizontal="left" vertical="center"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23" fillId="0" borderId="0"/>
    <xf numFmtId="353" fontId="137" fillId="14" borderId="110" applyNumberFormat="0" applyAlignment="0" applyProtection="0"/>
    <xf numFmtId="353" fontId="137" fillId="14" borderId="110" applyNumberFormat="0" applyAlignment="0" applyProtection="0"/>
    <xf numFmtId="353" fontId="248" fillId="128" borderId="110" applyNumberFormat="0" applyAlignment="0" applyProtection="0"/>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 fillId="19" borderId="115" applyNumberFormat="0" applyProtection="0">
      <alignment horizontal="left" vertical="top" indent="1"/>
    </xf>
    <xf numFmtId="353" fontId="48" fillId="31" borderId="115" applyNumberFormat="0" applyProtection="0">
      <alignment horizontal="left" vertical="top" indent="1"/>
    </xf>
    <xf numFmtId="353" fontId="88" fillId="31" borderId="117" applyBorder="0"/>
    <xf numFmtId="353" fontId="48" fillId="13" borderId="110" applyNumberFormat="0" applyFont="0" applyAlignment="0" applyProtection="0"/>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252" fillId="19" borderId="115" applyNumberFormat="0" applyProtection="0">
      <alignment horizontal="left" vertical="top" indent="1"/>
    </xf>
    <xf numFmtId="353" fontId="48" fillId="30" borderId="110" applyNumberFormat="0" applyProtection="0">
      <alignment horizontal="left" vertical="center" indent="1"/>
    </xf>
    <xf numFmtId="210" fontId="59" fillId="0" borderId="29" applyFill="0"/>
    <xf numFmtId="353" fontId="248" fillId="128" borderId="110" applyNumberFormat="0" applyAlignment="0" applyProtection="0"/>
    <xf numFmtId="353" fontId="248" fillId="128" borderId="110" applyNumberFormat="0" applyAlignment="0" applyProtection="0"/>
    <xf numFmtId="353" fontId="48" fillId="31" borderId="115" applyNumberFormat="0" applyProtection="0">
      <alignment horizontal="left" vertical="top" indent="1"/>
    </xf>
    <xf numFmtId="353" fontId="48" fillId="30" borderId="115" applyNumberFormat="0" applyProtection="0">
      <alignment horizontal="left" vertical="top" indent="1"/>
    </xf>
    <xf numFmtId="164" fontId="2" fillId="0" borderId="0" applyFont="0" applyFill="0" applyBorder="0" applyAlignment="0" applyProtection="0"/>
    <xf numFmtId="353" fontId="48" fillId="30" borderId="115" applyNumberFormat="0" applyProtection="0">
      <alignment horizontal="left" vertical="top" indent="1"/>
    </xf>
    <xf numFmtId="164" fontId="1" fillId="0" borderId="0" applyFont="0" applyFill="0" applyBorder="0" applyAlignment="0" applyProtection="0"/>
    <xf numFmtId="353" fontId="88" fillId="31" borderId="117" applyBorder="0"/>
    <xf numFmtId="4" fontId="48" fillId="24" borderId="110" applyNumberFormat="0" applyProtection="0">
      <alignment horizontal="right" vertical="center"/>
    </xf>
    <xf numFmtId="353" fontId="48" fillId="13" borderId="110" applyNumberFormat="0" applyFont="0" applyAlignment="0" applyProtection="0"/>
    <xf numFmtId="4" fontId="48" fillId="19" borderId="116" applyNumberFormat="0" applyProtection="0">
      <alignment horizontal="left" vertical="center" indent="1"/>
    </xf>
    <xf numFmtId="4" fontId="48" fillId="25" borderId="110" applyNumberFormat="0" applyProtection="0">
      <alignment horizontal="right" vertical="center"/>
    </xf>
    <xf numFmtId="353" fontId="48" fillId="61" borderId="110" applyNumberFormat="0" applyProtection="0">
      <alignment horizontal="left" vertical="center" indent="1"/>
    </xf>
    <xf numFmtId="4" fontId="253" fillId="35" borderId="116" applyNumberFormat="0" applyProtection="0">
      <alignment horizontal="left" vertical="center" indent="1"/>
    </xf>
    <xf numFmtId="353" fontId="252" fillId="19" borderId="115" applyNumberFormat="0" applyProtection="0">
      <alignment horizontal="left" vertical="top"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4" fontId="252" fillId="34" borderId="115" applyNumberFormat="0" applyProtection="0">
      <alignment vertical="center"/>
    </xf>
    <xf numFmtId="353" fontId="88" fillId="31" borderId="117" applyBorder="0"/>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210" fontId="59" fillId="0" borderId="29" applyFill="0"/>
    <xf numFmtId="353" fontId="48" fillId="83" borderId="110" applyNumberFormat="0" applyProtection="0">
      <alignment horizontal="left" vertical="center" indent="1"/>
    </xf>
    <xf numFmtId="4" fontId="48" fillId="23" borderId="110" applyNumberFormat="0" applyProtection="0">
      <alignment horizontal="right" vertical="center"/>
    </xf>
    <xf numFmtId="353" fontId="248" fillId="128" borderId="110" applyNumberFormat="0" applyAlignment="0" applyProtection="0"/>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 fillId="30" borderId="115" applyNumberFormat="0" applyProtection="0">
      <alignment horizontal="left" vertical="center" indent="1"/>
    </xf>
    <xf numFmtId="353" fontId="10" fillId="0" borderId="119" applyNumberFormat="0" applyFill="0" applyAlignment="0" applyProtection="0"/>
    <xf numFmtId="353" fontId="10" fillId="0" borderId="119" applyNumberFormat="0" applyFill="0" applyAlignment="0" applyProtection="0"/>
    <xf numFmtId="37" fontId="59" fillId="0" borderId="118" applyNumberFormat="0"/>
    <xf numFmtId="4" fontId="254" fillId="33" borderId="110" applyNumberFormat="0" applyProtection="0">
      <alignment horizontal="right" vertical="center"/>
    </xf>
    <xf numFmtId="4" fontId="253" fillId="35" borderId="116" applyNumberFormat="0" applyProtection="0">
      <alignment horizontal="left" vertical="center" indent="1"/>
    </xf>
    <xf numFmtId="353" fontId="252" fillId="19" borderId="115" applyNumberFormat="0" applyProtection="0">
      <alignment horizontal="left" vertical="top" indent="1"/>
    </xf>
    <xf numFmtId="4" fontId="48" fillId="64" borderId="110" applyNumberFormat="0" applyProtection="0">
      <alignment horizontal="left" vertical="center"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4" fontId="252" fillId="61" borderId="115" applyNumberFormat="0" applyProtection="0">
      <alignment horizontal="left" vertical="center" indent="1"/>
    </xf>
    <xf numFmtId="4" fontId="252" fillId="34" borderId="115" applyNumberFormat="0" applyProtection="0">
      <alignment vertical="center"/>
    </xf>
    <xf numFmtId="353" fontId="88" fillId="31" borderId="117" applyBorder="0"/>
    <xf numFmtId="353" fontId="48" fillId="32" borderId="110" applyNumberFormat="0" applyProtection="0">
      <alignment horizontal="left" vertical="center"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0" borderId="110"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32" borderId="110"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248" fillId="128" borderId="110" applyNumberFormat="0" applyAlignment="0" applyProtection="0"/>
    <xf numFmtId="353" fontId="248" fillId="128" borderId="110"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79" fillId="128" borderId="114" applyNumberFormat="0" applyAlignment="0" applyProtection="0"/>
    <xf numFmtId="353" fontId="179" fillId="128" borderId="114" applyNumberFormat="0" applyAlignment="0" applyProtection="0"/>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353" fontId="251" fillId="18" borderId="115" applyNumberFormat="0" applyProtection="0">
      <alignment horizontal="left" vertical="top"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2" borderId="116" applyNumberFormat="0" applyProtection="0">
      <alignment horizontal="right" vertical="center"/>
    </xf>
    <xf numFmtId="4" fontId="48" fillId="23" borderId="110" applyNumberFormat="0" applyProtection="0">
      <alignment horizontal="right" vertical="center"/>
    </xf>
    <xf numFmtId="4" fontId="48" fillId="24" borderId="110" applyNumberFormat="0" applyProtection="0">
      <alignment horizontal="right" vertical="center"/>
    </xf>
    <xf numFmtId="4" fontId="48" fillId="25" borderId="110" applyNumberFormat="0" applyProtection="0">
      <alignment horizontal="right" vertical="center"/>
    </xf>
    <xf numFmtId="4" fontId="48" fillId="26"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29" borderId="116" applyNumberFormat="0" applyProtection="0">
      <alignment horizontal="left" vertical="center" indent="1"/>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19" borderId="110" applyNumberFormat="0" applyProtection="0">
      <alignment horizontal="right" vertical="center"/>
    </xf>
    <xf numFmtId="4" fontId="48" fillId="30" borderId="116" applyNumberFormat="0" applyProtection="0">
      <alignment horizontal="left" vertical="center" indent="1"/>
    </xf>
    <xf numFmtId="4" fontId="48" fillId="19" borderId="116" applyNumberFormat="0" applyProtection="0">
      <alignment horizontal="left" vertical="center" indent="1"/>
    </xf>
    <xf numFmtId="353" fontId="48" fillId="61" borderId="110"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252" fillId="19"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0" borderId="110"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32" borderId="110" applyNumberFormat="0" applyProtection="0">
      <alignment horizontal="left" vertical="center" indent="1"/>
    </xf>
    <xf numFmtId="164" fontId="8" fillId="0" borderId="0" applyFont="0" applyFill="0" applyBorder="0" applyAlignment="0" applyProtection="0"/>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1" borderId="115"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4" fontId="48" fillId="0" borderId="110" applyNumberFormat="0" applyProtection="0">
      <alignment horizontal="right" vertical="center"/>
    </xf>
    <xf numFmtId="353" fontId="10" fillId="0" borderId="119" applyNumberFormat="0" applyFill="0" applyAlignment="0" applyProtection="0"/>
    <xf numFmtId="353" fontId="10" fillId="0" borderId="119" applyNumberFormat="0" applyFill="0" applyAlignment="0" applyProtection="0"/>
    <xf numFmtId="37" fontId="59" fillId="0" borderId="118" applyNumberFormat="0"/>
    <xf numFmtId="4" fontId="254" fillId="33" borderId="110" applyNumberFormat="0" applyProtection="0">
      <alignment horizontal="right" vertical="center"/>
    </xf>
    <xf numFmtId="4" fontId="253" fillId="35" borderId="116" applyNumberFormat="0" applyProtection="0">
      <alignment horizontal="left" vertical="center" indent="1"/>
    </xf>
    <xf numFmtId="4" fontId="48" fillId="64" borderId="110" applyNumberFormat="0" applyProtection="0">
      <alignment horizontal="left" vertical="center"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4" fontId="252" fillId="61" borderId="115" applyNumberFormat="0" applyProtection="0">
      <alignment horizontal="left" vertical="center" indent="1"/>
    </xf>
    <xf numFmtId="4" fontId="252" fillId="34" borderId="115" applyNumberFormat="0" applyProtection="0">
      <alignment vertical="center"/>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4" fontId="48" fillId="26" borderId="110" applyNumberFormat="0" applyProtection="0">
      <alignment horizontal="right" vertical="center"/>
    </xf>
    <xf numFmtId="210" fontId="59" fillId="0" borderId="29" applyFill="0"/>
    <xf numFmtId="353" fontId="48" fillId="83" borderId="110" applyNumberFormat="0" applyProtection="0">
      <alignment horizontal="left" vertical="center" indent="1"/>
    </xf>
    <xf numFmtId="4" fontId="48" fillId="24" borderId="110" applyNumberFormat="0" applyProtection="0">
      <alignment horizontal="right" vertical="center"/>
    </xf>
    <xf numFmtId="4" fontId="48" fillId="23" borderId="110" applyNumberFormat="0" applyProtection="0">
      <alignment horizontal="right" vertical="center"/>
    </xf>
    <xf numFmtId="353" fontId="248" fillId="128" borderId="110" applyNumberFormat="0" applyAlignment="0" applyProtection="0"/>
    <xf numFmtId="353" fontId="248" fillId="128" borderId="110" applyNumberFormat="0" applyAlignment="0" applyProtection="0"/>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 fillId="30" borderId="115" applyNumberFormat="0" applyProtection="0">
      <alignment horizontal="left" vertical="center" indent="1"/>
    </xf>
    <xf numFmtId="353" fontId="10" fillId="0" borderId="119" applyNumberFormat="0" applyFill="0" applyAlignment="0" applyProtection="0"/>
    <xf numFmtId="353" fontId="10" fillId="0" borderId="119" applyNumberFormat="0" applyFill="0" applyAlignment="0" applyProtection="0"/>
    <xf numFmtId="37" fontId="59" fillId="0" borderId="118" applyNumberFormat="0"/>
    <xf numFmtId="4" fontId="254" fillId="33" borderId="110" applyNumberFormat="0" applyProtection="0">
      <alignment horizontal="right" vertical="center"/>
    </xf>
    <xf numFmtId="4" fontId="253" fillId="35" borderId="116" applyNumberFormat="0" applyProtection="0">
      <alignment horizontal="left" vertical="center" indent="1"/>
    </xf>
    <xf numFmtId="353" fontId="252" fillId="19" borderId="115" applyNumberFormat="0" applyProtection="0">
      <alignment horizontal="left" vertical="top" indent="1"/>
    </xf>
    <xf numFmtId="4" fontId="48" fillId="64" borderId="110" applyNumberFormat="0" applyProtection="0">
      <alignment horizontal="left" vertical="center"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4" fontId="252" fillId="61" borderId="115" applyNumberFormat="0" applyProtection="0">
      <alignment horizontal="left" vertical="center" indent="1"/>
    </xf>
    <xf numFmtId="4" fontId="252" fillId="34" borderId="115" applyNumberFormat="0" applyProtection="0">
      <alignment vertical="center"/>
    </xf>
    <xf numFmtId="353" fontId="88" fillId="31" borderId="117" applyBorder="0"/>
    <xf numFmtId="353" fontId="48" fillId="32" borderId="110" applyNumberFormat="0" applyProtection="0">
      <alignment horizontal="left" vertical="center"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0" borderId="110"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32" borderId="110"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48" fillId="61" borderId="110" applyNumberFormat="0" applyProtection="0">
      <alignment horizontal="left" vertical="center" indent="1"/>
    </xf>
    <xf numFmtId="4" fontId="48" fillId="19" borderId="110" applyNumberFormat="0" applyProtection="0">
      <alignment horizontal="right" vertical="center"/>
    </xf>
    <xf numFmtId="4" fontId="48" fillId="28" borderId="110" applyNumberFormat="0" applyProtection="0">
      <alignment horizontal="right" vertical="center"/>
    </xf>
    <xf numFmtId="4" fontId="48" fillId="27" borderId="110" applyNumberFormat="0" applyProtection="0">
      <alignment horizontal="right" vertical="center"/>
    </xf>
    <xf numFmtId="4" fontId="48" fillId="25" borderId="110"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137" fillId="14" borderId="110" applyNumberFormat="0" applyAlignment="0" applyProtection="0"/>
    <xf numFmtId="353" fontId="248" fillId="128" borderId="110" applyNumberFormat="0" applyAlignment="0" applyProtection="0"/>
    <xf numFmtId="353" fontId="248" fillId="128" borderId="110"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79" fillId="128" borderId="114" applyNumberFormat="0" applyAlignment="0" applyProtection="0"/>
    <xf numFmtId="353" fontId="179" fillId="128" borderId="114" applyNumberFormat="0" applyAlignment="0" applyProtection="0"/>
    <xf numFmtId="4" fontId="48" fillId="18" borderId="110" applyNumberFormat="0" applyProtection="0">
      <alignment vertical="center"/>
    </xf>
    <xf numFmtId="4" fontId="250" fillId="45" borderId="110" applyNumberFormat="0" applyProtection="0">
      <alignment vertical="center"/>
    </xf>
    <xf numFmtId="4" fontId="48" fillId="45" borderId="110" applyNumberFormat="0" applyProtection="0">
      <alignment horizontal="left" vertical="center" indent="1"/>
    </xf>
    <xf numFmtId="353" fontId="251" fillId="18" borderId="115" applyNumberFormat="0" applyProtection="0">
      <alignment horizontal="left" vertical="top" indent="1"/>
    </xf>
    <xf numFmtId="4" fontId="48" fillId="64" borderId="110" applyNumberFormat="0" applyProtection="0">
      <alignment horizontal="left" vertical="center" indent="1"/>
    </xf>
    <xf numFmtId="4" fontId="48" fillId="20" borderId="110" applyNumberFormat="0" applyProtection="0">
      <alignment horizontal="right" vertical="center"/>
    </xf>
    <xf numFmtId="4" fontId="48" fillId="131" borderId="110" applyNumberFormat="0" applyProtection="0">
      <alignment horizontal="right" vertical="center"/>
    </xf>
    <xf numFmtId="4" fontId="48" fillId="22" borderId="116" applyNumberFormat="0" applyProtection="0">
      <alignment horizontal="right" vertical="center"/>
    </xf>
    <xf numFmtId="4" fontId="48" fillId="23" borderId="110" applyNumberFormat="0" applyProtection="0">
      <alignment horizontal="right" vertical="center"/>
    </xf>
    <xf numFmtId="4" fontId="48" fillId="24" borderId="110" applyNumberFormat="0" applyProtection="0">
      <alignment horizontal="right" vertical="center"/>
    </xf>
    <xf numFmtId="4" fontId="48" fillId="25" borderId="110" applyNumberFormat="0" applyProtection="0">
      <alignment horizontal="right" vertical="center"/>
    </xf>
    <xf numFmtId="4" fontId="48" fillId="26" borderId="110" applyNumberFormat="0" applyProtection="0">
      <alignment horizontal="right" vertical="center"/>
    </xf>
    <xf numFmtId="4" fontId="48" fillId="27" borderId="110" applyNumberFormat="0" applyProtection="0">
      <alignment horizontal="right" vertical="center"/>
    </xf>
    <xf numFmtId="4" fontId="48" fillId="28" borderId="110" applyNumberFormat="0" applyProtection="0">
      <alignment horizontal="right" vertical="center"/>
    </xf>
    <xf numFmtId="4" fontId="48" fillId="29" borderId="116" applyNumberFormat="0" applyProtection="0">
      <alignment horizontal="left" vertical="center" indent="1"/>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19" borderId="110" applyNumberFormat="0" applyProtection="0">
      <alignment horizontal="right" vertical="center"/>
    </xf>
    <xf numFmtId="4" fontId="48" fillId="30" borderId="116" applyNumberFormat="0" applyProtection="0">
      <alignment horizontal="left" vertical="center" indent="1"/>
    </xf>
    <xf numFmtId="4" fontId="48" fillId="19" borderId="116" applyNumberFormat="0" applyProtection="0">
      <alignment horizontal="left" vertical="center" indent="1"/>
    </xf>
    <xf numFmtId="353" fontId="48" fillId="61" borderId="110"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8" fillId="30" borderId="115" applyNumberFormat="0" applyProtection="0">
      <alignment horizontal="left" vertical="top" indent="1"/>
    </xf>
    <xf numFmtId="4" fontId="252" fillId="61" borderId="115" applyNumberFormat="0" applyProtection="0">
      <alignment horizontal="left" vertical="center" indent="1"/>
    </xf>
    <xf numFmtId="210" fontId="59" fillId="0" borderId="29" applyFill="0"/>
    <xf numFmtId="353" fontId="48" fillId="30" borderId="115" applyNumberFormat="0" applyProtection="0">
      <alignment horizontal="left" vertical="top" indent="1"/>
    </xf>
    <xf numFmtId="353" fontId="252" fillId="19" borderId="115" applyNumberFormat="0" applyProtection="0">
      <alignment horizontal="left" vertical="top" indent="1"/>
    </xf>
    <xf numFmtId="353" fontId="48" fillId="32" borderId="115" applyNumberFormat="0" applyProtection="0">
      <alignment horizontal="left" vertical="top" indent="1"/>
    </xf>
    <xf numFmtId="353" fontId="48" fillId="31" borderId="115" applyNumberFormat="0" applyProtection="0">
      <alignment horizontal="left" vertical="top" indent="1"/>
    </xf>
    <xf numFmtId="4" fontId="48" fillId="27" borderId="110" applyNumberFormat="0" applyProtection="0">
      <alignment horizontal="right" vertical="center"/>
    </xf>
    <xf numFmtId="353" fontId="48" fillId="19" borderId="115" applyNumberFormat="0" applyProtection="0">
      <alignment horizontal="left" vertical="top" indent="1"/>
    </xf>
    <xf numFmtId="164" fontId="7" fillId="0" borderId="0" applyFont="0" applyFill="0" applyBorder="0" applyAlignment="0" applyProtection="0"/>
    <xf numFmtId="353" fontId="48" fillId="19" borderId="115" applyNumberFormat="0" applyProtection="0">
      <alignment horizontal="left" vertical="top" indent="1"/>
    </xf>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31" borderId="115" applyNumberFormat="0" applyProtection="0">
      <alignment horizontal="left" vertical="top" indent="1"/>
    </xf>
    <xf numFmtId="4" fontId="48" fillId="64" borderId="110" applyNumberFormat="0" applyProtection="0">
      <alignment horizontal="left" vertical="center" indent="1"/>
    </xf>
    <xf numFmtId="353" fontId="48" fillId="32" borderId="115" applyNumberFormat="0" applyProtection="0">
      <alignment horizontal="left" vertical="top" indent="1"/>
    </xf>
    <xf numFmtId="353" fontId="10" fillId="0" borderId="119" applyNumberFormat="0" applyFill="0" applyAlignment="0" applyProtection="0"/>
    <xf numFmtId="353" fontId="10" fillId="0" borderId="119" applyNumberFormat="0" applyFill="0" applyAlignment="0" applyProtection="0"/>
    <xf numFmtId="4" fontId="48" fillId="28" borderId="110" applyNumberFormat="0" applyProtection="0">
      <alignment horizontal="right" vertical="center"/>
    </xf>
    <xf numFmtId="353" fontId="48" fillId="30" borderId="115" applyNumberFormat="0" applyProtection="0">
      <alignment horizontal="left" vertical="top" indent="1"/>
    </xf>
    <xf numFmtId="37" fontId="59" fillId="0" borderId="118" applyNumberFormat="0"/>
    <xf numFmtId="353" fontId="48" fillId="19" borderId="115" applyNumberFormat="0" applyProtection="0">
      <alignment horizontal="left" vertical="top" indent="1"/>
    </xf>
    <xf numFmtId="353" fontId="251" fillId="18" borderId="115" applyNumberFormat="0" applyProtection="0">
      <alignment horizontal="left" vertical="top" indent="1"/>
    </xf>
    <xf numFmtId="353" fontId="48" fillId="13" borderId="110" applyNumberFormat="0" applyFont="0" applyAlignment="0" applyProtection="0"/>
    <xf numFmtId="4" fontId="254" fillId="33" borderId="110" applyNumberFormat="0" applyProtection="0">
      <alignment horizontal="right" vertical="center"/>
    </xf>
    <xf numFmtId="4" fontId="253" fillId="35" borderId="116" applyNumberFormat="0" applyProtection="0">
      <alignment horizontal="left" vertical="center" indent="1"/>
    </xf>
    <xf numFmtId="353" fontId="252" fillId="19" borderId="115" applyNumberFormat="0" applyProtection="0">
      <alignment horizontal="left" vertical="top" indent="1"/>
    </xf>
    <xf numFmtId="4" fontId="48" fillId="64" borderId="110" applyNumberFormat="0" applyProtection="0">
      <alignment horizontal="left" vertical="center"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4" fontId="252" fillId="61" borderId="115" applyNumberFormat="0" applyProtection="0">
      <alignment horizontal="left" vertical="center" indent="1"/>
    </xf>
    <xf numFmtId="4" fontId="252" fillId="34" borderId="115" applyNumberFormat="0" applyProtection="0">
      <alignment vertical="center"/>
    </xf>
    <xf numFmtId="353" fontId="88" fillId="31" borderId="117" applyBorder="0"/>
    <xf numFmtId="4" fontId="48" fillId="25" borderId="110" applyNumberFormat="0" applyProtection="0">
      <alignment horizontal="right" vertical="center"/>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0" borderId="110"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32" borderId="110"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4" fontId="48" fillId="27" borderId="110" applyNumberFormat="0" applyProtection="0">
      <alignment horizontal="right" vertical="center"/>
    </xf>
    <xf numFmtId="4" fontId="48" fillId="25" borderId="110" applyNumberFormat="0" applyProtection="0">
      <alignment horizontal="right" vertical="center"/>
    </xf>
    <xf numFmtId="353" fontId="179" fillId="128" borderId="114" applyNumberFormat="0" applyAlignment="0" applyProtection="0"/>
    <xf numFmtId="353" fontId="48" fillId="61" borderId="110" applyNumberFormat="0" applyProtection="0">
      <alignment horizontal="left" vertical="center" indent="1"/>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4" fontId="48" fillId="131" borderId="110" applyNumberFormat="0" applyProtection="0">
      <alignment horizontal="right" vertical="center"/>
    </xf>
    <xf numFmtId="353" fontId="48" fillId="13" borderId="110" applyNumberFormat="0" applyFont="0" applyAlignment="0" applyProtection="0"/>
    <xf numFmtId="4" fontId="48" fillId="22" borderId="116" applyNumberFormat="0" applyProtection="0">
      <alignment horizontal="right" vertical="center"/>
    </xf>
    <xf numFmtId="353" fontId="179" fillId="128" borderId="114" applyNumberFormat="0" applyAlignment="0" applyProtection="0"/>
    <xf numFmtId="353" fontId="48" fillId="13" borderId="110" applyNumberFormat="0" applyFont="0" applyAlignment="0" applyProtection="0"/>
    <xf numFmtId="4" fontId="48" fillId="20" borderId="110" applyNumberFormat="0" applyProtection="0">
      <alignment horizontal="right" vertical="center"/>
    </xf>
    <xf numFmtId="4" fontId="48" fillId="18" borderId="110" applyNumberFormat="0" applyProtection="0">
      <alignment vertical="center"/>
    </xf>
    <xf numFmtId="4" fontId="48" fillId="24" borderId="110" applyNumberFormat="0" applyProtection="0">
      <alignment horizontal="right" vertical="center"/>
    </xf>
    <xf numFmtId="4" fontId="250" fillId="45" borderId="110" applyNumberFormat="0" applyProtection="0">
      <alignment vertical="center"/>
    </xf>
    <xf numFmtId="164" fontId="7" fillId="0" borderId="0" applyFont="0" applyFill="0" applyBorder="0" applyAlignment="0" applyProtection="0"/>
    <xf numFmtId="353" fontId="137" fillId="14" borderId="110" applyNumberFormat="0" applyAlignment="0" applyProtection="0"/>
    <xf numFmtId="353" fontId="48" fillId="61" borderId="110" applyNumberFormat="0" applyProtection="0">
      <alignment horizontal="left" vertical="center" indent="1"/>
    </xf>
    <xf numFmtId="353" fontId="48" fillId="13" borderId="110" applyNumberFormat="0" applyFont="0" applyAlignment="0" applyProtection="0"/>
    <xf numFmtId="353" fontId="137" fillId="14" borderId="110" applyNumberFormat="0" applyAlignment="0" applyProtection="0"/>
    <xf numFmtId="4" fontId="250" fillId="45" borderId="110" applyNumberFormat="0" applyProtection="0">
      <alignment vertical="center"/>
    </xf>
    <xf numFmtId="164" fontId="7" fillId="0" borderId="0" applyFont="0" applyFill="0" applyBorder="0" applyAlignment="0" applyProtection="0"/>
    <xf numFmtId="4" fontId="48" fillId="19" borderId="110" applyNumberFormat="0" applyProtection="0">
      <alignment horizontal="right" vertical="center"/>
    </xf>
    <xf numFmtId="4" fontId="48" fillId="18" borderId="110" applyNumberFormat="0" applyProtection="0">
      <alignment vertical="center"/>
    </xf>
    <xf numFmtId="4" fontId="48" fillId="18" borderId="110" applyNumberFormat="0" applyProtection="0">
      <alignment vertical="center"/>
    </xf>
    <xf numFmtId="4" fontId="48" fillId="19" borderId="110" applyNumberFormat="0" applyProtection="0">
      <alignment horizontal="right" vertical="center"/>
    </xf>
    <xf numFmtId="4" fontId="48" fillId="23" borderId="110" applyNumberFormat="0" applyProtection="0">
      <alignment horizontal="right" vertical="center"/>
    </xf>
    <xf numFmtId="353" fontId="179" fillId="128" borderId="114" applyNumberFormat="0" applyAlignment="0" applyProtection="0"/>
    <xf numFmtId="353" fontId="48" fillId="13" borderId="110" applyNumberFormat="0" applyFont="0" applyAlignment="0" applyProtection="0"/>
    <xf numFmtId="4" fontId="48" fillId="131" borderId="110" applyNumberFormat="0" applyProtection="0">
      <alignment horizontal="right" vertical="center"/>
    </xf>
    <xf numFmtId="4" fontId="48" fillId="45" borderId="110" applyNumberFormat="0" applyProtection="0">
      <alignment horizontal="left" vertical="center" indent="1"/>
    </xf>
    <xf numFmtId="353" fontId="48" fillId="32" borderId="110" applyNumberFormat="0" applyProtection="0">
      <alignment horizontal="left" vertical="center" indent="1"/>
    </xf>
    <xf numFmtId="353" fontId="48" fillId="13" borderId="110" applyNumberFormat="0" applyFont="0" applyAlignment="0" applyProtection="0"/>
    <xf numFmtId="353" fontId="88" fillId="31" borderId="117" applyBorder="0"/>
    <xf numFmtId="353" fontId="10" fillId="0" borderId="119" applyNumberFormat="0" applyFill="0" applyAlignment="0" applyProtection="0"/>
    <xf numFmtId="164" fontId="7" fillId="0" borderId="0" applyFont="0" applyFill="0" applyBorder="0" applyAlignment="0" applyProtection="0"/>
    <xf numFmtId="353" fontId="248" fillId="128" borderId="110" applyNumberFormat="0" applyAlignment="0" applyProtection="0"/>
    <xf numFmtId="4" fontId="48" fillId="24" borderId="110" applyNumberFormat="0" applyProtection="0">
      <alignment horizontal="right" vertical="center"/>
    </xf>
    <xf numFmtId="353" fontId="48" fillId="13" borderId="110" applyNumberFormat="0" applyFont="0" applyAlignment="0" applyProtection="0"/>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4" fontId="48" fillId="64" borderId="110" applyNumberFormat="0" applyProtection="0">
      <alignment horizontal="left" vertical="center" indent="1"/>
    </xf>
    <xf numFmtId="353" fontId="252" fillId="19" borderId="115" applyNumberFormat="0" applyProtection="0">
      <alignment horizontal="left" vertical="top" indent="1"/>
    </xf>
    <xf numFmtId="353" fontId="10" fillId="0" borderId="119" applyNumberFormat="0" applyFill="0" applyAlignment="0" applyProtection="0"/>
    <xf numFmtId="353" fontId="48" fillId="13" borderId="110" applyNumberFormat="0" applyFont="0" applyAlignment="0" applyProtection="0"/>
    <xf numFmtId="4" fontId="250" fillId="45" borderId="110" applyNumberFormat="0" applyProtection="0">
      <alignment vertical="center"/>
    </xf>
    <xf numFmtId="353" fontId="48" fillId="83" borderId="110" applyNumberFormat="0" applyProtection="0">
      <alignment horizontal="left" vertical="center" indent="1"/>
    </xf>
    <xf numFmtId="37" fontId="59" fillId="0" borderId="118" applyNumberFormat="0"/>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8" fillId="19" borderId="115" applyNumberFormat="0" applyProtection="0">
      <alignment horizontal="left" vertical="top" indent="1"/>
    </xf>
    <xf numFmtId="353" fontId="4" fillId="32" borderId="115" applyNumberFormat="0" applyProtection="0">
      <alignment horizontal="left" vertical="top" indent="1"/>
    </xf>
    <xf numFmtId="353" fontId="48" fillId="19" borderId="115" applyNumberFormat="0" applyProtection="0">
      <alignment horizontal="left" vertical="top" indent="1"/>
    </xf>
    <xf numFmtId="353" fontId="48" fillId="61" borderId="110" applyNumberFormat="0" applyProtection="0">
      <alignment horizontal="left" vertical="center" indent="1"/>
    </xf>
    <xf numFmtId="4" fontId="48" fillId="28" borderId="110" applyNumberFormat="0" applyProtection="0">
      <alignment horizontal="right" vertical="center"/>
    </xf>
    <xf numFmtId="4" fontId="48" fillId="131" borderId="110" applyNumberFormat="0" applyProtection="0">
      <alignment horizontal="right" vertical="center"/>
    </xf>
    <xf numFmtId="4" fontId="48" fillId="64" borderId="110" applyNumberFormat="0" applyProtection="0">
      <alignment horizontal="left" vertical="center" indent="1"/>
    </xf>
    <xf numFmtId="4" fontId="250" fillId="45" borderId="110" applyNumberFormat="0" applyProtection="0">
      <alignment vertical="center"/>
    </xf>
    <xf numFmtId="4" fontId="254" fillId="33" borderId="110" applyNumberFormat="0" applyProtection="0">
      <alignment horizontal="right" vertical="center"/>
    </xf>
    <xf numFmtId="353" fontId="48" fillId="30" borderId="115" applyNumberFormat="0" applyProtection="0">
      <alignment horizontal="left" vertical="top" indent="1"/>
    </xf>
    <xf numFmtId="353" fontId="48" fillId="30" borderId="115" applyNumberFormat="0" applyProtection="0">
      <alignment horizontal="left" vertical="top" indent="1"/>
    </xf>
    <xf numFmtId="164" fontId="7" fillId="0" borderId="0" applyFont="0" applyFill="0" applyBorder="0" applyAlignment="0" applyProtection="0"/>
    <xf numFmtId="4" fontId="48" fillId="64" borderId="110" applyNumberFormat="0" applyProtection="0">
      <alignment horizontal="left" vertical="center" indent="1"/>
    </xf>
    <xf numFmtId="4" fontId="252" fillId="61" borderId="115" applyNumberFormat="0" applyProtection="0">
      <alignment horizontal="left" vertical="center" indent="1"/>
    </xf>
    <xf numFmtId="4" fontId="48" fillId="26" borderId="110" applyNumberFormat="0" applyProtection="0">
      <alignment horizontal="right" vertical="center"/>
    </xf>
    <xf numFmtId="4" fontId="48" fillId="24" borderId="110" applyNumberFormat="0" applyProtection="0">
      <alignment horizontal="right" vertical="center"/>
    </xf>
    <xf numFmtId="353" fontId="248" fillId="128" borderId="110"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3" fontId="48" fillId="30" borderId="115" applyNumberFormat="0" applyProtection="0">
      <alignment horizontal="left" vertical="top" indent="1"/>
    </xf>
    <xf numFmtId="4" fontId="250" fillId="45" borderId="110" applyNumberFormat="0" applyProtection="0">
      <alignment vertical="center"/>
    </xf>
    <xf numFmtId="4" fontId="48" fillId="20" borderId="110" applyNumberFormat="0" applyProtection="0">
      <alignment horizontal="right" vertical="center"/>
    </xf>
    <xf numFmtId="353" fontId="48" fillId="61" borderId="110" applyNumberFormat="0" applyProtection="0">
      <alignment horizontal="left" vertical="center" indent="1"/>
    </xf>
    <xf numFmtId="4" fontId="48" fillId="28" borderId="110" applyNumberFormat="0" applyProtection="0">
      <alignment horizontal="right" vertical="center"/>
    </xf>
    <xf numFmtId="4" fontId="48" fillId="25" borderId="110" applyNumberFormat="0" applyProtection="0">
      <alignment horizontal="right" vertical="center"/>
    </xf>
    <xf numFmtId="4" fontId="48" fillId="131" borderId="110" applyNumberFormat="0" applyProtection="0">
      <alignment horizontal="right" vertical="center"/>
    </xf>
    <xf numFmtId="4" fontId="48" fillId="27" borderId="110" applyNumberFormat="0" applyProtection="0">
      <alignment horizontal="right" vertical="center"/>
    </xf>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2" borderId="110" applyNumberFormat="0" applyProtection="0">
      <alignment horizontal="left" vertical="center"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179" fillId="128" borderId="114" applyNumberFormat="0" applyAlignment="0" applyProtection="0"/>
    <xf numFmtId="4" fontId="48" fillId="19" borderId="110" applyNumberFormat="0" applyProtection="0">
      <alignment horizontal="right" vertical="center"/>
    </xf>
    <xf numFmtId="164" fontId="2" fillId="0" borderId="0" applyFont="0" applyFill="0" applyBorder="0" applyAlignment="0" applyProtection="0"/>
    <xf numFmtId="4" fontId="48" fillId="23" borderId="110" applyNumberFormat="0" applyProtection="0">
      <alignment horizontal="right" vertical="center"/>
    </xf>
    <xf numFmtId="353" fontId="4" fillId="19" borderId="115" applyNumberFormat="0" applyProtection="0">
      <alignment horizontal="left" vertical="top" indent="1"/>
    </xf>
    <xf numFmtId="353" fontId="137" fillId="14" borderId="110" applyNumberFormat="0" applyAlignment="0" applyProtection="0"/>
    <xf numFmtId="353" fontId="10" fillId="0" borderId="119" applyNumberFormat="0" applyFill="0" applyAlignment="0" applyProtection="0"/>
    <xf numFmtId="353" fontId="4" fillId="30" borderId="115" applyNumberFormat="0" applyProtection="0">
      <alignment horizontal="left" vertical="top" indent="1"/>
    </xf>
    <xf numFmtId="4" fontId="250" fillId="50" borderId="110" applyNumberFormat="0" applyProtection="0">
      <alignment horizontal="right" vertical="center"/>
    </xf>
    <xf numFmtId="4" fontId="48" fillId="45" borderId="110" applyNumberFormat="0" applyProtection="0">
      <alignment horizontal="left" vertical="center" indent="1"/>
    </xf>
    <xf numFmtId="353" fontId="48" fillId="30" borderId="115" applyNumberFormat="0" applyProtection="0">
      <alignment horizontal="left" vertical="top" indent="1"/>
    </xf>
    <xf numFmtId="4" fontId="48" fillId="64" borderId="110" applyNumberFormat="0" applyProtection="0">
      <alignment horizontal="left" vertical="center" indent="1"/>
    </xf>
    <xf numFmtId="353" fontId="48" fillId="13" borderId="110" applyNumberFormat="0" applyFont="0" applyAlignment="0" applyProtection="0"/>
    <xf numFmtId="353" fontId="48" fillId="13" borderId="110" applyNumberFormat="0" applyFont="0" applyAlignment="0" applyProtection="0"/>
    <xf numFmtId="353" fontId="248" fillId="128" borderId="110" applyNumberFormat="0" applyAlignment="0" applyProtection="0"/>
    <xf numFmtId="353" fontId="137" fillId="14" borderId="110" applyNumberFormat="0" applyAlignment="0" applyProtection="0"/>
    <xf numFmtId="353" fontId="48" fillId="13" borderId="110" applyNumberFormat="0" applyFont="0" applyAlignment="0" applyProtection="0"/>
    <xf numFmtId="353" fontId="179" fillId="128" borderId="114" applyNumberFormat="0" applyAlignment="0" applyProtection="0"/>
    <xf numFmtId="4" fontId="252" fillId="34" borderId="115" applyNumberFormat="0" applyProtection="0">
      <alignment vertical="center"/>
    </xf>
    <xf numFmtId="353" fontId="48" fillId="32" borderId="115" applyNumberFormat="0" applyProtection="0">
      <alignment horizontal="left" vertical="top" indent="1"/>
    </xf>
    <xf numFmtId="353" fontId="248" fillId="128" borderId="110" applyNumberFormat="0" applyAlignment="0" applyProtection="0"/>
    <xf numFmtId="353" fontId="48" fillId="13" borderId="110" applyNumberFormat="0" applyFont="0" applyAlignment="0" applyProtection="0"/>
    <xf numFmtId="4" fontId="48" fillId="0" borderId="110" applyNumberFormat="0" applyProtection="0">
      <alignment horizontal="right" vertical="center"/>
    </xf>
    <xf numFmtId="353" fontId="48" fillId="31" borderId="115" applyNumberFormat="0" applyProtection="0">
      <alignment horizontal="left" vertical="top" indent="1"/>
    </xf>
    <xf numFmtId="353" fontId="48" fillId="30" borderId="115" applyNumberFormat="0" applyProtection="0">
      <alignment horizontal="left" vertical="top" indent="1"/>
    </xf>
    <xf numFmtId="4" fontId="253" fillId="35" borderId="116" applyNumberFormat="0" applyProtection="0">
      <alignment horizontal="left" vertical="center" indent="1"/>
    </xf>
    <xf numFmtId="353" fontId="137" fillId="14" borderId="110" applyNumberFormat="0" applyAlignment="0" applyProtection="0"/>
    <xf numFmtId="353" fontId="48" fillId="19" borderId="115" applyNumberFormat="0" applyProtection="0">
      <alignment horizontal="left" vertical="top" indent="1"/>
    </xf>
    <xf numFmtId="353" fontId="48" fillId="30" borderId="115" applyNumberFormat="0" applyProtection="0">
      <alignment horizontal="left" vertical="top" indent="1"/>
    </xf>
    <xf numFmtId="353" fontId="48" fillId="30" borderId="110" applyNumberFormat="0" applyProtection="0">
      <alignment horizontal="left" vertical="center" indent="1"/>
    </xf>
    <xf numFmtId="4" fontId="48" fillId="20" borderId="110" applyNumberFormat="0" applyProtection="0">
      <alignment horizontal="right" vertical="center"/>
    </xf>
    <xf numFmtId="4" fontId="48" fillId="0" borderId="110" applyNumberFormat="0" applyProtection="0">
      <alignment horizontal="right" vertical="center"/>
    </xf>
    <xf numFmtId="210" fontId="59" fillId="0" borderId="29" applyFill="0"/>
    <xf numFmtId="353" fontId="48" fillId="13" borderId="110" applyNumberFormat="0" applyFont="0" applyAlignment="0" applyProtection="0"/>
    <xf numFmtId="4" fontId="48" fillId="64" borderId="110" applyNumberFormat="0" applyProtection="0">
      <alignment horizontal="left" vertical="center" indent="1"/>
    </xf>
    <xf numFmtId="353" fontId="48" fillId="13" borderId="110" applyNumberFormat="0" applyFont="0" applyAlignment="0" applyProtection="0"/>
    <xf numFmtId="353" fontId="48" fillId="13" borderId="110" applyNumberFormat="0" applyFont="0" applyAlignment="0" applyProtection="0"/>
    <xf numFmtId="353" fontId="48" fillId="31" borderId="115" applyNumberFormat="0" applyProtection="0">
      <alignment horizontal="left" vertical="top"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3" borderId="110" applyNumberFormat="0" applyFont="0" applyAlignment="0" applyProtection="0"/>
    <xf numFmtId="4" fontId="48" fillId="24" borderId="110" applyNumberFormat="0" applyProtection="0">
      <alignment horizontal="right" vertical="center"/>
    </xf>
    <xf numFmtId="353" fontId="48" fillId="32" borderId="115" applyNumberFormat="0" applyProtection="0">
      <alignment horizontal="left" vertical="top" indent="1"/>
    </xf>
    <xf numFmtId="4" fontId="48" fillId="64" borderId="110" applyNumberFormat="0" applyProtection="0">
      <alignment horizontal="left" vertical="center" indent="1"/>
    </xf>
    <xf numFmtId="353" fontId="48" fillId="31" borderId="115" applyNumberFormat="0" applyProtection="0">
      <alignment horizontal="left" vertical="top" indent="1"/>
    </xf>
    <xf numFmtId="353" fontId="248" fillId="128" borderId="110" applyNumberFormat="0" applyAlignment="0" applyProtection="0"/>
    <xf numFmtId="4" fontId="252" fillId="61" borderId="115" applyNumberFormat="0" applyProtection="0">
      <alignment horizontal="left" vertical="center" indent="1"/>
    </xf>
    <xf numFmtId="353" fontId="10" fillId="0" borderId="119" applyNumberFormat="0" applyFill="0" applyAlignment="0" applyProtection="0"/>
    <xf numFmtId="353" fontId="48" fillId="13" borderId="110" applyNumberFormat="0" applyFont="0" applyAlignment="0" applyProtection="0"/>
    <xf numFmtId="353" fontId="48" fillId="31" borderId="115" applyNumberFormat="0" applyProtection="0">
      <alignment horizontal="left" vertical="top" indent="1"/>
    </xf>
    <xf numFmtId="4" fontId="48" fillId="64" borderId="110" applyNumberFormat="0" applyProtection="0">
      <alignment horizontal="left" vertical="center" indent="1"/>
    </xf>
    <xf numFmtId="353" fontId="248" fillId="128" borderId="110" applyNumberFormat="0" applyAlignment="0" applyProtection="0"/>
    <xf numFmtId="4" fontId="254" fillId="33" borderId="110" applyNumberFormat="0" applyProtection="0">
      <alignment horizontal="right" vertical="center"/>
    </xf>
    <xf numFmtId="353" fontId="88" fillId="31" borderId="117" applyBorder="0"/>
    <xf numFmtId="353" fontId="48" fillId="13" borderId="110" applyNumberFormat="0" applyFont="0" applyAlignment="0" applyProtection="0"/>
    <xf numFmtId="4" fontId="48" fillId="64" borderId="110" applyNumberFormat="0" applyProtection="0">
      <alignment horizontal="left" vertical="center"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13" borderId="110" applyNumberFormat="0" applyFont="0" applyAlignment="0" applyProtection="0"/>
    <xf numFmtId="353" fontId="179" fillId="128" borderId="114" applyNumberFormat="0" applyAlignment="0" applyProtection="0"/>
    <xf numFmtId="4" fontId="48" fillId="20" borderId="110" applyNumberFormat="0" applyProtection="0">
      <alignment horizontal="right" vertical="center"/>
    </xf>
    <xf numFmtId="353" fontId="48" fillId="31" borderId="115" applyNumberFormat="0" applyProtection="0">
      <alignment horizontal="left" vertical="top" indent="1"/>
    </xf>
    <xf numFmtId="353" fontId="88" fillId="31" borderId="117" applyBorder="0"/>
    <xf numFmtId="4" fontId="48" fillId="28" borderId="110" applyNumberFormat="0" applyProtection="0">
      <alignment horizontal="right" vertical="center"/>
    </xf>
    <xf numFmtId="353" fontId="48" fillId="31" borderId="115" applyNumberFormat="0" applyProtection="0">
      <alignment horizontal="left" vertical="top" indent="1"/>
    </xf>
    <xf numFmtId="353" fontId="48" fillId="30" borderId="115" applyNumberFormat="0" applyProtection="0">
      <alignment horizontal="left" vertical="top" indent="1"/>
    </xf>
    <xf numFmtId="4" fontId="48" fillId="26" borderId="110" applyNumberFormat="0" applyProtection="0">
      <alignment horizontal="right" vertical="center"/>
    </xf>
    <xf numFmtId="353" fontId="48" fillId="32" borderId="115" applyNumberFormat="0" applyProtection="0">
      <alignment horizontal="left" vertical="top" indent="1"/>
    </xf>
    <xf numFmtId="353" fontId="4" fillId="32" borderId="115" applyNumberFormat="0" applyProtection="0">
      <alignment horizontal="left" vertical="center" indent="1"/>
    </xf>
    <xf numFmtId="4" fontId="48" fillId="0" borderId="110" applyNumberFormat="0" applyProtection="0">
      <alignment horizontal="right" vertical="center"/>
    </xf>
    <xf numFmtId="353" fontId="48" fillId="19" borderId="115" applyNumberFormat="0" applyProtection="0">
      <alignment horizontal="left" vertical="top" indent="1"/>
    </xf>
    <xf numFmtId="353" fontId="248" fillId="128" borderId="110" applyNumberFormat="0" applyAlignment="0" applyProtection="0"/>
    <xf numFmtId="353" fontId="137" fillId="14" borderId="110" applyNumberFormat="0" applyAlignment="0" applyProtection="0"/>
    <xf numFmtId="4" fontId="48" fillId="45" borderId="110" applyNumberFormat="0" applyProtection="0">
      <alignment horizontal="left" vertical="center" indent="1"/>
    </xf>
    <xf numFmtId="4" fontId="252" fillId="61" borderId="115" applyNumberFormat="0" applyProtection="0">
      <alignment horizontal="left" vertical="center" indent="1"/>
    </xf>
    <xf numFmtId="4" fontId="48" fillId="28" borderId="110" applyNumberFormat="0" applyProtection="0">
      <alignment horizontal="right" vertical="center"/>
    </xf>
    <xf numFmtId="4" fontId="250" fillId="50" borderId="110" applyNumberFormat="0" applyProtection="0">
      <alignment horizontal="right" vertical="center"/>
    </xf>
    <xf numFmtId="353" fontId="48" fillId="13" borderId="110" applyNumberFormat="0" applyFont="0" applyAlignment="0" applyProtection="0"/>
    <xf numFmtId="353" fontId="137" fillId="14" borderId="110" applyNumberFormat="0" applyAlignment="0" applyProtection="0"/>
    <xf numFmtId="353" fontId="48" fillId="13" borderId="110" applyNumberFormat="0" applyFont="0" applyAlignment="0" applyProtection="0"/>
    <xf numFmtId="4" fontId="254" fillId="33" borderId="110" applyNumberFormat="0" applyProtection="0">
      <alignment horizontal="right" vertical="center"/>
    </xf>
    <xf numFmtId="353" fontId="248" fillId="128" borderId="110"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4" fontId="48" fillId="0" borderId="110" applyNumberFormat="0" applyProtection="0">
      <alignment horizontal="right" vertical="center"/>
    </xf>
    <xf numFmtId="164" fontId="7" fillId="0" borderId="0" applyFont="0" applyFill="0" applyBorder="0" applyAlignment="0" applyProtection="0"/>
    <xf numFmtId="353" fontId="48" fillId="13" borderId="110" applyNumberFormat="0" applyFont="0" applyAlignment="0" applyProtection="0"/>
    <xf numFmtId="353" fontId="248" fillId="128" borderId="110" applyNumberFormat="0" applyAlignment="0" applyProtection="0"/>
    <xf numFmtId="353" fontId="252" fillId="34" borderId="115" applyNumberFormat="0" applyProtection="0">
      <alignment horizontal="left" vertical="top" indent="1"/>
    </xf>
    <xf numFmtId="353" fontId="4" fillId="30" borderId="115" applyNumberFormat="0" applyProtection="0">
      <alignment horizontal="left" vertical="center" indent="1"/>
    </xf>
    <xf numFmtId="4" fontId="254" fillId="33" borderId="110" applyNumberFormat="0" applyProtection="0">
      <alignment horizontal="right" vertical="center"/>
    </xf>
    <xf numFmtId="353" fontId="48" fillId="30" borderId="110" applyNumberFormat="0" applyProtection="0">
      <alignment horizontal="left" vertical="center" indent="1"/>
    </xf>
    <xf numFmtId="353" fontId="48" fillId="83" borderId="110" applyNumberFormat="0" applyProtection="0">
      <alignment horizontal="left" vertical="center" indent="1"/>
    </xf>
    <xf numFmtId="4" fontId="48" fillId="20" borderId="110" applyNumberFormat="0" applyProtection="0">
      <alignment horizontal="right" vertical="center"/>
    </xf>
    <xf numFmtId="353" fontId="48" fillId="19" borderId="115" applyNumberFormat="0" applyProtection="0">
      <alignment horizontal="left" vertical="top" indent="1"/>
    </xf>
    <xf numFmtId="353" fontId="48" fillId="83" borderId="110" applyNumberFormat="0" applyProtection="0">
      <alignment horizontal="left" vertical="center" indent="1"/>
    </xf>
    <xf numFmtId="353" fontId="48" fillId="13" borderId="110" applyNumberFormat="0" applyFont="0" applyAlignment="0" applyProtection="0"/>
    <xf numFmtId="353" fontId="48" fillId="31" borderId="115" applyNumberFormat="0" applyProtection="0">
      <alignment horizontal="left" vertical="top" indent="1"/>
    </xf>
    <xf numFmtId="353" fontId="48" fillId="30" borderId="115" applyNumberFormat="0" applyProtection="0">
      <alignment horizontal="left" vertical="top" indent="1"/>
    </xf>
    <xf numFmtId="353" fontId="48" fillId="13" borderId="110" applyNumberFormat="0" applyFont="0" applyAlignment="0" applyProtection="0"/>
    <xf numFmtId="4" fontId="48" fillId="23" borderId="110" applyNumberFormat="0" applyProtection="0">
      <alignment horizontal="right" vertical="center"/>
    </xf>
    <xf numFmtId="353" fontId="48" fillId="32" borderId="110" applyNumberFormat="0" applyProtection="0">
      <alignment horizontal="left" vertical="center" indent="1"/>
    </xf>
    <xf numFmtId="353" fontId="48" fillId="30" borderId="115" applyNumberFormat="0" applyProtection="0">
      <alignment horizontal="left" vertical="top" indent="1"/>
    </xf>
    <xf numFmtId="4" fontId="48" fillId="19" borderId="110" applyNumberFormat="0" applyProtection="0">
      <alignment horizontal="right" vertical="center"/>
    </xf>
    <xf numFmtId="353" fontId="252" fillId="34" borderId="115" applyNumberFormat="0" applyProtection="0">
      <alignment horizontal="left" vertical="top" indent="1"/>
    </xf>
    <xf numFmtId="353" fontId="10" fillId="0" borderId="119" applyNumberFormat="0" applyFill="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31" borderId="115" applyNumberFormat="0" applyProtection="0">
      <alignment horizontal="left" vertical="top" indent="1"/>
    </xf>
    <xf numFmtId="353" fontId="48" fillId="30" borderId="115" applyNumberFormat="0" applyProtection="0">
      <alignment horizontal="left" vertical="top" indent="1"/>
    </xf>
    <xf numFmtId="37" fontId="59" fillId="0" borderId="118" applyNumberFormat="0"/>
    <xf numFmtId="353" fontId="48" fillId="19" borderId="115" applyNumberFormat="0" applyProtection="0">
      <alignment horizontal="left" vertical="top" indent="1"/>
    </xf>
    <xf numFmtId="353" fontId="48" fillId="13" borderId="110" applyNumberFormat="0" applyFont="0" applyAlignment="0" applyProtection="0"/>
    <xf numFmtId="353" fontId="48" fillId="30" borderId="115" applyNumberFormat="0" applyProtection="0">
      <alignment horizontal="left" vertical="top" indent="1"/>
    </xf>
    <xf numFmtId="353" fontId="248" fillId="128" borderId="110" applyNumberFormat="0" applyAlignment="0" applyProtection="0"/>
    <xf numFmtId="353" fontId="48" fillId="31" borderId="115" applyNumberFormat="0" applyProtection="0">
      <alignment horizontal="left" vertical="top" indent="1"/>
    </xf>
    <xf numFmtId="353" fontId="48" fillId="32" borderId="115" applyNumberFormat="0" applyProtection="0">
      <alignment horizontal="left" vertical="top" indent="1"/>
    </xf>
    <xf numFmtId="4" fontId="252" fillId="34" borderId="115" applyNumberFormat="0" applyProtection="0">
      <alignment vertical="center"/>
    </xf>
    <xf numFmtId="37" fontId="59" fillId="0" borderId="118" applyNumberFormat="0"/>
    <xf numFmtId="353" fontId="48" fillId="13" borderId="110" applyNumberFormat="0" applyFont="0" applyAlignment="0" applyProtection="0"/>
    <xf numFmtId="353" fontId="48" fillId="31" borderId="115" applyNumberFormat="0" applyProtection="0">
      <alignment horizontal="left" vertical="top" indent="1"/>
    </xf>
    <xf numFmtId="4" fontId="48" fillId="20" borderId="110" applyNumberFormat="0" applyProtection="0">
      <alignment horizontal="right" vertical="center"/>
    </xf>
    <xf numFmtId="353" fontId="137" fillId="14" borderId="110" applyNumberFormat="0" applyAlignment="0" applyProtection="0"/>
    <xf numFmtId="4" fontId="250" fillId="50" borderId="110" applyNumberFormat="0" applyProtection="0">
      <alignment horizontal="right" vertical="center"/>
    </xf>
    <xf numFmtId="353" fontId="48" fillId="31" borderId="115" applyNumberFormat="0" applyProtection="0">
      <alignment horizontal="left" vertical="top" indent="1"/>
    </xf>
    <xf numFmtId="4" fontId="253" fillId="35" borderId="116" applyNumberFormat="0" applyProtection="0">
      <alignment horizontal="left" vertical="center"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4" fontId="48" fillId="30" borderId="116" applyNumberFormat="0" applyProtection="0">
      <alignment horizontal="left" vertical="center" indent="1"/>
    </xf>
    <xf numFmtId="353" fontId="252" fillId="34" borderId="115" applyNumberFormat="0" applyProtection="0">
      <alignment horizontal="left" vertical="top" indent="1"/>
    </xf>
    <xf numFmtId="353" fontId="48" fillId="31" borderId="115" applyNumberFormat="0" applyProtection="0">
      <alignment horizontal="left" vertical="top" indent="1"/>
    </xf>
    <xf numFmtId="4" fontId="48" fillId="18" borderId="110" applyNumberFormat="0" applyProtection="0">
      <alignment vertical="center"/>
    </xf>
    <xf numFmtId="4" fontId="48" fillId="64" borderId="110" applyNumberFormat="0" applyProtection="0">
      <alignment horizontal="left" vertical="center" indent="1"/>
    </xf>
    <xf numFmtId="4" fontId="4" fillId="31" borderId="116" applyNumberFormat="0" applyProtection="0">
      <alignment horizontal="left" vertical="center" indent="1"/>
    </xf>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30" borderId="115" applyNumberFormat="0" applyProtection="0">
      <alignment horizontal="left" vertical="top" indent="1"/>
    </xf>
    <xf numFmtId="4" fontId="252" fillId="61" borderId="115" applyNumberFormat="0" applyProtection="0">
      <alignment horizontal="left" vertical="center" indent="1"/>
    </xf>
    <xf numFmtId="4" fontId="250" fillId="50" borderId="110" applyNumberFormat="0" applyProtection="0">
      <alignment horizontal="right" vertical="center"/>
    </xf>
    <xf numFmtId="353" fontId="48" fillId="13" borderId="110" applyNumberFormat="0" applyFont="0" applyAlignment="0" applyProtection="0"/>
    <xf numFmtId="353" fontId="48" fillId="30" borderId="115" applyNumberFormat="0" applyProtection="0">
      <alignment horizontal="left" vertical="top" indent="1"/>
    </xf>
    <xf numFmtId="353" fontId="48" fillId="19" borderId="115" applyNumberFormat="0" applyProtection="0">
      <alignment horizontal="left" vertical="top" indent="1"/>
    </xf>
    <xf numFmtId="4" fontId="254" fillId="33" borderId="110" applyNumberFormat="0" applyProtection="0">
      <alignment horizontal="right" vertical="center"/>
    </xf>
    <xf numFmtId="37" fontId="59" fillId="0" borderId="118" applyNumberFormat="0"/>
    <xf numFmtId="353" fontId="10" fillId="0" borderId="119" applyNumberFormat="0" applyFill="0" applyAlignment="0" applyProtection="0"/>
    <xf numFmtId="353" fontId="10" fillId="0" borderId="119" applyNumberFormat="0" applyFill="0" applyAlignment="0" applyProtection="0"/>
    <xf numFmtId="353" fontId="48" fillId="30" borderId="110" applyNumberFormat="0" applyProtection="0">
      <alignment horizontal="left" vertical="center" indent="1"/>
    </xf>
    <xf numFmtId="353" fontId="248" fillId="128" borderId="110" applyNumberFormat="0" applyAlignment="0" applyProtection="0"/>
    <xf numFmtId="353" fontId="248" fillId="128" borderId="110" applyNumberFormat="0" applyAlignment="0" applyProtection="0"/>
    <xf numFmtId="210" fontId="59" fillId="0" borderId="29" applyFill="0"/>
    <xf numFmtId="4" fontId="48" fillId="0" borderId="110" applyNumberFormat="0" applyProtection="0">
      <alignment horizontal="right" vertical="center"/>
    </xf>
    <xf numFmtId="4" fontId="250" fillId="50" borderId="110" applyNumberFormat="0" applyProtection="0">
      <alignment horizontal="right" vertical="center"/>
    </xf>
    <xf numFmtId="4" fontId="48" fillId="64" borderId="110" applyNumberFormat="0" applyProtection="0">
      <alignment horizontal="left" vertical="center" indent="1"/>
    </xf>
    <xf numFmtId="4" fontId="254" fillId="33" borderId="110" applyNumberFormat="0" applyProtection="0">
      <alignment horizontal="right" vertical="center"/>
    </xf>
    <xf numFmtId="353" fontId="48" fillId="32" borderId="115" applyNumberFormat="0" applyProtection="0">
      <alignment horizontal="left" vertical="top" indent="1"/>
    </xf>
    <xf numFmtId="4" fontId="252" fillId="61" borderId="115" applyNumberFormat="0" applyProtection="0">
      <alignment horizontal="left" vertical="center" indent="1"/>
    </xf>
    <xf numFmtId="4" fontId="252" fillId="34" borderId="115" applyNumberFormat="0" applyProtection="0">
      <alignment vertical="center"/>
    </xf>
    <xf numFmtId="353" fontId="4" fillId="32" borderId="115" applyNumberFormat="0" applyProtection="0">
      <alignment horizontal="left" vertical="top" indent="1"/>
    </xf>
    <xf numFmtId="353" fontId="48" fillId="32" borderId="110" applyNumberFormat="0" applyProtection="0">
      <alignment horizontal="left" vertical="center" indent="1"/>
    </xf>
    <xf numFmtId="353" fontId="48" fillId="31" borderId="115" applyNumberFormat="0" applyProtection="0">
      <alignment horizontal="left" vertical="top" indent="1"/>
    </xf>
    <xf numFmtId="353" fontId="48" fillId="13" borderId="110" applyNumberFormat="0" applyFont="0" applyAlignment="0" applyProtection="0"/>
    <xf numFmtId="353" fontId="48" fillId="30" borderId="115" applyNumberFormat="0" applyProtection="0">
      <alignment horizontal="left" vertical="top" indent="1"/>
    </xf>
    <xf numFmtId="353" fontId="48" fillId="19" borderId="115" applyNumberFormat="0" applyProtection="0">
      <alignment horizontal="left" vertical="top" indent="1"/>
    </xf>
    <xf numFmtId="353" fontId="248" fillId="128" borderId="110" applyNumberFormat="0" applyAlignment="0" applyProtection="0"/>
    <xf numFmtId="353" fontId="10" fillId="0" borderId="119" applyNumberFormat="0" applyFill="0" applyAlignment="0" applyProtection="0"/>
    <xf numFmtId="353" fontId="10" fillId="0" borderId="119" applyNumberFormat="0" applyFill="0" applyAlignment="0" applyProtection="0"/>
    <xf numFmtId="37" fontId="59" fillId="0" borderId="118" applyNumberFormat="0"/>
    <xf numFmtId="4" fontId="254" fillId="33" borderId="110" applyNumberFormat="0" applyProtection="0">
      <alignment horizontal="right" vertical="center"/>
    </xf>
    <xf numFmtId="4" fontId="253" fillId="35" borderId="116" applyNumberFormat="0" applyProtection="0">
      <alignment horizontal="left" vertical="center" indent="1"/>
    </xf>
    <xf numFmtId="353" fontId="252" fillId="19" borderId="115" applyNumberFormat="0" applyProtection="0">
      <alignment horizontal="left" vertical="top" indent="1"/>
    </xf>
    <xf numFmtId="4" fontId="48" fillId="64" borderId="110" applyNumberFormat="0" applyProtection="0">
      <alignment horizontal="left" vertical="center" indent="1"/>
    </xf>
    <xf numFmtId="4" fontId="250" fillId="50" borderId="110" applyNumberFormat="0" applyProtection="0">
      <alignment horizontal="right" vertical="center"/>
    </xf>
    <xf numFmtId="4" fontId="48" fillId="0" borderId="110" applyNumberFormat="0" applyProtection="0">
      <alignment horizontal="right" vertical="center"/>
    </xf>
    <xf numFmtId="353" fontId="252" fillId="34"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 fillId="30"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center"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83" borderId="110"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19" borderId="116" applyNumberFormat="0" applyProtection="0">
      <alignment horizontal="left" vertical="center" indent="1"/>
    </xf>
    <xf numFmtId="4" fontId="48" fillId="30" borderId="116" applyNumberFormat="0" applyProtection="0">
      <alignment horizontal="left" vertical="center" indent="1"/>
    </xf>
    <xf numFmtId="4" fontId="48" fillId="19" borderId="110" applyNumberFormat="0" applyProtection="0">
      <alignment horizontal="right" vertical="center"/>
    </xf>
    <xf numFmtId="4" fontId="4" fillId="31" borderId="116" applyNumberFormat="0" applyProtection="0">
      <alignment horizontal="left" vertical="center" indent="1"/>
    </xf>
    <xf numFmtId="4" fontId="4" fillId="31" borderId="116" applyNumberFormat="0" applyProtection="0">
      <alignment horizontal="left" vertical="center" indent="1"/>
    </xf>
    <xf numFmtId="4" fontId="48" fillId="29" borderId="116" applyNumberFormat="0" applyProtection="0">
      <alignment horizontal="left" vertical="center" indent="1"/>
    </xf>
    <xf numFmtId="4" fontId="48" fillId="28" borderId="110" applyNumberFormat="0" applyProtection="0">
      <alignment horizontal="right" vertical="center"/>
    </xf>
    <xf numFmtId="4" fontId="48" fillId="27" borderId="110" applyNumberFormat="0" applyProtection="0">
      <alignment horizontal="right" vertical="center"/>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22" borderId="116" applyNumberFormat="0" applyProtection="0">
      <alignment horizontal="right" vertical="center"/>
    </xf>
    <xf numFmtId="4" fontId="48" fillId="131" borderId="110" applyNumberFormat="0" applyProtection="0">
      <alignment horizontal="right" vertical="center"/>
    </xf>
    <xf numFmtId="4" fontId="48" fillId="20" borderId="110" applyNumberFormat="0" applyProtection="0">
      <alignment horizontal="right" vertical="center"/>
    </xf>
    <xf numFmtId="4" fontId="48" fillId="64" borderId="110" applyNumberFormat="0" applyProtection="0">
      <alignment horizontal="left" vertical="center" indent="1"/>
    </xf>
    <xf numFmtId="353" fontId="251" fillId="18" borderId="115" applyNumberFormat="0" applyProtection="0">
      <alignment horizontal="left" vertical="top" indent="1"/>
    </xf>
    <xf numFmtId="4" fontId="48" fillId="45" borderId="110" applyNumberFormat="0" applyProtection="0">
      <alignment horizontal="left" vertical="center" indent="1"/>
    </xf>
    <xf numFmtId="4" fontId="250" fillId="45" borderId="110" applyNumberFormat="0" applyProtection="0">
      <alignment vertical="center"/>
    </xf>
    <xf numFmtId="4" fontId="48" fillId="18" borderId="110" applyNumberFormat="0" applyProtection="0">
      <alignment vertical="center"/>
    </xf>
    <xf numFmtId="353" fontId="179" fillId="128" borderId="114" applyNumberFormat="0" applyAlignment="0" applyProtection="0"/>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37" fillId="14" borderId="110" applyNumberFormat="0" applyAlignment="0" applyProtection="0"/>
    <xf numFmtId="353" fontId="137" fillId="14" borderId="110" applyNumberFormat="0" applyAlignment="0" applyProtection="0"/>
    <xf numFmtId="353" fontId="248" fillId="128" borderId="110" applyNumberFormat="0" applyAlignment="0" applyProtection="0"/>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 fillId="19" borderId="115" applyNumberFormat="0" applyProtection="0">
      <alignment horizontal="left" vertical="top" indent="1"/>
    </xf>
    <xf numFmtId="353" fontId="48" fillId="31" borderId="115" applyNumberFormat="0" applyProtection="0">
      <alignment horizontal="left" vertical="top" indent="1"/>
    </xf>
    <xf numFmtId="353" fontId="88" fillId="31" borderId="117" applyBorder="0"/>
    <xf numFmtId="353" fontId="48" fillId="13" borderId="110" applyNumberFormat="0" applyFont="0" applyAlignment="0" applyProtection="0"/>
    <xf numFmtId="353" fontId="48" fillId="30" borderId="115" applyNumberFormat="0" applyProtection="0">
      <alignment horizontal="left" vertical="top" indent="1"/>
    </xf>
    <xf numFmtId="353" fontId="4" fillId="30" borderId="115" applyNumberFormat="0" applyProtection="0">
      <alignment horizontal="left" vertical="center"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 fillId="30" borderId="115" applyNumberFormat="0" applyProtection="0">
      <alignment horizontal="left" vertical="top" indent="1"/>
    </xf>
    <xf numFmtId="4" fontId="250" fillId="50" borderId="110" applyNumberFormat="0" applyProtection="0">
      <alignment horizontal="right" vertical="center"/>
    </xf>
    <xf numFmtId="4" fontId="48" fillId="64" borderId="110" applyNumberFormat="0" applyProtection="0">
      <alignment horizontal="left" vertical="center" indent="1"/>
    </xf>
    <xf numFmtId="353" fontId="252" fillId="19" borderId="115" applyNumberFormat="0" applyProtection="0">
      <alignment horizontal="left" vertical="top" indent="1"/>
    </xf>
    <xf numFmtId="4" fontId="253" fillId="35" borderId="116" applyNumberFormat="0" applyProtection="0">
      <alignment horizontal="left" vertical="center" indent="1"/>
    </xf>
    <xf numFmtId="37" fontId="59" fillId="0" borderId="118" applyNumberFormat="0"/>
    <xf numFmtId="353" fontId="10" fillId="0" borderId="119" applyNumberFormat="0" applyFill="0" applyAlignment="0" applyProtection="0"/>
    <xf numFmtId="353" fontId="48" fillId="32" borderId="115" applyNumberFormat="0" applyProtection="0">
      <alignment horizontal="left" vertical="top" indent="1"/>
    </xf>
    <xf numFmtId="353" fontId="48" fillId="19" borderId="115" applyNumberFormat="0" applyProtection="0">
      <alignment horizontal="left" vertical="top" indent="1"/>
    </xf>
    <xf numFmtId="4" fontId="48" fillId="23" borderId="110" applyNumberFormat="0" applyProtection="0">
      <alignment horizontal="right" vertical="center"/>
    </xf>
    <xf numFmtId="353" fontId="48" fillId="83" borderId="110" applyNumberFormat="0" applyProtection="0">
      <alignment horizontal="left" vertical="center"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4" fontId="48" fillId="64" borderId="110" applyNumberFormat="0" applyProtection="0">
      <alignment horizontal="left" vertical="center" indent="1"/>
    </xf>
    <xf numFmtId="353" fontId="48" fillId="30" borderId="110" applyNumberFormat="0" applyProtection="0">
      <alignment horizontal="left" vertical="center" indent="1"/>
    </xf>
    <xf numFmtId="210" fontId="59" fillId="0" borderId="29" applyFill="0"/>
    <xf numFmtId="4" fontId="252" fillId="34" borderId="115" applyNumberFormat="0" applyProtection="0">
      <alignment vertical="center"/>
    </xf>
    <xf numFmtId="353" fontId="10" fillId="0" borderId="119" applyNumberFormat="0" applyFill="0" applyAlignment="0" applyProtection="0"/>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353" fontId="48" fillId="61" borderId="110" applyNumberFormat="0" applyProtection="0">
      <alignment horizontal="left" vertical="center" indent="1"/>
    </xf>
    <xf numFmtId="4" fontId="48" fillId="26" borderId="110" applyNumberFormat="0" applyProtection="0">
      <alignment horizontal="right" vertical="center"/>
    </xf>
    <xf numFmtId="4" fontId="48" fillId="25" borderId="110" applyNumberFormat="0" applyProtection="0">
      <alignment horizontal="right" vertical="center"/>
    </xf>
    <xf numFmtId="4" fontId="48" fillId="24" borderId="110" applyNumberFormat="0" applyProtection="0">
      <alignment horizontal="right" vertical="center"/>
    </xf>
    <xf numFmtId="4" fontId="48" fillId="23" borderId="110" applyNumberFormat="0" applyProtection="0">
      <alignment horizontal="right" vertical="center"/>
    </xf>
    <xf numFmtId="4" fontId="48" fillId="18" borderId="110" applyNumberFormat="0" applyProtection="0">
      <alignment vertical="center"/>
    </xf>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137" fillId="14" borderId="110" applyNumberFormat="0" applyAlignment="0" applyProtection="0"/>
    <xf numFmtId="353" fontId="4" fillId="30" borderId="115" applyNumberFormat="0" applyProtection="0">
      <alignment horizontal="left" vertical="center" indent="1"/>
    </xf>
    <xf numFmtId="353" fontId="248" fillId="128" borderId="110" applyNumberFormat="0" applyAlignment="0" applyProtection="0"/>
    <xf numFmtId="353" fontId="48" fillId="30" borderId="110" applyNumberFormat="0" applyProtection="0">
      <alignment horizontal="left" vertical="center" indent="1"/>
    </xf>
    <xf numFmtId="353" fontId="48" fillId="32" borderId="115" applyNumberFormat="0" applyProtection="0">
      <alignment horizontal="left" vertical="top" indent="1"/>
    </xf>
    <xf numFmtId="37" fontId="59" fillId="0" borderId="118" applyNumberFormat="0"/>
    <xf numFmtId="353" fontId="48" fillId="13" borderId="110" applyNumberFormat="0" applyFont="0" applyAlignment="0" applyProtection="0"/>
    <xf numFmtId="4" fontId="253" fillId="35" borderId="116" applyNumberFormat="0" applyProtection="0">
      <alignment horizontal="left" vertical="center" indent="1"/>
    </xf>
    <xf numFmtId="164" fontId="7" fillId="0" borderId="0" applyFont="0" applyFill="0" applyBorder="0" applyAlignment="0" applyProtection="0"/>
    <xf numFmtId="353" fontId="48" fillId="13" borderId="110" applyNumberFormat="0" applyFont="0" applyAlignment="0" applyProtection="0"/>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4" fontId="252" fillId="34" borderId="115" applyNumberFormat="0" applyProtection="0">
      <alignment vertical="center"/>
    </xf>
    <xf numFmtId="4" fontId="254" fillId="33" borderId="110" applyNumberFormat="0" applyProtection="0">
      <alignment horizontal="right" vertical="center"/>
    </xf>
    <xf numFmtId="353" fontId="10" fillId="0" borderId="119" applyNumberFormat="0" applyFill="0" applyAlignment="0" applyProtection="0"/>
    <xf numFmtId="353" fontId="4" fillId="30" borderId="115" applyNumberFormat="0" applyProtection="0">
      <alignment horizontal="left" vertical="top" indent="1"/>
    </xf>
    <xf numFmtId="4" fontId="48" fillId="26" borderId="110" applyNumberFormat="0" applyProtection="0">
      <alignment horizontal="right" vertical="center"/>
    </xf>
    <xf numFmtId="4" fontId="254" fillId="33" borderId="110" applyNumberFormat="0" applyProtection="0">
      <alignment horizontal="right" vertical="center"/>
    </xf>
    <xf numFmtId="353" fontId="10" fillId="0" borderId="119" applyNumberFormat="0" applyFill="0" applyAlignment="0" applyProtection="0"/>
    <xf numFmtId="353" fontId="4" fillId="30" borderId="115" applyNumberFormat="0" applyProtection="0">
      <alignment horizontal="left" vertical="center" indent="1"/>
    </xf>
    <xf numFmtId="353" fontId="48" fillId="19" borderId="115" applyNumberFormat="0" applyProtection="0">
      <alignment horizontal="left" vertical="top" indent="1"/>
    </xf>
    <xf numFmtId="353" fontId="248" fillId="128" borderId="110" applyNumberFormat="0" applyAlignment="0" applyProtection="0"/>
    <xf numFmtId="4" fontId="48" fillId="24" borderId="110" applyNumberFormat="0" applyProtection="0">
      <alignment horizontal="right" vertical="center"/>
    </xf>
    <xf numFmtId="210" fontId="59" fillId="0" borderId="29" applyFill="0"/>
    <xf numFmtId="353" fontId="48" fillId="13" borderId="110" applyNumberFormat="0" applyFont="0" applyAlignment="0" applyProtection="0"/>
    <xf numFmtId="353" fontId="252" fillId="34" borderId="115" applyNumberFormat="0" applyProtection="0">
      <alignment horizontal="left" vertical="top" indent="1"/>
    </xf>
    <xf numFmtId="4" fontId="252" fillId="34" borderId="115" applyNumberFormat="0" applyProtection="0">
      <alignment vertical="center"/>
    </xf>
    <xf numFmtId="353" fontId="48" fillId="13" borderId="110" applyNumberFormat="0" applyFont="0" applyAlignment="0" applyProtection="0"/>
    <xf numFmtId="353" fontId="48" fillId="13" borderId="110" applyNumberFormat="0" applyFont="0" applyAlignment="0" applyProtection="0"/>
    <xf numFmtId="353" fontId="251" fillId="18" borderId="115" applyNumberFormat="0" applyProtection="0">
      <alignment horizontal="left" vertical="top" indent="1"/>
    </xf>
    <xf numFmtId="4" fontId="48" fillId="25" borderId="110" applyNumberFormat="0" applyProtection="0">
      <alignment horizontal="right" vertical="center"/>
    </xf>
    <xf numFmtId="4" fontId="48" fillId="19" borderId="110" applyNumberFormat="0" applyProtection="0">
      <alignment horizontal="right" vertical="center"/>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 fillId="32" borderId="115" applyNumberFormat="0" applyProtection="0">
      <alignment horizontal="left" vertical="center" indent="1"/>
    </xf>
    <xf numFmtId="353" fontId="137" fillId="14" borderId="110" applyNumberFormat="0" applyAlignment="0" applyProtection="0"/>
    <xf numFmtId="37" fontId="59" fillId="0" borderId="118" applyNumberFormat="0"/>
    <xf numFmtId="353" fontId="48" fillId="30" borderId="110" applyNumberFormat="0" applyProtection="0">
      <alignment horizontal="left" vertical="center"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 fillId="19" borderId="115" applyNumberFormat="0" applyProtection="0">
      <alignment horizontal="left" vertical="top" indent="1"/>
    </xf>
    <xf numFmtId="353" fontId="48" fillId="31" borderId="115" applyNumberFormat="0" applyProtection="0">
      <alignment horizontal="left" vertical="top" indent="1"/>
    </xf>
    <xf numFmtId="4" fontId="48" fillId="29" borderId="116" applyNumberFormat="0" applyProtection="0">
      <alignment horizontal="left" vertical="center" indent="1"/>
    </xf>
    <xf numFmtId="353" fontId="137" fillId="14" borderId="110" applyNumberFormat="0" applyAlignment="0" applyProtection="0"/>
    <xf numFmtId="4" fontId="250" fillId="50" borderId="110" applyNumberFormat="0" applyProtection="0">
      <alignment horizontal="right" vertical="center"/>
    </xf>
    <xf numFmtId="4" fontId="252" fillId="34" borderId="115" applyNumberFormat="0" applyProtection="0">
      <alignment vertical="center"/>
    </xf>
    <xf numFmtId="353" fontId="48" fillId="30" borderId="115" applyNumberFormat="0" applyProtection="0">
      <alignment horizontal="left" vertical="top" indent="1"/>
    </xf>
    <xf numFmtId="4" fontId="252" fillId="61" borderId="115" applyNumberFormat="0" applyProtection="0">
      <alignment horizontal="left" vertical="center" indent="1"/>
    </xf>
    <xf numFmtId="353" fontId="4" fillId="30" borderId="115" applyNumberFormat="0" applyProtection="0">
      <alignment horizontal="left" vertical="center" indent="1"/>
    </xf>
    <xf numFmtId="4" fontId="48" fillId="64" borderId="110" applyNumberFormat="0" applyProtection="0">
      <alignment horizontal="left" vertical="center" indent="1"/>
    </xf>
    <xf numFmtId="353" fontId="48" fillId="32" borderId="110" applyNumberFormat="0" applyProtection="0">
      <alignment horizontal="left" vertical="center"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 fillId="32" borderId="115" applyNumberFormat="0" applyProtection="0">
      <alignment horizontal="left" vertical="top" indent="1"/>
    </xf>
    <xf numFmtId="353" fontId="48" fillId="19" borderId="115" applyNumberFormat="0" applyProtection="0">
      <alignment horizontal="left" vertical="top" indent="1"/>
    </xf>
    <xf numFmtId="353" fontId="4" fillId="19" borderId="115" applyNumberFormat="0" applyProtection="0">
      <alignment horizontal="left" vertical="center"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4" fontId="48" fillId="27" borderId="110" applyNumberFormat="0" applyProtection="0">
      <alignment horizontal="right" vertical="center"/>
    </xf>
    <xf numFmtId="4" fontId="48" fillId="30" borderId="116" applyNumberFormat="0" applyProtection="0">
      <alignment horizontal="left" vertical="center" indent="1"/>
    </xf>
    <xf numFmtId="4" fontId="48" fillId="64" borderId="110" applyNumberFormat="0" applyProtection="0">
      <alignment horizontal="left" vertical="center" indent="1"/>
    </xf>
    <xf numFmtId="4" fontId="48" fillId="27" borderId="110" applyNumberFormat="0" applyProtection="0">
      <alignment horizontal="right" vertical="center"/>
    </xf>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137" fillId="14" borderId="110" applyNumberFormat="0" applyAlignment="0" applyProtection="0"/>
    <xf numFmtId="353" fontId="48" fillId="13" borderId="110" applyNumberFormat="0" applyFont="0" applyAlignment="0" applyProtection="0"/>
    <xf numFmtId="4" fontId="250" fillId="45" borderId="110" applyNumberFormat="0" applyProtection="0">
      <alignment vertical="center"/>
    </xf>
    <xf numFmtId="4" fontId="48" fillId="25" borderId="110" applyNumberFormat="0" applyProtection="0">
      <alignment horizontal="right" vertical="center"/>
    </xf>
    <xf numFmtId="4" fontId="48" fillId="19" borderId="116" applyNumberFormat="0" applyProtection="0">
      <alignment horizontal="left" vertical="center"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164" fontId="7" fillId="0" borderId="0" applyFont="0" applyFill="0" applyBorder="0" applyAlignment="0" applyProtection="0"/>
    <xf numFmtId="4" fontId="48" fillId="23" borderId="110" applyNumberFormat="0" applyProtection="0">
      <alignment horizontal="right" vertical="center"/>
    </xf>
    <xf numFmtId="164" fontId="7" fillId="0" borderId="0" applyFont="0" applyFill="0" applyBorder="0" applyAlignment="0" applyProtection="0"/>
    <xf numFmtId="353" fontId="48" fillId="13" borderId="110" applyNumberFormat="0" applyFont="0" applyAlignment="0" applyProtection="0"/>
    <xf numFmtId="4" fontId="48" fillId="18" borderId="110" applyNumberFormat="0" applyProtection="0">
      <alignment vertical="center"/>
    </xf>
    <xf numFmtId="4" fontId="250" fillId="45" borderId="110" applyNumberFormat="0" applyProtection="0">
      <alignment vertical="center"/>
    </xf>
    <xf numFmtId="4" fontId="48" fillId="25" borderId="110" applyNumberFormat="0" applyProtection="0">
      <alignment horizontal="right" vertical="center"/>
    </xf>
    <xf numFmtId="4" fontId="48" fillId="29" borderId="116" applyNumberFormat="0" applyProtection="0">
      <alignment horizontal="left" vertical="center" indent="1"/>
    </xf>
    <xf numFmtId="4" fontId="48" fillId="131" borderId="110" applyNumberFormat="0" applyProtection="0">
      <alignment horizontal="right" vertical="center"/>
    </xf>
    <xf numFmtId="4" fontId="48" fillId="19" borderId="110" applyNumberFormat="0" applyProtection="0">
      <alignment horizontal="right" vertical="center"/>
    </xf>
    <xf numFmtId="353" fontId="48" fillId="61" borderId="110" applyNumberFormat="0" applyProtection="0">
      <alignment horizontal="left" vertical="center" indent="1"/>
    </xf>
    <xf numFmtId="210" fontId="59" fillId="0" borderId="29" applyFill="0"/>
    <xf numFmtId="353" fontId="48" fillId="32" borderId="115" applyNumberFormat="0" applyProtection="0">
      <alignment horizontal="left" vertical="top" indent="1"/>
    </xf>
    <xf numFmtId="4" fontId="48" fillId="19" borderId="110" applyNumberFormat="0" applyProtection="0">
      <alignment horizontal="right" vertical="center"/>
    </xf>
    <xf numFmtId="353" fontId="179" fillId="128" borderId="114" applyNumberFormat="0" applyAlignment="0" applyProtection="0"/>
    <xf numFmtId="353" fontId="48" fillId="13" borderId="110" applyNumberFormat="0" applyFont="0" applyAlignment="0" applyProtection="0"/>
    <xf numFmtId="353" fontId="179" fillId="128" borderId="114" applyNumberFormat="0" applyAlignment="0" applyProtection="0"/>
    <xf numFmtId="353" fontId="48" fillId="61" borderId="110" applyNumberFormat="0" applyProtection="0">
      <alignment horizontal="left" vertical="center"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center" indent="1"/>
    </xf>
    <xf numFmtId="4" fontId="48" fillId="27" borderId="110" applyNumberFormat="0" applyProtection="0">
      <alignment horizontal="right" vertical="center"/>
    </xf>
    <xf numFmtId="353" fontId="251" fillId="18" borderId="115" applyNumberFormat="0" applyProtection="0">
      <alignment horizontal="left" vertical="top" indent="1"/>
    </xf>
    <xf numFmtId="353" fontId="48" fillId="13" borderId="110" applyNumberFormat="0" applyFont="0" applyAlignment="0" applyProtection="0"/>
    <xf numFmtId="353" fontId="137" fillId="14" borderId="110"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4" fontId="48" fillId="131" borderId="110" applyNumberFormat="0" applyProtection="0">
      <alignment horizontal="right" vertical="center"/>
    </xf>
    <xf numFmtId="4" fontId="48" fillId="45" borderId="110" applyNumberFormat="0" applyProtection="0">
      <alignment horizontal="left" vertical="center" indent="1"/>
    </xf>
    <xf numFmtId="4" fontId="4" fillId="31" borderId="116" applyNumberFormat="0" applyProtection="0">
      <alignment horizontal="left" vertical="center" indent="1"/>
    </xf>
    <xf numFmtId="4" fontId="48" fillId="25" borderId="110" applyNumberFormat="0" applyProtection="0">
      <alignment horizontal="right" vertical="center"/>
    </xf>
    <xf numFmtId="4" fontId="48" fillId="23" borderId="110" applyNumberFormat="0" applyProtection="0">
      <alignment horizontal="right" vertical="center"/>
    </xf>
    <xf numFmtId="353" fontId="48" fillId="31" borderId="115" applyNumberFormat="0" applyProtection="0">
      <alignment horizontal="left" vertical="top" indent="1"/>
    </xf>
    <xf numFmtId="353" fontId="248" fillId="128" borderId="110" applyNumberFormat="0" applyAlignment="0" applyProtection="0"/>
    <xf numFmtId="353" fontId="48" fillId="19" borderId="115" applyNumberFormat="0" applyProtection="0">
      <alignment horizontal="left" vertical="top"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 fillId="30" borderId="115" applyNumberFormat="0" applyProtection="0">
      <alignment horizontal="left" vertical="top" indent="1"/>
    </xf>
    <xf numFmtId="353" fontId="48" fillId="30" borderId="115" applyNumberFormat="0" applyProtection="0">
      <alignment horizontal="left" vertical="top" indent="1"/>
    </xf>
    <xf numFmtId="4" fontId="48" fillId="0" borderId="110" applyNumberFormat="0" applyProtection="0">
      <alignment horizontal="right" vertical="center"/>
    </xf>
    <xf numFmtId="353" fontId="10" fillId="0" borderId="119" applyNumberFormat="0" applyFill="0" applyAlignment="0" applyProtection="0"/>
    <xf numFmtId="353" fontId="88" fillId="31" borderId="117" applyBorder="0"/>
    <xf numFmtId="353" fontId="48" fillId="30" borderId="115" applyNumberFormat="0" applyProtection="0">
      <alignment horizontal="left" vertical="top" indent="1"/>
    </xf>
    <xf numFmtId="353" fontId="48" fillId="30" borderId="115" applyNumberFormat="0" applyProtection="0">
      <alignment horizontal="left" vertical="top" indent="1"/>
    </xf>
    <xf numFmtId="210" fontId="59" fillId="0" borderId="29" applyFill="0"/>
    <xf numFmtId="353" fontId="48" fillId="30" borderId="115" applyNumberFormat="0" applyProtection="0">
      <alignment horizontal="left" vertical="top" indent="1"/>
    </xf>
    <xf numFmtId="4" fontId="48" fillId="27" borderId="110" applyNumberFormat="0" applyProtection="0">
      <alignment horizontal="right" vertical="center"/>
    </xf>
    <xf numFmtId="4" fontId="48" fillId="19" borderId="116" applyNumberFormat="0" applyProtection="0">
      <alignment horizontal="left" vertical="center" indent="1"/>
    </xf>
    <xf numFmtId="353" fontId="48" fillId="31" borderId="115" applyNumberFormat="0" applyProtection="0">
      <alignment horizontal="left" vertical="top"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4" fontId="253" fillId="35" borderId="116" applyNumberFormat="0" applyProtection="0">
      <alignment horizontal="left" vertical="center" indent="1"/>
    </xf>
    <xf numFmtId="353" fontId="137" fillId="14" borderId="110" applyNumberFormat="0" applyAlignment="0" applyProtection="0"/>
    <xf numFmtId="353" fontId="4" fillId="32" borderId="115" applyNumberFormat="0" applyProtection="0">
      <alignment horizontal="left" vertical="top" indent="1"/>
    </xf>
    <xf numFmtId="353" fontId="137" fillId="14" borderId="110" applyNumberFormat="0" applyAlignment="0" applyProtection="0"/>
    <xf numFmtId="353" fontId="4" fillId="19" borderId="115" applyNumberFormat="0" applyProtection="0">
      <alignment horizontal="left" vertical="center" indent="1"/>
    </xf>
    <xf numFmtId="353" fontId="48" fillId="31" borderId="115" applyNumberFormat="0" applyProtection="0">
      <alignment horizontal="left" vertical="top" indent="1"/>
    </xf>
    <xf numFmtId="4" fontId="48" fillId="19" borderId="116" applyNumberFormat="0" applyProtection="0">
      <alignment horizontal="left" vertical="center" indent="1"/>
    </xf>
    <xf numFmtId="4" fontId="48" fillId="27" borderId="110" applyNumberFormat="0" applyProtection="0">
      <alignment horizontal="right" vertical="center"/>
    </xf>
    <xf numFmtId="4" fontId="48" fillId="20" borderId="110" applyNumberFormat="0" applyProtection="0">
      <alignment horizontal="right" vertical="center"/>
    </xf>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32" borderId="110" applyNumberFormat="0" applyProtection="0">
      <alignment horizontal="left" vertical="center" indent="1"/>
    </xf>
    <xf numFmtId="4" fontId="48" fillId="131" borderId="110" applyNumberFormat="0" applyProtection="0">
      <alignment horizontal="right" vertical="center"/>
    </xf>
    <xf numFmtId="353" fontId="48" fillId="30" borderId="115" applyNumberFormat="0" applyProtection="0">
      <alignment horizontal="left" vertical="top" indent="1"/>
    </xf>
    <xf numFmtId="4" fontId="48" fillId="30" borderId="116" applyNumberFormat="0" applyProtection="0">
      <alignment horizontal="left" vertical="center" indent="1"/>
    </xf>
    <xf numFmtId="353" fontId="48" fillId="31" borderId="115" applyNumberFormat="0" applyProtection="0">
      <alignment horizontal="left" vertical="top" indent="1"/>
    </xf>
    <xf numFmtId="353" fontId="48" fillId="83" borderId="110" applyNumberFormat="0" applyProtection="0">
      <alignment horizontal="left" vertical="center"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252" fillId="19" borderId="115" applyNumberFormat="0" applyProtection="0">
      <alignment horizontal="left" vertical="top" indent="1"/>
    </xf>
    <xf numFmtId="4" fontId="48" fillId="0" borderId="110" applyNumberFormat="0" applyProtection="0">
      <alignment horizontal="right" vertical="center"/>
    </xf>
    <xf numFmtId="353" fontId="4" fillId="32" borderId="115" applyNumberFormat="0" applyProtection="0">
      <alignment horizontal="left" vertical="top" indent="1"/>
    </xf>
    <xf numFmtId="37" fontId="59" fillId="0" borderId="118" applyNumberFormat="0"/>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4" fontId="48" fillId="19" borderId="116" applyNumberFormat="0" applyProtection="0">
      <alignment horizontal="left" vertical="center" indent="1"/>
    </xf>
    <xf numFmtId="4" fontId="48" fillId="22" borderId="116" applyNumberFormat="0" applyProtection="0">
      <alignment horizontal="right" vertical="center"/>
    </xf>
    <xf numFmtId="353" fontId="248" fillId="128" borderId="110" applyNumberFormat="0" applyAlignment="0" applyProtection="0"/>
    <xf numFmtId="353" fontId="48" fillId="32" borderId="115" applyNumberFormat="0" applyProtection="0">
      <alignment horizontal="left" vertical="top" indent="1"/>
    </xf>
    <xf numFmtId="353" fontId="48" fillId="13" borderId="110" applyNumberFormat="0" applyFont="0" applyAlignment="0" applyProtection="0"/>
    <xf numFmtId="353" fontId="48" fillId="13" borderId="110" applyNumberFormat="0" applyFont="0" applyAlignment="0" applyProtection="0"/>
    <xf numFmtId="353" fontId="48" fillId="19" borderId="115" applyNumberFormat="0" applyProtection="0">
      <alignment horizontal="left" vertical="top" indent="1"/>
    </xf>
    <xf numFmtId="353" fontId="4" fillId="31" borderId="115" applyNumberFormat="0" applyProtection="0">
      <alignment horizontal="left" vertical="center" indent="1"/>
    </xf>
    <xf numFmtId="353" fontId="4" fillId="19" borderId="115" applyNumberFormat="0" applyProtection="0">
      <alignment horizontal="left" vertical="top" indent="1"/>
    </xf>
    <xf numFmtId="353" fontId="48" fillId="31" borderId="115" applyNumberFormat="0" applyProtection="0">
      <alignment horizontal="left" vertical="top" indent="1"/>
    </xf>
    <xf numFmtId="4" fontId="48" fillId="0" borderId="110" applyNumberFormat="0" applyProtection="0">
      <alignment horizontal="right" vertical="center"/>
    </xf>
    <xf numFmtId="353" fontId="48" fillId="13" borderId="110" applyNumberFormat="0" applyFont="0" applyAlignment="0" applyProtection="0"/>
    <xf numFmtId="4" fontId="48" fillId="23" borderId="110" applyNumberFormat="0" applyProtection="0">
      <alignment horizontal="right" vertical="center"/>
    </xf>
    <xf numFmtId="4" fontId="48" fillId="23" borderId="110" applyNumberFormat="0" applyProtection="0">
      <alignment horizontal="right" vertical="center"/>
    </xf>
    <xf numFmtId="4" fontId="48" fillId="28" borderId="110" applyNumberFormat="0" applyProtection="0">
      <alignment horizontal="right" vertical="center"/>
    </xf>
    <xf numFmtId="353" fontId="48" fillId="61" borderId="110" applyNumberFormat="0" applyProtection="0">
      <alignment horizontal="left" vertical="center"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4" fontId="254" fillId="33" borderId="110" applyNumberFormat="0" applyProtection="0">
      <alignment horizontal="right" vertical="center"/>
    </xf>
    <xf numFmtId="4" fontId="48" fillId="64" borderId="110" applyNumberFormat="0" applyProtection="0">
      <alignment horizontal="left" vertical="center" indent="1"/>
    </xf>
    <xf numFmtId="353" fontId="48" fillId="30" borderId="115" applyNumberFormat="0" applyProtection="0">
      <alignment horizontal="left" vertical="top" indent="1"/>
    </xf>
    <xf numFmtId="4" fontId="253" fillId="35" borderId="116" applyNumberFormat="0" applyProtection="0">
      <alignment horizontal="left" vertical="center"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4" fontId="48" fillId="19" borderId="110" applyNumberFormat="0" applyProtection="0">
      <alignment horizontal="right" vertical="center"/>
    </xf>
    <xf numFmtId="4" fontId="48" fillId="20" borderId="110" applyNumberFormat="0" applyProtection="0">
      <alignment horizontal="right" vertical="center"/>
    </xf>
    <xf numFmtId="353" fontId="48" fillId="30" borderId="115" applyNumberFormat="0" applyProtection="0">
      <alignment horizontal="left" vertical="top" indent="1"/>
    </xf>
    <xf numFmtId="353" fontId="48" fillId="31" borderId="115" applyNumberFormat="0" applyProtection="0">
      <alignment horizontal="left" vertical="top" indent="1"/>
    </xf>
    <xf numFmtId="353" fontId="48" fillId="13" borderId="110" applyNumberFormat="0" applyFont="0" applyAlignment="0" applyProtection="0"/>
    <xf numFmtId="353" fontId="48" fillId="13" borderId="110" applyNumberFormat="0" applyFont="0" applyAlignment="0" applyProtection="0"/>
    <xf numFmtId="4" fontId="48" fillId="64" borderId="110" applyNumberFormat="0" applyProtection="0">
      <alignment horizontal="left" vertical="center" indent="1"/>
    </xf>
    <xf numFmtId="353" fontId="48" fillId="30" borderId="115" applyNumberFormat="0" applyProtection="0">
      <alignment horizontal="left" vertical="top" indent="1"/>
    </xf>
    <xf numFmtId="353" fontId="48" fillId="19" borderId="115" applyNumberFormat="0" applyProtection="0">
      <alignment horizontal="left" vertical="top" indent="1"/>
    </xf>
    <xf numFmtId="4" fontId="4" fillId="31" borderId="116" applyNumberFormat="0" applyProtection="0">
      <alignment horizontal="left" vertical="center" indent="1"/>
    </xf>
    <xf numFmtId="353" fontId="179" fillId="128" borderId="114" applyNumberFormat="0" applyAlignment="0" applyProtection="0"/>
    <xf numFmtId="164" fontId="7" fillId="0" borderId="0" applyFont="0" applyFill="0" applyBorder="0" applyAlignment="0" applyProtection="0"/>
    <xf numFmtId="353" fontId="251" fillId="18" borderId="115" applyNumberFormat="0" applyProtection="0">
      <alignment horizontal="left" vertical="top" indent="1"/>
    </xf>
    <xf numFmtId="4" fontId="48" fillId="27" borderId="110" applyNumberFormat="0" applyProtection="0">
      <alignment horizontal="right" vertical="center"/>
    </xf>
    <xf numFmtId="4" fontId="48" fillId="19" borderId="116" applyNumberFormat="0" applyProtection="0">
      <alignment horizontal="left" vertical="center" indent="1"/>
    </xf>
    <xf numFmtId="353" fontId="4" fillId="31" borderId="115" applyNumberFormat="0" applyProtection="0">
      <alignment horizontal="left" vertical="top" indent="1"/>
    </xf>
    <xf numFmtId="353" fontId="48" fillId="32" borderId="115" applyNumberFormat="0" applyProtection="0">
      <alignment horizontal="left" vertical="top" indent="1"/>
    </xf>
    <xf numFmtId="353" fontId="48" fillId="32" borderId="110" applyNumberFormat="0" applyProtection="0">
      <alignment horizontal="left" vertical="center" indent="1"/>
    </xf>
    <xf numFmtId="353" fontId="4" fillId="19" borderId="115" applyNumberFormat="0" applyProtection="0">
      <alignment horizontal="left" vertical="center" indent="1"/>
    </xf>
    <xf numFmtId="353" fontId="48" fillId="31" borderId="115" applyNumberFormat="0" applyProtection="0">
      <alignment horizontal="left" vertical="top" indent="1"/>
    </xf>
    <xf numFmtId="4" fontId="4" fillId="31" borderId="116" applyNumberFormat="0" applyProtection="0">
      <alignment horizontal="left" vertical="center" indent="1"/>
    </xf>
    <xf numFmtId="4" fontId="48" fillId="131" borderId="110" applyNumberFormat="0" applyProtection="0">
      <alignment horizontal="right" vertical="center"/>
    </xf>
    <xf numFmtId="353" fontId="48" fillId="13" borderId="110" applyNumberFormat="0" applyFont="0" applyAlignment="0" applyProtection="0"/>
    <xf numFmtId="353" fontId="248" fillId="128" borderId="110" applyNumberFormat="0" applyAlignment="0" applyProtection="0"/>
    <xf numFmtId="353" fontId="137" fillId="14" borderId="110"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4" fontId="250" fillId="45" borderId="110" applyNumberFormat="0" applyProtection="0">
      <alignment vertical="center"/>
    </xf>
    <xf numFmtId="4" fontId="48" fillId="19" borderId="110" applyNumberFormat="0" applyProtection="0">
      <alignment horizontal="right" vertical="center"/>
    </xf>
    <xf numFmtId="4" fontId="48" fillId="131" borderId="110" applyNumberFormat="0" applyProtection="0">
      <alignment horizontal="right" vertical="center"/>
    </xf>
    <xf numFmtId="353" fontId="48" fillId="31" borderId="115" applyNumberFormat="0" applyProtection="0">
      <alignment horizontal="left" vertical="top" indent="1"/>
    </xf>
    <xf numFmtId="4" fontId="48" fillId="29" borderId="116" applyNumberFormat="0" applyProtection="0">
      <alignment horizontal="left" vertical="center" indent="1"/>
    </xf>
    <xf numFmtId="4" fontId="48" fillId="26" borderId="110" applyNumberFormat="0" applyProtection="0">
      <alignment horizontal="right" vertical="center"/>
    </xf>
    <xf numFmtId="353" fontId="48" fillId="31"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8" fillId="30" borderId="115" applyNumberFormat="0" applyProtection="0">
      <alignment horizontal="left" vertical="top" indent="1"/>
    </xf>
    <xf numFmtId="4" fontId="252" fillId="34" borderId="115" applyNumberFormat="0" applyProtection="0">
      <alignment vertical="center"/>
    </xf>
    <xf numFmtId="4" fontId="253" fillId="35" borderId="116" applyNumberFormat="0" applyProtection="0">
      <alignment horizontal="left" vertical="center" indent="1"/>
    </xf>
    <xf numFmtId="353" fontId="48" fillId="19" borderId="115" applyNumberFormat="0" applyProtection="0">
      <alignment horizontal="left" vertical="top" indent="1"/>
    </xf>
    <xf numFmtId="4" fontId="48" fillId="64" borderId="110" applyNumberFormat="0" applyProtection="0">
      <alignment horizontal="left" vertical="center" indent="1"/>
    </xf>
    <xf numFmtId="353" fontId="48" fillId="30" borderId="115" applyNumberFormat="0" applyProtection="0">
      <alignment horizontal="left" vertical="top" indent="1"/>
    </xf>
    <xf numFmtId="4" fontId="48" fillId="0" borderId="110" applyNumberFormat="0" applyProtection="0">
      <alignment horizontal="right" vertical="center"/>
    </xf>
    <xf numFmtId="353" fontId="248" fillId="128" borderId="110" applyNumberFormat="0" applyAlignment="0" applyProtection="0"/>
    <xf numFmtId="353" fontId="48" fillId="13" borderId="110" applyNumberFormat="0" applyFont="0" applyAlignment="0" applyProtection="0"/>
    <xf numFmtId="4" fontId="4" fillId="31" borderId="116" applyNumberFormat="0" applyProtection="0">
      <alignment horizontal="left" vertical="center"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10" fillId="0" borderId="119" applyNumberFormat="0" applyFill="0" applyAlignment="0" applyProtection="0"/>
    <xf numFmtId="353" fontId="48" fillId="13" borderId="110" applyNumberFormat="0" applyFont="0" applyAlignment="0" applyProtection="0"/>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4" fontId="4" fillId="31" borderId="116" applyNumberFormat="0" applyProtection="0">
      <alignment horizontal="left" vertical="center" indent="1"/>
    </xf>
    <xf numFmtId="4" fontId="48" fillId="23" borderId="110" applyNumberFormat="0" applyProtection="0">
      <alignment horizontal="right" vertical="center"/>
    </xf>
    <xf numFmtId="4" fontId="250" fillId="45" borderId="110" applyNumberFormat="0" applyProtection="0">
      <alignment vertical="center"/>
    </xf>
    <xf numFmtId="353" fontId="48" fillId="13" borderId="110" applyNumberFormat="0" applyFont="0" applyAlignment="0" applyProtection="0"/>
    <xf numFmtId="353" fontId="248" fillId="128" borderId="110" applyNumberFormat="0" applyAlignment="0" applyProtection="0"/>
    <xf numFmtId="4" fontId="48" fillId="131" borderId="110" applyNumberFormat="0" applyProtection="0">
      <alignment horizontal="right" vertical="center"/>
    </xf>
    <xf numFmtId="353" fontId="48" fillId="13" borderId="110" applyNumberFormat="0" applyFont="0" applyAlignment="0" applyProtection="0"/>
    <xf numFmtId="353" fontId="252" fillId="34" borderId="115" applyNumberFormat="0" applyProtection="0">
      <alignment horizontal="left" vertical="top" indent="1"/>
    </xf>
    <xf numFmtId="4" fontId="48" fillId="25" borderId="110" applyNumberFormat="0" applyProtection="0">
      <alignment horizontal="right" vertical="center"/>
    </xf>
    <xf numFmtId="4" fontId="4" fillId="31" borderId="116" applyNumberFormat="0" applyProtection="0">
      <alignment horizontal="left" vertical="center"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 fillId="30" borderId="115" applyNumberFormat="0" applyProtection="0">
      <alignment horizontal="left" vertical="center"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10" fillId="0" borderId="119" applyNumberFormat="0" applyFill="0" applyAlignment="0" applyProtection="0"/>
    <xf numFmtId="353" fontId="48" fillId="32" borderId="115" applyNumberFormat="0" applyProtection="0">
      <alignment horizontal="left" vertical="top" indent="1"/>
    </xf>
    <xf numFmtId="353" fontId="248" fillId="128" borderId="110" applyNumberFormat="0" applyAlignment="0" applyProtection="0"/>
    <xf numFmtId="4" fontId="48" fillId="0" borderId="110" applyNumberFormat="0" applyProtection="0">
      <alignment horizontal="right" vertical="center"/>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83" borderId="110" applyNumberFormat="0" applyProtection="0">
      <alignment horizontal="left" vertical="center" indent="1"/>
    </xf>
    <xf numFmtId="353" fontId="4" fillId="31" borderId="115" applyNumberFormat="0" applyProtection="0">
      <alignment horizontal="left" vertical="top" indent="1"/>
    </xf>
    <xf numFmtId="4" fontId="48" fillId="28" borderId="110" applyNumberFormat="0" applyProtection="0">
      <alignment horizontal="right" vertical="center"/>
    </xf>
    <xf numFmtId="353" fontId="251" fillId="18" borderId="115" applyNumberFormat="0" applyProtection="0">
      <alignment horizontal="left" vertical="top" indent="1"/>
    </xf>
    <xf numFmtId="353" fontId="88" fillId="31" borderId="117" applyBorder="0"/>
    <xf numFmtId="353" fontId="48" fillId="32" borderId="110" applyNumberFormat="0" applyProtection="0">
      <alignment horizontal="left" vertical="center" indent="1"/>
    </xf>
    <xf numFmtId="353" fontId="137" fillId="14" borderId="110" applyNumberFormat="0" applyAlignment="0" applyProtection="0"/>
    <xf numFmtId="4" fontId="252" fillId="61" borderId="115" applyNumberFormat="0" applyProtection="0">
      <alignment horizontal="left" vertical="center" indent="1"/>
    </xf>
    <xf numFmtId="353" fontId="48" fillId="13" borderId="110" applyNumberFormat="0" applyFont="0" applyAlignment="0" applyProtection="0"/>
    <xf numFmtId="353" fontId="248" fillId="128" borderId="110" applyNumberFormat="0" applyAlignment="0" applyProtection="0"/>
    <xf numFmtId="4" fontId="48" fillId="45" borderId="110" applyNumberFormat="0" applyProtection="0">
      <alignment horizontal="left" vertical="center" indent="1"/>
    </xf>
    <xf numFmtId="4" fontId="48" fillId="24" borderId="110" applyNumberFormat="0" applyProtection="0">
      <alignment horizontal="right" vertical="center"/>
    </xf>
    <xf numFmtId="4" fontId="4" fillId="31" borderId="116" applyNumberFormat="0" applyProtection="0">
      <alignment horizontal="left" vertical="center" indent="1"/>
    </xf>
    <xf numFmtId="353" fontId="4" fillId="31" borderId="115" applyNumberFormat="0" applyProtection="0">
      <alignment horizontal="left" vertical="top"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32" borderId="110" applyNumberFormat="0" applyProtection="0">
      <alignment horizontal="left" vertical="center" indent="1"/>
    </xf>
    <xf numFmtId="353" fontId="10" fillId="0" borderId="119" applyNumberFormat="0" applyFill="0" applyAlignment="0" applyProtection="0"/>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4" fontId="4" fillId="31" borderId="116" applyNumberFormat="0" applyProtection="0">
      <alignment horizontal="left" vertical="center" indent="1"/>
    </xf>
    <xf numFmtId="4" fontId="48" fillId="64" borderId="110" applyNumberFormat="0" applyProtection="0">
      <alignment horizontal="left" vertical="center" indent="1"/>
    </xf>
    <xf numFmtId="353" fontId="252" fillId="34" borderId="115" applyNumberFormat="0" applyProtection="0">
      <alignment horizontal="left" vertical="top" indent="1"/>
    </xf>
    <xf numFmtId="353" fontId="48" fillId="30" borderId="115" applyNumberFormat="0" applyProtection="0">
      <alignment horizontal="left" vertical="top" indent="1"/>
    </xf>
    <xf numFmtId="353" fontId="252" fillId="34" borderId="115" applyNumberFormat="0" applyProtection="0">
      <alignment horizontal="left" vertical="top" indent="1"/>
    </xf>
    <xf numFmtId="353" fontId="48" fillId="32" borderId="115" applyNumberFormat="0" applyProtection="0">
      <alignment horizontal="left" vertical="top" indent="1"/>
    </xf>
    <xf numFmtId="353" fontId="252" fillId="19" borderId="115" applyNumberFormat="0" applyProtection="0">
      <alignment horizontal="left" vertical="top" indent="1"/>
    </xf>
    <xf numFmtId="353" fontId="88" fillId="31" borderId="117" applyBorder="0"/>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210" fontId="59" fillId="0" borderId="29" applyFill="0"/>
    <xf numFmtId="4" fontId="48" fillId="28" borderId="110" applyNumberFormat="0" applyProtection="0">
      <alignment horizontal="right" vertical="center"/>
    </xf>
    <xf numFmtId="4" fontId="48" fillId="19" borderId="116" applyNumberFormat="0" applyProtection="0">
      <alignment horizontal="left" vertical="center" indent="1"/>
    </xf>
    <xf numFmtId="4" fontId="48" fillId="20" borderId="110" applyNumberFormat="0" applyProtection="0">
      <alignment horizontal="right" vertical="center"/>
    </xf>
    <xf numFmtId="4" fontId="48" fillId="28" borderId="110" applyNumberFormat="0" applyProtection="0">
      <alignment horizontal="right" vertical="center"/>
    </xf>
    <xf numFmtId="353" fontId="179" fillId="128" borderId="114"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137" fillId="14" borderId="110" applyNumberFormat="0" applyAlignment="0" applyProtection="0"/>
    <xf numFmtId="353" fontId="48" fillId="13" borderId="110" applyNumberFormat="0" applyFont="0" applyAlignment="0" applyProtection="0"/>
    <xf numFmtId="4" fontId="48" fillId="18" borderId="110" applyNumberFormat="0" applyProtection="0">
      <alignment vertical="center"/>
    </xf>
    <xf numFmtId="4" fontId="48" fillId="24" borderId="110" applyNumberFormat="0" applyProtection="0">
      <alignment horizontal="right" vertical="center"/>
    </xf>
    <xf numFmtId="4" fontId="48" fillId="30" borderId="116" applyNumberFormat="0" applyProtection="0">
      <alignment horizontal="left" vertical="center"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 fillId="32" borderId="115" applyNumberFormat="0" applyProtection="0">
      <alignment horizontal="left" vertical="center" indent="1"/>
    </xf>
    <xf numFmtId="353" fontId="48" fillId="32" borderId="115" applyNumberFormat="0" applyProtection="0">
      <alignment horizontal="left" vertical="top" indent="1"/>
    </xf>
    <xf numFmtId="353" fontId="48" fillId="31" borderId="115" applyNumberFormat="0" applyProtection="0">
      <alignment horizontal="left" vertical="top" indent="1"/>
    </xf>
    <xf numFmtId="4" fontId="48" fillId="24" borderId="110" applyNumberFormat="0" applyProtection="0">
      <alignment horizontal="right" vertical="center"/>
    </xf>
    <xf numFmtId="4" fontId="48" fillId="18" borderId="110" applyNumberFormat="0" applyProtection="0">
      <alignment vertical="center"/>
    </xf>
    <xf numFmtId="4" fontId="48" fillId="64" borderId="110" applyNumberFormat="0" applyProtection="0">
      <alignment horizontal="left" vertical="center" indent="1"/>
    </xf>
    <xf numFmtId="4" fontId="48" fillId="45" borderId="110" applyNumberFormat="0" applyProtection="0">
      <alignment horizontal="left" vertical="center" indent="1"/>
    </xf>
    <xf numFmtId="4" fontId="48" fillId="26" borderId="110" applyNumberFormat="0" applyProtection="0">
      <alignment horizontal="right" vertical="center"/>
    </xf>
    <xf numFmtId="4" fontId="4" fillId="31" borderId="116" applyNumberFormat="0" applyProtection="0">
      <alignment horizontal="left" vertical="center" indent="1"/>
    </xf>
    <xf numFmtId="4" fontId="48" fillId="22" borderId="116" applyNumberFormat="0" applyProtection="0">
      <alignment horizontal="right" vertical="center"/>
    </xf>
    <xf numFmtId="4" fontId="48" fillId="30" borderId="116" applyNumberFormat="0" applyProtection="0">
      <alignment horizontal="left" vertical="center" indent="1"/>
    </xf>
    <xf numFmtId="353" fontId="4" fillId="31" borderId="115" applyNumberFormat="0" applyProtection="0">
      <alignment horizontal="left" vertical="center" indent="1"/>
    </xf>
    <xf numFmtId="353" fontId="48" fillId="32" borderId="115" applyNumberFormat="0" applyProtection="0">
      <alignment horizontal="left" vertical="top" indent="1"/>
    </xf>
    <xf numFmtId="4" fontId="4" fillId="31" borderId="116" applyNumberFormat="0" applyProtection="0">
      <alignment horizontal="left" vertical="center" indent="1"/>
    </xf>
    <xf numFmtId="353" fontId="179" fillId="128" borderId="114" applyNumberFormat="0" applyAlignment="0" applyProtection="0"/>
    <xf numFmtId="353" fontId="48" fillId="13" borderId="110" applyNumberFormat="0" applyFont="0" applyAlignment="0" applyProtection="0"/>
    <xf numFmtId="4" fontId="48" fillId="18" borderId="110" applyNumberFormat="0" applyProtection="0">
      <alignment vertical="center"/>
    </xf>
    <xf numFmtId="353" fontId="4" fillId="31" borderId="115" applyNumberFormat="0" applyProtection="0">
      <alignment horizontal="left" vertical="center" indent="1"/>
    </xf>
    <xf numFmtId="353" fontId="48" fillId="30" borderId="115" applyNumberFormat="0" applyProtection="0">
      <alignment horizontal="left" vertical="top" indent="1"/>
    </xf>
    <xf numFmtId="353" fontId="4"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8" fillId="61" borderId="110" applyNumberFormat="0" applyProtection="0">
      <alignment horizontal="left" vertical="center" indent="1"/>
    </xf>
    <xf numFmtId="4" fontId="48" fillId="26" borderId="110" applyNumberFormat="0" applyProtection="0">
      <alignment horizontal="right" vertical="center"/>
    </xf>
    <xf numFmtId="4" fontId="48" fillId="45" borderId="110" applyNumberFormat="0" applyProtection="0">
      <alignment horizontal="left" vertical="center" indent="1"/>
    </xf>
    <xf numFmtId="353" fontId="48" fillId="13" borderId="110" applyNumberFormat="0" applyFont="0" applyAlignment="0" applyProtection="0"/>
    <xf numFmtId="353" fontId="137" fillId="14" borderId="110" applyNumberForma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4" fontId="48" fillId="25" borderId="110" applyNumberFormat="0" applyProtection="0">
      <alignment horizontal="right" vertical="center"/>
    </xf>
    <xf numFmtId="353" fontId="251" fillId="18" borderId="115" applyNumberFormat="0" applyProtection="0">
      <alignment horizontal="left" vertical="top" indent="1"/>
    </xf>
    <xf numFmtId="4" fontId="48" fillId="19" borderId="110" applyNumberFormat="0" applyProtection="0">
      <alignment horizontal="right" vertical="center"/>
    </xf>
    <xf numFmtId="4" fontId="48" fillId="26" borderId="110" applyNumberFormat="0" applyProtection="0">
      <alignment horizontal="right" vertical="center"/>
    </xf>
    <xf numFmtId="4" fontId="48" fillId="24" borderId="110" applyNumberFormat="0" applyProtection="0">
      <alignment horizontal="right" vertical="center"/>
    </xf>
    <xf numFmtId="353" fontId="48" fillId="31" borderId="115" applyNumberFormat="0" applyProtection="0">
      <alignment horizontal="left" vertical="top" indent="1"/>
    </xf>
    <xf numFmtId="353" fontId="248" fillId="128" borderId="110" applyNumberFormat="0" applyAlignment="0" applyProtection="0"/>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4" fontId="250" fillId="50" borderId="110" applyNumberFormat="0" applyProtection="0">
      <alignment horizontal="right" vertical="center"/>
    </xf>
    <xf numFmtId="353" fontId="10" fillId="0" borderId="119" applyNumberFormat="0" applyFill="0" applyAlignment="0" applyProtection="0"/>
    <xf numFmtId="4" fontId="252" fillId="34" borderId="115" applyNumberFormat="0" applyProtection="0">
      <alignment vertical="center"/>
    </xf>
    <xf numFmtId="353" fontId="48" fillId="30" borderId="115" applyNumberFormat="0" applyProtection="0">
      <alignment horizontal="left" vertical="top" indent="1"/>
    </xf>
    <xf numFmtId="353" fontId="88" fillId="31" borderId="117" applyBorder="0"/>
    <xf numFmtId="4" fontId="48" fillId="0" borderId="110" applyNumberFormat="0" applyProtection="0">
      <alignment horizontal="right" vertical="center"/>
    </xf>
    <xf numFmtId="353" fontId="48" fillId="30" borderId="115" applyNumberFormat="0" applyProtection="0">
      <alignment horizontal="left" vertical="top" indent="1"/>
    </xf>
    <xf numFmtId="4" fontId="48" fillId="28" borderId="110" applyNumberFormat="0" applyProtection="0">
      <alignment horizontal="right" vertical="center"/>
    </xf>
    <xf numFmtId="353" fontId="48" fillId="61" borderId="110" applyNumberFormat="0" applyProtection="0">
      <alignment horizontal="left" vertical="center"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4" fontId="254" fillId="33" borderId="110" applyNumberFormat="0" applyProtection="0">
      <alignment horizontal="right" vertical="center"/>
    </xf>
    <xf numFmtId="353" fontId="137" fillId="14" borderId="110" applyNumberFormat="0" applyAlignment="0" applyProtection="0"/>
    <xf numFmtId="353" fontId="48" fillId="32" borderId="115" applyNumberFormat="0" applyProtection="0">
      <alignment horizontal="left" vertical="top" indent="1"/>
    </xf>
    <xf numFmtId="353" fontId="137" fillId="14" borderId="110" applyNumberFormat="0" applyAlignment="0" applyProtection="0"/>
    <xf numFmtId="353" fontId="48" fillId="83" borderId="110" applyNumberFormat="0" applyProtection="0">
      <alignment horizontal="left" vertical="center" indent="1"/>
    </xf>
    <xf numFmtId="353" fontId="48" fillId="31" borderId="115" applyNumberFormat="0" applyProtection="0">
      <alignment horizontal="left" vertical="top" indent="1"/>
    </xf>
    <xf numFmtId="4" fontId="48" fillId="30" borderId="116" applyNumberFormat="0" applyProtection="0">
      <alignment horizontal="left" vertical="center" indent="1"/>
    </xf>
    <xf numFmtId="4" fontId="48" fillId="26" borderId="110" applyNumberFormat="0" applyProtection="0">
      <alignment horizontal="right" vertical="center"/>
    </xf>
    <xf numFmtId="4" fontId="48" fillId="64" borderId="110" applyNumberFormat="0" applyProtection="0">
      <alignment horizontal="left" vertical="center" indent="1"/>
    </xf>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48" fillId="13" borderId="110" applyNumberFormat="0" applyFont="0" applyAlignment="0" applyProtection="0"/>
    <xf numFmtId="353" fontId="88" fillId="31" borderId="117" applyBorder="0"/>
    <xf numFmtId="4" fontId="48" fillId="22" borderId="116" applyNumberFormat="0" applyProtection="0">
      <alignment horizontal="right" vertical="center"/>
    </xf>
    <xf numFmtId="353" fontId="48" fillId="30" borderId="115" applyNumberFormat="0" applyProtection="0">
      <alignment horizontal="left" vertical="top" indent="1"/>
    </xf>
    <xf numFmtId="4" fontId="48" fillId="19" borderId="116" applyNumberFormat="0" applyProtection="0">
      <alignment horizontal="left" vertical="center" indent="1"/>
    </xf>
    <xf numFmtId="353" fontId="48" fillId="31" borderId="115" applyNumberFormat="0" applyProtection="0">
      <alignment horizontal="left" vertical="top" indent="1"/>
    </xf>
    <xf numFmtId="353" fontId="4" fillId="19" borderId="115" applyNumberFormat="0" applyProtection="0">
      <alignment horizontal="left" vertical="center" indent="1"/>
    </xf>
    <xf numFmtId="353" fontId="48" fillId="19" borderId="115" applyNumberFormat="0" applyProtection="0">
      <alignment horizontal="left" vertical="top" indent="1"/>
    </xf>
    <xf numFmtId="353" fontId="4" fillId="32"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4" fontId="253" fillId="35" borderId="116" applyNumberFormat="0" applyProtection="0">
      <alignment horizontal="left" vertical="center" indent="1"/>
    </xf>
    <xf numFmtId="4" fontId="250" fillId="50" borderId="110" applyNumberFormat="0" applyProtection="0">
      <alignment horizontal="right" vertical="center"/>
    </xf>
    <xf numFmtId="353" fontId="48" fillId="13" borderId="110" applyNumberFormat="0" applyFont="0" applyAlignment="0" applyProtection="0"/>
    <xf numFmtId="4" fontId="254" fillId="33" borderId="110" applyNumberFormat="0" applyProtection="0">
      <alignment horizontal="right" vertical="center"/>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4" fontId="48" fillId="30" borderId="116" applyNumberFormat="0" applyProtection="0">
      <alignment horizontal="left" vertical="center" indent="1"/>
    </xf>
    <xf numFmtId="4" fontId="48" fillId="131" borderId="110" applyNumberFormat="0" applyProtection="0">
      <alignment horizontal="right" vertical="center"/>
    </xf>
    <xf numFmtId="353" fontId="48" fillId="32" borderId="115" applyNumberFormat="0" applyProtection="0">
      <alignment horizontal="left" vertical="top" indent="1"/>
    </xf>
    <xf numFmtId="353" fontId="48" fillId="13" borderId="110" applyNumberFormat="0" applyFont="0" applyAlignment="0" applyProtection="0"/>
    <xf numFmtId="353" fontId="48" fillId="13" borderId="110" applyNumberFormat="0" applyFont="0" applyAlignment="0" applyProtection="0"/>
    <xf numFmtId="353" fontId="48" fillId="32" borderId="110" applyNumberFormat="0" applyProtection="0">
      <alignment horizontal="left" vertical="center"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4" fontId="250" fillId="50" borderId="110" applyNumberFormat="0" applyProtection="0">
      <alignment horizontal="right" vertical="center"/>
    </xf>
    <xf numFmtId="353" fontId="48" fillId="13" borderId="110" applyNumberFormat="0" applyFont="0" applyAlignment="0" applyProtection="0"/>
    <xf numFmtId="4" fontId="48" fillId="22" borderId="116" applyNumberFormat="0" applyProtection="0">
      <alignment horizontal="right" vertical="center"/>
    </xf>
    <xf numFmtId="4" fontId="48" fillId="24" borderId="110" applyNumberFormat="0" applyProtection="0">
      <alignment horizontal="right" vertical="center"/>
    </xf>
    <xf numFmtId="4" fontId="48" fillId="29" borderId="116" applyNumberFormat="0" applyProtection="0">
      <alignment horizontal="left" vertical="center" indent="1"/>
    </xf>
    <xf numFmtId="353" fontId="4" fillId="31" borderId="115" applyNumberFormat="0" applyProtection="0">
      <alignment horizontal="left" vertical="center" indent="1"/>
    </xf>
    <xf numFmtId="353" fontId="48" fillId="31" borderId="115" applyNumberFormat="0" applyProtection="0">
      <alignment horizontal="left" vertical="top" indent="1"/>
    </xf>
    <xf numFmtId="353" fontId="4" fillId="19"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0" borderId="110" applyNumberFormat="0" applyProtection="0">
      <alignment horizontal="left" vertical="center"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7" fontId="59" fillId="0" borderId="118" applyNumberFormat="0"/>
    <xf numFmtId="4" fontId="254" fillId="33" borderId="110" applyNumberFormat="0" applyProtection="0">
      <alignment horizontal="right" vertical="center"/>
    </xf>
    <xf numFmtId="353" fontId="48" fillId="19" borderId="115" applyNumberFormat="0" applyProtection="0">
      <alignment horizontal="left" vertical="top" indent="1"/>
    </xf>
    <xf numFmtId="353" fontId="252" fillId="19" borderId="115" applyNumberFormat="0" applyProtection="0">
      <alignment horizontal="left" vertical="top" indent="1"/>
    </xf>
    <xf numFmtId="353" fontId="48" fillId="30" borderId="115" applyNumberFormat="0" applyProtection="0">
      <alignment horizontal="left" vertical="top" indent="1"/>
    </xf>
    <xf numFmtId="353" fontId="4" fillId="32" borderId="115" applyNumberFormat="0" applyProtection="0">
      <alignment horizontal="left" vertical="center" indent="1"/>
    </xf>
    <xf numFmtId="353" fontId="4" fillId="19" borderId="115" applyNumberFormat="0" applyProtection="0">
      <alignment horizontal="left" vertical="center" indent="1"/>
    </xf>
    <xf numFmtId="353" fontId="48" fillId="31" borderId="115" applyNumberFormat="0" applyProtection="0">
      <alignment horizontal="left" vertical="top" indent="1"/>
    </xf>
    <xf numFmtId="4" fontId="4" fillId="31" borderId="116" applyNumberFormat="0" applyProtection="0">
      <alignment horizontal="left" vertical="center" indent="1"/>
    </xf>
    <xf numFmtId="4" fontId="48" fillId="64" borderId="110" applyNumberFormat="0" applyProtection="0">
      <alignment horizontal="left" vertical="center" indent="1"/>
    </xf>
    <xf numFmtId="353" fontId="48" fillId="31" borderId="115" applyNumberFormat="0" applyProtection="0">
      <alignment horizontal="left" vertical="top" indent="1"/>
    </xf>
    <xf numFmtId="353" fontId="48" fillId="13" borderId="110" applyNumberFormat="0" applyFont="0" applyAlignment="0" applyProtection="0"/>
    <xf numFmtId="4" fontId="250" fillId="50" borderId="110" applyNumberFormat="0" applyProtection="0">
      <alignment horizontal="right" vertical="center"/>
    </xf>
    <xf numFmtId="353" fontId="4" fillId="30" borderId="115" applyNumberFormat="0" applyProtection="0">
      <alignment horizontal="left" vertical="top" indent="1"/>
    </xf>
    <xf numFmtId="353" fontId="48" fillId="19" borderId="115" applyNumberFormat="0" applyProtection="0">
      <alignment horizontal="left" vertical="top" indent="1"/>
    </xf>
    <xf numFmtId="4" fontId="48" fillId="29" borderId="116" applyNumberFormat="0" applyProtection="0">
      <alignment horizontal="left" vertical="center" indent="1"/>
    </xf>
    <xf numFmtId="4" fontId="48" fillId="22" borderId="116" applyNumberFormat="0" applyProtection="0">
      <alignment horizontal="right" vertical="center"/>
    </xf>
    <xf numFmtId="4" fontId="252" fillId="61" borderId="115" applyNumberFormat="0" applyProtection="0">
      <alignment horizontal="left" vertical="center" indent="1"/>
    </xf>
    <xf numFmtId="353" fontId="10" fillId="0" borderId="119" applyNumberFormat="0" applyFill="0" applyAlignment="0" applyProtection="0"/>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0" borderId="115" applyNumberFormat="0" applyProtection="0">
      <alignment horizontal="left" vertical="top" indent="1"/>
    </xf>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248" fillId="128" borderId="110" applyNumberFormat="0" applyAlignment="0" applyProtection="0"/>
    <xf numFmtId="353" fontId="48" fillId="13" borderId="110" applyNumberFormat="0" applyFont="0" applyAlignment="0" applyProtection="0"/>
    <xf numFmtId="4" fontId="250" fillId="45" borderId="110" applyNumberFormat="0" applyProtection="0">
      <alignment vertical="center"/>
    </xf>
    <xf numFmtId="4" fontId="48" fillId="27" borderId="110" applyNumberFormat="0" applyProtection="0">
      <alignment horizontal="right" vertical="center"/>
    </xf>
    <xf numFmtId="353" fontId="48" fillId="31" borderId="115" applyNumberFormat="0" applyProtection="0">
      <alignment horizontal="left" vertical="top" indent="1"/>
    </xf>
    <xf numFmtId="353" fontId="48" fillId="31" borderId="115" applyNumberFormat="0" applyProtection="0">
      <alignment horizontal="left" vertical="top"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252" fillId="34" borderId="115" applyNumberFormat="0" applyProtection="0">
      <alignment horizontal="left" vertical="top" indent="1"/>
    </xf>
    <xf numFmtId="353" fontId="10" fillId="0" borderId="119" applyNumberFormat="0" applyFill="0" applyAlignment="0" applyProtection="0"/>
    <xf numFmtId="353" fontId="48" fillId="30" borderId="115" applyNumberFormat="0" applyProtection="0">
      <alignment horizontal="left" vertical="top" indent="1"/>
    </xf>
    <xf numFmtId="353" fontId="48" fillId="32" borderId="110" applyNumberFormat="0" applyProtection="0">
      <alignment horizontal="left" vertical="center"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 fillId="31" borderId="115" applyNumberFormat="0" applyProtection="0">
      <alignment horizontal="left" vertical="top" indent="1"/>
    </xf>
    <xf numFmtId="4" fontId="4" fillId="31" borderId="116" applyNumberFormat="0" applyProtection="0">
      <alignment horizontal="left" vertical="center" indent="1"/>
    </xf>
    <xf numFmtId="4" fontId="48" fillId="26" borderId="110" applyNumberFormat="0" applyProtection="0">
      <alignment horizontal="right" vertical="center"/>
    </xf>
    <xf numFmtId="353" fontId="48" fillId="13" borderId="110" applyNumberFormat="0" applyFont="0" applyAlignment="0" applyProtection="0"/>
    <xf numFmtId="4" fontId="48" fillId="18" borderId="110" applyNumberFormat="0" applyProtection="0">
      <alignment vertical="center"/>
    </xf>
    <xf numFmtId="4" fontId="48" fillId="29" borderId="116" applyNumberFormat="0" applyProtection="0">
      <alignment horizontal="left" vertical="center" indent="1"/>
    </xf>
    <xf numFmtId="353" fontId="4" fillId="31" borderId="115" applyNumberFormat="0" applyProtection="0">
      <alignment horizontal="left" vertical="center" indent="1"/>
    </xf>
    <xf numFmtId="353" fontId="4" fillId="19" borderId="115" applyNumberFormat="0" applyProtection="0">
      <alignment horizontal="left" vertical="top" indent="1"/>
    </xf>
    <xf numFmtId="353" fontId="48" fillId="13" borderId="110" applyNumberFormat="0" applyFont="0" applyAlignment="0" applyProtection="0"/>
    <xf numFmtId="210" fontId="59" fillId="0" borderId="29" applyFill="0"/>
    <xf numFmtId="353" fontId="48" fillId="30" borderId="115" applyNumberFormat="0" applyProtection="0">
      <alignment horizontal="left" vertical="top"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8" fillId="31" borderId="115" applyNumberFormat="0" applyProtection="0">
      <alignment horizontal="left" vertical="top" indent="1"/>
    </xf>
    <xf numFmtId="4" fontId="48" fillId="19" borderId="110" applyNumberFormat="0" applyProtection="0">
      <alignment horizontal="right" vertical="center"/>
    </xf>
    <xf numFmtId="4" fontId="48" fillId="45" borderId="110" applyNumberFormat="0" applyProtection="0">
      <alignment horizontal="left" vertical="center" indent="1"/>
    </xf>
    <xf numFmtId="4" fontId="250" fillId="50" borderId="110" applyNumberFormat="0" applyProtection="0">
      <alignment horizontal="right" vertical="center"/>
    </xf>
    <xf numFmtId="353" fontId="48" fillId="30" borderId="115" applyNumberFormat="0" applyProtection="0">
      <alignment horizontal="left" vertical="top" indent="1"/>
    </xf>
    <xf numFmtId="353" fontId="252" fillId="19" borderId="115" applyNumberFormat="0" applyProtection="0">
      <alignment horizontal="left" vertical="top" indent="1"/>
    </xf>
    <xf numFmtId="4" fontId="254" fillId="33" borderId="110" applyNumberFormat="0" applyProtection="0">
      <alignment horizontal="right" vertical="center"/>
    </xf>
    <xf numFmtId="4" fontId="252" fillId="61" borderId="115" applyNumberFormat="0" applyProtection="0">
      <alignment horizontal="left" vertical="center" indent="1"/>
    </xf>
    <xf numFmtId="353" fontId="4" fillId="30" borderId="115" applyNumberFormat="0" applyProtection="0">
      <alignment horizontal="left" vertical="center" indent="1"/>
    </xf>
    <xf numFmtId="353" fontId="48" fillId="32" borderId="115" applyNumberFormat="0" applyProtection="0">
      <alignment horizontal="left" vertical="top" indent="1"/>
    </xf>
    <xf numFmtId="353" fontId="48" fillId="19" borderId="115" applyNumberFormat="0" applyProtection="0">
      <alignment horizontal="left" vertical="top" indent="1"/>
    </xf>
    <xf numFmtId="353" fontId="48" fillId="19" borderId="115" applyNumberFormat="0" applyProtection="0">
      <alignment horizontal="left" vertical="top" indent="1"/>
    </xf>
    <xf numFmtId="353" fontId="48" fillId="31" borderId="115" applyNumberFormat="0" applyProtection="0">
      <alignment horizontal="left" vertical="top" indent="1"/>
    </xf>
    <xf numFmtId="353" fontId="4" fillId="30" borderId="115" applyNumberFormat="0" applyProtection="0">
      <alignment horizontal="left" vertical="top" indent="1"/>
    </xf>
    <xf numFmtId="4" fontId="4" fillId="31" borderId="116" applyNumberFormat="0" applyProtection="0">
      <alignment horizontal="left" vertical="center" indent="1"/>
    </xf>
    <xf numFmtId="353" fontId="4" fillId="31" borderId="115" applyNumberFormat="0" applyProtection="0">
      <alignment horizontal="left" vertical="top" indent="1"/>
    </xf>
    <xf numFmtId="4" fontId="48" fillId="22" borderId="116" applyNumberFormat="0" applyProtection="0">
      <alignment horizontal="right" vertical="center"/>
    </xf>
    <xf numFmtId="353" fontId="48" fillId="61" borderId="110" applyNumberFormat="0" applyProtection="0">
      <alignment horizontal="left" vertical="center" indent="1"/>
    </xf>
    <xf numFmtId="4" fontId="48" fillId="45" borderId="110" applyNumberFormat="0" applyProtection="0">
      <alignment horizontal="left" vertical="center" indent="1"/>
    </xf>
    <xf numFmtId="353" fontId="48" fillId="13" borderId="110" applyNumberFormat="0" applyFont="0" applyAlignment="0" applyProtection="0"/>
    <xf numFmtId="353" fontId="48" fillId="13" borderId="110" applyNumberFormat="0" applyFont="0" applyAlignment="0" applyProtection="0"/>
    <xf numFmtId="353" fontId="248" fillId="128" borderId="110" applyNumberFormat="0" applyAlignment="0" applyProtection="0"/>
    <xf numFmtId="353" fontId="48" fillId="13" borderId="110" applyNumberFormat="0" applyFont="0" applyAlignment="0" applyProtection="0"/>
    <xf numFmtId="4" fontId="48" fillId="20" borderId="110" applyNumberFormat="0" applyProtection="0">
      <alignment horizontal="right" vertical="center"/>
    </xf>
    <xf numFmtId="4" fontId="48" fillId="29" borderId="116" applyNumberFormat="0" applyProtection="0">
      <alignment horizontal="left" vertical="center" indent="1"/>
    </xf>
    <xf numFmtId="353" fontId="4" fillId="31" borderId="115" applyNumberFormat="0" applyProtection="0">
      <alignment horizontal="left" vertical="top" indent="1"/>
    </xf>
    <xf numFmtId="353" fontId="48" fillId="83" borderId="110" applyNumberFormat="0" applyProtection="0">
      <alignment horizontal="left" vertical="center" indent="1"/>
    </xf>
    <xf numFmtId="353" fontId="48" fillId="19" borderId="115" applyNumberFormat="0" applyProtection="0">
      <alignment horizontal="left" vertical="top" indent="1"/>
    </xf>
    <xf numFmtId="353" fontId="48" fillId="32" borderId="115" applyNumberFormat="0" applyProtection="0">
      <alignment horizontal="left" vertical="top" indent="1"/>
    </xf>
    <xf numFmtId="353" fontId="48" fillId="31" borderId="115" applyNumberFormat="0" applyProtection="0">
      <alignment horizontal="left" vertical="top" indent="1"/>
    </xf>
    <xf numFmtId="4" fontId="48" fillId="28" borderId="110" applyNumberFormat="0" applyProtection="0">
      <alignment horizontal="right" vertical="center"/>
    </xf>
    <xf numFmtId="4" fontId="48" fillId="27" borderId="110" applyNumberFormat="0" applyProtection="0">
      <alignment horizontal="right" vertical="center"/>
    </xf>
    <xf numFmtId="353" fontId="48" fillId="31" borderId="115" applyNumberFormat="0" applyProtection="0">
      <alignment horizontal="left" vertical="top" indent="1"/>
    </xf>
    <xf numFmtId="353" fontId="48" fillId="32" borderId="115" applyNumberFormat="0" applyProtection="0">
      <alignment horizontal="left" vertical="top" indent="1"/>
    </xf>
    <xf numFmtId="353" fontId="248" fillId="128" borderId="110" applyNumberFormat="0" applyAlignment="0" applyProtection="0"/>
    <xf numFmtId="353" fontId="48" fillId="19" borderId="115" applyNumberFormat="0" applyProtection="0">
      <alignment horizontal="left" vertical="top" indent="1"/>
    </xf>
    <xf numFmtId="353" fontId="48" fillId="30" borderId="115" applyNumberFormat="0" applyProtection="0">
      <alignment horizontal="left" vertical="top" indent="1"/>
    </xf>
    <xf numFmtId="4" fontId="48" fillId="64" borderId="110" applyNumberFormat="0" applyProtection="0">
      <alignment horizontal="left" vertical="center" indent="1"/>
    </xf>
    <xf numFmtId="4" fontId="48" fillId="0" borderId="110" applyNumberFormat="0" applyProtection="0">
      <alignment horizontal="right" vertical="center"/>
    </xf>
    <xf numFmtId="353" fontId="48" fillId="13" borderId="110" applyNumberFormat="0" applyFont="0" applyAlignment="0" applyProtection="0"/>
    <xf numFmtId="353" fontId="137" fillId="14" borderId="110" applyNumberFormat="0" applyAlignment="0" applyProtection="0"/>
    <xf numFmtId="353" fontId="251" fillId="18" borderId="115" applyNumberFormat="0" applyProtection="0">
      <alignment horizontal="left" vertical="top" indent="1"/>
    </xf>
    <xf numFmtId="353" fontId="48" fillId="13" borderId="110" applyNumberFormat="0" applyFont="0" applyAlignment="0" applyProtection="0"/>
    <xf numFmtId="353" fontId="48" fillId="30" borderId="110"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3" fontId="248" fillId="128" borderId="110" applyNumberFormat="0" applyAlignment="0" applyProtection="0"/>
    <xf numFmtId="4" fontId="250" fillId="50" borderId="110" applyNumberFormat="0" applyProtection="0">
      <alignment horizontal="right" vertical="center"/>
    </xf>
    <xf numFmtId="353" fontId="137" fillId="14" borderId="110" applyNumberFormat="0" applyAlignment="0" applyProtection="0"/>
    <xf numFmtId="164" fontId="7" fillId="0" borderId="0" applyFont="0" applyFill="0" applyBorder="0" applyAlignment="0" applyProtection="0"/>
    <xf numFmtId="353" fontId="248" fillId="128" borderId="110" applyNumberFormat="0" applyAlignment="0" applyProtection="0"/>
    <xf numFmtId="4" fontId="48" fillId="45" borderId="110" applyNumberFormat="0" applyProtection="0">
      <alignment horizontal="left" vertical="center" indent="1"/>
    </xf>
    <xf numFmtId="353" fontId="137" fillId="14" borderId="110" applyNumberFormat="0" applyAlignment="0" applyProtection="0"/>
    <xf numFmtId="4" fontId="48" fillId="64" borderId="110" applyNumberFormat="0" applyProtection="0">
      <alignment horizontal="left" vertical="center" indent="1"/>
    </xf>
    <xf numFmtId="4" fontId="48" fillId="26" borderId="110" applyNumberFormat="0" applyProtection="0">
      <alignment horizontal="right" vertical="center"/>
    </xf>
    <xf numFmtId="164" fontId="7" fillId="0" borderId="0" applyFont="0" applyFill="0" applyBorder="0" applyAlignment="0" applyProtection="0"/>
    <xf numFmtId="4" fontId="254" fillId="33" borderId="110" applyNumberFormat="0" applyProtection="0">
      <alignment horizontal="right" vertical="center"/>
    </xf>
    <xf numFmtId="4" fontId="48" fillId="23" borderId="110" applyNumberFormat="0" applyProtection="0">
      <alignment horizontal="right" vertical="center"/>
    </xf>
  </cellStyleXfs>
  <cellXfs count="1008">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0" xfId="75" applyFont="1" applyProtection="1">
      <protection locked="0"/>
    </xf>
    <xf numFmtId="0" fontId="3" fillId="0" borderId="0" xfId="0" applyFont="1" applyAlignment="1">
      <alignment horizontal="left" vertical="top"/>
    </xf>
    <xf numFmtId="0" fontId="3" fillId="0" borderId="0" xfId="0" applyFont="1"/>
    <xf numFmtId="0" fontId="21" fillId="0" borderId="0" xfId="0" applyFont="1"/>
    <xf numFmtId="0" fontId="22" fillId="0" borderId="0" xfId="0" applyFont="1"/>
    <xf numFmtId="0" fontId="5" fillId="42" borderId="0" xfId="7" applyFont="1" applyFill="1" applyBorder="1"/>
    <xf numFmtId="0" fontId="4" fillId="42" borderId="0" xfId="88" applyFill="1" applyBorder="1"/>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27" fillId="47" borderId="0"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0" xfId="7" applyFont="1" applyFill="1" applyBorder="1" applyAlignment="1">
      <alignment horizontal="left" indent="1"/>
    </xf>
    <xf numFmtId="170" fontId="0" fillId="0" borderId="61" xfId="77" applyNumberFormat="1" applyFont="1" applyBorder="1"/>
    <xf numFmtId="0" fontId="0" fillId="0" borderId="61" xfId="0" applyBorder="1"/>
    <xf numFmtId="0" fontId="0" fillId="0" borderId="62" xfId="0" applyBorder="1"/>
    <xf numFmtId="3" fontId="5" fillId="0" borderId="63" xfId="89" applyNumberFormat="1" applyFont="1" applyFill="1" applyBorder="1" applyAlignment="1">
      <alignment horizontal="left" indent="1"/>
    </xf>
    <xf numFmtId="3" fontId="5" fillId="0" borderId="66" xfId="89" applyNumberFormat="1" applyFont="1" applyFill="1" applyBorder="1" applyAlignment="1">
      <alignment horizontal="left" inden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53" borderId="0" xfId="0" applyFill="1" applyAlignment="1">
      <alignment horizontal="left" vertical="top"/>
    </xf>
    <xf numFmtId="0" fontId="0" fillId="53" borderId="0" xfId="0" applyFill="1" applyAlignment="1">
      <alignment horizontal="center" vertical="top"/>
    </xf>
    <xf numFmtId="0" fontId="5" fillId="42" borderId="0" xfId="7" applyFont="1" applyFill="1" applyBorder="1" applyAlignment="1">
      <alignment horizontal="center" vertical="top"/>
    </xf>
    <xf numFmtId="1" fontId="3" fillId="2" borderId="60" xfId="0" applyNumberFormat="1" applyFont="1" applyFill="1" applyBorder="1" applyAlignment="1">
      <alignment horizontal="center" vertical="center"/>
    </xf>
    <xf numFmtId="1" fontId="3" fillId="2" borderId="61" xfId="0" applyNumberFormat="1" applyFont="1" applyFill="1" applyBorder="1" applyAlignment="1">
      <alignment horizontal="center" vertical="center"/>
    </xf>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0" xfId="1" applyNumberFormat="1" applyFont="1" applyFill="1" applyBorder="1" applyProtection="1"/>
    <xf numFmtId="172" fontId="5" fillId="38" borderId="61" xfId="1" applyNumberFormat="1" applyFont="1" applyFill="1" applyBorder="1" applyProtection="1"/>
    <xf numFmtId="172" fontId="5" fillId="38" borderId="62" xfId="1" applyNumberFormat="1" applyFont="1" applyFill="1" applyBorder="1" applyProtection="1"/>
    <xf numFmtId="172" fontId="5" fillId="38" borderId="63"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 fontId="3" fillId="2" borderId="60" xfId="0" applyNumberFormat="1" applyFont="1" applyFill="1" applyBorder="1" applyAlignment="1">
      <alignment horizontal="center" vertical="center" wrapText="1"/>
    </xf>
    <xf numFmtId="172" fontId="5" fillId="38" borderId="72" xfId="1" applyNumberFormat="1" applyFont="1" applyFill="1" applyBorder="1" applyProtection="1"/>
    <xf numFmtId="172" fontId="5" fillId="38" borderId="73" xfId="1" applyNumberFormat="1" applyFont="1" applyFill="1" applyBorder="1" applyProtection="1"/>
    <xf numFmtId="172" fontId="5" fillId="38" borderId="74" xfId="1" applyNumberFormat="1" applyFont="1" applyFill="1" applyBorder="1" applyProtection="1"/>
    <xf numFmtId="165" fontId="5" fillId="52" borderId="69" xfId="2" applyNumberFormat="1" applyFont="1" applyFill="1" applyBorder="1" applyAlignment="1">
      <alignment vertical="center"/>
    </xf>
    <xf numFmtId="165" fontId="5" fillId="52" borderId="71" xfId="2" applyNumberFormat="1" applyFont="1" applyFill="1" applyBorder="1" applyAlignment="1">
      <alignment vertical="center"/>
    </xf>
    <xf numFmtId="165" fontId="5" fillId="52" borderId="60" xfId="2" applyNumberFormat="1" applyFont="1" applyFill="1" applyBorder="1" applyAlignment="1">
      <alignment vertical="center"/>
    </xf>
    <xf numFmtId="165" fontId="5" fillId="52" borderId="62" xfId="2" applyNumberFormat="1" applyFont="1" applyFill="1" applyBorder="1" applyAlignment="1">
      <alignment vertical="center"/>
    </xf>
    <xf numFmtId="10" fontId="0" fillId="51" borderId="72" xfId="0" applyNumberFormat="1" applyFill="1" applyBorder="1" applyAlignment="1">
      <alignment horizontal="right" vertical="top"/>
    </xf>
    <xf numFmtId="10" fontId="0" fillId="51" borderId="73" xfId="0" applyNumberFormat="1" applyFill="1" applyBorder="1" applyAlignment="1">
      <alignment horizontal="right" vertical="top"/>
    </xf>
    <xf numFmtId="10" fontId="0" fillId="51" borderId="74" xfId="0" applyNumberFormat="1" applyFill="1" applyBorder="1" applyAlignment="1">
      <alignment horizontal="right" vertical="top"/>
    </xf>
    <xf numFmtId="178" fontId="0" fillId="51" borderId="72" xfId="0" applyNumberFormat="1" applyFill="1" applyBorder="1" applyAlignment="1">
      <alignment horizontal="right" vertical="top"/>
    </xf>
    <xf numFmtId="178" fontId="0" fillId="51" borderId="73" xfId="0" applyNumberFormat="1" applyFill="1" applyBorder="1" applyAlignment="1">
      <alignment horizontal="right" vertical="top"/>
    </xf>
    <xf numFmtId="178" fontId="0" fillId="51" borderId="74" xfId="0" applyNumberFormat="1" applyFill="1" applyBorder="1" applyAlignment="1">
      <alignment horizontal="right" vertical="top"/>
    </xf>
    <xf numFmtId="173" fontId="0" fillId="54" borderId="72" xfId="0" applyNumberFormat="1" applyFont="1" applyFill="1" applyBorder="1" applyAlignment="1">
      <alignment horizontal="right"/>
    </xf>
    <xf numFmtId="0" fontId="3" fillId="53" borderId="0" xfId="0" applyFont="1" applyFill="1" applyAlignment="1">
      <alignment horizontal="left" vertical="top"/>
    </xf>
    <xf numFmtId="1" fontId="3" fillId="2" borderId="72" xfId="0" applyNumberFormat="1" applyFont="1" applyFill="1" applyBorder="1" applyAlignment="1">
      <alignment horizontal="center" vertical="center"/>
    </xf>
    <xf numFmtId="1" fontId="3" fillId="2" borderId="73" xfId="0" applyNumberFormat="1" applyFont="1" applyFill="1" applyBorder="1" applyAlignment="1">
      <alignment horizontal="center" vertical="center"/>
    </xf>
    <xf numFmtId="1" fontId="3" fillId="2" borderId="74" xfId="0" applyNumberFormat="1" applyFont="1" applyFill="1" applyBorder="1" applyAlignment="1">
      <alignment horizontal="center" wrapText="1"/>
    </xf>
    <xf numFmtId="0" fontId="27" fillId="47" borderId="12"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66" xfId="1" applyNumberFormat="1" applyFont="1" applyFill="1" applyBorder="1" applyProtection="1"/>
    <xf numFmtId="172" fontId="6" fillId="38" borderId="67" xfId="1" applyNumberFormat="1" applyFont="1" applyFill="1" applyBorder="1" applyProtection="1"/>
    <xf numFmtId="172" fontId="6" fillId="38" borderId="68" xfId="1" applyNumberFormat="1" applyFont="1" applyFill="1" applyBorder="1" applyProtection="1"/>
    <xf numFmtId="172" fontId="6" fillId="38" borderId="60" xfId="1" applyNumberFormat="1" applyFont="1" applyFill="1" applyBorder="1" applyProtection="1"/>
    <xf numFmtId="172" fontId="6" fillId="38" borderId="61" xfId="1" applyNumberFormat="1" applyFont="1" applyFill="1" applyBorder="1" applyProtection="1"/>
    <xf numFmtId="172" fontId="6" fillId="38" borderId="62" xfId="1" applyNumberFormat="1" applyFont="1" applyFill="1" applyBorder="1" applyProtection="1"/>
    <xf numFmtId="172" fontId="6" fillId="38" borderId="72" xfId="1" applyNumberFormat="1" applyFont="1" applyFill="1" applyBorder="1" applyProtection="1"/>
    <xf numFmtId="172" fontId="6" fillId="38" borderId="73" xfId="1" applyNumberFormat="1" applyFont="1" applyFill="1" applyBorder="1" applyProtection="1"/>
    <xf numFmtId="172" fontId="6" fillId="38" borderId="74" xfId="1" applyNumberFormat="1" applyFont="1" applyFill="1" applyBorder="1" applyProtection="1"/>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0" xfId="7" applyFont="1" applyFill="1" applyBorder="1" applyAlignment="1">
      <alignment horizontal="center" vertical="top"/>
    </xf>
    <xf numFmtId="0" fontId="5" fillId="0" borderId="61" xfId="7" applyFont="1" applyBorder="1" applyAlignment="1">
      <alignment horizontal="center"/>
    </xf>
    <xf numFmtId="9" fontId="0" fillId="0" borderId="62" xfId="0" applyNumberFormat="1" applyBorder="1" applyAlignment="1">
      <alignment horizontal="center"/>
    </xf>
    <xf numFmtId="0" fontId="5" fillId="42" borderId="63" xfId="7" applyFont="1" applyFill="1" applyBorder="1" applyAlignment="1">
      <alignment horizontal="center" vertical="top"/>
    </xf>
    <xf numFmtId="0" fontId="5" fillId="0" borderId="64" xfId="7" applyFont="1" applyBorder="1" applyAlignment="1">
      <alignment horizontal="center"/>
    </xf>
    <xf numFmtId="9" fontId="0" fillId="0" borderId="65" xfId="0" applyNumberFormat="1" applyBorder="1" applyAlignment="1">
      <alignment horizontal="center"/>
    </xf>
    <xf numFmtId="0" fontId="5" fillId="0" borderId="67" xfId="7" applyFont="1" applyBorder="1" applyAlignment="1">
      <alignment horizontal="center"/>
    </xf>
    <xf numFmtId="1" fontId="5" fillId="0" borderId="61" xfId="7" applyNumberFormat="1" applyFont="1" applyBorder="1" applyAlignment="1">
      <alignment horizontal="center"/>
    </xf>
    <xf numFmtId="1" fontId="5" fillId="0" borderId="64"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3" xfId="77" applyNumberFormat="1" applyFont="1" applyFill="1" applyBorder="1" applyProtection="1"/>
    <xf numFmtId="170" fontId="5" fillId="38" borderId="64" xfId="77" applyNumberFormat="1" applyFont="1" applyFill="1" applyBorder="1" applyProtection="1"/>
    <xf numFmtId="170" fontId="5" fillId="38" borderId="65" xfId="77" applyNumberFormat="1" applyFont="1" applyFill="1" applyBorder="1" applyProtection="1"/>
    <xf numFmtId="172" fontId="5" fillId="39" borderId="60" xfId="1" applyNumberFormat="1" applyFont="1" applyFill="1" applyBorder="1" applyProtection="1"/>
    <xf numFmtId="172" fontId="5" fillId="39" borderId="61" xfId="1" applyNumberFormat="1" applyFont="1" applyFill="1" applyBorder="1" applyProtection="1"/>
    <xf numFmtId="172" fontId="5" fillId="39" borderId="62" xfId="1"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7" xfId="1" applyNumberFormat="1" applyFont="1" applyFill="1" applyBorder="1" applyProtection="1"/>
    <xf numFmtId="172" fontId="5" fillId="39" borderId="68" xfId="1" applyNumberFormat="1" applyFont="1" applyFill="1" applyBorder="1" applyProtection="1"/>
    <xf numFmtId="170" fontId="5" fillId="38" borderId="69" xfId="77" applyNumberFormat="1" applyFont="1" applyFill="1" applyBorder="1" applyProtection="1"/>
    <xf numFmtId="170" fontId="5" fillId="38" borderId="70" xfId="77" applyNumberFormat="1" applyFont="1" applyFill="1" applyBorder="1" applyProtection="1"/>
    <xf numFmtId="170" fontId="5" fillId="38" borderId="71" xfId="77" applyNumberFormat="1" applyFont="1" applyFill="1" applyBorder="1" applyProtection="1"/>
    <xf numFmtId="170" fontId="6" fillId="38" borderId="60" xfId="77" applyNumberFormat="1" applyFont="1" applyFill="1" applyBorder="1" applyProtection="1"/>
    <xf numFmtId="170" fontId="6" fillId="38" borderId="61" xfId="77" applyNumberFormat="1" applyFont="1" applyFill="1" applyBorder="1" applyProtection="1"/>
    <xf numFmtId="170" fontId="6" fillId="38" borderId="62" xfId="77" applyNumberFormat="1" applyFont="1" applyFill="1" applyBorder="1" applyProtection="1"/>
    <xf numFmtId="170" fontId="6" fillId="38" borderId="72" xfId="77" applyNumberFormat="1" applyFont="1" applyFill="1" applyBorder="1" applyProtection="1"/>
    <xf numFmtId="170" fontId="6" fillId="38" borderId="73" xfId="77" applyNumberFormat="1" applyFont="1" applyFill="1" applyBorder="1" applyProtection="1"/>
    <xf numFmtId="170" fontId="6" fillId="38" borderId="74" xfId="77" applyNumberFormat="1" applyFont="1" applyFill="1" applyBorder="1" applyProtection="1"/>
    <xf numFmtId="1" fontId="3" fillId="2" borderId="62" xfId="0" applyNumberFormat="1" applyFont="1" applyFill="1" applyBorder="1" applyAlignment="1">
      <alignment horizontal="center" vertical="center" wrapText="1"/>
    </xf>
    <xf numFmtId="1" fontId="3" fillId="2" borderId="74"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0" fillId="0" borderId="0" xfId="0" applyFont="1"/>
    <xf numFmtId="0" fontId="0" fillId="0" borderId="11" xfId="0" applyBorder="1"/>
    <xf numFmtId="0" fontId="0" fillId="0" borderId="12"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2" xfId="0" applyBorder="1" applyAlignment="1">
      <alignment horizontal="center" vertical="center" wrapText="1"/>
    </xf>
    <xf numFmtId="0" fontId="0" fillId="0" borderId="60" xfId="0" applyBorder="1" applyAlignment="1">
      <alignment horizontal="left" vertical="center" wrapText="1" indent="1"/>
    </xf>
    <xf numFmtId="0" fontId="0" fillId="0" borderId="66"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4" xfId="0" applyNumberFormat="1" applyBorder="1"/>
    <xf numFmtId="10" fontId="0" fillId="0" borderId="65"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2" xfId="75" applyFont="1" applyFill="1" applyBorder="1" applyAlignment="1" applyProtection="1">
      <alignment horizontal="center" vertical="top"/>
    </xf>
    <xf numFmtId="0" fontId="5" fillId="37" borderId="73" xfId="75" applyFont="1" applyFill="1" applyBorder="1" applyAlignment="1" applyProtection="1">
      <alignment horizontal="center" vertical="top"/>
    </xf>
    <xf numFmtId="0" fontId="5" fillId="37" borderId="74"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2" xfId="0" applyNumberFormat="1" applyFill="1" applyBorder="1"/>
    <xf numFmtId="170" fontId="0" fillId="52" borderId="73" xfId="0" applyNumberFormat="1" applyFill="1" applyBorder="1"/>
    <xf numFmtId="170" fontId="0" fillId="52" borderId="74"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2" xfId="0" applyNumberFormat="1" applyFill="1" applyBorder="1" applyAlignment="1">
      <alignment horizontal="right"/>
    </xf>
    <xf numFmtId="170" fontId="0" fillId="52" borderId="73" xfId="0" applyNumberFormat="1" applyFill="1" applyBorder="1" applyAlignment="1">
      <alignment horizontal="right"/>
    </xf>
    <xf numFmtId="170" fontId="0" fillId="52" borderId="74" xfId="0" applyNumberFormat="1" applyFill="1" applyBorder="1" applyAlignment="1">
      <alignment horizontal="right"/>
    </xf>
    <xf numFmtId="172" fontId="5" fillId="39" borderId="86" xfId="1" applyNumberFormat="1" applyFont="1" applyFill="1" applyBorder="1" applyProtection="1"/>
    <xf numFmtId="172" fontId="5" fillId="39" borderId="82" xfId="1" applyNumberFormat="1" applyFont="1" applyFill="1" applyBorder="1" applyProtection="1"/>
    <xf numFmtId="172" fontId="5" fillId="39" borderId="83" xfId="1" applyNumberFormat="1" applyFont="1" applyFill="1" applyBorder="1" applyProtection="1"/>
    <xf numFmtId="172" fontId="6" fillId="38" borderId="86" xfId="1" applyNumberFormat="1" applyFont="1" applyFill="1" applyBorder="1" applyProtection="1"/>
    <xf numFmtId="172" fontId="5" fillId="39" borderId="87"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88"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2" xfId="77" applyNumberFormat="1" applyFont="1" applyFill="1" applyBorder="1" applyAlignment="1" applyProtection="1">
      <alignment horizontal="center"/>
    </xf>
    <xf numFmtId="0" fontId="27" fillId="47" borderId="89" xfId="75" applyFont="1" applyFill="1" applyBorder="1" applyAlignment="1" applyProtection="1"/>
    <xf numFmtId="0" fontId="25" fillId="47" borderId="22" xfId="90" applyFont="1" applyFill="1" applyBorder="1" applyAlignment="1">
      <alignment horizontal="left"/>
    </xf>
    <xf numFmtId="0" fontId="26" fillId="47" borderId="22" xfId="75" applyFont="1" applyFill="1" applyBorder="1" applyAlignment="1" applyProtection="1"/>
    <xf numFmtId="0" fontId="27" fillId="47" borderId="22" xfId="75" applyFont="1" applyFill="1" applyBorder="1" applyAlignment="1" applyProtection="1"/>
    <xf numFmtId="0" fontId="25" fillId="47" borderId="89" xfId="90" applyFont="1" applyFill="1" applyBorder="1" applyAlignment="1">
      <alignment horizontal="left"/>
    </xf>
    <xf numFmtId="0" fontId="27" fillId="47" borderId="91"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89"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2"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2" xfId="0" applyFill="1" applyBorder="1"/>
    <xf numFmtId="0" fontId="0" fillId="47" borderId="22" xfId="0" applyFill="1" applyBorder="1" applyAlignment="1">
      <alignment horizontal="center" vertical="center"/>
    </xf>
    <xf numFmtId="0" fontId="25" fillId="47" borderId="89" xfId="90" applyFont="1" applyFill="1" applyBorder="1" applyAlignment="1">
      <alignment horizontal="center" vertical="center"/>
    </xf>
    <xf numFmtId="0" fontId="25" fillId="47" borderId="22" xfId="90" applyFont="1" applyFill="1" applyBorder="1" applyAlignment="1">
      <alignment horizontal="center" vertical="center"/>
    </xf>
    <xf numFmtId="0" fontId="30" fillId="47" borderId="89" xfId="90" applyFont="1" applyFill="1" applyBorder="1" applyAlignment="1">
      <alignment horizontal="left"/>
    </xf>
    <xf numFmtId="0" fontId="30" fillId="47" borderId="89" xfId="90" applyFont="1" applyFill="1" applyBorder="1" applyAlignment="1">
      <alignment horizontal="center" vertical="center"/>
    </xf>
    <xf numFmtId="1" fontId="3" fillId="2" borderId="74"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53" borderId="0" xfId="0" applyFill="1" applyAlignment="1">
      <alignment wrapText="1"/>
    </xf>
    <xf numFmtId="0" fontId="29" fillId="0" borderId="0" xfId="92" applyAlignment="1">
      <alignment horizontal="left" indent="1"/>
    </xf>
    <xf numFmtId="0" fontId="0" fillId="42" borderId="64" xfId="0" applyFill="1" applyBorder="1" applyAlignment="1">
      <alignment horizontal="left" vertical="top" wrapText="1"/>
    </xf>
    <xf numFmtId="0" fontId="0" fillId="42" borderId="67"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68"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0" borderId="90" xfId="0" applyBorder="1"/>
    <xf numFmtId="0" fontId="0" fillId="0" borderId="89" xfId="0" applyBorder="1"/>
    <xf numFmtId="0" fontId="0" fillId="0" borderId="91" xfId="0" applyBorder="1"/>
    <xf numFmtId="348" fontId="242" fillId="0" borderId="0" xfId="0" applyNumberFormat="1" applyFont="1" applyFill="1" applyBorder="1" applyAlignment="1">
      <alignment vertical="center"/>
    </xf>
    <xf numFmtId="10" fontId="0" fillId="0" borderId="61" xfId="0" applyNumberFormat="1" applyBorder="1"/>
    <xf numFmtId="10" fontId="0" fillId="0" borderId="62" xfId="0" applyNumberFormat="1" applyBorder="1"/>
    <xf numFmtId="10" fontId="0" fillId="0" borderId="67" xfId="0" applyNumberFormat="1" applyBorder="1"/>
    <xf numFmtId="0" fontId="0" fillId="0" borderId="60" xfId="0" applyBorder="1" applyAlignment="1">
      <alignment horizontal="left" indent="1"/>
    </xf>
    <xf numFmtId="0" fontId="0" fillId="0" borderId="63" xfId="0" applyBorder="1" applyAlignment="1">
      <alignment horizontal="left" indent="1"/>
    </xf>
    <xf numFmtId="0" fontId="0" fillId="0" borderId="66" xfId="0" applyBorder="1" applyAlignment="1">
      <alignment horizontal="left" indent="1"/>
    </xf>
    <xf numFmtId="0" fontId="0" fillId="0" borderId="0" xfId="0" applyBorder="1" applyAlignment="1">
      <alignment horizontal="left" indent="1"/>
    </xf>
    <xf numFmtId="170" fontId="0" fillId="0" borderId="60" xfId="77" applyNumberFormat="1" applyFont="1" applyBorder="1"/>
    <xf numFmtId="170" fontId="0" fillId="0" borderId="63" xfId="77" applyNumberFormat="1" applyFont="1" applyBorder="1" applyAlignment="1">
      <alignment horizontal="center"/>
    </xf>
    <xf numFmtId="10" fontId="0" fillId="0" borderId="64" xfId="77" applyNumberFormat="1" applyFont="1" applyBorder="1" applyAlignment="1">
      <alignment horizontal="center"/>
    </xf>
    <xf numFmtId="170" fontId="0" fillId="0" borderId="64" xfId="77" applyNumberFormat="1" applyFont="1" applyBorder="1" applyAlignment="1">
      <alignment horizontal="center"/>
    </xf>
    <xf numFmtId="170" fontId="0" fillId="0" borderId="66" xfId="77" applyNumberFormat="1" applyFont="1" applyBorder="1" applyAlignment="1">
      <alignment horizontal="center"/>
    </xf>
    <xf numFmtId="10" fontId="0" fillId="0" borderId="67" xfId="77" applyNumberFormat="1" applyFont="1" applyBorder="1" applyAlignment="1">
      <alignment horizontal="center"/>
    </xf>
    <xf numFmtId="170" fontId="0" fillId="0" borderId="67" xfId="77" applyNumberFormat="1" applyFont="1" applyBorder="1" applyAlignment="1">
      <alignment horizontal="center"/>
    </xf>
    <xf numFmtId="1" fontId="3" fillId="2" borderId="62" xfId="0" applyNumberFormat="1" applyFont="1" applyFill="1" applyBorder="1" applyAlignment="1">
      <alignment horizontal="center" vertical="center"/>
    </xf>
    <xf numFmtId="0" fontId="0" fillId="0" borderId="11" xfId="0" applyBorder="1" applyAlignment="1">
      <alignment horizontal="left" indent="1"/>
    </xf>
    <xf numFmtId="0" fontId="3" fillId="0" borderId="11" xfId="0" applyFont="1" applyBorder="1" applyAlignment="1">
      <alignment horizontal="left" indent="1"/>
    </xf>
    <xf numFmtId="10" fontId="0" fillId="0" borderId="66"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7" xfId="0" applyBorder="1" applyAlignment="1">
      <alignment horizontal="center"/>
    </xf>
    <xf numFmtId="0" fontId="0" fillId="0" borderId="68" xfId="0" applyBorder="1" applyAlignment="1">
      <alignment horizontal="center"/>
    </xf>
    <xf numFmtId="0" fontId="243" fillId="0" borderId="62" xfId="0" applyFont="1" applyBorder="1" applyAlignment="1">
      <alignment horizontal="center"/>
    </xf>
    <xf numFmtId="0" fontId="243" fillId="0" borderId="65" xfId="0" applyFont="1" applyBorder="1" applyAlignment="1">
      <alignment horizontal="center"/>
    </xf>
    <xf numFmtId="0" fontId="243" fillId="0" borderId="68" xfId="0" applyFont="1" applyBorder="1" applyAlignment="1">
      <alignment horizontal="center"/>
    </xf>
    <xf numFmtId="0" fontId="21" fillId="0" borderId="0" xfId="0" applyFont="1" applyAlignment="1">
      <alignment horizontal="center"/>
    </xf>
    <xf numFmtId="0" fontId="0" fillId="0" borderId="78" xfId="0" applyBorder="1" applyAlignment="1">
      <alignment horizontal="left" vertical="center" indent="1"/>
    </xf>
    <xf numFmtId="0" fontId="0" fillId="42" borderId="63" xfId="0" applyFill="1" applyBorder="1" applyAlignment="1">
      <alignment horizontal="left" vertical="center" wrapText="1" indent="1"/>
    </xf>
    <xf numFmtId="0" fontId="29" fillId="42" borderId="63" xfId="92" applyFill="1" applyBorder="1" applyAlignment="1">
      <alignment horizontal="left" vertical="center" wrapText="1" indent="1"/>
    </xf>
    <xf numFmtId="0" fontId="29" fillId="42" borderId="66"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4" xfId="0" applyBorder="1" applyAlignment="1">
      <alignment horizontal="center"/>
    </xf>
    <xf numFmtId="0" fontId="0" fillId="0" borderId="65" xfId="0" applyBorder="1" applyAlignment="1">
      <alignment horizontal="center"/>
    </xf>
    <xf numFmtId="1" fontId="0" fillId="0" borderId="12" xfId="0" applyNumberFormat="1" applyBorder="1" applyAlignment="1">
      <alignment horizontal="center"/>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3" xfId="1" applyNumberFormat="1" applyFont="1" applyFill="1" applyBorder="1" applyProtection="1"/>
    <xf numFmtId="172" fontId="5" fillId="38" borderId="99" xfId="1" applyNumberFormat="1" applyFont="1" applyFill="1" applyBorder="1" applyProtection="1"/>
    <xf numFmtId="172" fontId="5" fillId="38" borderId="101" xfId="1" applyNumberFormat="1" applyFont="1" applyFill="1" applyBorder="1" applyProtection="1"/>
    <xf numFmtId="172" fontId="6" fillId="38" borderId="99" xfId="1" applyNumberFormat="1" applyFont="1" applyFill="1" applyBorder="1" applyProtection="1"/>
    <xf numFmtId="14" fontId="5" fillId="42" borderId="0" xfId="2" applyNumberFormat="1" applyFont="1" applyFill="1" applyBorder="1" applyAlignment="1">
      <alignment horizontal="center" vertical="center"/>
    </xf>
    <xf numFmtId="0" fontId="0" fillId="0" borderId="22" xfId="0" applyFill="1" applyBorder="1"/>
    <xf numFmtId="0" fontId="0" fillId="0" borderId="0" xfId="0" applyFill="1" applyBorder="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1" xfId="75" applyNumberFormat="1" applyFont="1" applyFill="1" applyBorder="1" applyAlignment="1" applyProtection="1">
      <alignment horizontal="center"/>
    </xf>
    <xf numFmtId="173" fontId="5" fillId="36" borderId="64" xfId="75" applyNumberFormat="1" applyFont="1" applyFill="1" applyBorder="1" applyAlignment="1" applyProtection="1">
      <alignment horizontal="center"/>
    </xf>
    <xf numFmtId="173" fontId="5" fillId="116" borderId="67" xfId="7" applyNumberFormat="1" applyFont="1" applyFill="1" applyBorder="1" applyAlignment="1">
      <alignment horizontal="center"/>
    </xf>
    <xf numFmtId="173" fontId="5" fillId="116" borderId="64" xfId="7" applyNumberFormat="1" applyFont="1" applyFill="1" applyBorder="1" applyAlignment="1">
      <alignment horizontal="center"/>
    </xf>
    <xf numFmtId="172" fontId="0" fillId="51" borderId="73" xfId="1" applyNumberFormat="1" applyFont="1" applyFill="1" applyBorder="1" applyAlignment="1">
      <alignment horizontal="right" vertical="top"/>
    </xf>
    <xf numFmtId="172" fontId="0" fillId="51" borderId="74" xfId="1" applyNumberFormat="1" applyFont="1" applyFill="1" applyBorder="1" applyAlignment="1">
      <alignment horizontal="right" vertical="top"/>
    </xf>
    <xf numFmtId="173" fontId="0" fillId="0" borderId="69" xfId="0" applyNumberFormat="1" applyFont="1" applyFill="1" applyBorder="1" applyAlignment="1">
      <alignment horizontal="right"/>
    </xf>
    <xf numFmtId="173" fontId="0" fillId="0" borderId="70" xfId="0" applyNumberFormat="1" applyFont="1" applyFill="1" applyBorder="1" applyAlignment="1">
      <alignment horizontal="right"/>
    </xf>
    <xf numFmtId="0" fontId="0" fillId="0" borderId="72" xfId="0" applyFont="1" applyBorder="1" applyAlignment="1">
      <alignment horizontal="center" vertical="top"/>
    </xf>
    <xf numFmtId="0" fontId="0" fillId="0" borderId="73" xfId="0" applyFont="1" applyBorder="1" applyAlignment="1">
      <alignment horizontal="center" vertical="top"/>
    </xf>
    <xf numFmtId="0" fontId="0" fillId="0" borderId="74"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89" xfId="90" applyFont="1" applyFill="1" applyBorder="1" applyAlignment="1">
      <alignment horizontal="center"/>
    </xf>
    <xf numFmtId="0" fontId="0" fillId="0" borderId="0" xfId="0" applyFill="1" applyBorder="1" applyAlignment="1">
      <alignment horizontal="left" indent="1"/>
    </xf>
    <xf numFmtId="10" fontId="0" fillId="3" borderId="63" xfId="0" applyNumberFormat="1" applyFill="1" applyBorder="1"/>
    <xf numFmtId="10" fontId="0" fillId="3" borderId="64" xfId="0" applyNumberFormat="1" applyFill="1" applyBorder="1"/>
    <xf numFmtId="10" fontId="0" fillId="3" borderId="65" xfId="0" applyNumberFormat="1" applyFill="1" applyBorder="1"/>
    <xf numFmtId="10" fontId="5" fillId="52" borderId="72" xfId="2" applyNumberFormat="1" applyFont="1" applyFill="1" applyBorder="1"/>
    <xf numFmtId="10" fontId="5" fillId="52" borderId="73" xfId="2" applyNumberFormat="1" applyFont="1" applyFill="1" applyBorder="1"/>
    <xf numFmtId="10" fontId="5" fillId="52" borderId="74" xfId="2" applyNumberFormat="1" applyFont="1" applyFill="1" applyBorder="1"/>
    <xf numFmtId="10" fontId="0" fillId="51" borderId="60" xfId="0" applyNumberFormat="1" applyFill="1" applyBorder="1" applyAlignment="1">
      <alignment horizontal="right" vertical="top"/>
    </xf>
    <xf numFmtId="10" fontId="0" fillId="51" borderId="61" xfId="0" applyNumberFormat="1" applyFill="1" applyBorder="1" applyAlignment="1">
      <alignment horizontal="right" vertical="top"/>
    </xf>
    <xf numFmtId="10" fontId="0" fillId="51" borderId="62" xfId="0" applyNumberFormat="1" applyFill="1" applyBorder="1" applyAlignment="1">
      <alignment horizontal="right" vertical="top"/>
    </xf>
    <xf numFmtId="170" fontId="0" fillId="51" borderId="63" xfId="0" applyNumberFormat="1" applyFill="1" applyBorder="1" applyAlignment="1">
      <alignment horizontal="right" vertical="top"/>
    </xf>
    <xf numFmtId="170" fontId="0" fillId="51" borderId="64" xfId="0" applyNumberFormat="1" applyFill="1" applyBorder="1" applyAlignment="1">
      <alignment horizontal="right" vertical="top"/>
    </xf>
    <xf numFmtId="170" fontId="0" fillId="51" borderId="65" xfId="0" applyNumberFormat="1" applyFill="1" applyBorder="1" applyAlignment="1">
      <alignment horizontal="right" vertical="top"/>
    </xf>
    <xf numFmtId="17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0" fontId="0" fillId="0" borderId="69" xfId="0" applyBorder="1" applyAlignment="1">
      <alignment horizontal="left" indent="1"/>
    </xf>
    <xf numFmtId="10" fontId="0" fillId="0" borderId="70" xfId="0" applyNumberFormat="1" applyBorder="1"/>
    <xf numFmtId="10" fontId="0" fillId="0" borderId="71" xfId="0" applyNumberFormat="1" applyBorder="1"/>
    <xf numFmtId="0" fontId="0" fillId="53" borderId="0" xfId="0" applyFill="1" applyBorder="1"/>
    <xf numFmtId="0" fontId="0" fillId="0" borderId="80" xfId="0" applyBorder="1"/>
    <xf numFmtId="1" fontId="3" fillId="53" borderId="72" xfId="0" applyNumberFormat="1" applyFont="1" applyFill="1" applyBorder="1" applyAlignment="1">
      <alignment horizontal="center" vertical="center"/>
    </xf>
    <xf numFmtId="1" fontId="3" fillId="53" borderId="73" xfId="0" applyNumberFormat="1" applyFont="1" applyFill="1" applyBorder="1" applyAlignment="1">
      <alignment horizontal="center" vertical="center"/>
    </xf>
    <xf numFmtId="1" fontId="3" fillId="53" borderId="74"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10" fontId="0" fillId="0" borderId="64" xfId="0" applyNumberFormat="1" applyFill="1" applyBorder="1"/>
    <xf numFmtId="10" fontId="0" fillId="0" borderId="67" xfId="0" applyNumberFormat="1" applyFill="1" applyBorder="1"/>
    <xf numFmtId="10" fontId="0" fillId="0" borderId="63" xfId="0" applyNumberFormat="1" applyFill="1" applyBorder="1"/>
    <xf numFmtId="10" fontId="0" fillId="0" borderId="66" xfId="0" applyNumberFormat="1" applyFill="1" applyBorder="1"/>
    <xf numFmtId="10" fontId="0" fillId="0" borderId="65" xfId="0" applyNumberFormat="1" applyFill="1" applyBorder="1"/>
    <xf numFmtId="10" fontId="0" fillId="3" borderId="61" xfId="0" applyNumberFormat="1" applyFill="1" applyBorder="1"/>
    <xf numFmtId="10" fontId="0" fillId="3" borderId="62" xfId="0" applyNumberFormat="1" applyFill="1" applyBorder="1"/>
    <xf numFmtId="0" fontId="0" fillId="0" borderId="79" xfId="0" applyBorder="1" applyAlignment="1">
      <alignment horizontal="left" indent="1"/>
    </xf>
    <xf numFmtId="0" fontId="0" fillId="0" borderId="80"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01" xfId="89" applyNumberFormat="1" applyFont="1" applyFill="1" applyBorder="1" applyAlignment="1">
      <alignment horizontal="left" indent="1"/>
    </xf>
    <xf numFmtId="3" fontId="5" fillId="0" borderId="99" xfId="89" applyNumberFormat="1" applyFont="1" applyFill="1" applyBorder="1" applyAlignment="1">
      <alignment horizontal="left" indent="1"/>
    </xf>
    <xf numFmtId="173" fontId="0" fillId="0" borderId="61" xfId="0" applyNumberFormat="1" applyFill="1" applyBorder="1" applyAlignment="1">
      <alignment horizontal="right" indent="1"/>
    </xf>
    <xf numFmtId="173" fontId="0" fillId="0" borderId="62" xfId="0" applyNumberFormat="1" applyFill="1" applyBorder="1" applyAlignment="1">
      <alignment horizontal="right" indent="1"/>
    </xf>
    <xf numFmtId="173" fontId="0" fillId="0" borderId="64" xfId="0" applyNumberFormat="1" applyFill="1" applyBorder="1" applyAlignment="1">
      <alignment horizontal="right" indent="1"/>
    </xf>
    <xf numFmtId="173" fontId="0" fillId="0" borderId="65" xfId="0" applyNumberFormat="1" applyFill="1" applyBorder="1" applyAlignment="1">
      <alignment horizontal="right" indent="1"/>
    </xf>
    <xf numFmtId="173" fontId="0" fillId="0" borderId="63"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7"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165" fontId="5" fillId="3" borderId="60" xfId="2" applyNumberFormat="1" applyFont="1" applyFill="1" applyBorder="1" applyAlignment="1">
      <alignment vertical="center"/>
    </xf>
    <xf numFmtId="9" fontId="5" fillId="52" borderId="66" xfId="75" applyNumberFormat="1" applyFont="1" applyFill="1" applyBorder="1" applyAlignment="1" applyProtection="1">
      <alignment vertical="top"/>
    </xf>
    <xf numFmtId="9" fontId="5" fillId="52" borderId="67" xfId="75" applyNumberFormat="1" applyFont="1" applyFill="1" applyBorder="1" applyAlignment="1" applyProtection="1">
      <alignment vertical="top"/>
    </xf>
    <xf numFmtId="9" fontId="5" fillId="52" borderId="68" xfId="75" applyNumberFormat="1" applyFont="1" applyFill="1" applyBorder="1" applyAlignment="1" applyProtection="1">
      <alignment vertical="top"/>
    </xf>
    <xf numFmtId="178" fontId="5" fillId="0" borderId="64" xfId="7" applyNumberFormat="1" applyFont="1" applyBorder="1" applyAlignment="1">
      <alignment horizontal="center"/>
    </xf>
    <xf numFmtId="178" fontId="0" fillId="0" borderId="64" xfId="0" applyNumberFormat="1" applyBorder="1" applyAlignment="1">
      <alignment horizontal="center"/>
    </xf>
    <xf numFmtId="178" fontId="0" fillId="0" borderId="65" xfId="0" applyNumberFormat="1" applyBorder="1" applyAlignment="1">
      <alignment horizontal="center"/>
    </xf>
    <xf numFmtId="178" fontId="5" fillId="0" borderId="64" xfId="7" applyNumberFormat="1" applyFont="1" applyFill="1" applyBorder="1" applyAlignment="1">
      <alignment horizontal="center" vertical="center"/>
    </xf>
    <xf numFmtId="178" fontId="5" fillId="0" borderId="67" xfId="7" applyNumberFormat="1" applyFont="1" applyFill="1" applyBorder="1" applyAlignment="1">
      <alignment horizontal="center" vertical="center"/>
    </xf>
    <xf numFmtId="0" fontId="5" fillId="0" borderId="60" xfId="7" applyFont="1" applyFill="1" applyBorder="1" applyAlignment="1">
      <alignment horizontal="left" vertical="center" wrapText="1" indent="1"/>
    </xf>
    <xf numFmtId="0" fontId="5" fillId="0" borderId="66" xfId="7" applyFont="1" applyFill="1" applyBorder="1" applyAlignment="1">
      <alignment horizontal="left" vertical="center" wrapText="1" indent="1"/>
    </xf>
    <xf numFmtId="173" fontId="5" fillId="3" borderId="61" xfId="7" applyNumberFormat="1" applyFont="1" applyFill="1" applyBorder="1" applyAlignment="1">
      <alignment horizontal="center"/>
    </xf>
    <xf numFmtId="173" fontId="5" fillId="3" borderId="64" xfId="7" applyNumberFormat="1" applyFont="1" applyFill="1" applyBorder="1" applyAlignment="1">
      <alignment horizontal="center"/>
    </xf>
    <xf numFmtId="173" fontId="5" fillId="52" borderId="64" xfId="7" applyNumberFormat="1" applyFont="1" applyFill="1" applyBorder="1" applyAlignment="1">
      <alignment horizontal="center"/>
    </xf>
    <xf numFmtId="2" fontId="5" fillId="0" borderId="63" xfId="7" applyNumberFormat="1" applyFont="1" applyFill="1" applyBorder="1" applyAlignment="1">
      <alignment horizontal="center"/>
    </xf>
    <xf numFmtId="1" fontId="5" fillId="0" borderId="64" xfId="7" applyNumberFormat="1" applyFont="1" applyFill="1" applyBorder="1" applyAlignment="1">
      <alignment horizontal="center"/>
    </xf>
    <xf numFmtId="2" fontId="5" fillId="0" borderId="66" xfId="7" applyNumberFormat="1" applyFont="1" applyFill="1" applyBorder="1" applyAlignment="1">
      <alignment horizontal="center"/>
    </xf>
    <xf numFmtId="1" fontId="5" fillId="0" borderId="67" xfId="7" applyNumberFormat="1" applyFont="1" applyFill="1" applyBorder="1" applyAlignment="1">
      <alignment horizontal="center"/>
    </xf>
    <xf numFmtId="178" fontId="0" fillId="51" borderId="72" xfId="1" applyNumberFormat="1" applyFont="1" applyFill="1" applyBorder="1" applyAlignment="1">
      <alignment horizontal="right"/>
    </xf>
    <xf numFmtId="0" fontId="0" fillId="0" borderId="0" xfId="0" applyFont="1" applyAlignment="1">
      <alignment horizontal="left" vertical="top" indent="1"/>
    </xf>
    <xf numFmtId="170" fontId="5" fillId="38" borderId="60" xfId="77" applyNumberFormat="1" applyFont="1" applyFill="1" applyBorder="1" applyProtection="1"/>
    <xf numFmtId="170" fontId="5" fillId="38" borderId="62" xfId="77" applyNumberFormat="1" applyFont="1" applyFill="1" applyBorder="1" applyProtection="1"/>
    <xf numFmtId="170" fontId="5" fillId="38" borderId="61"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2" xfId="2" applyNumberFormat="1" applyFont="1" applyFill="1" applyBorder="1" applyAlignment="1">
      <alignment horizontal="center"/>
    </xf>
    <xf numFmtId="347" fontId="5" fillId="54" borderId="73" xfId="2" applyNumberFormat="1" applyFont="1" applyFill="1" applyBorder="1" applyAlignment="1">
      <alignment horizontal="center"/>
    </xf>
    <xf numFmtId="347" fontId="5" fillId="54" borderId="74" xfId="2" applyNumberFormat="1" applyFont="1" applyFill="1" applyBorder="1" applyAlignment="1">
      <alignment horizontal="center"/>
    </xf>
    <xf numFmtId="164" fontId="0" fillId="0" borderId="0" xfId="1" applyFont="1"/>
    <xf numFmtId="172" fontId="5" fillId="38" borderId="69" xfId="1" applyNumberFormat="1" applyFont="1" applyFill="1" applyBorder="1" applyProtection="1"/>
    <xf numFmtId="172" fontId="5" fillId="38" borderId="70" xfId="1" applyNumberFormat="1" applyFont="1" applyFill="1" applyBorder="1" applyProtection="1"/>
    <xf numFmtId="172" fontId="5" fillId="38" borderId="71"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1" fontId="0" fillId="0" borderId="72" xfId="0" applyNumberFormat="1" applyFont="1" applyFill="1" applyBorder="1" applyAlignment="1">
      <alignment horizontal="right" vertical="top"/>
    </xf>
    <xf numFmtId="1" fontId="0" fillId="0" borderId="73" xfId="0" applyNumberFormat="1" applyFont="1" applyFill="1" applyBorder="1" applyAlignment="1">
      <alignment horizontal="right" vertical="top"/>
    </xf>
    <xf numFmtId="1" fontId="0" fillId="0" borderId="74"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245" fillId="0" borderId="73" xfId="7" applyFont="1" applyFill="1" applyBorder="1" applyAlignment="1">
      <alignment horizontal="center" vertical="center" wrapText="1"/>
    </xf>
    <xf numFmtId="0" fontId="245" fillId="0" borderId="74" xfId="7" applyFont="1" applyFill="1" applyBorder="1" applyAlignment="1">
      <alignment horizontal="center" vertical="center" wrapText="1"/>
    </xf>
    <xf numFmtId="0" fontId="0" fillId="118" borderId="11" xfId="0" applyFill="1" applyBorder="1"/>
    <xf numFmtId="0" fontId="0" fillId="118" borderId="0" xfId="0" applyFill="1" applyBorder="1"/>
    <xf numFmtId="0" fontId="0" fillId="118" borderId="12" xfId="0" applyFill="1" applyBorder="1"/>
    <xf numFmtId="0" fontId="0" fillId="118" borderId="89" xfId="0" applyFill="1" applyBorder="1"/>
    <xf numFmtId="0" fontId="0" fillId="118" borderId="91" xfId="0" applyFill="1" applyBorder="1"/>
    <xf numFmtId="173" fontId="0" fillId="118" borderId="60" xfId="0" applyNumberFormat="1" applyFill="1" applyBorder="1" applyAlignment="1">
      <alignment horizontal="right" indent="1"/>
    </xf>
    <xf numFmtId="173" fontId="0" fillId="118" borderId="61" xfId="0" applyNumberFormat="1" applyFill="1" applyBorder="1" applyAlignment="1">
      <alignment horizontal="right" indent="1"/>
    </xf>
    <xf numFmtId="173" fontId="0" fillId="118" borderId="63" xfId="0" applyNumberFormat="1" applyFill="1" applyBorder="1" applyAlignment="1">
      <alignment horizontal="right" indent="1"/>
    </xf>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0" fontId="0" fillId="118" borderId="22" xfId="0" applyFill="1" applyBorder="1"/>
    <xf numFmtId="0" fontId="0" fillId="118" borderId="102" xfId="0" applyFill="1" applyBorder="1"/>
    <xf numFmtId="0" fontId="0" fillId="118" borderId="96" xfId="0" applyFill="1" applyBorder="1"/>
    <xf numFmtId="173" fontId="5" fillId="118" borderId="72" xfId="7" applyNumberFormat="1" applyFont="1" applyFill="1" applyBorder="1" applyAlignment="1">
      <alignment horizontal="center"/>
    </xf>
    <xf numFmtId="173" fontId="5" fillId="118" borderId="73" xfId="7" applyNumberFormat="1" applyFont="1" applyFill="1" applyBorder="1" applyAlignment="1">
      <alignment horizontal="center"/>
    </xf>
    <xf numFmtId="0" fontId="0" fillId="54" borderId="105" xfId="0" applyFill="1" applyBorder="1" applyAlignment="1">
      <alignment horizontal="right" vertical="top"/>
    </xf>
    <xf numFmtId="0" fontId="5" fillId="3" borderId="79" xfId="2" applyNumberFormat="1" applyFont="1" applyFill="1" applyBorder="1" applyAlignment="1">
      <alignment horizontal="left" vertical="top"/>
    </xf>
    <xf numFmtId="0" fontId="5" fillId="3" borderId="80" xfId="2" applyNumberFormat="1" applyFont="1" applyFill="1" applyBorder="1" applyAlignment="1">
      <alignment horizontal="left" vertical="top"/>
    </xf>
    <xf numFmtId="0" fontId="5" fillId="3" borderId="81" xfId="2" applyNumberFormat="1" applyFont="1" applyFill="1" applyBorder="1" applyAlignment="1">
      <alignment horizontal="left" vertical="top"/>
    </xf>
    <xf numFmtId="172" fontId="5" fillId="38" borderId="79" xfId="1" applyNumberFormat="1" applyFont="1" applyFill="1" applyBorder="1" applyProtection="1"/>
    <xf numFmtId="172" fontId="5" fillId="38" borderId="81" xfId="1" applyNumberFormat="1" applyFont="1" applyFill="1" applyBorder="1" applyProtection="1"/>
    <xf numFmtId="172" fontId="5" fillId="38" borderId="105" xfId="1" applyNumberFormat="1" applyFont="1" applyFill="1" applyBorder="1" applyProtection="1"/>
    <xf numFmtId="172" fontId="5" fillId="38" borderId="106" xfId="1" applyNumberFormat="1" applyFont="1" applyFill="1" applyBorder="1" applyProtection="1"/>
    <xf numFmtId="172" fontId="5" fillId="38" borderId="90" xfId="1" applyNumberFormat="1" applyFont="1" applyFill="1" applyBorder="1" applyProtection="1"/>
    <xf numFmtId="172" fontId="5" fillId="38" borderId="108" xfId="1" applyNumberFormat="1" applyFont="1" applyFill="1" applyBorder="1" applyProtection="1"/>
    <xf numFmtId="172" fontId="5" fillId="3" borderId="60" xfId="2" applyNumberFormat="1" applyFont="1" applyFill="1" applyBorder="1"/>
    <xf numFmtId="172" fontId="5" fillId="3" borderId="61" xfId="2" applyNumberFormat="1" applyFont="1" applyFill="1" applyBorder="1"/>
    <xf numFmtId="172" fontId="5" fillId="52" borderId="60" xfId="2" applyNumberFormat="1" applyFont="1" applyFill="1" applyBorder="1"/>
    <xf numFmtId="172" fontId="5" fillId="52" borderId="62" xfId="2" applyNumberFormat="1" applyFont="1" applyFill="1" applyBorder="1"/>
    <xf numFmtId="172" fontId="5" fillId="3" borderId="63" xfId="2" applyNumberFormat="1" applyFont="1" applyFill="1" applyBorder="1"/>
    <xf numFmtId="172" fontId="5" fillId="3" borderId="64" xfId="2" applyNumberFormat="1" applyFont="1" applyFill="1" applyBorder="1"/>
    <xf numFmtId="172" fontId="5" fillId="52" borderId="63" xfId="2" applyNumberFormat="1" applyFont="1" applyFill="1" applyBorder="1"/>
    <xf numFmtId="172" fontId="5" fillId="52" borderId="65" xfId="2" applyNumberFormat="1" applyFont="1" applyFill="1" applyBorder="1"/>
    <xf numFmtId="172" fontId="5" fillId="3" borderId="69" xfId="2" applyNumberFormat="1" applyFont="1" applyFill="1" applyBorder="1"/>
    <xf numFmtId="172" fontId="5" fillId="3" borderId="70" xfId="2" applyNumberFormat="1" applyFont="1" applyFill="1" applyBorder="1"/>
    <xf numFmtId="172" fontId="5" fillId="52" borderId="69" xfId="2" applyNumberFormat="1" applyFont="1" applyFill="1" applyBorder="1"/>
    <xf numFmtId="172" fontId="5" fillId="52" borderId="71" xfId="2" applyNumberFormat="1" applyFont="1" applyFill="1" applyBorder="1"/>
    <xf numFmtId="172" fontId="0" fillId="3" borderId="60" xfId="0" applyNumberFormat="1" applyFill="1" applyBorder="1" applyAlignment="1">
      <alignment horizontal="right" vertical="top"/>
    </xf>
    <xf numFmtId="172" fontId="0" fillId="3" borderId="61" xfId="0" applyNumberFormat="1" applyFill="1" applyBorder="1" applyAlignment="1">
      <alignment horizontal="right" vertical="top"/>
    </xf>
    <xf numFmtId="172" fontId="0" fillId="3" borderId="63" xfId="0" applyNumberFormat="1" applyFill="1" applyBorder="1" applyAlignment="1">
      <alignment horizontal="right" vertical="top"/>
    </xf>
    <xf numFmtId="172" fontId="0" fillId="3" borderId="64" xfId="0" applyNumberFormat="1" applyFill="1" applyBorder="1" applyAlignment="1">
      <alignment horizontal="right" vertical="top"/>
    </xf>
    <xf numFmtId="172" fontId="0" fillId="51" borderId="63" xfId="0" applyNumberFormat="1" applyFont="1" applyFill="1" applyBorder="1" applyAlignment="1">
      <alignment horizontal="right"/>
    </xf>
    <xf numFmtId="172" fontId="5" fillId="51" borderId="64" xfId="75" applyNumberFormat="1" applyFont="1" applyFill="1" applyBorder="1" applyAlignment="1" applyProtection="1">
      <alignment horizontal="right"/>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72" fontId="3" fillId="52" borderId="72" xfId="0" applyNumberFormat="1" applyFont="1" applyFill="1" applyBorder="1" applyAlignment="1">
      <alignment horizontal="right"/>
    </xf>
    <xf numFmtId="172" fontId="3" fillId="52" borderId="73" xfId="0" applyNumberFormat="1" applyFont="1" applyFill="1" applyBorder="1" applyAlignment="1">
      <alignment horizontal="right"/>
    </xf>
    <xf numFmtId="172" fontId="3" fillId="52" borderId="74" xfId="0" applyNumberFormat="1" applyFont="1" applyFill="1" applyBorder="1" applyAlignment="1">
      <alignment horizontal="right"/>
    </xf>
    <xf numFmtId="172" fontId="0" fillId="3" borderId="62"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3" fillId="52" borderId="72" xfId="0" applyNumberFormat="1" applyFont="1" applyFill="1" applyBorder="1" applyAlignment="1">
      <alignment horizontal="right" vertical="top"/>
    </xf>
    <xf numFmtId="172" fontId="3" fillId="52" borderId="73" xfId="0" applyNumberFormat="1" applyFont="1" applyFill="1" applyBorder="1" applyAlignment="1">
      <alignment horizontal="right" vertical="top"/>
    </xf>
    <xf numFmtId="172" fontId="3" fillId="52" borderId="74" xfId="0" applyNumberFormat="1" applyFont="1" applyFill="1" applyBorder="1" applyAlignment="1">
      <alignment horizontal="right" vertical="top"/>
    </xf>
    <xf numFmtId="172" fontId="0" fillId="3" borderId="60" xfId="0" applyNumberFormat="1" applyFont="1" applyFill="1" applyBorder="1" applyAlignment="1">
      <alignment horizontal="right" vertical="top"/>
    </xf>
    <xf numFmtId="172" fontId="0" fillId="3" borderId="62"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8" xfId="0" applyNumberFormat="1" applyFont="1" applyFill="1" applyBorder="1" applyAlignment="1">
      <alignment horizontal="right"/>
    </xf>
    <xf numFmtId="172" fontId="0" fillId="52" borderId="72" xfId="0" applyNumberFormat="1" applyFont="1" applyFill="1" applyBorder="1" applyAlignment="1">
      <alignment horizontal="right"/>
    </xf>
    <xf numFmtId="172" fontId="0" fillId="52" borderId="73" xfId="0" applyNumberFormat="1" applyFont="1" applyFill="1" applyBorder="1" applyAlignment="1">
      <alignment horizontal="right"/>
    </xf>
    <xf numFmtId="172" fontId="0" fillId="52" borderId="74" xfId="0" applyNumberFormat="1" applyFont="1" applyFill="1" applyBorder="1" applyAlignment="1">
      <alignment horizontal="right"/>
    </xf>
    <xf numFmtId="172" fontId="0" fillId="3" borderId="72" xfId="0" applyNumberFormat="1" applyFont="1" applyFill="1" applyBorder="1" applyAlignment="1">
      <alignment horizontal="right"/>
    </xf>
    <xf numFmtId="172" fontId="0" fillId="3" borderId="74" xfId="0" applyNumberFormat="1" applyFont="1" applyFill="1" applyBorder="1" applyAlignment="1">
      <alignment horizontal="right"/>
    </xf>
    <xf numFmtId="172" fontId="0" fillId="52" borderId="60" xfId="0" applyNumberFormat="1" applyFont="1" applyFill="1" applyBorder="1" applyAlignment="1">
      <alignment horizontal="right"/>
    </xf>
    <xf numFmtId="172" fontId="0" fillId="52" borderId="61" xfId="0" applyNumberFormat="1" applyFont="1" applyFill="1" applyBorder="1" applyAlignment="1">
      <alignment horizontal="right"/>
    </xf>
    <xf numFmtId="172" fontId="0" fillId="3" borderId="68" xfId="0" applyNumberFormat="1" applyFill="1" applyBorder="1" applyAlignment="1">
      <alignment horizontal="right" vertical="top"/>
    </xf>
    <xf numFmtId="172" fontId="3" fillId="52" borderId="60" xfId="0" applyNumberFormat="1" applyFont="1" applyFill="1" applyBorder="1" applyAlignment="1">
      <alignment horizontal="right" vertical="top"/>
    </xf>
    <xf numFmtId="172" fontId="3" fillId="52" borderId="61" xfId="0" applyNumberFormat="1" applyFont="1" applyFill="1" applyBorder="1" applyAlignment="1">
      <alignment horizontal="right" vertical="top"/>
    </xf>
    <xf numFmtId="172" fontId="0" fillId="3" borderId="72"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54" borderId="72" xfId="0" applyNumberFormat="1" applyFill="1" applyBorder="1" applyAlignment="1">
      <alignment horizontal="right" vertical="top"/>
    </xf>
    <xf numFmtId="172" fontId="0" fillId="54" borderId="73" xfId="0" applyNumberFormat="1" applyFill="1" applyBorder="1" applyAlignment="1">
      <alignment horizontal="right" vertical="top"/>
    </xf>
    <xf numFmtId="172" fontId="0" fillId="54" borderId="74" xfId="0" applyNumberFormat="1" applyFill="1" applyBorder="1" applyAlignment="1">
      <alignment horizontal="right" vertical="top"/>
    </xf>
    <xf numFmtId="172" fontId="0" fillId="51" borderId="72" xfId="0" quotePrefix="1" applyNumberFormat="1" applyFill="1" applyBorder="1" applyAlignment="1">
      <alignment horizontal="right" vertical="top"/>
    </xf>
    <xf numFmtId="172" fontId="0" fillId="51" borderId="73" xfId="0" quotePrefix="1" applyNumberFormat="1" applyFill="1" applyBorder="1" applyAlignment="1">
      <alignment horizontal="right" vertical="top"/>
    </xf>
    <xf numFmtId="172" fontId="0" fillId="52" borderId="72" xfId="0" applyNumberFormat="1" applyFont="1" applyFill="1" applyBorder="1" applyAlignment="1">
      <alignment horizontal="right" vertical="top"/>
    </xf>
    <xf numFmtId="172" fontId="0" fillId="52" borderId="73" xfId="0" applyNumberFormat="1" applyFont="1" applyFill="1" applyBorder="1" applyAlignment="1">
      <alignment horizontal="right" vertical="top"/>
    </xf>
    <xf numFmtId="172" fontId="0" fillId="52" borderId="74" xfId="0" applyNumberFormat="1" applyFont="1" applyFill="1" applyBorder="1" applyAlignment="1">
      <alignment horizontal="right" vertical="top"/>
    </xf>
    <xf numFmtId="172" fontId="5" fillId="3" borderId="60" xfId="2" applyNumberFormat="1" applyFont="1" applyFill="1" applyBorder="1" applyAlignment="1">
      <alignment vertical="center"/>
    </xf>
    <xf numFmtId="172" fontId="5" fillId="3" borderId="61" xfId="2" applyNumberFormat="1" applyFont="1" applyFill="1" applyBorder="1" applyAlignment="1">
      <alignment vertical="center"/>
    </xf>
    <xf numFmtId="172" fontId="5" fillId="52" borderId="103" xfId="2" applyNumberFormat="1" applyFont="1" applyFill="1" applyBorder="1" applyAlignment="1">
      <alignment vertical="center"/>
    </xf>
    <xf numFmtId="172" fontId="5" fillId="52" borderId="79" xfId="2" applyNumberFormat="1" applyFont="1" applyFill="1" applyBorder="1" applyAlignment="1">
      <alignment vertical="center"/>
    </xf>
    <xf numFmtId="172" fontId="5" fillId="3" borderId="69" xfId="2" applyNumberFormat="1" applyFont="1" applyFill="1" applyBorder="1" applyAlignment="1">
      <alignment vertical="center"/>
    </xf>
    <xf numFmtId="172" fontId="5" fillId="3" borderId="70" xfId="2" applyNumberFormat="1" applyFont="1" applyFill="1" applyBorder="1" applyAlignment="1">
      <alignment vertical="center"/>
    </xf>
    <xf numFmtId="172" fontId="5" fillId="52" borderId="104" xfId="2" applyNumberFormat="1" applyFont="1" applyFill="1" applyBorder="1" applyAlignment="1">
      <alignment vertical="center"/>
    </xf>
    <xf numFmtId="172" fontId="5" fillId="52" borderId="109" xfId="2" applyNumberFormat="1" applyFont="1" applyFill="1" applyBorder="1" applyAlignment="1">
      <alignment vertical="center"/>
    </xf>
    <xf numFmtId="172" fontId="5" fillId="52" borderId="103" xfId="2" applyNumberFormat="1" applyFont="1" applyFill="1" applyBorder="1"/>
    <xf numFmtId="172" fontId="5" fillId="52" borderId="79" xfId="2" applyNumberFormat="1" applyFont="1" applyFill="1" applyBorder="1"/>
    <xf numFmtId="172" fontId="5" fillId="52" borderId="101" xfId="2" applyNumberFormat="1" applyFont="1" applyFill="1" applyBorder="1"/>
    <xf numFmtId="172" fontId="5" fillId="52" borderId="80" xfId="2" applyNumberFormat="1" applyFont="1" applyFill="1" applyBorder="1"/>
    <xf numFmtId="172" fontId="5" fillId="52" borderId="104" xfId="2" applyNumberFormat="1" applyFont="1" applyFill="1" applyBorder="1"/>
    <xf numFmtId="172" fontId="5" fillId="52" borderId="81" xfId="2" applyNumberFormat="1" applyFont="1" applyFill="1" applyBorder="1"/>
    <xf numFmtId="172" fontId="0" fillId="117" borderId="72" xfId="0" applyNumberFormat="1" applyFill="1" applyBorder="1" applyAlignment="1">
      <alignment horizontal="right" vertical="top"/>
    </xf>
    <xf numFmtId="172" fontId="0" fillId="117" borderId="73" xfId="0" applyNumberFormat="1" applyFill="1" applyBorder="1" applyAlignment="1">
      <alignment horizontal="right" vertical="top"/>
    </xf>
    <xf numFmtId="172" fontId="0" fillId="117" borderId="74" xfId="0" applyNumberFormat="1" applyFill="1" applyBorder="1" applyAlignment="1">
      <alignment horizontal="right" vertical="top"/>
    </xf>
    <xf numFmtId="172" fontId="6" fillId="52" borderId="72" xfId="2" applyNumberFormat="1" applyFont="1" applyFill="1" applyBorder="1" applyAlignment="1">
      <alignment vertical="center"/>
    </xf>
    <xf numFmtId="172" fontId="6" fillId="52" borderId="74" xfId="2" applyNumberFormat="1" applyFont="1" applyFill="1" applyBorder="1" applyAlignment="1">
      <alignment vertical="center"/>
    </xf>
    <xf numFmtId="172" fontId="5" fillId="52" borderId="60" xfId="2" applyNumberFormat="1" applyFont="1" applyFill="1" applyBorder="1" applyAlignment="1">
      <alignment vertical="center"/>
    </xf>
    <xf numFmtId="172" fontId="5" fillId="52" borderId="62" xfId="2" applyNumberFormat="1" applyFont="1" applyFill="1" applyBorder="1" applyAlignment="1">
      <alignment vertical="center"/>
    </xf>
    <xf numFmtId="172" fontId="5" fillId="52" borderId="69" xfId="2" applyNumberFormat="1" applyFont="1" applyFill="1" applyBorder="1" applyAlignment="1">
      <alignment vertical="center"/>
    </xf>
    <xf numFmtId="172" fontId="5" fillId="52" borderId="71" xfId="2" applyNumberFormat="1" applyFont="1" applyFill="1" applyBorder="1" applyAlignment="1">
      <alignment vertical="center"/>
    </xf>
    <xf numFmtId="172" fontId="5" fillId="52" borderId="63" xfId="2" applyNumberFormat="1" applyFont="1" applyFill="1" applyBorder="1" applyAlignment="1">
      <alignment vertical="center"/>
    </xf>
    <xf numFmtId="172" fontId="5" fillId="52" borderId="65" xfId="2" applyNumberFormat="1" applyFont="1" applyFill="1" applyBorder="1" applyAlignment="1">
      <alignment vertical="center"/>
    </xf>
    <xf numFmtId="172" fontId="0" fillId="0" borderId="62" xfId="0" applyNumberFormat="1" applyFill="1" applyBorder="1" applyAlignment="1">
      <alignment horizontal="right" vertical="top"/>
    </xf>
    <xf numFmtId="172" fontId="0" fillId="52" borderId="60" xfId="0" applyNumberFormat="1" applyFont="1" applyFill="1" applyBorder="1" applyAlignment="1">
      <alignment horizontal="right" vertical="top"/>
    </xf>
    <xf numFmtId="172" fontId="0" fillId="0" borderId="70" xfId="0" applyNumberFormat="1" applyFont="1" applyFill="1" applyBorder="1" applyAlignment="1">
      <alignment horizontal="right"/>
    </xf>
    <xf numFmtId="172" fontId="0" fillId="0" borderId="71" xfId="0" applyNumberFormat="1" applyFont="1" applyFill="1" applyBorder="1" applyAlignment="1">
      <alignment horizontal="right"/>
    </xf>
    <xf numFmtId="172" fontId="5" fillId="52" borderId="72" xfId="2" applyNumberFormat="1" applyFont="1" applyFill="1" applyBorder="1" applyAlignment="1">
      <alignment horizontal="right" vertical="center"/>
    </xf>
    <xf numFmtId="172" fontId="5" fillId="52" borderId="74" xfId="2" applyNumberFormat="1" applyFont="1" applyFill="1" applyBorder="1" applyAlignment="1">
      <alignment horizontal="right" vertical="center"/>
    </xf>
    <xf numFmtId="172" fontId="0" fillId="51" borderId="66" xfId="1" applyNumberFormat="1" applyFont="1" applyFill="1" applyBorder="1" applyAlignment="1">
      <alignment horizontal="right"/>
    </xf>
    <xf numFmtId="172" fontId="0" fillId="51" borderId="67" xfId="1" applyNumberFormat="1" applyFont="1" applyFill="1" applyBorder="1" applyAlignment="1"/>
    <xf numFmtId="172" fontId="6" fillId="52" borderId="72" xfId="2" applyNumberFormat="1" applyFont="1" applyFill="1" applyBorder="1" applyAlignment="1">
      <alignment horizontal="right" vertical="center"/>
    </xf>
    <xf numFmtId="172" fontId="6" fillId="52" borderId="74" xfId="2" applyNumberFormat="1" applyFont="1" applyFill="1" applyBorder="1" applyAlignment="1">
      <alignment horizontal="right" vertical="center"/>
    </xf>
    <xf numFmtId="172" fontId="0" fillId="52" borderId="60" xfId="0" applyNumberFormat="1" applyFill="1" applyBorder="1" applyAlignment="1">
      <alignment horizontal="right" vertical="top"/>
    </xf>
    <xf numFmtId="172" fontId="0" fillId="52" borderId="61" xfId="0" applyNumberFormat="1" applyFill="1" applyBorder="1" applyAlignment="1">
      <alignment horizontal="right" vertical="top"/>
    </xf>
    <xf numFmtId="172" fontId="0" fillId="52" borderId="62" xfId="0" applyNumberFormat="1" applyFill="1" applyBorder="1" applyAlignment="1">
      <alignment horizontal="right" vertical="top"/>
    </xf>
    <xf numFmtId="172" fontId="5" fillId="3" borderId="72" xfId="2" applyNumberFormat="1" applyFont="1" applyFill="1" applyBorder="1"/>
    <xf numFmtId="172" fontId="5" fillId="52" borderId="61" xfId="2" applyNumberFormat="1" applyFont="1" applyFill="1" applyBorder="1"/>
    <xf numFmtId="172" fontId="6" fillId="52" borderId="60" xfId="2" applyNumberFormat="1" applyFont="1" applyFill="1" applyBorder="1"/>
    <xf numFmtId="172" fontId="6" fillId="52" borderId="61" xfId="2" applyNumberFormat="1" applyFont="1" applyFill="1" applyBorder="1"/>
    <xf numFmtId="172" fontId="6" fillId="52" borderId="62" xfId="2" applyNumberFormat="1" applyFont="1" applyFill="1" applyBorder="1"/>
    <xf numFmtId="172" fontId="6" fillId="3" borderId="69" xfId="2" applyNumberFormat="1" applyFont="1" applyFill="1" applyBorder="1"/>
    <xf numFmtId="172" fontId="6" fillId="3" borderId="70" xfId="2" applyNumberFormat="1" applyFont="1" applyFill="1" applyBorder="1"/>
    <xf numFmtId="172" fontId="6" fillId="3" borderId="71" xfId="2" applyNumberFormat="1" applyFont="1" applyFill="1" applyBorder="1"/>
    <xf numFmtId="172" fontId="6" fillId="52" borderId="72" xfId="2" applyNumberFormat="1" applyFont="1" applyFill="1" applyBorder="1"/>
    <xf numFmtId="172" fontId="6" fillId="52" borderId="73" xfId="2" applyNumberFormat="1" applyFont="1" applyFill="1" applyBorder="1"/>
    <xf numFmtId="172" fontId="6" fillId="52" borderId="74" xfId="2" applyNumberFormat="1" applyFont="1" applyFill="1" applyBorder="1"/>
    <xf numFmtId="172" fontId="0" fillId="52" borderId="72" xfId="0" applyNumberFormat="1" applyFont="1" applyFill="1" applyBorder="1"/>
    <xf numFmtId="172" fontId="0" fillId="52" borderId="73" xfId="0" applyNumberFormat="1" applyFont="1" applyFill="1" applyBorder="1"/>
    <xf numFmtId="172" fontId="0" fillId="52" borderId="74" xfId="0" applyNumberFormat="1" applyFont="1" applyFill="1" applyBorder="1"/>
    <xf numFmtId="172" fontId="0" fillId="52" borderId="66" xfId="0" applyNumberFormat="1" applyFont="1" applyFill="1" applyBorder="1"/>
    <xf numFmtId="172" fontId="0" fillId="52" borderId="67" xfId="0" applyNumberFormat="1" applyFont="1" applyFill="1" applyBorder="1"/>
    <xf numFmtId="172" fontId="0" fillId="52" borderId="68" xfId="0" applyNumberFormat="1" applyFont="1" applyFill="1" applyBorder="1"/>
    <xf numFmtId="172" fontId="3" fillId="0" borderId="0" xfId="0" applyNumberFormat="1" applyFont="1"/>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2" xfId="0" applyNumberFormat="1" applyFill="1" applyBorder="1" applyAlignment="1">
      <alignment horizontal="right" vertical="center"/>
    </xf>
    <xf numFmtId="172" fontId="0" fillId="52" borderId="73" xfId="0" applyNumberFormat="1" applyFill="1" applyBorder="1" applyAlignment="1">
      <alignment horizontal="right" vertical="center"/>
    </xf>
    <xf numFmtId="172" fontId="0" fillId="52" borderId="74"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2" xfId="0" applyNumberFormat="1" applyFill="1" applyBorder="1" applyAlignment="1">
      <alignment horizontal="right" vertical="top"/>
    </xf>
    <xf numFmtId="172" fontId="0" fillId="0" borderId="74" xfId="0" applyNumberFormat="1" applyFill="1" applyBorder="1" applyAlignment="1">
      <alignment horizontal="right" vertical="top"/>
    </xf>
    <xf numFmtId="172" fontId="0" fillId="0" borderId="68" xfId="0" applyNumberFormat="1" applyFill="1" applyBorder="1" applyAlignment="1">
      <alignment horizontal="right" vertical="top"/>
    </xf>
    <xf numFmtId="172" fontId="5" fillId="38" borderId="72" xfId="1" applyNumberFormat="1" applyFont="1" applyFill="1" applyBorder="1" applyAlignment="1" applyProtection="1">
      <alignment horizontal="right"/>
    </xf>
    <xf numFmtId="172" fontId="5" fillId="38" borderId="73" xfId="1" applyNumberFormat="1" applyFont="1" applyFill="1" applyBorder="1" applyAlignment="1" applyProtection="1">
      <alignment horizontal="right"/>
    </xf>
    <xf numFmtId="172" fontId="5" fillId="38" borderId="74" xfId="1" applyNumberFormat="1" applyFont="1" applyFill="1" applyBorder="1" applyAlignment="1" applyProtection="1">
      <alignment horizontal="right"/>
    </xf>
    <xf numFmtId="172" fontId="0" fillId="0" borderId="0" xfId="0" applyNumberFormat="1" applyAlignment="1">
      <alignment horizontal="right"/>
    </xf>
    <xf numFmtId="173" fontId="5" fillId="118" borderId="66" xfId="7" applyNumberFormat="1" applyFont="1" applyFill="1" applyBorder="1" applyAlignment="1">
      <alignment horizontal="center"/>
    </xf>
    <xf numFmtId="170" fontId="5" fillId="36" borderId="73" xfId="77" applyNumberFormat="1" applyFont="1" applyFill="1" applyBorder="1" applyAlignment="1" applyProtection="1">
      <alignment vertical="center"/>
    </xf>
    <xf numFmtId="170" fontId="5" fillId="36" borderId="74" xfId="77" applyNumberFormat="1" applyFont="1" applyFill="1" applyBorder="1" applyAlignment="1" applyProtection="1">
      <alignment vertical="center"/>
    </xf>
    <xf numFmtId="350" fontId="5" fillId="38" borderId="73" xfId="77" applyNumberFormat="1" applyFont="1" applyFill="1" applyBorder="1" applyProtection="1"/>
    <xf numFmtId="350" fontId="5" fillId="38" borderId="74"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0" fillId="52" borderId="72" xfId="0" applyNumberFormat="1" applyFont="1" applyFill="1" applyBorder="1" applyAlignment="1">
      <alignment horizontal="right" vertical="center"/>
    </xf>
    <xf numFmtId="172" fontId="0" fillId="52" borderId="73" xfId="0" applyNumberFormat="1" applyFont="1" applyFill="1" applyBorder="1" applyAlignment="1">
      <alignment horizontal="right" vertical="center"/>
    </xf>
    <xf numFmtId="172" fontId="0" fillId="52" borderId="74"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11" xfId="0" applyBorder="1" applyAlignment="1">
      <alignment horizontal="center" wrapText="1"/>
    </xf>
    <xf numFmtId="3" fontId="0" fillId="0" borderId="0" xfId="0" applyNumberFormat="1" applyBorder="1"/>
    <xf numFmtId="0" fontId="0" fillId="0" borderId="90" xfId="0" applyBorder="1" applyAlignment="1">
      <alignment horizontal="center" wrapText="1"/>
    </xf>
    <xf numFmtId="3" fontId="0" fillId="0" borderId="89"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3" borderId="79" xfId="0" applyFont="1" applyFill="1" applyBorder="1" applyAlignment="1">
      <alignment horizontal="left" indent="1"/>
    </xf>
    <xf numFmtId="0" fontId="0" fillId="3" borderId="80" xfId="0" applyFill="1" applyBorder="1" applyAlignment="1">
      <alignment horizontal="left" indent="1"/>
    </xf>
    <xf numFmtId="0" fontId="0" fillId="3" borderId="81" xfId="0" applyFill="1" applyBorder="1" applyAlignment="1">
      <alignment horizontal="left" indent="1"/>
    </xf>
    <xf numFmtId="0" fontId="0" fillId="3" borderId="79" xfId="0" applyFill="1" applyBorder="1" applyAlignment="1">
      <alignment horizontal="left" indent="1"/>
    </xf>
    <xf numFmtId="0" fontId="0" fillId="3" borderId="109" xfId="0" applyFill="1" applyBorder="1" applyAlignment="1">
      <alignment horizontal="left" indent="1"/>
    </xf>
    <xf numFmtId="3" fontId="0" fillId="0" borderId="0" xfId="0" applyNumberFormat="1" applyFill="1" applyBorder="1"/>
    <xf numFmtId="0" fontId="0" fillId="52" borderId="79" xfId="0" applyFill="1" applyBorder="1" applyAlignment="1">
      <alignment horizontal="left" vertical="center" wrapText="1" indent="1"/>
    </xf>
    <xf numFmtId="0" fontId="0" fillId="52" borderId="80" xfId="0" applyFill="1" applyBorder="1" applyAlignment="1">
      <alignment horizontal="left" vertical="center" wrapText="1" indent="1"/>
    </xf>
    <xf numFmtId="0" fontId="0" fillId="52" borderId="81" xfId="0" applyFill="1" applyBorder="1" applyAlignment="1">
      <alignment horizontal="left" vertical="center" wrapText="1" indent="1"/>
    </xf>
    <xf numFmtId="351" fontId="0" fillId="3" borderId="64" xfId="0" applyNumberFormat="1" applyFill="1" applyBorder="1" applyAlignment="1">
      <alignment horizontal="right" vertical="top"/>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5" fontId="239" fillId="46" borderId="108" xfId="48236" applyNumberFormat="1" applyFont="1" applyFill="1" applyBorder="1" applyAlignment="1">
      <alignment horizontal="center" vertical="top" wrapText="1"/>
    </xf>
    <xf numFmtId="0" fontId="239" fillId="46" borderId="108" xfId="48236" applyFont="1" applyFill="1" applyBorder="1" applyAlignment="1">
      <alignment vertical="top" wrapText="1"/>
    </xf>
    <xf numFmtId="0" fontId="239" fillId="46" borderId="108"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2" fontId="0" fillId="0" borderId="0" xfId="0" applyNumberFormat="1"/>
    <xf numFmtId="351" fontId="0" fillId="0" borderId="0" xfId="1" applyNumberFormat="1" applyFont="1"/>
    <xf numFmtId="168" fontId="5" fillId="42" borderId="0" xfId="0" applyNumberFormat="1" applyFont="1" applyFill="1" applyBorder="1" applyAlignment="1">
      <alignment vertical="center"/>
    </xf>
    <xf numFmtId="0" fontId="0" fillId="42" borderId="64" xfId="0" applyFill="1" applyBorder="1" applyAlignment="1">
      <alignment horizontal="left" vertical="top" wrapText="1" indent="1"/>
    </xf>
    <xf numFmtId="0" fontId="0" fillId="42" borderId="67" xfId="0" applyFill="1" applyBorder="1" applyAlignment="1">
      <alignment horizontal="left" vertical="top" wrapText="1" indent="1"/>
    </xf>
    <xf numFmtId="0" fontId="0" fillId="0" borderId="85" xfId="0" applyBorder="1" applyAlignment="1">
      <alignment horizontal="left" vertical="top" wrapText="1" indent="1"/>
    </xf>
    <xf numFmtId="172" fontId="0" fillId="3" borderId="75" xfId="0" applyNumberFormat="1" applyFill="1" applyBorder="1" applyAlignment="1">
      <alignment horizontal="right" vertical="top"/>
    </xf>
    <xf numFmtId="172" fontId="0" fillId="3" borderId="76" xfId="0" applyNumberFormat="1" applyFill="1" applyBorder="1" applyAlignment="1">
      <alignment horizontal="right" vertical="top"/>
    </xf>
    <xf numFmtId="172" fontId="0" fillId="3" borderId="92"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4" xfId="0" applyFill="1" applyBorder="1" applyAlignment="1">
      <alignment horizontal="left" vertical="center" wrapText="1"/>
    </xf>
    <xf numFmtId="0" fontId="0" fillId="0" borderId="85" xfId="0" applyBorder="1" applyAlignment="1">
      <alignment vertical="center" wrapText="1"/>
    </xf>
    <xf numFmtId="168" fontId="6" fillId="0" borderId="0" xfId="0" applyNumberFormat="1" applyFont="1" applyFill="1" applyBorder="1" applyAlignment="1">
      <alignment horizontal="left" vertical="center" indent="1"/>
    </xf>
    <xf numFmtId="172" fontId="0" fillId="51" borderId="64" xfId="0" applyNumberFormat="1" applyFill="1" applyBorder="1" applyAlignment="1">
      <alignment horizontal="right" vertical="top"/>
    </xf>
    <xf numFmtId="172" fontId="0" fillId="51" borderId="65"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0" fontId="0" fillId="42" borderId="64" xfId="0" quotePrefix="1" applyFill="1" applyBorder="1" applyAlignment="1">
      <alignment horizontal="left" vertical="top" wrapText="1"/>
    </xf>
    <xf numFmtId="178" fontId="0" fillId="42" borderId="0" xfId="0" applyNumberFormat="1" applyFill="1" applyBorder="1" applyAlignment="1">
      <alignment horizontal="right" vertical="top"/>
    </xf>
    <xf numFmtId="0" fontId="0" fillId="42" borderId="64" xfId="0" quotePrefix="1" applyFill="1" applyBorder="1" applyAlignment="1">
      <alignment horizontal="left" vertical="top" wrapText="1" indent="1"/>
    </xf>
    <xf numFmtId="170" fontId="0" fillId="51" borderId="69" xfId="0" applyNumberFormat="1" applyFill="1" applyBorder="1"/>
    <xf numFmtId="170" fontId="0" fillId="51" borderId="70" xfId="0" applyNumberFormat="1" applyFill="1" applyBorder="1"/>
    <xf numFmtId="170" fontId="0" fillId="51" borderId="71" xfId="0" applyNumberFormat="1" applyFill="1" applyBorder="1"/>
    <xf numFmtId="0" fontId="0" fillId="42" borderId="76" xfId="0" applyFill="1" applyBorder="1" applyAlignment="1">
      <alignment horizontal="left" vertical="top" wrapText="1" indent="1"/>
    </xf>
    <xf numFmtId="0" fontId="0" fillId="42" borderId="76" xfId="0" applyFill="1" applyBorder="1" applyAlignment="1">
      <alignment horizontal="left" vertical="top" wrapText="1"/>
    </xf>
    <xf numFmtId="172" fontId="5" fillId="51" borderId="72" xfId="1" applyNumberFormat="1" applyFont="1" applyFill="1" applyBorder="1" applyProtection="1"/>
    <xf numFmtId="172" fontId="5" fillId="42" borderId="75" xfId="2" applyNumberFormat="1" applyFont="1" applyFill="1" applyBorder="1" applyAlignment="1">
      <alignment vertical="center"/>
    </xf>
    <xf numFmtId="172" fontId="5" fillId="42" borderId="77" xfId="2" applyNumberFormat="1" applyFont="1" applyFill="1" applyBorder="1" applyAlignment="1">
      <alignment vertical="center"/>
    </xf>
    <xf numFmtId="9" fontId="0" fillId="117" borderId="75" xfId="77" applyFont="1" applyFill="1" applyBorder="1" applyAlignment="1">
      <alignment horizontal="right" vertical="top"/>
    </xf>
    <xf numFmtId="9" fontId="0" fillId="117" borderId="75" xfId="0" applyNumberFormat="1" applyFill="1" applyBorder="1" applyAlignment="1">
      <alignment horizontal="right" vertical="top"/>
    </xf>
    <xf numFmtId="9" fontId="0" fillId="117" borderId="76" xfId="0" applyNumberFormat="1" applyFill="1" applyBorder="1" applyAlignment="1">
      <alignment horizontal="right" vertical="top"/>
    </xf>
    <xf numFmtId="9" fontId="0" fillId="117" borderId="77" xfId="0" applyNumberFormat="1" applyFill="1" applyBorder="1" applyAlignment="1">
      <alignment horizontal="right" vertical="top"/>
    </xf>
    <xf numFmtId="170" fontId="5" fillId="117" borderId="72" xfId="1" applyNumberFormat="1" applyFont="1" applyFill="1" applyBorder="1" applyProtection="1"/>
    <xf numFmtId="170" fontId="5" fillId="117" borderId="73" xfId="1" applyNumberFormat="1" applyFont="1" applyFill="1" applyBorder="1" applyProtection="1"/>
    <xf numFmtId="170" fontId="5" fillId="117" borderId="74" xfId="1" applyNumberFormat="1" applyFont="1" applyFill="1" applyBorder="1" applyProtection="1"/>
    <xf numFmtId="170" fontId="5" fillId="51" borderId="72" xfId="1" applyNumberFormat="1" applyFont="1" applyFill="1" applyBorder="1" applyProtection="1"/>
    <xf numFmtId="170" fontId="5" fillId="51" borderId="73" xfId="1" applyNumberFormat="1" applyFont="1" applyFill="1" applyBorder="1" applyProtection="1"/>
    <xf numFmtId="170" fontId="5" fillId="51" borderId="74" xfId="1" applyNumberFormat="1" applyFont="1" applyFill="1" applyBorder="1" applyProtection="1"/>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07" xfId="1" applyNumberFormat="1" applyFont="1" applyFill="1" applyBorder="1" applyAlignment="1"/>
    <xf numFmtId="0" fontId="0" fillId="101" borderId="0" xfId="0" applyFill="1"/>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 xfId="90" applyFont="1" applyFill="1" applyBorder="1" applyAlignment="1">
      <alignment horizontal="left"/>
    </xf>
    <xf numFmtId="0" fontId="256" fillId="47" borderId="0" xfId="0" applyFont="1" applyFill="1" applyBorder="1" applyAlignment="1">
      <alignment wrapText="1"/>
    </xf>
    <xf numFmtId="0" fontId="256" fillId="47" borderId="12" xfId="0" applyFont="1" applyFill="1" applyBorder="1" applyAlignment="1">
      <alignment wrapText="1"/>
    </xf>
    <xf numFmtId="0" fontId="257" fillId="47" borderId="90" xfId="90" applyFont="1" applyFill="1" applyBorder="1" applyAlignment="1">
      <alignment horizontal="left"/>
    </xf>
    <xf numFmtId="0" fontId="256" fillId="47" borderId="89" xfId="0" applyFont="1" applyFill="1" applyBorder="1" applyAlignment="1">
      <alignment wrapText="1"/>
    </xf>
    <xf numFmtId="0" fontId="256" fillId="47" borderId="91" xfId="0" applyFont="1" applyFill="1" applyBorder="1" applyAlignment="1">
      <alignment wrapText="1"/>
    </xf>
    <xf numFmtId="0" fontId="257" fillId="47" borderId="22" xfId="90" applyNumberFormat="1" applyFont="1" applyFill="1" applyBorder="1" applyAlignment="1">
      <alignment horizontal="left" indent="1"/>
    </xf>
    <xf numFmtId="0" fontId="257" fillId="47" borderId="22"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89" xfId="90" applyNumberFormat="1" applyFont="1" applyFill="1" applyBorder="1" applyAlignment="1">
      <alignment horizontal="left" indent="1"/>
    </xf>
    <xf numFmtId="0" fontId="257" fillId="47" borderId="89" xfId="90" applyFont="1" applyFill="1" applyBorder="1" applyAlignment="1">
      <alignment horizontal="left"/>
    </xf>
    <xf numFmtId="0" fontId="256" fillId="47" borderId="22" xfId="0" applyFont="1" applyFill="1" applyBorder="1" applyAlignment="1">
      <alignment horizontal="left" indent="1"/>
    </xf>
    <xf numFmtId="0" fontId="257" fillId="47" borderId="0" xfId="90" applyFont="1" applyFill="1" applyBorder="1" applyAlignment="1">
      <alignment horizontal="left" indent="1"/>
    </xf>
    <xf numFmtId="0" fontId="257" fillId="47" borderId="89" xfId="90" applyFont="1" applyFill="1" applyBorder="1" applyAlignment="1">
      <alignment horizontal="left" indent="1"/>
    </xf>
    <xf numFmtId="0" fontId="257" fillId="47" borderId="22" xfId="90" applyFont="1" applyFill="1" applyBorder="1" applyAlignment="1">
      <alignment horizontal="left" indent="1"/>
    </xf>
    <xf numFmtId="0" fontId="260" fillId="47" borderId="11" xfId="90" applyFont="1" applyFill="1" applyBorder="1" applyAlignment="1">
      <alignment horizontal="left"/>
    </xf>
    <xf numFmtId="0" fontId="261" fillId="47" borderId="0" xfId="90" applyFont="1" applyFill="1" applyBorder="1" applyAlignment="1">
      <alignment horizontal="left"/>
    </xf>
    <xf numFmtId="0" fontId="0" fillId="42" borderId="78" xfId="0" applyFill="1" applyBorder="1" applyAlignment="1">
      <alignment horizontal="left" vertical="center" wrapText="1" indent="1"/>
    </xf>
    <xf numFmtId="0" fontId="0" fillId="42" borderId="85" xfId="0" applyFill="1" applyBorder="1" applyAlignment="1">
      <alignment horizontal="left" vertical="top" wrapText="1" indent="1"/>
    </xf>
    <xf numFmtId="0" fontId="0" fillId="42" borderId="85" xfId="0" applyFill="1" applyBorder="1" applyAlignment="1">
      <alignment horizontal="left" vertical="top" wrapText="1"/>
    </xf>
    <xf numFmtId="0" fontId="0" fillId="42" borderId="120" xfId="0" applyFill="1" applyBorder="1" applyAlignment="1">
      <alignment horizontal="left" vertical="center" wrapText="1" indent="1"/>
    </xf>
    <xf numFmtId="0" fontId="0" fillId="42" borderId="121" xfId="0" applyFill="1" applyBorder="1" applyAlignment="1">
      <alignment horizontal="left" vertical="top" wrapText="1" indent="1"/>
    </xf>
    <xf numFmtId="0" fontId="0" fillId="42" borderId="121" xfId="0" applyFill="1" applyBorder="1" applyAlignment="1">
      <alignment horizontal="left" vertical="top" wrapText="1"/>
    </xf>
    <xf numFmtId="0" fontId="0" fillId="132" borderId="0" xfId="0" applyFill="1"/>
    <xf numFmtId="352" fontId="0" fillId="132" borderId="0" xfId="0" applyNumberFormat="1" applyFill="1"/>
    <xf numFmtId="10" fontId="0" fillId="132" borderId="64" xfId="0" applyNumberFormat="1" applyFill="1" applyBorder="1"/>
    <xf numFmtId="173" fontId="0" fillId="0" borderId="72" xfId="1" applyNumberFormat="1" applyFont="1" applyFill="1" applyBorder="1" applyAlignment="1">
      <alignment horizontal="right" vertical="top"/>
    </xf>
    <xf numFmtId="173" fontId="0" fillId="3" borderId="72" xfId="0" applyNumberFormat="1" applyFill="1" applyBorder="1" applyAlignment="1">
      <alignment horizontal="right" vertical="top"/>
    </xf>
    <xf numFmtId="173" fontId="0" fillId="3" borderId="74" xfId="0" applyNumberFormat="1" applyFill="1" applyBorder="1" applyAlignment="1">
      <alignment horizontal="right" vertical="top"/>
    </xf>
    <xf numFmtId="173" fontId="0" fillId="3" borderId="62" xfId="0" applyNumberFormat="1" applyFill="1" applyBorder="1" applyAlignment="1">
      <alignment horizontal="right" vertical="top"/>
    </xf>
    <xf numFmtId="173" fontId="0" fillId="3" borderId="65" xfId="0" applyNumberFormat="1" applyFill="1" applyBorder="1" applyAlignment="1">
      <alignment horizontal="right" vertical="top"/>
    </xf>
    <xf numFmtId="173" fontId="0" fillId="3" borderId="71" xfId="0" applyNumberFormat="1" applyFill="1" applyBorder="1" applyAlignment="1">
      <alignment horizontal="right" vertical="top"/>
    </xf>
    <xf numFmtId="173" fontId="0" fillId="52" borderId="72" xfId="0" applyNumberFormat="1" applyFill="1" applyBorder="1" applyAlignment="1">
      <alignment horizontal="right" vertical="top"/>
    </xf>
    <xf numFmtId="173" fontId="0" fillId="52" borderId="73" xfId="0" applyNumberFormat="1" applyFill="1" applyBorder="1" applyAlignment="1">
      <alignment horizontal="right" vertical="top"/>
    </xf>
    <xf numFmtId="173" fontId="0" fillId="52" borderId="74" xfId="0" applyNumberFormat="1" applyFill="1" applyBorder="1" applyAlignment="1">
      <alignment horizontal="right" vertical="top"/>
    </xf>
    <xf numFmtId="173" fontId="0" fillId="3" borderId="60" xfId="0" applyNumberFormat="1" applyFill="1" applyBorder="1" applyAlignment="1">
      <alignment horizontal="right" vertical="top"/>
    </xf>
    <xf numFmtId="2" fontId="0" fillId="3" borderId="0" xfId="0" applyNumberFormat="1" applyFill="1" applyAlignment="1">
      <alignment horizontal="left" vertical="top" indent="1"/>
    </xf>
    <xf numFmtId="173" fontId="5" fillId="3" borderId="60" xfId="2" applyNumberFormat="1" applyFont="1" applyFill="1" applyBorder="1" applyAlignment="1">
      <alignment vertical="center"/>
    </xf>
    <xf numFmtId="173" fontId="5" fillId="3" borderId="72" xfId="2" applyNumberFormat="1" applyFont="1" applyFill="1" applyBorder="1"/>
    <xf numFmtId="173" fontId="3" fillId="52" borderId="72" xfId="0" applyNumberFormat="1" applyFont="1" applyFill="1" applyBorder="1" applyAlignment="1">
      <alignment horizontal="right" vertical="top"/>
    </xf>
    <xf numFmtId="173" fontId="0" fillId="3" borderId="72" xfId="1" applyNumberFormat="1" applyFont="1" applyFill="1" applyBorder="1" applyAlignment="1">
      <alignment horizontal="right" vertical="top"/>
    </xf>
    <xf numFmtId="173" fontId="5" fillId="3" borderId="60" xfId="2" applyNumberFormat="1" applyFont="1" applyFill="1" applyBorder="1"/>
    <xf numFmtId="43" fontId="0" fillId="0" borderId="0" xfId="0" applyNumberFormat="1"/>
    <xf numFmtId="354" fontId="0" fillId="0" borderId="0" xfId="0" applyNumberFormat="1"/>
    <xf numFmtId="44" fontId="0" fillId="0" borderId="0" xfId="0" applyNumberFormat="1"/>
    <xf numFmtId="164" fontId="5" fillId="38" borderId="0" xfId="1" applyNumberFormat="1" applyFont="1" applyFill="1" applyBorder="1" applyProtection="1"/>
    <xf numFmtId="252" fontId="0" fillId="3" borderId="64" xfId="0" applyNumberFormat="1" applyFill="1" applyBorder="1" applyAlignment="1">
      <alignment horizontal="right" vertical="top"/>
    </xf>
    <xf numFmtId="173" fontId="6" fillId="51" borderId="72" xfId="1" applyNumberFormat="1" applyFont="1" applyFill="1" applyBorder="1" applyProtection="1"/>
    <xf numFmtId="173" fontId="6" fillId="52" borderId="72" xfId="2" applyNumberFormat="1" applyFont="1" applyFill="1" applyBorder="1" applyAlignment="1">
      <alignment horizontal="right" vertical="center"/>
    </xf>
    <xf numFmtId="173" fontId="6" fillId="38" borderId="72" xfId="1" applyNumberFormat="1" applyFont="1" applyFill="1" applyBorder="1" applyProtection="1"/>
    <xf numFmtId="173" fontId="6" fillId="52" borderId="74" xfId="2" applyNumberFormat="1" applyFont="1" applyFill="1" applyBorder="1" applyAlignment="1">
      <alignment horizontal="right" vertical="center"/>
    </xf>
    <xf numFmtId="252" fontId="6" fillId="38" borderId="72" xfId="1" applyNumberFormat="1" applyFont="1" applyFill="1" applyBorder="1" applyProtection="1"/>
    <xf numFmtId="252" fontId="6" fillId="38" borderId="73" xfId="1" applyNumberFormat="1" applyFont="1" applyFill="1" applyBorder="1" applyProtection="1"/>
    <xf numFmtId="252" fontId="5" fillId="51" borderId="72" xfId="1" applyNumberFormat="1" applyFont="1" applyFill="1" applyBorder="1" applyProtection="1"/>
    <xf numFmtId="252" fontId="5" fillId="0" borderId="0" xfId="2" applyNumberFormat="1" applyFont="1" applyFill="1" applyBorder="1"/>
    <xf numFmtId="252" fontId="5" fillId="38" borderId="72" xfId="1" applyNumberFormat="1" applyFont="1" applyFill="1" applyBorder="1" applyProtection="1"/>
    <xf numFmtId="252" fontId="5" fillId="3" borderId="64" xfId="2" applyNumberFormat="1" applyFont="1" applyFill="1" applyBorder="1"/>
    <xf numFmtId="252" fontId="5" fillId="3" borderId="65" xfId="2" applyNumberFormat="1" applyFont="1" applyFill="1" applyBorder="1"/>
    <xf numFmtId="173" fontId="0" fillId="51" borderId="60" xfId="1" applyNumberFormat="1" applyFont="1" applyFill="1" applyBorder="1" applyAlignment="1">
      <alignment horizontal="right"/>
    </xf>
    <xf numFmtId="173" fontId="0" fillId="51" borderId="61" xfId="1" applyNumberFormat="1" applyFont="1" applyFill="1" applyBorder="1" applyAlignment="1">
      <alignment horizontal="right"/>
    </xf>
    <xf numFmtId="173" fontId="0" fillId="51" borderId="63" xfId="1" applyNumberFormat="1" applyFont="1" applyFill="1" applyBorder="1" applyAlignment="1">
      <alignment horizontal="right"/>
    </xf>
    <xf numFmtId="173" fontId="0" fillId="51" borderId="64" xfId="1" applyNumberFormat="1" applyFont="1" applyFill="1" applyBorder="1" applyAlignment="1">
      <alignment horizontal="right"/>
    </xf>
    <xf numFmtId="173" fontId="0" fillId="51" borderId="69" xfId="1" applyNumberFormat="1" applyFont="1" applyFill="1" applyBorder="1" applyAlignment="1">
      <alignment horizontal="right"/>
    </xf>
    <xf numFmtId="173" fontId="0" fillId="51" borderId="70" xfId="1" applyNumberFormat="1" applyFont="1" applyFill="1" applyBorder="1" applyAlignment="1">
      <alignment horizontal="right"/>
    </xf>
    <xf numFmtId="173" fontId="6" fillId="38" borderId="60" xfId="1" applyNumberFormat="1" applyFont="1" applyFill="1" applyBorder="1" applyProtection="1"/>
    <xf numFmtId="173" fontId="6" fillId="38" borderId="61" xfId="1" applyNumberFormat="1" applyFont="1" applyFill="1" applyBorder="1" applyProtection="1"/>
    <xf numFmtId="173" fontId="5" fillId="3" borderId="63" xfId="2" applyNumberFormat="1" applyFont="1" applyFill="1" applyBorder="1"/>
    <xf numFmtId="252" fontId="0" fillId="51" borderId="61" xfId="1" applyNumberFormat="1" applyFont="1" applyFill="1" applyBorder="1" applyAlignment="1">
      <alignment horizontal="right"/>
    </xf>
    <xf numFmtId="252" fontId="0" fillId="51" borderId="62" xfId="1" applyNumberFormat="1" applyFont="1" applyFill="1" applyBorder="1" applyAlignment="1">
      <alignment horizontal="right"/>
    </xf>
    <xf numFmtId="252" fontId="0" fillId="51" borderId="64" xfId="1" applyNumberFormat="1" applyFont="1" applyFill="1" applyBorder="1" applyAlignment="1">
      <alignment horizontal="right"/>
    </xf>
    <xf numFmtId="252" fontId="0" fillId="51" borderId="65" xfId="1" applyNumberFormat="1" applyFont="1" applyFill="1" applyBorder="1" applyAlignment="1">
      <alignment horizontal="right"/>
    </xf>
    <xf numFmtId="252" fontId="0" fillId="51" borderId="70" xfId="1" applyNumberFormat="1" applyFont="1" applyFill="1" applyBorder="1" applyAlignment="1">
      <alignment horizontal="right"/>
    </xf>
    <xf numFmtId="252" fontId="0" fillId="51" borderId="71" xfId="1" applyNumberFormat="1" applyFont="1" applyFill="1" applyBorder="1" applyAlignment="1">
      <alignment horizontal="right"/>
    </xf>
    <xf numFmtId="252" fontId="0" fillId="51" borderId="72" xfId="1" applyNumberFormat="1" applyFont="1" applyFill="1" applyBorder="1" applyAlignment="1">
      <alignment horizontal="right" vertical="top"/>
    </xf>
    <xf numFmtId="252" fontId="0" fillId="51" borderId="73" xfId="1" applyNumberFormat="1" applyFont="1" applyFill="1" applyBorder="1" applyAlignment="1">
      <alignment horizontal="right" vertical="top"/>
    </xf>
    <xf numFmtId="252" fontId="5" fillId="38" borderId="60" xfId="1" applyNumberFormat="1" applyFont="1" applyFill="1" applyBorder="1" applyProtection="1"/>
    <xf numFmtId="252" fontId="5" fillId="38" borderId="61" xfId="1" applyNumberFormat="1" applyFont="1" applyFill="1" applyBorder="1" applyProtection="1"/>
    <xf numFmtId="173" fontId="3" fillId="52" borderId="72" xfId="1" applyNumberFormat="1" applyFont="1" applyFill="1" applyBorder="1" applyAlignment="1">
      <alignment horizontal="right"/>
    </xf>
    <xf numFmtId="173" fontId="0" fillId="0" borderId="0" xfId="0" applyNumberFormat="1" applyAlignment="1">
      <alignment horizontal="left" vertical="top"/>
    </xf>
    <xf numFmtId="173" fontId="5" fillId="51" borderId="60" xfId="1" applyNumberFormat="1" applyFont="1" applyFill="1" applyBorder="1"/>
    <xf numFmtId="173" fontId="5" fillId="51" borderId="61" xfId="1" applyNumberFormat="1" applyFont="1" applyFill="1" applyBorder="1"/>
    <xf numFmtId="173" fontId="5" fillId="51" borderId="63" xfId="1" applyNumberFormat="1" applyFont="1" applyFill="1" applyBorder="1"/>
    <xf numFmtId="173" fontId="5" fillId="51" borderId="64" xfId="1" applyNumberFormat="1" applyFont="1" applyFill="1" applyBorder="1"/>
    <xf numFmtId="173" fontId="5" fillId="51" borderId="65" xfId="1" applyNumberFormat="1" applyFont="1" applyFill="1" applyBorder="1"/>
    <xf numFmtId="173" fontId="0" fillId="51" borderId="65" xfId="1" applyNumberFormat="1" applyFont="1" applyFill="1" applyBorder="1" applyAlignment="1">
      <alignment horizontal="right"/>
    </xf>
    <xf numFmtId="173" fontId="0" fillId="51" borderId="71" xfId="1" applyNumberFormat="1" applyFont="1" applyFill="1" applyBorder="1" applyAlignment="1">
      <alignment horizontal="right"/>
    </xf>
    <xf numFmtId="173" fontId="5" fillId="52" borderId="60" xfId="1" applyNumberFormat="1" applyFont="1" applyFill="1" applyBorder="1" applyProtection="1"/>
    <xf numFmtId="173" fontId="0" fillId="51" borderId="69" xfId="0" applyNumberFormat="1" applyFont="1" applyFill="1" applyBorder="1" applyAlignment="1">
      <alignment horizontal="right"/>
    </xf>
    <xf numFmtId="173" fontId="0" fillId="51" borderId="70" xfId="0" applyNumberFormat="1" applyFont="1" applyFill="1" applyBorder="1" applyAlignment="1">
      <alignment horizontal="right"/>
    </xf>
    <xf numFmtId="173" fontId="0" fillId="51" borderId="71" xfId="0" applyNumberFormat="1" applyFont="1" applyFill="1" applyBorder="1" applyAlignment="1">
      <alignment horizontal="right"/>
    </xf>
    <xf numFmtId="173" fontId="5" fillId="38" borderId="60" xfId="1" applyNumberFormat="1" applyFont="1" applyFill="1" applyBorder="1" applyProtection="1"/>
    <xf numFmtId="173" fontId="5" fillId="38" borderId="61" xfId="1" applyNumberFormat="1" applyFont="1" applyFill="1" applyBorder="1" applyProtection="1"/>
    <xf numFmtId="173" fontId="5" fillId="38" borderId="62" xfId="1" applyNumberFormat="1" applyFont="1" applyFill="1" applyBorder="1" applyProtection="1"/>
    <xf numFmtId="252" fontId="5" fillId="3" borderId="60" xfId="1" applyNumberFormat="1" applyFont="1" applyFill="1" applyBorder="1" applyProtection="1"/>
    <xf numFmtId="252" fontId="5" fillId="38" borderId="62" xfId="1" applyNumberFormat="1" applyFont="1" applyFill="1" applyBorder="1" applyProtection="1"/>
    <xf numFmtId="252" fontId="5" fillId="38" borderId="105" xfId="1" applyNumberFormat="1" applyFont="1" applyFill="1" applyBorder="1" applyProtection="1"/>
    <xf numFmtId="252" fontId="5" fillId="38" borderId="106" xfId="1" applyNumberFormat="1" applyFont="1" applyFill="1" applyBorder="1" applyProtection="1"/>
    <xf numFmtId="252" fontId="5" fillId="38" borderId="107" xfId="1" applyNumberFormat="1" applyFont="1" applyFill="1" applyBorder="1" applyProtection="1"/>
    <xf numFmtId="252" fontId="0" fillId="52" borderId="60" xfId="0" applyNumberFormat="1" applyFont="1" applyFill="1" applyBorder="1"/>
    <xf numFmtId="252" fontId="0" fillId="52" borderId="61" xfId="0" applyNumberFormat="1" applyFont="1" applyFill="1" applyBorder="1"/>
    <xf numFmtId="252" fontId="0" fillId="52" borderId="62" xfId="0" applyNumberFormat="1" applyFont="1" applyFill="1" applyBorder="1"/>
    <xf numFmtId="252" fontId="0" fillId="52" borderId="75" xfId="0" applyNumberFormat="1" applyFill="1" applyBorder="1"/>
    <xf numFmtId="252" fontId="0" fillId="52" borderId="76" xfId="0" applyNumberFormat="1" applyFill="1" applyBorder="1"/>
    <xf numFmtId="252" fontId="0" fillId="52" borderId="77" xfId="0" applyNumberFormat="1" applyFill="1" applyBorder="1"/>
    <xf numFmtId="252" fontId="0" fillId="51" borderId="72" xfId="0" applyNumberFormat="1" applyFill="1" applyBorder="1"/>
    <xf numFmtId="173" fontId="0" fillId="52" borderId="60" xfId="0" applyNumberFormat="1" applyFill="1" applyBorder="1" applyAlignment="1">
      <alignment horizontal="right" vertical="top"/>
    </xf>
    <xf numFmtId="173" fontId="0" fillId="52" borderId="61" xfId="0" applyNumberFormat="1" applyFill="1" applyBorder="1" applyAlignment="1">
      <alignment horizontal="right" vertical="top"/>
    </xf>
    <xf numFmtId="173" fontId="0" fillId="52" borderId="62" xfId="0" applyNumberFormat="1" applyFill="1" applyBorder="1" applyAlignment="1">
      <alignment horizontal="right" vertical="top"/>
    </xf>
    <xf numFmtId="173" fontId="0" fillId="52" borderId="75" xfId="0" applyNumberFormat="1" applyFill="1" applyBorder="1" applyAlignment="1">
      <alignment horizontal="right" vertical="top"/>
    </xf>
    <xf numFmtId="173" fontId="0" fillId="52" borderId="76" xfId="0" applyNumberFormat="1" applyFill="1" applyBorder="1" applyAlignment="1">
      <alignment horizontal="right" vertical="top"/>
    </xf>
    <xf numFmtId="173" fontId="0" fillId="52" borderId="77" xfId="0" applyNumberFormat="1" applyFill="1" applyBorder="1" applyAlignment="1">
      <alignment horizontal="right" vertical="top"/>
    </xf>
    <xf numFmtId="173" fontId="0" fillId="51" borderId="72" xfId="0" applyNumberFormat="1" applyFont="1" applyFill="1" applyBorder="1"/>
    <xf numFmtId="0" fontId="5" fillId="0" borderId="122" xfId="7" applyFont="1" applyBorder="1" applyAlignment="1">
      <alignment horizontal="left" indent="1"/>
    </xf>
    <xf numFmtId="0" fontId="5" fillId="36" borderId="122" xfId="75" applyFont="1" applyFill="1" applyBorder="1" applyAlignment="1" applyProtection="1">
      <alignment horizontal="right" vertical="center"/>
    </xf>
    <xf numFmtId="0" fontId="20" fillId="36" borderId="122" xfId="75" applyFont="1" applyFill="1" applyBorder="1" applyProtection="1"/>
    <xf numFmtId="1" fontId="5" fillId="38" borderId="122" xfId="1" applyNumberFormat="1" applyFont="1" applyFill="1" applyBorder="1" applyAlignment="1" applyProtection="1">
      <alignment horizontal="right" vertical="center"/>
    </xf>
    <xf numFmtId="0" fontId="20" fillId="38" borderId="122" xfId="75" applyFont="1" applyFill="1" applyBorder="1" applyProtection="1"/>
    <xf numFmtId="0" fontId="5" fillId="0" borderId="122" xfId="7" applyFont="1" applyBorder="1" applyAlignment="1">
      <alignment horizontal="left" wrapText="1" indent="1"/>
    </xf>
    <xf numFmtId="0" fontId="5" fillId="36" borderId="122" xfId="75" applyFont="1" applyFill="1" applyBorder="1" applyAlignment="1" applyProtection="1">
      <alignment vertical="center"/>
    </xf>
    <xf numFmtId="0" fontId="20" fillId="39" borderId="122" xfId="75" applyFont="1" applyFill="1" applyBorder="1" applyProtection="1"/>
    <xf numFmtId="0" fontId="5" fillId="36" borderId="122" xfId="75" applyNumberFormat="1" applyFont="1" applyFill="1" applyBorder="1" applyAlignment="1" applyProtection="1">
      <alignment vertical="center"/>
    </xf>
    <xf numFmtId="0" fontId="20" fillId="40" borderId="122" xfId="75" applyFont="1" applyFill="1" applyBorder="1" applyProtection="1"/>
    <xf numFmtId="175" fontId="5" fillId="36" borderId="122" xfId="75" applyNumberFormat="1" applyFont="1" applyFill="1" applyBorder="1" applyAlignment="1" applyProtection="1">
      <alignment vertical="center"/>
    </xf>
    <xf numFmtId="0" fontId="20" fillId="37" borderId="122" xfId="75" applyFont="1" applyFill="1" applyBorder="1" applyProtection="1"/>
    <xf numFmtId="170" fontId="5" fillId="38" borderId="122" xfId="77" applyNumberFormat="1" applyFont="1" applyFill="1" applyBorder="1" applyAlignment="1" applyProtection="1">
      <alignment vertical="center"/>
    </xf>
    <xf numFmtId="0" fontId="20" fillId="41" borderId="122" xfId="75" applyFont="1" applyFill="1" applyBorder="1" applyProtection="1"/>
    <xf numFmtId="10" fontId="5" fillId="38" borderId="122" xfId="77" applyNumberFormat="1" applyFont="1" applyFill="1" applyBorder="1" applyAlignment="1" applyProtection="1">
      <alignment vertical="center"/>
    </xf>
    <xf numFmtId="0" fontId="20" fillId="0" borderId="122" xfId="75" applyFont="1" applyBorder="1" applyProtection="1"/>
    <xf numFmtId="0" fontId="0" fillId="0" borderId="122" xfId="0" applyFill="1" applyBorder="1" applyAlignment="1">
      <alignment horizontal="center" vertical="center" wrapText="1"/>
    </xf>
    <xf numFmtId="0" fontId="5" fillId="42" borderId="123" xfId="7" applyFont="1" applyFill="1" applyBorder="1" applyAlignment="1">
      <alignment horizontal="left" indent="1"/>
    </xf>
    <xf numFmtId="0" fontId="0" fillId="0" borderId="122" xfId="0" applyFill="1" applyBorder="1" applyAlignment="1">
      <alignment horizontal="center"/>
    </xf>
    <xf numFmtId="0" fontId="257" fillId="47" borderId="124" xfId="90" applyFont="1" applyFill="1" applyBorder="1" applyAlignment="1">
      <alignment horizontal="left"/>
    </xf>
    <xf numFmtId="0" fontId="256" fillId="47" borderId="22" xfId="0" applyFont="1" applyFill="1" applyBorder="1" applyAlignment="1">
      <alignment wrapText="1"/>
    </xf>
    <xf numFmtId="0" fontId="256" fillId="47" borderId="125" xfId="0" applyFont="1" applyFill="1" applyBorder="1" applyAlignment="1">
      <alignment wrapText="1"/>
    </xf>
    <xf numFmtId="0" fontId="5" fillId="0" borderId="122" xfId="7" applyFont="1" applyBorder="1" applyAlignment="1">
      <alignment horizontal="center"/>
    </xf>
    <xf numFmtId="0" fontId="5" fillId="46" borderId="122" xfId="7" applyFont="1" applyFill="1" applyBorder="1" applyAlignment="1">
      <alignment horizontal="center"/>
    </xf>
    <xf numFmtId="0" fontId="6" fillId="0" borderId="123" xfId="7" applyFont="1" applyBorder="1" applyAlignment="1">
      <alignment horizontal="center" vertical="center"/>
    </xf>
    <xf numFmtId="0" fontId="0" fillId="0" borderId="123" xfId="0" applyFont="1" applyBorder="1" applyAlignment="1">
      <alignment horizontal="center" vertical="top"/>
    </xf>
    <xf numFmtId="0" fontId="0" fillId="0" borderId="126" xfId="0" applyFont="1" applyBorder="1" applyAlignment="1">
      <alignment horizontal="center" vertical="top"/>
    </xf>
    <xf numFmtId="0" fontId="0" fillId="0" borderId="127" xfId="0" applyFont="1" applyBorder="1" applyAlignment="1">
      <alignment horizontal="center" vertical="top"/>
    </xf>
    <xf numFmtId="0" fontId="3" fillId="0" borderId="124" xfId="0" applyFont="1" applyBorder="1" applyAlignment="1">
      <alignment horizontal="left" indent="1"/>
    </xf>
    <xf numFmtId="0" fontId="0" fillId="0" borderId="125" xfId="0" applyBorder="1"/>
    <xf numFmtId="0" fontId="0" fillId="118" borderId="124" xfId="0" applyFill="1" applyBorder="1"/>
    <xf numFmtId="1" fontId="0" fillId="0" borderId="123" xfId="0" applyNumberFormat="1" applyBorder="1" applyAlignment="1">
      <alignment horizontal="left" indent="1"/>
    </xf>
    <xf numFmtId="0" fontId="0" fillId="0" borderId="126" xfId="0" applyBorder="1"/>
    <xf numFmtId="0" fontId="0" fillId="0" borderId="127" xfId="0" applyBorder="1"/>
    <xf numFmtId="0" fontId="0" fillId="0" borderId="124" xfId="0" applyBorder="1" applyAlignment="1">
      <alignment horizontal="center" wrapText="1"/>
    </xf>
    <xf numFmtId="0" fontId="26" fillId="47" borderId="125" xfId="75" applyFont="1" applyFill="1" applyBorder="1" applyAlignment="1" applyProtection="1"/>
    <xf numFmtId="172" fontId="6" fillId="38" borderId="128" xfId="1" applyNumberFormat="1" applyFont="1" applyFill="1" applyBorder="1" applyProtection="1"/>
    <xf numFmtId="0" fontId="0" fillId="47" borderId="125" xfId="0" applyFill="1" applyBorder="1"/>
    <xf numFmtId="0" fontId="256" fillId="47" borderId="22" xfId="0" applyFont="1" applyFill="1" applyBorder="1"/>
    <xf numFmtId="0" fontId="27" fillId="47" borderId="125" xfId="75" applyFont="1" applyFill="1" applyBorder="1" applyAlignment="1" applyProtection="1"/>
    <xf numFmtId="172" fontId="5" fillId="38" borderId="123" xfId="1" applyNumberFormat="1" applyFont="1" applyFill="1" applyBorder="1" applyProtection="1"/>
    <xf numFmtId="0" fontId="260" fillId="47" borderId="124" xfId="90" applyFont="1" applyFill="1" applyBorder="1" applyAlignment="1">
      <alignment horizontal="left"/>
    </xf>
    <xf numFmtId="0" fontId="261" fillId="47" borderId="22" xfId="90" applyFont="1" applyFill="1" applyBorder="1" applyAlignment="1">
      <alignment horizontal="left"/>
    </xf>
    <xf numFmtId="0" fontId="30" fillId="47" borderId="22" xfId="90" applyFont="1" applyFill="1" applyBorder="1" applyAlignment="1">
      <alignment horizontal="center" vertical="center"/>
    </xf>
    <xf numFmtId="0" fontId="30" fillId="47" borderId="22" xfId="90" applyFont="1" applyFill="1" applyBorder="1" applyAlignment="1">
      <alignment horizontal="left"/>
    </xf>
    <xf numFmtId="0" fontId="260" fillId="47" borderId="90" xfId="90" applyFont="1" applyFill="1" applyBorder="1" applyAlignment="1">
      <alignment horizontal="left"/>
    </xf>
    <xf numFmtId="0" fontId="261" fillId="47" borderId="89" xfId="90" applyFont="1" applyFill="1" applyBorder="1" applyAlignment="1">
      <alignment horizontal="left"/>
    </xf>
    <xf numFmtId="172" fontId="5" fillId="52" borderId="129" xfId="2" applyNumberFormat="1" applyFont="1" applyFill="1" applyBorder="1" applyAlignment="1">
      <alignment vertical="center"/>
    </xf>
    <xf numFmtId="172" fontId="5" fillId="52" borderId="130" xfId="2" applyNumberFormat="1" applyFont="1" applyFill="1" applyBorder="1" applyAlignment="1">
      <alignment vertical="center"/>
    </xf>
    <xf numFmtId="9" fontId="5" fillId="0" borderId="123" xfId="2" applyNumberFormat="1" applyFont="1" applyFill="1" applyBorder="1" applyAlignment="1">
      <alignment vertical="center"/>
    </xf>
    <xf numFmtId="9" fontId="5" fillId="0" borderId="126" xfId="2" applyNumberFormat="1" applyFont="1" applyFill="1" applyBorder="1" applyAlignment="1">
      <alignment vertical="center"/>
    </xf>
    <xf numFmtId="0" fontId="27" fillId="0" borderId="89" xfId="75" applyFont="1" applyFill="1" applyBorder="1" applyAlignment="1" applyProtection="1"/>
    <xf numFmtId="173" fontId="6" fillId="42" borderId="126" xfId="1" applyNumberFormat="1" applyFont="1" applyFill="1" applyBorder="1" applyProtection="1"/>
    <xf numFmtId="173" fontId="6" fillId="42" borderId="126" xfId="2" applyNumberFormat="1" applyFont="1" applyFill="1" applyBorder="1" applyAlignment="1">
      <alignment horizontal="right" vertical="center"/>
    </xf>
    <xf numFmtId="9" fontId="0" fillId="51" borderId="129" xfId="1" applyNumberFormat="1" applyFont="1" applyFill="1" applyBorder="1" applyAlignment="1">
      <alignment horizontal="right"/>
    </xf>
    <xf numFmtId="9" fontId="0" fillId="51" borderId="132" xfId="1" applyNumberFormat="1" applyFont="1" applyFill="1" applyBorder="1" applyAlignment="1">
      <alignment horizontal="right"/>
    </xf>
    <xf numFmtId="9" fontId="0" fillId="51" borderId="130" xfId="1" applyNumberFormat="1" applyFont="1" applyFill="1" applyBorder="1" applyAlignment="1">
      <alignment horizontal="right"/>
    </xf>
    <xf numFmtId="0" fontId="25" fillId="47" borderId="22" xfId="90" applyFont="1" applyFill="1" applyBorder="1" applyAlignment="1">
      <alignment horizontal="center"/>
    </xf>
    <xf numFmtId="172" fontId="6" fillId="52" borderId="129" xfId="2" applyNumberFormat="1" applyFont="1" applyFill="1" applyBorder="1"/>
    <xf numFmtId="172" fontId="6" fillId="52" borderId="132" xfId="2" applyNumberFormat="1" applyFont="1" applyFill="1" applyBorder="1"/>
    <xf numFmtId="172" fontId="6" fillId="52" borderId="130" xfId="2" applyNumberFormat="1" applyFont="1" applyFill="1" applyBorder="1"/>
    <xf numFmtId="172" fontId="5" fillId="38" borderId="129" xfId="1" applyNumberFormat="1" applyFont="1" applyFill="1" applyBorder="1" applyProtection="1"/>
    <xf numFmtId="172" fontId="5" fillId="38" borderId="132" xfId="1" applyNumberFormat="1" applyFont="1" applyFill="1" applyBorder="1" applyProtection="1"/>
    <xf numFmtId="172" fontId="5" fillId="38" borderId="130" xfId="1" applyNumberFormat="1" applyFont="1" applyFill="1" applyBorder="1" applyProtection="1"/>
    <xf numFmtId="172" fontId="5" fillId="38" borderId="122" xfId="1" applyNumberFormat="1" applyFont="1" applyFill="1" applyBorder="1" applyProtection="1"/>
    <xf numFmtId="173" fontId="0" fillId="51" borderId="63" xfId="0" applyNumberFormat="1" applyFont="1" applyFill="1" applyBorder="1" applyAlignment="1">
      <alignment horizontal="right"/>
    </xf>
    <xf numFmtId="173" fontId="5" fillId="51" borderId="64" xfId="75" applyNumberFormat="1" applyFont="1" applyFill="1" applyBorder="1" applyAlignment="1" applyProtection="1">
      <alignment horizontal="right"/>
    </xf>
    <xf numFmtId="173" fontId="0" fillId="51" borderId="64" xfId="0" applyNumberFormat="1" applyFont="1" applyFill="1" applyBorder="1" applyAlignment="1">
      <alignment horizontal="right"/>
    </xf>
    <xf numFmtId="173" fontId="0" fillId="51" borderId="65" xfId="0" applyNumberFormat="1" applyFont="1" applyFill="1" applyBorder="1" applyAlignment="1">
      <alignment horizontal="right"/>
    </xf>
    <xf numFmtId="173" fontId="0" fillId="3" borderId="63" xfId="0" applyNumberFormat="1" applyFill="1" applyBorder="1" applyAlignment="1">
      <alignment horizontal="right" vertical="top"/>
    </xf>
    <xf numFmtId="173" fontId="0" fillId="3" borderId="64" xfId="0" applyNumberFormat="1" applyFill="1" applyBorder="1" applyAlignment="1">
      <alignment horizontal="right" vertical="top"/>
    </xf>
    <xf numFmtId="173" fontId="0" fillId="52" borderId="62" xfId="0" applyNumberFormat="1" applyFont="1" applyFill="1" applyBorder="1" applyAlignment="1">
      <alignment horizontal="right"/>
    </xf>
    <xf numFmtId="173" fontId="3" fillId="52" borderId="74" xfId="0" applyNumberFormat="1" applyFont="1" applyFill="1" applyBorder="1" applyAlignment="1">
      <alignment horizontal="right"/>
    </xf>
    <xf numFmtId="173" fontId="3" fillId="52" borderId="73" xfId="0" applyNumberFormat="1" applyFont="1" applyFill="1" applyBorder="1" applyAlignment="1">
      <alignment horizontal="right" vertical="top"/>
    </xf>
    <xf numFmtId="173" fontId="3" fillId="52" borderId="74" xfId="0" applyNumberFormat="1" applyFont="1" applyFill="1" applyBorder="1" applyAlignment="1">
      <alignment horizontal="right" vertical="top"/>
    </xf>
    <xf numFmtId="173" fontId="0" fillId="3" borderId="60" xfId="0" applyNumberFormat="1" applyFont="1" applyFill="1" applyBorder="1" applyAlignment="1">
      <alignment horizontal="right" vertical="top"/>
    </xf>
    <xf numFmtId="173" fontId="3" fillId="52" borderId="73" xfId="0" applyNumberFormat="1" applyFont="1" applyFill="1" applyBorder="1" applyAlignment="1">
      <alignment horizontal="right"/>
    </xf>
    <xf numFmtId="173" fontId="3" fillId="52" borderId="62" xfId="0" applyNumberFormat="1" applyFont="1" applyFill="1" applyBorder="1" applyAlignment="1">
      <alignment horizontal="right" vertical="top"/>
    </xf>
    <xf numFmtId="173" fontId="5" fillId="52" borderId="63" xfId="2" applyNumberFormat="1" applyFont="1" applyFill="1" applyBorder="1"/>
    <xf numFmtId="173" fontId="5" fillId="52" borderId="65" xfId="2" applyNumberFormat="1" applyFont="1" applyFill="1" applyBorder="1"/>
    <xf numFmtId="173" fontId="5" fillId="52" borderId="69" xfId="2" applyNumberFormat="1" applyFont="1" applyFill="1" applyBorder="1"/>
    <xf numFmtId="173" fontId="5" fillId="52" borderId="71" xfId="2" applyNumberFormat="1" applyFont="1" applyFill="1" applyBorder="1"/>
    <xf numFmtId="173" fontId="5" fillId="38" borderId="72" xfId="1" applyNumberFormat="1" applyFont="1" applyFill="1" applyBorder="1" applyProtection="1"/>
    <xf numFmtId="173" fontId="5" fillId="38" borderId="73" xfId="1" applyNumberFormat="1" applyFont="1" applyFill="1" applyBorder="1" applyProtection="1"/>
    <xf numFmtId="173" fontId="5" fillId="38" borderId="66" xfId="1" applyNumberFormat="1" applyFont="1" applyFill="1" applyBorder="1" applyProtection="1"/>
    <xf numFmtId="173" fontId="5" fillId="38" borderId="67" xfId="1" applyNumberFormat="1" applyFont="1" applyFill="1" applyBorder="1" applyProtection="1"/>
    <xf numFmtId="173" fontId="0" fillId="51" borderId="60" xfId="0" applyNumberFormat="1" applyFont="1" applyFill="1" applyBorder="1" applyAlignment="1">
      <alignment horizontal="right"/>
    </xf>
    <xf numFmtId="173" fontId="0" fillId="51" borderId="61" xfId="0" applyNumberFormat="1" applyFont="1" applyFill="1" applyBorder="1" applyAlignment="1">
      <alignment horizontal="right"/>
    </xf>
    <xf numFmtId="173" fontId="0" fillId="51" borderId="61" xfId="0" applyNumberFormat="1" applyFill="1" applyBorder="1" applyAlignment="1">
      <alignment horizontal="right" vertical="top"/>
    </xf>
    <xf numFmtId="173" fontId="0" fillId="51" borderId="62" xfId="0" applyNumberFormat="1" applyFill="1" applyBorder="1" applyAlignment="1">
      <alignment horizontal="right" vertical="top"/>
    </xf>
    <xf numFmtId="173" fontId="0" fillId="52" borderId="72" xfId="0" applyNumberFormat="1" applyFont="1" applyFill="1" applyBorder="1" applyAlignment="1">
      <alignment horizontal="right" vertical="center"/>
    </xf>
    <xf numFmtId="1" fontId="3" fillId="2" borderId="122" xfId="0" applyNumberFormat="1" applyFont="1" applyFill="1" applyBorder="1" applyAlignment="1">
      <alignment horizontal="center" vertical="center"/>
    </xf>
    <xf numFmtId="10" fontId="0" fillId="0" borderId="122" xfId="0" applyNumberFormat="1" applyBorder="1" applyAlignment="1">
      <alignment horizontal="center" vertical="center"/>
    </xf>
    <xf numFmtId="0" fontId="5" fillId="0" borderId="122" xfId="7" applyFont="1" applyBorder="1" applyAlignment="1">
      <alignment horizontal="center" vertical="center" wrapText="1"/>
    </xf>
    <xf numFmtId="0" fontId="0" fillId="0" borderId="122" xfId="0" applyBorder="1" applyAlignment="1">
      <alignment horizontal="center" wrapText="1"/>
    </xf>
    <xf numFmtId="0" fontId="21" fillId="0" borderId="122" xfId="0" applyFont="1" applyFill="1" applyBorder="1" applyAlignment="1">
      <alignment horizontal="left" indent="1"/>
    </xf>
    <xf numFmtId="0" fontId="21" fillId="0" borderId="122" xfId="0" applyFont="1" applyBorder="1" applyAlignment="1">
      <alignment horizontal="left" indent="1"/>
    </xf>
    <xf numFmtId="0" fontId="28" fillId="0" borderId="122" xfId="75" applyFont="1" applyBorder="1" applyAlignment="1">
      <alignment horizontal="center" vertical="center"/>
    </xf>
    <xf numFmtId="0" fontId="19" fillId="0" borderId="122" xfId="75" applyFont="1" applyBorder="1" applyAlignment="1">
      <alignment horizontal="center"/>
    </xf>
    <xf numFmtId="175" fontId="5" fillId="36" borderId="122" xfId="75" applyNumberFormat="1" applyFont="1" applyFill="1" applyBorder="1" applyProtection="1"/>
    <xf numFmtId="172" fontId="6" fillId="38" borderId="122" xfId="1" applyNumberFormat="1" applyFont="1" applyFill="1" applyBorder="1" applyProtection="1"/>
    <xf numFmtId="0" fontId="0" fillId="3" borderId="122" xfId="0" applyFill="1" applyBorder="1" applyAlignment="1">
      <alignment horizontal="center" vertical="center" wrapText="1"/>
    </xf>
    <xf numFmtId="172" fontId="5" fillId="52" borderId="122" xfId="2" applyNumberFormat="1" applyFont="1" applyFill="1" applyBorder="1" applyAlignment="1">
      <alignment horizontal="right" vertical="center"/>
    </xf>
    <xf numFmtId="173" fontId="5" fillId="3" borderId="122" xfId="2" applyNumberFormat="1" applyFont="1" applyFill="1" applyBorder="1"/>
    <xf numFmtId="173" fontId="3" fillId="52" borderId="122" xfId="1" applyNumberFormat="1" applyFont="1" applyFill="1" applyBorder="1" applyAlignment="1">
      <alignment horizontal="right"/>
    </xf>
    <xf numFmtId="178" fontId="0" fillId="51" borderId="122" xfId="0" applyNumberFormat="1" applyFill="1" applyBorder="1" applyAlignment="1">
      <alignment horizontal="right" vertical="top"/>
    </xf>
    <xf numFmtId="173" fontId="5" fillId="38" borderId="122" xfId="1" applyNumberFormat="1" applyFont="1" applyFill="1" applyBorder="1" applyProtection="1"/>
    <xf numFmtId="14" fontId="5" fillId="3" borderId="122" xfId="2" applyNumberFormat="1" applyFont="1" applyFill="1" applyBorder="1"/>
    <xf numFmtId="14" fontId="5" fillId="3" borderId="122" xfId="2" applyNumberFormat="1" applyFont="1" applyFill="1" applyBorder="1" applyAlignment="1">
      <alignment horizontal="center" vertical="center"/>
    </xf>
    <xf numFmtId="172" fontId="5" fillId="3" borderId="122" xfId="2" applyNumberFormat="1" applyFont="1" applyFill="1" applyBorder="1"/>
    <xf numFmtId="252" fontId="0" fillId="3" borderId="60" xfId="0" applyNumberFormat="1" applyFill="1" applyBorder="1" applyAlignment="1">
      <alignment horizontal="right" vertical="top"/>
    </xf>
    <xf numFmtId="172" fontId="0" fillId="51" borderId="65" xfId="1" applyNumberFormat="1" applyFont="1" applyFill="1" applyBorder="1" applyAlignment="1">
      <alignment horizontal="right"/>
    </xf>
    <xf numFmtId="172" fontId="5" fillId="51" borderId="65" xfId="1" applyNumberFormat="1" applyFont="1" applyFill="1" applyBorder="1"/>
    <xf numFmtId="43" fontId="0" fillId="0" borderId="0" xfId="0" applyNumberFormat="1" applyAlignment="1">
      <alignment horizontal="left" vertical="top"/>
    </xf>
    <xf numFmtId="2" fontId="5" fillId="52" borderId="64" xfId="7" applyNumberFormat="1" applyFont="1" applyFill="1" applyBorder="1" applyAlignment="1">
      <alignment horizontal="center"/>
    </xf>
    <xf numFmtId="252" fontId="0" fillId="3" borderId="60" xfId="0" applyNumberFormat="1" applyFont="1" applyFill="1" applyBorder="1" applyAlignment="1">
      <alignment horizontal="right" vertical="top"/>
    </xf>
    <xf numFmtId="0" fontId="0" fillId="0" borderId="0" xfId="0" applyAlignment="1">
      <alignment horizont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43" fontId="0" fillId="0" borderId="0" xfId="0" applyNumberFormat="1" applyFill="1" applyBorder="1" applyAlignment="1">
      <alignment horizontal="left" vertical="top"/>
    </xf>
    <xf numFmtId="0" fontId="0" fillId="3" borderId="0" xfId="0" applyFont="1" applyFill="1" applyAlignment="1">
      <alignment horizontal="left" vertical="top" indent="1"/>
    </xf>
    <xf numFmtId="173" fontId="0" fillId="42" borderId="63" xfId="0" applyNumberFormat="1" applyFill="1" applyBorder="1" applyAlignment="1">
      <alignment horizontal="left" vertical="center" wrapText="1" indent="1"/>
    </xf>
    <xf numFmtId="0" fontId="0" fillId="3" borderId="99" xfId="0" applyFill="1" applyBorder="1" applyAlignment="1">
      <alignment horizontal="left" vertical="center" wrapText="1" indent="1"/>
    </xf>
    <xf numFmtId="0" fontId="0" fillId="3" borderId="100" xfId="0" applyFill="1" applyBorder="1" applyAlignment="1">
      <alignment horizontal="left" vertical="center" wrapText="1" indent="1"/>
    </xf>
    <xf numFmtId="0" fontId="0" fillId="3" borderId="94" xfId="0" applyFill="1" applyBorder="1" applyAlignment="1">
      <alignment horizontal="left" vertical="center" wrapText="1" indent="1"/>
    </xf>
    <xf numFmtId="0" fontId="0" fillId="3" borderId="101" xfId="0" applyFill="1" applyBorder="1" applyAlignment="1">
      <alignment horizontal="left" vertical="center" wrapText="1" indent="1"/>
    </xf>
    <xf numFmtId="0" fontId="0" fillId="3" borderId="102" xfId="0" applyFill="1" applyBorder="1" applyAlignment="1">
      <alignment horizontal="left" vertical="center" wrapText="1" indent="1"/>
    </xf>
    <xf numFmtId="0" fontId="0" fillId="3" borderId="96" xfId="0" applyFill="1" applyBorder="1" applyAlignment="1">
      <alignment horizontal="left" vertical="center" wrapText="1" indent="1"/>
    </xf>
    <xf numFmtId="3" fontId="0" fillId="0" borderId="123" xfId="0" applyNumberFormat="1" applyBorder="1" applyAlignment="1">
      <alignment horizontal="center" vertical="center" wrapText="1"/>
    </xf>
    <xf numFmtId="0" fontId="0" fillId="0" borderId="126" xfId="0" applyBorder="1" applyAlignment="1">
      <alignment horizontal="center" vertical="center" wrapText="1"/>
    </xf>
    <xf numFmtId="0" fontId="0" fillId="0" borderId="127" xfId="0" applyBorder="1" applyAlignment="1">
      <alignment horizontal="center" vertical="center" wrapText="1"/>
    </xf>
    <xf numFmtId="0" fontId="0" fillId="3" borderId="103" xfId="0" applyFill="1" applyBorder="1" applyAlignment="1">
      <alignment horizontal="left" vertical="center" wrapText="1" indent="1"/>
    </xf>
    <xf numFmtId="0" fontId="0" fillId="3" borderId="84" xfId="0" applyFill="1" applyBorder="1" applyAlignment="1">
      <alignment horizontal="left" vertical="center" wrapText="1" indent="1"/>
    </xf>
    <xf numFmtId="0" fontId="0" fillId="3" borderId="98" xfId="0" applyFill="1" applyBorder="1" applyAlignment="1">
      <alignment horizontal="left" vertical="center" wrapText="1" indent="1"/>
    </xf>
    <xf numFmtId="0" fontId="0" fillId="0" borderId="123" xfId="0" applyBorder="1" applyAlignment="1">
      <alignment horizontal="center" vertical="center" wrapText="1"/>
    </xf>
    <xf numFmtId="0" fontId="0" fillId="3" borderId="123" xfId="0" applyFill="1" applyBorder="1" applyAlignment="1">
      <alignment horizontal="left" vertical="center" indent="1"/>
    </xf>
    <xf numFmtId="0" fontId="0" fillId="3" borderId="127" xfId="0" applyFill="1" applyBorder="1" applyAlignment="1">
      <alignment horizontal="left" vertical="center" indent="1"/>
    </xf>
    <xf numFmtId="0" fontId="0" fillId="3" borderId="123" xfId="0" applyFill="1" applyBorder="1" applyAlignment="1">
      <alignment horizontal="left" vertical="center" wrapText="1" indent="1"/>
    </xf>
    <xf numFmtId="0" fontId="0" fillId="3" borderId="127" xfId="0" applyFill="1" applyBorder="1" applyAlignment="1">
      <alignment horizontal="left" vertical="center" wrapText="1" indent="1"/>
    </xf>
    <xf numFmtId="0" fontId="0" fillId="0" borderId="122" xfId="0" applyBorder="1" applyAlignment="1">
      <alignment horizontal="center"/>
    </xf>
    <xf numFmtId="0" fontId="29" fillId="0" borderId="122" xfId="92" applyBorder="1" applyAlignment="1">
      <alignment horizontal="center"/>
    </xf>
    <xf numFmtId="1" fontId="3" fillId="0" borderId="123" xfId="0" applyNumberFormat="1" applyFont="1" applyFill="1" applyBorder="1" applyAlignment="1">
      <alignment horizontal="center" vertical="center"/>
    </xf>
    <xf numFmtId="1" fontId="3" fillId="0" borderId="126" xfId="0" applyNumberFormat="1" applyFont="1" applyFill="1" applyBorder="1" applyAlignment="1">
      <alignment horizontal="center" vertical="center"/>
    </xf>
    <xf numFmtId="1" fontId="3" fillId="0" borderId="127" xfId="0" applyNumberFormat="1" applyFont="1" applyFill="1" applyBorder="1" applyAlignment="1">
      <alignment horizontal="center" vertical="center"/>
    </xf>
    <xf numFmtId="0" fontId="0" fillId="0" borderId="103" xfId="0" applyBorder="1" applyAlignment="1">
      <alignment horizontal="left"/>
    </xf>
    <xf numFmtId="0" fontId="0" fillId="0" borderId="84" xfId="0" applyBorder="1" applyAlignment="1">
      <alignment horizontal="left"/>
    </xf>
    <xf numFmtId="0" fontId="0" fillId="0" borderId="86" xfId="0" applyBorder="1" applyAlignment="1">
      <alignment horizontal="left"/>
    </xf>
    <xf numFmtId="0" fontId="0" fillId="0" borderId="101" xfId="0" applyBorder="1" applyAlignment="1">
      <alignment horizontal="left"/>
    </xf>
    <xf numFmtId="0" fontId="0" fillId="0" borderId="102" xfId="0" applyBorder="1" applyAlignment="1">
      <alignment horizontal="left"/>
    </xf>
    <xf numFmtId="0" fontId="0" fillId="0" borderId="82" xfId="0" applyBorder="1" applyAlignment="1">
      <alignment horizontal="left"/>
    </xf>
    <xf numFmtId="0" fontId="0" fillId="0" borderId="99" xfId="0" applyBorder="1" applyAlignment="1">
      <alignment horizontal="left"/>
    </xf>
    <xf numFmtId="0" fontId="0" fillId="0" borderId="100" xfId="0" applyBorder="1" applyAlignment="1">
      <alignment horizontal="left"/>
    </xf>
    <xf numFmtId="0" fontId="0" fillId="0" borderId="87" xfId="0" applyBorder="1" applyAlignment="1">
      <alignment horizontal="left"/>
    </xf>
    <xf numFmtId="0" fontId="0" fillId="0" borderId="97" xfId="0" applyBorder="1" applyAlignment="1">
      <alignment horizontal="center"/>
    </xf>
    <xf numFmtId="0" fontId="0" fillId="0" borderId="98"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0" fillId="53" borderId="0" xfId="0" applyFill="1" applyAlignment="1">
      <alignment horizontal="left" wrapText="1"/>
    </xf>
    <xf numFmtId="3" fontId="0" fillId="0" borderId="127" xfId="0" applyNumberFormat="1" applyBorder="1" applyAlignment="1">
      <alignment horizontal="center" vertical="center" wrapText="1"/>
    </xf>
    <xf numFmtId="0" fontId="5" fillId="36" borderId="122" xfId="75" applyNumberFormat="1" applyFont="1" applyFill="1" applyBorder="1" applyAlignment="1" applyProtection="1">
      <alignment horizontal="left" vertical="top" wrapText="1"/>
    </xf>
    <xf numFmtId="0" fontId="0" fillId="0" borderId="122" xfId="0" applyBorder="1" applyAlignment="1">
      <alignment horizontal="left" vertical="top" wrapText="1"/>
    </xf>
    <xf numFmtId="0" fontId="28" fillId="0" borderId="122" xfId="75" applyFont="1" applyBorder="1" applyAlignment="1">
      <alignment horizontal="center" vertical="center" wrapText="1"/>
    </xf>
    <xf numFmtId="0" fontId="0" fillId="0" borderId="122"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53" borderId="131" xfId="0" applyNumberFormat="1" applyFont="1" applyFill="1" applyBorder="1" applyAlignment="1">
      <alignment horizontal="center" vertical="top" wrapText="1"/>
    </xf>
    <xf numFmtId="0" fontId="0" fillId="53" borderId="1" xfId="0" applyNumberFormat="1" applyFont="1" applyFill="1" applyBorder="1" applyAlignment="1">
      <alignment horizontal="center" vertical="top" wrapText="1"/>
    </xf>
    <xf numFmtId="0" fontId="0" fillId="53" borderId="108" xfId="0" applyNumberFormat="1" applyFont="1" applyFill="1" applyBorder="1" applyAlignment="1">
      <alignment horizontal="center" vertical="top" wrapText="1"/>
    </xf>
  </cellXfs>
  <cellStyles count="51685">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5"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4" xr:uid="{00000000-0005-0000-0000-000017010000}"/>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48" xr:uid="{00000000-0005-0000-0000-000034010000}"/>
    <cellStyle name="% 2 2 3" xfId="404" xr:uid="{00000000-0005-0000-0000-000035010000}"/>
    <cellStyle name="% 2 2 3 2" xfId="405" xr:uid="{00000000-0005-0000-0000-000036010000}"/>
    <cellStyle name="% 2 2 4" xfId="48247"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46"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49"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1" xr:uid="{00000000-0005-0000-0000-000040020000}"/>
    <cellStyle name="% 4 3" xfId="668" xr:uid="{00000000-0005-0000-0000-000041020000}"/>
    <cellStyle name="% 4 3 2" xfId="48252" xr:uid="{00000000-0005-0000-0000-000042020000}"/>
    <cellStyle name="% 4 4" xfId="669" xr:uid="{00000000-0005-0000-0000-000043020000}"/>
    <cellStyle name="% 4 4 2" xfId="48253" xr:uid="{00000000-0005-0000-0000-000044020000}"/>
    <cellStyle name="% 4 5" xfId="670" xr:uid="{00000000-0005-0000-0000-000045020000}"/>
    <cellStyle name="% 4 5 2" xfId="48254" xr:uid="{00000000-0005-0000-0000-000046020000}"/>
    <cellStyle name="% 4 6" xfId="671" xr:uid="{00000000-0005-0000-0000-000047020000}"/>
    <cellStyle name="% 4 6 2" xfId="48255" xr:uid="{00000000-0005-0000-0000-000048020000}"/>
    <cellStyle name="% 4 7" xfId="672" xr:uid="{00000000-0005-0000-0000-000049020000}"/>
    <cellStyle name="% 4 7 2" xfId="48256" xr:uid="{00000000-0005-0000-0000-00004A020000}"/>
    <cellStyle name="% 4 8" xfId="673" xr:uid="{00000000-0005-0000-0000-00004B020000}"/>
    <cellStyle name="% 4 8 2" xfId="48257" xr:uid="{00000000-0005-0000-0000-00004C020000}"/>
    <cellStyle name="% 4 9" xfId="48250"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59" xr:uid="{00000000-0005-0000-0000-0000CA020000}"/>
    <cellStyle name="%_3.3 Tax 3" xfId="798" xr:uid="{00000000-0005-0000-0000-0000CB020000}"/>
    <cellStyle name="%_3.3 Tax 4" xfId="48258"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0"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1"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2"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3"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4"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5" xr:uid="{00000000-0005-0000-0000-000043030000}"/>
    <cellStyle name="%_VR NGET Opex tables_1.5 Opex Reconciliation NG" xfId="910" xr:uid="{00000000-0005-0000-0000-000044030000}"/>
    <cellStyle name="%_VR Pensions Opex tables" xfId="911" xr:uid="{00000000-0005-0000-0000-000045030000}"/>
    <cellStyle name="%_VR Pensions Opex tables 2" xfId="48266"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67" xr:uid="{00000000-0005-0000-0000-000056030000}"/>
    <cellStyle name="_0708 GSO Capex RRP (detail)" xfId="927" xr:uid="{00000000-0005-0000-0000-000057030000}"/>
    <cellStyle name="_0708 GSO Capex RRP (detail) 2" xfId="48269" xr:uid="{00000000-0005-0000-0000-000058030000}"/>
    <cellStyle name="_0708 GSO Capex RRP (detail) 2 2" xfId="48270" xr:uid="{00000000-0005-0000-0000-000059030000}"/>
    <cellStyle name="_0708 GSO Capex RRP (detail) 2 3" xfId="48271" xr:uid="{00000000-0005-0000-0000-00005A030000}"/>
    <cellStyle name="_0708 GSO Capex RRP (detail) 2 4" xfId="48272" xr:uid="{00000000-0005-0000-0000-00005B030000}"/>
    <cellStyle name="_0708 GSO Capex RRP (detail) 2 5" xfId="48273" xr:uid="{00000000-0005-0000-0000-00005C030000}"/>
    <cellStyle name="_0708 GSO Capex RRP (detail) 2 6" xfId="48274" xr:uid="{00000000-0005-0000-0000-00005D030000}"/>
    <cellStyle name="_0708 GSO Capex RRP (detail) 2 7" xfId="48275" xr:uid="{00000000-0005-0000-0000-00005E030000}"/>
    <cellStyle name="_0708 GSO Capex RRP (detail) 2 8" xfId="48276" xr:uid="{00000000-0005-0000-0000-00005F030000}"/>
    <cellStyle name="_0708 GSO Capex RRP (detail) 3" xfId="48268" xr:uid="{00000000-0005-0000-0000-000060030000}"/>
    <cellStyle name="_0708 GSO Capex RRP (detail)_Opex Input" xfId="48277"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78"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0" xr:uid="{00000000-0005-0000-0000-00009F030000}"/>
    <cellStyle name="_Book4 2 2" xfId="48281" xr:uid="{00000000-0005-0000-0000-0000A0030000}"/>
    <cellStyle name="_Book4 2 3" xfId="48282" xr:uid="{00000000-0005-0000-0000-0000A1030000}"/>
    <cellStyle name="_Book4 2 4" xfId="48283" xr:uid="{00000000-0005-0000-0000-0000A2030000}"/>
    <cellStyle name="_Book4 2 5" xfId="48284" xr:uid="{00000000-0005-0000-0000-0000A3030000}"/>
    <cellStyle name="_Book4 2 6" xfId="48285" xr:uid="{00000000-0005-0000-0000-0000A4030000}"/>
    <cellStyle name="_Book4 2 7" xfId="48286" xr:uid="{00000000-0005-0000-0000-0000A5030000}"/>
    <cellStyle name="_Book4 2 8" xfId="48287" xr:uid="{00000000-0005-0000-0000-0000A6030000}"/>
    <cellStyle name="_Book4 3" xfId="48279"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88" xr:uid="{00000000-0005-0000-0000-0000B2030000}"/>
    <cellStyle name="_BP10+post TIC 1 Jun" xfId="998" xr:uid="{00000000-0005-0000-0000-0000B3030000}"/>
    <cellStyle name="_BP10+post TIC 1 Jun 2" xfId="48290" xr:uid="{00000000-0005-0000-0000-0000B4030000}"/>
    <cellStyle name="_BP10+post TIC 1 Jun 2 2" xfId="48291" xr:uid="{00000000-0005-0000-0000-0000B5030000}"/>
    <cellStyle name="_BP10+post TIC 1 Jun 2 3" xfId="48292" xr:uid="{00000000-0005-0000-0000-0000B6030000}"/>
    <cellStyle name="_BP10+post TIC 1 Jun 2 4" xfId="48293" xr:uid="{00000000-0005-0000-0000-0000B7030000}"/>
    <cellStyle name="_BP10+post TIC 1 Jun 2 5" xfId="48294" xr:uid="{00000000-0005-0000-0000-0000B8030000}"/>
    <cellStyle name="_BP10+post TIC 1 Jun 2 6" xfId="48295" xr:uid="{00000000-0005-0000-0000-0000B9030000}"/>
    <cellStyle name="_BP10+post TIC 1 Jun 2 7" xfId="48296" xr:uid="{00000000-0005-0000-0000-0000BA030000}"/>
    <cellStyle name="_BP10+post TIC 1 Jun 2 8" xfId="48297" xr:uid="{00000000-0005-0000-0000-0000BB030000}"/>
    <cellStyle name="_BP10+post TIC 1 Jun 3" xfId="48289"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298" xr:uid="{00000000-0005-0000-0000-0000CB030000}"/>
    <cellStyle name="_Capital Plan - IS UK_0910 GSO Capex RRP - Final (Detail) v2 220710" xfId="1013" xr:uid="{00000000-0005-0000-0000-0000CC030000}"/>
    <cellStyle name="_Capital Plan - IS UK_0910 GSO Capex RRP - Final (Detail) v2 220710 2" xfId="48300" xr:uid="{00000000-0005-0000-0000-0000CD030000}"/>
    <cellStyle name="_Capital Plan - IS UK_0910 GSO Capex RRP - Final (Detail) v2 220710 2 2" xfId="48301" xr:uid="{00000000-0005-0000-0000-0000CE030000}"/>
    <cellStyle name="_Capital Plan - IS UK_0910 GSO Capex RRP - Final (Detail) v2 220710 2 3" xfId="48302" xr:uid="{00000000-0005-0000-0000-0000CF030000}"/>
    <cellStyle name="_Capital Plan - IS UK_0910 GSO Capex RRP - Final (Detail) v2 220710 2 4" xfId="48303" xr:uid="{00000000-0005-0000-0000-0000D0030000}"/>
    <cellStyle name="_Capital Plan - IS UK_0910 GSO Capex RRP - Final (Detail) v2 220710 2 5" xfId="48304" xr:uid="{00000000-0005-0000-0000-0000D1030000}"/>
    <cellStyle name="_Capital Plan - IS UK_0910 GSO Capex RRP - Final (Detail) v2 220710 2 6" xfId="48305" xr:uid="{00000000-0005-0000-0000-0000D2030000}"/>
    <cellStyle name="_Capital Plan - IS UK_0910 GSO Capex RRP - Final (Detail) v2 220710 2 7" xfId="48306" xr:uid="{00000000-0005-0000-0000-0000D3030000}"/>
    <cellStyle name="_Capital Plan - IS UK_0910 GSO Capex RRP - Final (Detail) v2 220710 2 8" xfId="48307" xr:uid="{00000000-0005-0000-0000-0000D4030000}"/>
    <cellStyle name="_Capital Plan - IS UK_0910 GSO Capex RRP - Final (Detail) v2 220710 3" xfId="48299" xr:uid="{00000000-0005-0000-0000-0000D5030000}"/>
    <cellStyle name="_Capital Plan - IS UK_0910 GSO Capex RRP - Final (Detail) v2 220710_Opex Input" xfId="48308"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0" xr:uid="{00000000-0005-0000-0000-000010040000}"/>
    <cellStyle name="_Gas TO major Projects Forecast Jun-10 2 2" xfId="48311" xr:uid="{00000000-0005-0000-0000-000011040000}"/>
    <cellStyle name="_Gas TO major Projects Forecast Jun-10 2 3" xfId="48312" xr:uid="{00000000-0005-0000-0000-000012040000}"/>
    <cellStyle name="_Gas TO major Projects Forecast Jun-10 2 4" xfId="48313" xr:uid="{00000000-0005-0000-0000-000013040000}"/>
    <cellStyle name="_Gas TO major Projects Forecast Jun-10 2 5" xfId="48314" xr:uid="{00000000-0005-0000-0000-000014040000}"/>
    <cellStyle name="_Gas TO major Projects Forecast Jun-10 2 6" xfId="48315" xr:uid="{00000000-0005-0000-0000-000015040000}"/>
    <cellStyle name="_Gas TO major Projects Forecast Jun-10 2 7" xfId="48316" xr:uid="{00000000-0005-0000-0000-000016040000}"/>
    <cellStyle name="_Gas TO major Projects Forecast Jun-10 2 8" xfId="48317" xr:uid="{00000000-0005-0000-0000-000017040000}"/>
    <cellStyle name="_Gas TO major Projects Forecast Jun-10 3" xfId="48309" xr:uid="{00000000-0005-0000-0000-000018040000}"/>
    <cellStyle name="_Gas TO major Projects Forecast May-10 BP10+ v5" xfId="1071" xr:uid="{00000000-0005-0000-0000-000019040000}"/>
    <cellStyle name="_Gas TO major Projects Forecast May-10 BP10+ v5 2" xfId="48319" xr:uid="{00000000-0005-0000-0000-00001A040000}"/>
    <cellStyle name="_Gas TO major Projects Forecast May-10 BP10+ v5 2 2" xfId="48320" xr:uid="{00000000-0005-0000-0000-00001B040000}"/>
    <cellStyle name="_Gas TO major Projects Forecast May-10 BP10+ v5 2 3" xfId="48321" xr:uid="{00000000-0005-0000-0000-00001C040000}"/>
    <cellStyle name="_Gas TO major Projects Forecast May-10 BP10+ v5 2 4" xfId="48322" xr:uid="{00000000-0005-0000-0000-00001D040000}"/>
    <cellStyle name="_Gas TO major Projects Forecast May-10 BP10+ v5 2 5" xfId="48323" xr:uid="{00000000-0005-0000-0000-00001E040000}"/>
    <cellStyle name="_Gas TO major Projects Forecast May-10 BP10+ v5 2 6" xfId="48324" xr:uid="{00000000-0005-0000-0000-00001F040000}"/>
    <cellStyle name="_Gas TO major Projects Forecast May-10 BP10+ v5 2 7" xfId="48325" xr:uid="{00000000-0005-0000-0000-000020040000}"/>
    <cellStyle name="_Gas TO major Projects Forecast May-10 BP10+ v5 2 8" xfId="48326" xr:uid="{00000000-0005-0000-0000-000021040000}"/>
    <cellStyle name="_Gas TO major Projects Forecast May-10 BP10+ v5 3" xfId="48318"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27"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28"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29" xr:uid="{00000000-0005-0000-0000-0000C5040000}"/>
    <cellStyle name="=C:\WINNT\SYSTEM32\COMMAND.COM 12" xfId="1232" xr:uid="{00000000-0005-0000-0000-0000C6040000}"/>
    <cellStyle name="=C:\WINNT\SYSTEM32\COMMAND.COM 12 2" xfId="1233" xr:uid="{00000000-0005-0000-0000-0000C7040000}"/>
    <cellStyle name="=C:\WINNT\SYSTEM32\COMMAND.COM 12 3" xfId="48330" xr:uid="{00000000-0005-0000-0000-0000C8040000}"/>
    <cellStyle name="=C:\WINNT\SYSTEM32\COMMAND.COM 13" xfId="1234" xr:uid="{00000000-0005-0000-0000-0000C9040000}"/>
    <cellStyle name="=C:\WINNT\SYSTEM32\COMMAND.COM 13 2" xfId="48331" xr:uid="{00000000-0005-0000-0000-0000CA040000}"/>
    <cellStyle name="=C:\WINNT\SYSTEM32\COMMAND.COM 14" xfId="1235" xr:uid="{00000000-0005-0000-0000-0000CB040000}"/>
    <cellStyle name="=C:\WINNT\SYSTEM32\COMMAND.COM 14 2" xfId="48332" xr:uid="{00000000-0005-0000-0000-0000CC040000}"/>
    <cellStyle name="=C:\WINNT\SYSTEM32\COMMAND.COM 15" xfId="1236" xr:uid="{00000000-0005-0000-0000-0000CD040000}"/>
    <cellStyle name="=C:\WINNT\SYSTEM32\COMMAND.COM 15 2" xfId="48333" xr:uid="{00000000-0005-0000-0000-0000CE040000}"/>
    <cellStyle name="=C:\WINNT\SYSTEM32\COMMAND.COM 16" xfId="1237" xr:uid="{00000000-0005-0000-0000-0000CF040000}"/>
    <cellStyle name="=C:\WINNT\SYSTEM32\COMMAND.COM 16 2" xfId="48334" xr:uid="{00000000-0005-0000-0000-0000D0040000}"/>
    <cellStyle name="=C:\WINNT\SYSTEM32\COMMAND.COM 17" xfId="1238" xr:uid="{00000000-0005-0000-0000-0000D1040000}"/>
    <cellStyle name="=C:\WINNT\SYSTEM32\COMMAND.COM 17 2" xfId="48335" xr:uid="{00000000-0005-0000-0000-0000D2040000}"/>
    <cellStyle name="=C:\WINNT\SYSTEM32\COMMAND.COM 18" xfId="1239" xr:uid="{00000000-0005-0000-0000-0000D3040000}"/>
    <cellStyle name="=C:\WINNT\SYSTEM32\COMMAND.COM 18 2" xfId="48336" xr:uid="{00000000-0005-0000-0000-0000D4040000}"/>
    <cellStyle name="=C:\WINNT\SYSTEM32\COMMAND.COM 19" xfId="1240" xr:uid="{00000000-0005-0000-0000-0000D5040000}"/>
    <cellStyle name="=C:\WINNT\SYSTEM32\COMMAND.COM 19 2" xfId="48337" xr:uid="{00000000-0005-0000-0000-0000D6040000}"/>
    <cellStyle name="=C:\WINNT\SYSTEM32\COMMAND.COM 2" xfId="1241" xr:uid="{00000000-0005-0000-0000-0000D7040000}"/>
    <cellStyle name="=C:\WINNT\SYSTEM32\COMMAND.COM 2 10" xfId="49399"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0" xr:uid="{00000000-0005-0000-0000-0000E6040000}"/>
    <cellStyle name="=C:\WINNT\SYSTEM32\COMMAND.COM 2 2 2 3" xfId="48341" xr:uid="{00000000-0005-0000-0000-0000E7040000}"/>
    <cellStyle name="=C:\WINNT\SYSTEM32\COMMAND.COM 2 2 2 4" xfId="48339"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2"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38"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3" xr:uid="{00000000-0005-0000-0000-000012050000}"/>
    <cellStyle name="=C:\WINNT\SYSTEM32\COMMAND.COM 2 4" xfId="1292" xr:uid="{00000000-0005-0000-0000-000013050000}"/>
    <cellStyle name="=C:\WINNT\SYSTEM32\COMMAND.COM 2 4 2" xfId="49381" xr:uid="{00000000-0005-0000-0000-000014050000}"/>
    <cellStyle name="=C:\WINNT\SYSTEM32\COMMAND.COM 2 5" xfId="1293" xr:uid="{00000000-0005-0000-0000-000015050000}"/>
    <cellStyle name="=C:\WINNT\SYSTEM32\COMMAND.COM 2 5 2" xfId="49396" xr:uid="{00000000-0005-0000-0000-000016050000}"/>
    <cellStyle name="=C:\WINNT\SYSTEM32\COMMAND.COM 2 6" xfId="1294" xr:uid="{00000000-0005-0000-0000-000017050000}"/>
    <cellStyle name="=C:\WINNT\SYSTEM32\COMMAND.COM 2 6 2" xfId="49382" xr:uid="{00000000-0005-0000-0000-000018050000}"/>
    <cellStyle name="=C:\WINNT\SYSTEM32\COMMAND.COM 2 7" xfId="1295" xr:uid="{00000000-0005-0000-0000-000019050000}"/>
    <cellStyle name="=C:\WINNT\SYSTEM32\COMMAND.COM 2 7 2" xfId="49385" xr:uid="{00000000-0005-0000-0000-00001A050000}"/>
    <cellStyle name="=C:\WINNT\SYSTEM32\COMMAND.COM 2 8" xfId="1296" xr:uid="{00000000-0005-0000-0000-00001B050000}"/>
    <cellStyle name="=C:\WINNT\SYSTEM32\COMMAND.COM 2 8 2" xfId="49383" xr:uid="{00000000-0005-0000-0000-00001C050000}"/>
    <cellStyle name="=C:\WINNT\SYSTEM32\COMMAND.COM 2 9" xfId="1297" xr:uid="{00000000-0005-0000-0000-00001D050000}"/>
    <cellStyle name="=C:\WINNT\SYSTEM32\COMMAND.COM 2 9 2" xfId="49384" xr:uid="{00000000-0005-0000-0000-00001E050000}"/>
    <cellStyle name="=C:\WINNT\SYSTEM32\COMMAND.COM 2_Opex Input" xfId="48344" xr:uid="{00000000-0005-0000-0000-00001F050000}"/>
    <cellStyle name="=C:\WINNT\SYSTEM32\COMMAND.COM 20" xfId="1298" xr:uid="{00000000-0005-0000-0000-000020050000}"/>
    <cellStyle name="=C:\WINNT\SYSTEM32\COMMAND.COM 20 2" xfId="48345" xr:uid="{00000000-0005-0000-0000-000021050000}"/>
    <cellStyle name="=C:\WINNT\SYSTEM32\COMMAND.COM 21" xfId="1299" xr:uid="{00000000-0005-0000-0000-000022050000}"/>
    <cellStyle name="=C:\WINNT\SYSTEM32\COMMAND.COM 21 2" xfId="48346" xr:uid="{00000000-0005-0000-0000-000023050000}"/>
    <cellStyle name="=C:\WINNT\SYSTEM32\COMMAND.COM 22" xfId="1300" xr:uid="{00000000-0005-0000-0000-000024050000}"/>
    <cellStyle name="=C:\WINNT\SYSTEM32\COMMAND.COM 22 2" xfId="48347" xr:uid="{00000000-0005-0000-0000-000025050000}"/>
    <cellStyle name="=C:\WINNT\SYSTEM32\COMMAND.COM 23" xfId="1301" xr:uid="{00000000-0005-0000-0000-000026050000}"/>
    <cellStyle name="=C:\WINNT\SYSTEM32\COMMAND.COM 23 2" xfId="48349" xr:uid="{00000000-0005-0000-0000-000027050000}"/>
    <cellStyle name="=C:\WINNT\SYSTEM32\COMMAND.COM 23 3" xfId="48348" xr:uid="{00000000-0005-0000-0000-000028050000}"/>
    <cellStyle name="=C:\WINNT\SYSTEM32\COMMAND.COM 24" xfId="1302" xr:uid="{00000000-0005-0000-0000-000029050000}"/>
    <cellStyle name="=C:\WINNT\SYSTEM32\COMMAND.COM 24 2" xfId="48350" xr:uid="{00000000-0005-0000-0000-00002A050000}"/>
    <cellStyle name="=C:\WINNT\SYSTEM32\COMMAND.COM 25" xfId="1303" xr:uid="{00000000-0005-0000-0000-00002B050000}"/>
    <cellStyle name="=C:\WINNT\SYSTEM32\COMMAND.COM 25 2" xfId="48352" xr:uid="{00000000-0005-0000-0000-00002C050000}"/>
    <cellStyle name="=C:\WINNT\SYSTEM32\COMMAND.COM 25 3" xfId="48353" xr:uid="{00000000-0005-0000-0000-00002D050000}"/>
    <cellStyle name="=C:\WINNT\SYSTEM32\COMMAND.COM 25 4" xfId="48351" xr:uid="{00000000-0005-0000-0000-00002E050000}"/>
    <cellStyle name="=C:\WINNT\SYSTEM32\COMMAND.COM 26" xfId="1304" xr:uid="{00000000-0005-0000-0000-00002F050000}"/>
    <cellStyle name="=C:\WINNT\SYSTEM32\COMMAND.COM 26 2" xfId="48354" xr:uid="{00000000-0005-0000-0000-000030050000}"/>
    <cellStyle name="=C:\WINNT\SYSTEM32\COMMAND.COM 27" xfId="1305" xr:uid="{00000000-0005-0000-0000-000031050000}"/>
    <cellStyle name="=C:\WINNT\SYSTEM32\COMMAND.COM 27 2" xfId="48355" xr:uid="{00000000-0005-0000-0000-000032050000}"/>
    <cellStyle name="=C:\WINNT\SYSTEM32\COMMAND.COM 28" xfId="1306" xr:uid="{00000000-0005-0000-0000-000033050000}"/>
    <cellStyle name="=C:\WINNT\SYSTEM32\COMMAND.COM 28 2" xfId="48356" xr:uid="{00000000-0005-0000-0000-000034050000}"/>
    <cellStyle name="=C:\WINNT\SYSTEM32\COMMAND.COM 29" xfId="1307" xr:uid="{00000000-0005-0000-0000-000035050000}"/>
    <cellStyle name="=C:\WINNT\SYSTEM32\COMMAND.COM 29 2" xfId="48357"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58" xr:uid="{00000000-0005-0000-0000-000040050000}"/>
    <cellStyle name="=C:\WINNT\SYSTEM32\COMMAND.COM 31" xfId="1316" xr:uid="{00000000-0005-0000-0000-000041050000}"/>
    <cellStyle name="=C:\WINNT\SYSTEM32\COMMAND.COM 31 2" xfId="48359" xr:uid="{00000000-0005-0000-0000-000042050000}"/>
    <cellStyle name="=C:\WINNT\SYSTEM32\COMMAND.COM 32" xfId="1317" xr:uid="{00000000-0005-0000-0000-000043050000}"/>
    <cellStyle name="=C:\WINNT\SYSTEM32\COMMAND.COM 32 2" xfId="48360" xr:uid="{00000000-0005-0000-0000-000044050000}"/>
    <cellStyle name="=C:\WINNT\SYSTEM32\COMMAND.COM 33" xfId="1318" xr:uid="{00000000-0005-0000-0000-000045050000}"/>
    <cellStyle name="=C:\WINNT\SYSTEM32\COMMAND.COM 33 2" xfId="48361"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3"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4"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2"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5"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66"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67" xr:uid="{00000000-0005-0000-0000-000052060000}"/>
    <cellStyle name="=C:\WINNT\SYSTEM32\COMMAND.COM 8" xfId="1581" xr:uid="{00000000-0005-0000-0000-000053060000}"/>
    <cellStyle name="=C:\WINNT\SYSTEM32\COMMAND.COM 8 2" xfId="48368" xr:uid="{00000000-0005-0000-0000-000054060000}"/>
    <cellStyle name="=C:\WINNT\SYSTEM32\COMMAND.COM 9" xfId="1582" xr:uid="{00000000-0005-0000-0000-000055060000}"/>
    <cellStyle name="=C:\WINNT\SYSTEM32\COMMAND.COM 9 2" xfId="48369"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0"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1"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2"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3"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4"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5"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76"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77"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78"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79"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0"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1"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2"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3"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4"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5"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86"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87"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88"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89"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0"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1"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2"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3"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4"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5"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396"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397"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398"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399"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0"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1"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2"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3"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4"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5"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06"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07" xr:uid="{00000000-0005-0000-0000-0000E0080000}"/>
    <cellStyle name="Accent1 - 40%" xfId="12" xr:uid="{00000000-0005-0000-0000-0000E1080000}"/>
    <cellStyle name="Accent1 - 40% 2" xfId="2194" xr:uid="{00000000-0005-0000-0000-0000E2080000}"/>
    <cellStyle name="Accent1 - 40% 3" xfId="48408" xr:uid="{00000000-0005-0000-0000-0000E3080000}"/>
    <cellStyle name="Accent1 - 60%" xfId="13" xr:uid="{00000000-0005-0000-0000-0000E4080000}"/>
    <cellStyle name="Accent1 - 60% 2" xfId="48409"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0"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1"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2" xr:uid="{00000000-0005-0000-0000-000008090000}"/>
    <cellStyle name="Accent2 - 40%" xfId="15" xr:uid="{00000000-0005-0000-0000-000009090000}"/>
    <cellStyle name="Accent2 - 40% 2" xfId="2226" xr:uid="{00000000-0005-0000-0000-00000A090000}"/>
    <cellStyle name="Accent2 - 40% 3" xfId="48413" xr:uid="{00000000-0005-0000-0000-00000B090000}"/>
    <cellStyle name="Accent2 - 60%" xfId="16" xr:uid="{00000000-0005-0000-0000-00000C090000}"/>
    <cellStyle name="Accent2 - 60% 2" xfId="48414"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5"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16"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17" xr:uid="{00000000-0005-0000-0000-000030090000}"/>
    <cellStyle name="Accent3 - 40%" xfId="18" xr:uid="{00000000-0005-0000-0000-000031090000}"/>
    <cellStyle name="Accent3 - 40% 2" xfId="2258" xr:uid="{00000000-0005-0000-0000-000032090000}"/>
    <cellStyle name="Accent3 - 40% 3" xfId="48418" xr:uid="{00000000-0005-0000-0000-000033090000}"/>
    <cellStyle name="Accent3 - 60%" xfId="19" xr:uid="{00000000-0005-0000-0000-000034090000}"/>
    <cellStyle name="Accent3 - 60% 2" xfId="48419"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0"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1"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2" xr:uid="{00000000-0005-0000-0000-000058090000}"/>
    <cellStyle name="Accent4 - 40%" xfId="21" xr:uid="{00000000-0005-0000-0000-000059090000}"/>
    <cellStyle name="Accent4 - 40% 2" xfId="2290" xr:uid="{00000000-0005-0000-0000-00005A090000}"/>
    <cellStyle name="Accent4 - 40% 3" xfId="48423" xr:uid="{00000000-0005-0000-0000-00005B090000}"/>
    <cellStyle name="Accent4 - 60%" xfId="22" xr:uid="{00000000-0005-0000-0000-00005C090000}"/>
    <cellStyle name="Accent4 - 60% 2" xfId="48424"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5"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26"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27" xr:uid="{00000000-0005-0000-0000-000080090000}"/>
    <cellStyle name="Accent5 - 40%" xfId="24" xr:uid="{00000000-0005-0000-0000-000081090000}"/>
    <cellStyle name="Accent5 - 40% 2" xfId="2322" xr:uid="{00000000-0005-0000-0000-000082090000}"/>
    <cellStyle name="Accent5 - 40% 3" xfId="48428" xr:uid="{00000000-0005-0000-0000-000083090000}"/>
    <cellStyle name="Accent5 - 60%" xfId="25" xr:uid="{00000000-0005-0000-0000-000084090000}"/>
    <cellStyle name="Accent5 - 60% 2" xfId="48429"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0"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1"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2" xr:uid="{00000000-0005-0000-0000-0000A8090000}"/>
    <cellStyle name="Accent6 - 40%" xfId="27" xr:uid="{00000000-0005-0000-0000-0000A9090000}"/>
    <cellStyle name="Accent6 - 40% 2" xfId="2354" xr:uid="{00000000-0005-0000-0000-0000AA090000}"/>
    <cellStyle name="Accent6 - 40% 3" xfId="48433" xr:uid="{00000000-0005-0000-0000-0000AB090000}"/>
    <cellStyle name="Accent6 - 60%" xfId="28" xr:uid="{00000000-0005-0000-0000-0000AC090000}"/>
    <cellStyle name="Accent6 - 60% 2" xfId="48434"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5"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36"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37"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38"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3" xr:uid="{00000000-0005-0000-0000-00009D0A0000}"/>
    <cellStyle name="Calculation 2 2 2 3" xfId="2590" xr:uid="{00000000-0005-0000-0000-00009E0A0000}"/>
    <cellStyle name="Calculation 2 2 2 3 2" xfId="51420" xr:uid="{00000000-0005-0000-0000-00009F0A0000}"/>
    <cellStyle name="Calculation 2 2 2 4" xfId="49794"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2"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66" xr:uid="{00000000-0005-0000-0000-0000B20A0000}"/>
    <cellStyle name="Calculation 2 2 4" xfId="2607" xr:uid="{00000000-0005-0000-0000-0000B30A0000}"/>
    <cellStyle name="Calculation 2 2 4 2" xfId="51349"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89" xr:uid="{00000000-0005-0000-0000-0000D10A0000}"/>
    <cellStyle name="Calculation 2 3 2 3" xfId="2636" xr:uid="{00000000-0005-0000-0000-0000D20A0000}"/>
    <cellStyle name="Calculation 2 3 2 3 2" xfId="51599" xr:uid="{00000000-0005-0000-0000-0000D30A0000}"/>
    <cellStyle name="Calculation 2 3 2 4" xfId="49921"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46"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3" xr:uid="{00000000-0005-0000-0000-0000E60A0000}"/>
    <cellStyle name="Calculation 2 3 4" xfId="2653" xr:uid="{00000000-0005-0000-0000-0000E70A0000}"/>
    <cellStyle name="Calculation 2 3 4 2" xfId="51499"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39"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0996" xr:uid="{00000000-0005-0000-0000-0000030B0000}"/>
    <cellStyle name="Calculation 2 4 2 3" xfId="2679" xr:uid="{00000000-0005-0000-0000-0000040B0000}"/>
    <cellStyle name="Calculation 2 4 2 3 2" xfId="51132" xr:uid="{00000000-0005-0000-0000-0000050B0000}"/>
    <cellStyle name="Calculation 2 4 2 4" xfId="49951"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57"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3" xr:uid="{00000000-0005-0000-0000-0000180B0000}"/>
    <cellStyle name="Calculation 2 4 4" xfId="2696" xr:uid="{00000000-0005-0000-0000-0000190B0000}"/>
    <cellStyle name="Calculation 2 4 4 2" xfId="50897"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0"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1"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29"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1"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07"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66"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1"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0" xr:uid="{00000000-0005-0000-0000-0000740B0000}"/>
    <cellStyle name="Calculation 2 9" xfId="2779" xr:uid="{00000000-0005-0000-0000-0000750B0000}"/>
    <cellStyle name="Calculation 2 9 2" xfId="2780" xr:uid="{00000000-0005-0000-0000-0000760B0000}"/>
    <cellStyle name="Calculation 2 9 3" xfId="51673" xr:uid="{00000000-0005-0000-0000-0000770B0000}"/>
    <cellStyle name="Calculation 3" xfId="2781" xr:uid="{00000000-0005-0000-0000-0000780B0000}"/>
    <cellStyle name="Calculation 3 10" xfId="48440" xr:uid="{00000000-0005-0000-0000-0000790B0000}"/>
    <cellStyle name="Calculation 3 2" xfId="2782" xr:uid="{00000000-0005-0000-0000-00007A0B0000}"/>
    <cellStyle name="Calculation 3 2 2" xfId="2783" xr:uid="{00000000-0005-0000-0000-00007B0B0000}"/>
    <cellStyle name="Calculation 3 2 2 2" xfId="50202" xr:uid="{00000000-0005-0000-0000-00007C0B0000}"/>
    <cellStyle name="Calculation 3 2 2 3" xfId="51391" xr:uid="{00000000-0005-0000-0000-00007D0B0000}"/>
    <cellStyle name="Calculation 3 2 2 4" xfId="49795" xr:uid="{00000000-0005-0000-0000-00007E0B0000}"/>
    <cellStyle name="Calculation 3 2 3" xfId="50571" xr:uid="{00000000-0005-0000-0000-00007F0B0000}"/>
    <cellStyle name="Calculation 3 2 4" xfId="51648" xr:uid="{00000000-0005-0000-0000-0000800B0000}"/>
    <cellStyle name="Calculation 3 2 5" xfId="49467" xr:uid="{00000000-0005-0000-0000-0000810B0000}"/>
    <cellStyle name="Calculation 3 3" xfId="2784" xr:uid="{00000000-0005-0000-0000-0000820B0000}"/>
    <cellStyle name="Calculation 3 3 2" xfId="2785" xr:uid="{00000000-0005-0000-0000-0000830B0000}"/>
    <cellStyle name="Calculation 3 3 2 2" xfId="50827" xr:uid="{00000000-0005-0000-0000-0000840B0000}"/>
    <cellStyle name="Calculation 3 3 2 3" xfId="51153" xr:uid="{00000000-0005-0000-0000-0000850B0000}"/>
    <cellStyle name="Calculation 3 3 2 4" xfId="49920" xr:uid="{00000000-0005-0000-0000-0000860B0000}"/>
    <cellStyle name="Calculation 3 3 3" xfId="50447" xr:uid="{00000000-0005-0000-0000-0000870B0000}"/>
    <cellStyle name="Calculation 3 3 4" xfId="51242" xr:uid="{00000000-0005-0000-0000-0000880B0000}"/>
    <cellStyle name="Calculation 3 3 5" xfId="49592" xr:uid="{00000000-0005-0000-0000-0000890B0000}"/>
    <cellStyle name="Calculation 3 4" xfId="2786" xr:uid="{00000000-0005-0000-0000-00008A0B0000}"/>
    <cellStyle name="Calculation 3 4 2" xfId="49950" xr:uid="{00000000-0005-0000-0000-00008B0B0000}"/>
    <cellStyle name="Calculation 3 4 2 2" xfId="50995" xr:uid="{00000000-0005-0000-0000-00008C0B0000}"/>
    <cellStyle name="Calculation 3 4 2 3" xfId="50933" xr:uid="{00000000-0005-0000-0000-00008D0B0000}"/>
    <cellStyle name="Calculation 3 4 3" xfId="50058" xr:uid="{00000000-0005-0000-0000-00008E0B0000}"/>
    <cellStyle name="Calculation 3 4 4" xfId="50960" xr:uid="{00000000-0005-0000-0000-00008F0B0000}"/>
    <cellStyle name="Calculation 3 4 5" xfId="49622" xr:uid="{00000000-0005-0000-0000-0000900B0000}"/>
    <cellStyle name="Calculation 3 5" xfId="49630" xr:uid="{00000000-0005-0000-0000-0000910B0000}"/>
    <cellStyle name="Calculation 3 5 2" xfId="50927" xr:uid="{00000000-0005-0000-0000-0000920B0000}"/>
    <cellStyle name="Calculation 3 5 3" xfId="51661" xr:uid="{00000000-0005-0000-0000-0000930B0000}"/>
    <cellStyle name="Calculation 3 6" xfId="50043" xr:uid="{00000000-0005-0000-0000-0000940B0000}"/>
    <cellStyle name="Calculation 3 6 2" xfId="51087" xr:uid="{00000000-0005-0000-0000-0000950B0000}"/>
    <cellStyle name="Calculation 3 6 3" xfId="51297" xr:uid="{00000000-0005-0000-0000-0000960B0000}"/>
    <cellStyle name="Calculation 3 7" xfId="50917" xr:uid="{00000000-0005-0000-0000-0000970B0000}"/>
    <cellStyle name="Calculation 3 8" xfId="50866" xr:uid="{00000000-0005-0000-0000-0000980B0000}"/>
    <cellStyle name="Calculation 3 9" xfId="51677"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1"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2"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3"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5" xr:uid="{00000000-0005-0000-0000-0000DE0B0000}"/>
    <cellStyle name="Comma [1] 2 2" xfId="48446" xr:uid="{00000000-0005-0000-0000-0000DF0B0000}"/>
    <cellStyle name="Comma [1] 2 3" xfId="48447" xr:uid="{00000000-0005-0000-0000-0000E00B0000}"/>
    <cellStyle name="Comma [1] 2 4" xfId="48448" xr:uid="{00000000-0005-0000-0000-0000E10B0000}"/>
    <cellStyle name="Comma [1] 2 5" xfId="48449" xr:uid="{00000000-0005-0000-0000-0000E20B0000}"/>
    <cellStyle name="Comma [1] 2 6" xfId="48450" xr:uid="{00000000-0005-0000-0000-0000E30B0000}"/>
    <cellStyle name="Comma [1] 2 7" xfId="48451" xr:uid="{00000000-0005-0000-0000-0000E40B0000}"/>
    <cellStyle name="Comma [1] 2 8" xfId="48452" xr:uid="{00000000-0005-0000-0000-0000E50B0000}"/>
    <cellStyle name="Comma [1] 3" xfId="48444"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3" xr:uid="{00000000-0005-0000-0000-0000ED0B0000}"/>
    <cellStyle name="Comma 10 3" xfId="48453" xr:uid="{00000000-0005-0000-0000-0000EE0B0000}"/>
    <cellStyle name="Comma 11" xfId="2857" xr:uid="{00000000-0005-0000-0000-0000EF0B0000}"/>
    <cellStyle name="Comma 11 2" xfId="50061" xr:uid="{00000000-0005-0000-0000-0000F00B0000}"/>
    <cellStyle name="Comma 11 3" xfId="48240" xr:uid="{00000000-0005-0000-0000-0000F10B0000}"/>
    <cellStyle name="Comma 12" xfId="2858" xr:uid="{00000000-0005-0000-0000-0000F20B0000}"/>
    <cellStyle name="Comma 12 2" xfId="50284" xr:uid="{00000000-0005-0000-0000-0000F30B0000}"/>
    <cellStyle name="Comma 12 3" xfId="48454" xr:uid="{00000000-0005-0000-0000-0000F40B0000}"/>
    <cellStyle name="Comma 13" xfId="2859" xr:uid="{00000000-0005-0000-0000-0000F50B0000}"/>
    <cellStyle name="Comma 13 2" xfId="50285" xr:uid="{00000000-0005-0000-0000-0000F60B0000}"/>
    <cellStyle name="Comma 13 3" xfId="48455" xr:uid="{00000000-0005-0000-0000-0000F70B0000}"/>
    <cellStyle name="Comma 14" xfId="2860" xr:uid="{00000000-0005-0000-0000-0000F80B0000}"/>
    <cellStyle name="Comma 14 2" xfId="50822" xr:uid="{00000000-0005-0000-0000-0000F90B0000}"/>
    <cellStyle name="Comma 15" xfId="2861" xr:uid="{00000000-0005-0000-0000-0000FA0B0000}"/>
    <cellStyle name="Comma 15 2" xfId="50647" xr:uid="{00000000-0005-0000-0000-0000FB0B0000}"/>
    <cellStyle name="Comma 16" xfId="51138" xr:uid="{00000000-0005-0000-0000-0000FC0B0000}"/>
    <cellStyle name="Comma 17" xfId="2862" xr:uid="{00000000-0005-0000-0000-0000FD0B0000}"/>
    <cellStyle name="Comma 17 2" xfId="50789" xr:uid="{00000000-0005-0000-0000-0000FE0B0000}"/>
    <cellStyle name="Comma 18" xfId="2863" xr:uid="{00000000-0005-0000-0000-0000FF0B0000}"/>
    <cellStyle name="Comma 18 2" xfId="51207" xr:uid="{00000000-0005-0000-0000-0000000C0000}"/>
    <cellStyle name="Comma 19" xfId="51671"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57"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87"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88" xr:uid="{00000000-0005-0000-0000-0000210C0000}"/>
    <cellStyle name="Comma 2 11 3" xfId="48458"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89" xr:uid="{00000000-0005-0000-0000-00002E0C0000}"/>
    <cellStyle name="Comma 2 12 3" xfId="48459"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56" xr:uid="{00000000-0005-0000-0000-0000370C0000}"/>
    <cellStyle name="Comma 2 13" xfId="2910" xr:uid="{00000000-0005-0000-0000-0000380C0000}"/>
    <cellStyle name="Comma 2 13 2" xfId="50290" xr:uid="{00000000-0005-0000-0000-0000390C0000}"/>
    <cellStyle name="Comma 2 13 3" xfId="48460" xr:uid="{00000000-0005-0000-0000-00003A0C0000}"/>
    <cellStyle name="Comma 2 14" xfId="2911" xr:uid="{00000000-0005-0000-0000-00003B0C0000}"/>
    <cellStyle name="Comma 2 14 2" xfId="50291" xr:uid="{00000000-0005-0000-0000-00003C0C0000}"/>
    <cellStyle name="Comma 2 14 3" xfId="48461" xr:uid="{00000000-0005-0000-0000-00003D0C0000}"/>
    <cellStyle name="Comma 2 15" xfId="2912" xr:uid="{00000000-0005-0000-0000-00003E0C0000}"/>
    <cellStyle name="Comma 2 15 2" xfId="50292" xr:uid="{00000000-0005-0000-0000-00003F0C0000}"/>
    <cellStyle name="Comma 2 15 3" xfId="48462" xr:uid="{00000000-0005-0000-0000-0000400C0000}"/>
    <cellStyle name="Comma 2 16" xfId="2913" xr:uid="{00000000-0005-0000-0000-0000410C0000}"/>
    <cellStyle name="Comma 2 16 2" xfId="50293" xr:uid="{00000000-0005-0000-0000-0000420C0000}"/>
    <cellStyle name="Comma 2 16 3" xfId="48463" xr:uid="{00000000-0005-0000-0000-0000430C0000}"/>
    <cellStyle name="Comma 2 17" xfId="2914" xr:uid="{00000000-0005-0000-0000-0000440C0000}"/>
    <cellStyle name="Comma 2 17 2" xfId="50294" xr:uid="{00000000-0005-0000-0000-0000450C0000}"/>
    <cellStyle name="Comma 2 17 3" xfId="48464" xr:uid="{00000000-0005-0000-0000-0000460C0000}"/>
    <cellStyle name="Comma 2 18" xfId="2915" xr:uid="{00000000-0005-0000-0000-0000470C0000}"/>
    <cellStyle name="Comma 2 18 2" xfId="50295" xr:uid="{00000000-0005-0000-0000-0000480C0000}"/>
    <cellStyle name="Comma 2 18 3" xfId="48465" xr:uid="{00000000-0005-0000-0000-0000490C0000}"/>
    <cellStyle name="Comma 2 19" xfId="2916" xr:uid="{00000000-0005-0000-0000-00004A0C0000}"/>
    <cellStyle name="Comma 2 19 2" xfId="50296" xr:uid="{00000000-0005-0000-0000-00004B0C0000}"/>
    <cellStyle name="Comma 2 19 3" xfId="48466" xr:uid="{00000000-0005-0000-0000-00004C0C0000}"/>
    <cellStyle name="Comma 2 2" xfId="6" xr:uid="{00000000-0005-0000-0000-00004D0C0000}"/>
    <cellStyle name="Comma 2 2 10" xfId="2917" xr:uid="{00000000-0005-0000-0000-00004E0C0000}"/>
    <cellStyle name="Comma 2 2 10 2" xfId="50298" xr:uid="{00000000-0005-0000-0000-00004F0C0000}"/>
    <cellStyle name="Comma 2 2 10 3" xfId="48468" xr:uid="{00000000-0005-0000-0000-0000500C0000}"/>
    <cellStyle name="Comma 2 2 11" xfId="2918" xr:uid="{00000000-0005-0000-0000-0000510C0000}"/>
    <cellStyle name="Comma 2 2 11 2" xfId="50299" xr:uid="{00000000-0005-0000-0000-0000520C0000}"/>
    <cellStyle name="Comma 2 2 11 3" xfId="48469" xr:uid="{00000000-0005-0000-0000-0000530C0000}"/>
    <cellStyle name="Comma 2 2 12" xfId="2919" xr:uid="{00000000-0005-0000-0000-0000540C0000}"/>
    <cellStyle name="Comma 2 2 12 2" xfId="50300" xr:uid="{00000000-0005-0000-0000-0000550C0000}"/>
    <cellStyle name="Comma 2 2 12 3" xfId="48470" xr:uid="{00000000-0005-0000-0000-0000560C0000}"/>
    <cellStyle name="Comma 2 2 13" xfId="2920" xr:uid="{00000000-0005-0000-0000-0000570C0000}"/>
    <cellStyle name="Comma 2 2 13 2" xfId="50301" xr:uid="{00000000-0005-0000-0000-0000580C0000}"/>
    <cellStyle name="Comma 2 2 13 3" xfId="48471" xr:uid="{00000000-0005-0000-0000-0000590C0000}"/>
    <cellStyle name="Comma 2 2 14" xfId="2921" xr:uid="{00000000-0005-0000-0000-00005A0C0000}"/>
    <cellStyle name="Comma 2 2 14 2" xfId="50302" xr:uid="{00000000-0005-0000-0000-00005B0C0000}"/>
    <cellStyle name="Comma 2 2 14 3" xfId="48472" xr:uid="{00000000-0005-0000-0000-00005C0C0000}"/>
    <cellStyle name="Comma 2 2 15" xfId="2922" xr:uid="{00000000-0005-0000-0000-00005D0C0000}"/>
    <cellStyle name="Comma 2 2 15 2" xfId="50303" xr:uid="{00000000-0005-0000-0000-00005E0C0000}"/>
    <cellStyle name="Comma 2 2 15 3" xfId="48473" xr:uid="{00000000-0005-0000-0000-00005F0C0000}"/>
    <cellStyle name="Comma 2 2 16" xfId="2923" xr:uid="{00000000-0005-0000-0000-0000600C0000}"/>
    <cellStyle name="Comma 2 2 16 2" xfId="50304" xr:uid="{00000000-0005-0000-0000-0000610C0000}"/>
    <cellStyle name="Comma 2 2 16 3" xfId="48474" xr:uid="{00000000-0005-0000-0000-0000620C0000}"/>
    <cellStyle name="Comma 2 2 17" xfId="2924" xr:uid="{00000000-0005-0000-0000-0000630C0000}"/>
    <cellStyle name="Comma 2 2 17 2" xfId="50305" xr:uid="{00000000-0005-0000-0000-0000640C0000}"/>
    <cellStyle name="Comma 2 2 17 3" xfId="48475" xr:uid="{00000000-0005-0000-0000-0000650C0000}"/>
    <cellStyle name="Comma 2 2 18" xfId="2925" xr:uid="{00000000-0005-0000-0000-0000660C0000}"/>
    <cellStyle name="Comma 2 2 18 2" xfId="50306" xr:uid="{00000000-0005-0000-0000-0000670C0000}"/>
    <cellStyle name="Comma 2 2 18 3" xfId="48476" xr:uid="{00000000-0005-0000-0000-0000680C0000}"/>
    <cellStyle name="Comma 2 2 19" xfId="2926" xr:uid="{00000000-0005-0000-0000-0000690C0000}"/>
    <cellStyle name="Comma 2 2 19 2" xfId="50307" xr:uid="{00000000-0005-0000-0000-00006A0C0000}"/>
    <cellStyle name="Comma 2 2 19 3" xfId="48477" xr:uid="{00000000-0005-0000-0000-00006B0C0000}"/>
    <cellStyle name="Comma 2 2 2" xfId="2927" xr:uid="{00000000-0005-0000-0000-00006C0C0000}"/>
    <cellStyle name="Comma 2 2 2 10" xfId="2928" xr:uid="{00000000-0005-0000-0000-00006D0C0000}"/>
    <cellStyle name="Comma 2 2 2 10 2" xfId="48479" xr:uid="{00000000-0005-0000-0000-00006E0C0000}"/>
    <cellStyle name="Comma 2 2 2 11" xfId="2929" xr:uid="{00000000-0005-0000-0000-00006F0C0000}"/>
    <cellStyle name="Comma 2 2 2 11 2" xfId="48480" xr:uid="{00000000-0005-0000-0000-0000700C0000}"/>
    <cellStyle name="Comma 2 2 2 12" xfId="2930" xr:uid="{00000000-0005-0000-0000-0000710C0000}"/>
    <cellStyle name="Comma 2 2 2 12 2" xfId="48481" xr:uid="{00000000-0005-0000-0000-0000720C0000}"/>
    <cellStyle name="Comma 2 2 2 13" xfId="2931" xr:uid="{00000000-0005-0000-0000-0000730C0000}"/>
    <cellStyle name="Comma 2 2 2 13 2" xfId="48482" xr:uid="{00000000-0005-0000-0000-0000740C0000}"/>
    <cellStyle name="Comma 2 2 2 14" xfId="2932" xr:uid="{00000000-0005-0000-0000-0000750C0000}"/>
    <cellStyle name="Comma 2 2 2 14 2" xfId="48483" xr:uid="{00000000-0005-0000-0000-0000760C0000}"/>
    <cellStyle name="Comma 2 2 2 15" xfId="2933" xr:uid="{00000000-0005-0000-0000-0000770C0000}"/>
    <cellStyle name="Comma 2 2 2 15 2" xfId="48484" xr:uid="{00000000-0005-0000-0000-0000780C0000}"/>
    <cellStyle name="Comma 2 2 2 16" xfId="48485" xr:uid="{00000000-0005-0000-0000-0000790C0000}"/>
    <cellStyle name="Comma 2 2 2 17" xfId="48486" xr:uid="{00000000-0005-0000-0000-00007A0C0000}"/>
    <cellStyle name="Comma 2 2 2 18" xfId="48487" xr:uid="{00000000-0005-0000-0000-00007B0C0000}"/>
    <cellStyle name="Comma 2 2 2 19" xfId="50308"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88"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19"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27" xr:uid="{00000000-0005-0000-0000-0000D60C0000}"/>
    <cellStyle name="Comma 2 2 2 2 4 3" xfId="3021" xr:uid="{00000000-0005-0000-0000-0000D70C0000}"/>
    <cellStyle name="Comma 2 2 2 2 4 4" xfId="48489"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28" xr:uid="{00000000-0005-0000-0000-0000DC0C0000}"/>
    <cellStyle name="Comma 2 2 2 2 5 3" xfId="48490" xr:uid="{00000000-0005-0000-0000-0000DD0C0000}"/>
    <cellStyle name="Comma 2 2 2 2 6" xfId="3025" xr:uid="{00000000-0005-0000-0000-0000DE0C0000}"/>
    <cellStyle name="Comma 2 2 2 2 6 2" xfId="50329" xr:uid="{00000000-0005-0000-0000-0000DF0C0000}"/>
    <cellStyle name="Comma 2 2 2 2 6 3" xfId="48491" xr:uid="{00000000-0005-0000-0000-0000E00C0000}"/>
    <cellStyle name="Comma 2 2 2 2 7" xfId="3026" xr:uid="{00000000-0005-0000-0000-0000E10C0000}"/>
    <cellStyle name="Comma 2 2 2 2 7 2" xfId="3027" xr:uid="{00000000-0005-0000-0000-0000E20C0000}"/>
    <cellStyle name="Comma 2 2 2 2 7 2 2" xfId="50330" xr:uid="{00000000-0005-0000-0000-0000E30C0000}"/>
    <cellStyle name="Comma 2 2 2 2 7 3" xfId="48492" xr:uid="{00000000-0005-0000-0000-0000E40C0000}"/>
    <cellStyle name="Comma 2 2 2 2 8" xfId="48493" xr:uid="{00000000-0005-0000-0000-0000E50C0000}"/>
    <cellStyle name="Comma 2 2 2 2 8 2" xfId="50331" xr:uid="{00000000-0005-0000-0000-0000E60C0000}"/>
    <cellStyle name="Comma 2 2 2 20" xfId="48478"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5" xr:uid="{00000000-0005-0000-0000-0000FC0C0000}"/>
    <cellStyle name="Comma 2 2 2 5 2 3" xfId="48494" xr:uid="{00000000-0005-0000-0000-0000FD0C0000}"/>
    <cellStyle name="Comma 2 2 2 5 3" xfId="48495" xr:uid="{00000000-0005-0000-0000-0000FE0C0000}"/>
    <cellStyle name="Comma 2 2 2 5 3 2" xfId="50336" xr:uid="{00000000-0005-0000-0000-0000FF0C0000}"/>
    <cellStyle name="Comma 2 2 2 5 4" xfId="48496" xr:uid="{00000000-0005-0000-0000-0000000D0000}"/>
    <cellStyle name="Comma 2 2 2 5 4 2" xfId="50337" xr:uid="{00000000-0005-0000-0000-0000010D0000}"/>
    <cellStyle name="Comma 2 2 2 5 5" xfId="48497" xr:uid="{00000000-0005-0000-0000-0000020D0000}"/>
    <cellStyle name="Comma 2 2 2 5 5 2" xfId="50338" xr:uid="{00000000-0005-0000-0000-0000030D0000}"/>
    <cellStyle name="Comma 2 2 2 5 6" xfId="48498" xr:uid="{00000000-0005-0000-0000-0000040D0000}"/>
    <cellStyle name="Comma 2 2 2 5 6 2" xfId="50339" xr:uid="{00000000-0005-0000-0000-0000050D0000}"/>
    <cellStyle name="Comma 2 2 2 5 7" xfId="48499" xr:uid="{00000000-0005-0000-0000-0000060D0000}"/>
    <cellStyle name="Comma 2 2 2 5 7 2" xfId="50340"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0" xr:uid="{00000000-0005-0000-0000-00000F0D0000}"/>
    <cellStyle name="Comma 2 2 20" xfId="3055" xr:uid="{00000000-0005-0000-0000-0000100D0000}"/>
    <cellStyle name="Comma 2 2 20 2" xfId="50297"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1"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2" xr:uid="{00000000-0005-0000-0000-0000340D0000}"/>
    <cellStyle name="Comma 2 2 4 2" xfId="48503" xr:uid="{00000000-0005-0000-0000-0000350D0000}"/>
    <cellStyle name="Comma 2 2 4 2 2" xfId="48504" xr:uid="{00000000-0005-0000-0000-0000360D0000}"/>
    <cellStyle name="Comma 2 2 4 2 2 2" xfId="50348" xr:uid="{00000000-0005-0000-0000-0000370D0000}"/>
    <cellStyle name="Comma 2 2 4 2 3" xfId="48505" xr:uid="{00000000-0005-0000-0000-0000380D0000}"/>
    <cellStyle name="Comma 2 2 4 2 3 2" xfId="50349" xr:uid="{00000000-0005-0000-0000-0000390D0000}"/>
    <cellStyle name="Comma 2 2 4 2 4" xfId="48506" xr:uid="{00000000-0005-0000-0000-00003A0D0000}"/>
    <cellStyle name="Comma 2 2 4 2 4 2" xfId="50350" xr:uid="{00000000-0005-0000-0000-00003B0D0000}"/>
    <cellStyle name="Comma 2 2 4 2 5" xfId="48507" xr:uid="{00000000-0005-0000-0000-00003C0D0000}"/>
    <cellStyle name="Comma 2 2 4 2 5 2" xfId="50351" xr:uid="{00000000-0005-0000-0000-00003D0D0000}"/>
    <cellStyle name="Comma 2 2 4 2 6" xfId="48508" xr:uid="{00000000-0005-0000-0000-00003E0D0000}"/>
    <cellStyle name="Comma 2 2 4 2 6 2" xfId="50352" xr:uid="{00000000-0005-0000-0000-00003F0D0000}"/>
    <cellStyle name="Comma 2 2 4 2 7" xfId="48509" xr:uid="{00000000-0005-0000-0000-0000400D0000}"/>
    <cellStyle name="Comma 2 2 4 2 7 2" xfId="50353" xr:uid="{00000000-0005-0000-0000-0000410D0000}"/>
    <cellStyle name="Comma 2 2 4 2 8" xfId="50347" xr:uid="{00000000-0005-0000-0000-0000420D0000}"/>
    <cellStyle name="Comma 2 2 4 3" xfId="48510" xr:uid="{00000000-0005-0000-0000-0000430D0000}"/>
    <cellStyle name="Comma 2 2 4 3 2" xfId="50354" xr:uid="{00000000-0005-0000-0000-0000440D0000}"/>
    <cellStyle name="Comma 2 2 4 4" xfId="48511" xr:uid="{00000000-0005-0000-0000-0000450D0000}"/>
    <cellStyle name="Comma 2 2 4 4 2" xfId="50355" xr:uid="{00000000-0005-0000-0000-0000460D0000}"/>
    <cellStyle name="Comma 2 2 4 5" xfId="48512" xr:uid="{00000000-0005-0000-0000-0000470D0000}"/>
    <cellStyle name="Comma 2 2 4 5 2" xfId="50356" xr:uid="{00000000-0005-0000-0000-0000480D0000}"/>
    <cellStyle name="Comma 2 2 4 6" xfId="48513" xr:uid="{00000000-0005-0000-0000-0000490D0000}"/>
    <cellStyle name="Comma 2 2 4 6 2" xfId="50357" xr:uid="{00000000-0005-0000-0000-00004A0D0000}"/>
    <cellStyle name="Comma 2 2 4 7" xfId="48514" xr:uid="{00000000-0005-0000-0000-00004B0D0000}"/>
    <cellStyle name="Comma 2 2 4 7 2" xfId="50358" xr:uid="{00000000-0005-0000-0000-00004C0D0000}"/>
    <cellStyle name="Comma 2 2 4 8" xfId="48515" xr:uid="{00000000-0005-0000-0000-00004D0D0000}"/>
    <cellStyle name="Comma 2 2 4 8 2" xfId="50359" xr:uid="{00000000-0005-0000-0000-00004E0D0000}"/>
    <cellStyle name="Comma 2 2 4 9" xfId="50346"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0" xr:uid="{00000000-0005-0000-0000-0000720D0000}"/>
    <cellStyle name="Comma 2 2 5 3" xfId="48516"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67" xr:uid="{00000000-0005-0000-0000-00007A0D0000}"/>
    <cellStyle name="Comma 2 2 6" xfId="3129" xr:uid="{00000000-0005-0000-0000-00007B0D0000}"/>
    <cellStyle name="Comma 2 2 6 2" xfId="48518" xr:uid="{00000000-0005-0000-0000-00007C0D0000}"/>
    <cellStyle name="Comma 2 2 6 2 2" xfId="50362" xr:uid="{00000000-0005-0000-0000-00007D0D0000}"/>
    <cellStyle name="Comma 2 2 6 3" xfId="48519" xr:uid="{00000000-0005-0000-0000-00007E0D0000}"/>
    <cellStyle name="Comma 2 2 6 3 2" xfId="50363" xr:uid="{00000000-0005-0000-0000-00007F0D0000}"/>
    <cellStyle name="Comma 2 2 6 4" xfId="48520" xr:uid="{00000000-0005-0000-0000-0000800D0000}"/>
    <cellStyle name="Comma 2 2 6 4 2" xfId="50364" xr:uid="{00000000-0005-0000-0000-0000810D0000}"/>
    <cellStyle name="Comma 2 2 6 5" xfId="48521" xr:uid="{00000000-0005-0000-0000-0000820D0000}"/>
    <cellStyle name="Comma 2 2 6 5 2" xfId="50365" xr:uid="{00000000-0005-0000-0000-0000830D0000}"/>
    <cellStyle name="Comma 2 2 6 6" xfId="48522" xr:uid="{00000000-0005-0000-0000-0000840D0000}"/>
    <cellStyle name="Comma 2 2 6 6 2" xfId="50366" xr:uid="{00000000-0005-0000-0000-0000850D0000}"/>
    <cellStyle name="Comma 2 2 6 7" xfId="48523" xr:uid="{00000000-0005-0000-0000-0000860D0000}"/>
    <cellStyle name="Comma 2 2 6 7 2" xfId="50367" xr:uid="{00000000-0005-0000-0000-0000870D0000}"/>
    <cellStyle name="Comma 2 2 6 8" xfId="50361" xr:uid="{00000000-0005-0000-0000-0000880D0000}"/>
    <cellStyle name="Comma 2 2 6 9" xfId="48517" xr:uid="{00000000-0005-0000-0000-0000890D0000}"/>
    <cellStyle name="Comma 2 2 7" xfId="3130" xr:uid="{00000000-0005-0000-0000-00008A0D0000}"/>
    <cellStyle name="Comma 2 2 7 2" xfId="50368" xr:uid="{00000000-0005-0000-0000-00008B0D0000}"/>
    <cellStyle name="Comma 2 2 7 3" xfId="48524" xr:uid="{00000000-0005-0000-0000-00008C0D0000}"/>
    <cellStyle name="Comma 2 2 8" xfId="3131" xr:uid="{00000000-0005-0000-0000-00008D0D0000}"/>
    <cellStyle name="Comma 2 2 8 2" xfId="50369" xr:uid="{00000000-0005-0000-0000-00008E0D0000}"/>
    <cellStyle name="Comma 2 2 8 3" xfId="48525" xr:uid="{00000000-0005-0000-0000-00008F0D0000}"/>
    <cellStyle name="Comma 2 2 9" xfId="3132" xr:uid="{00000000-0005-0000-0000-0000900D0000}"/>
    <cellStyle name="Comma 2 2 9 2" xfId="50370" xr:uid="{00000000-0005-0000-0000-0000910D0000}"/>
    <cellStyle name="Comma 2 2 9 3" xfId="48526" xr:uid="{00000000-0005-0000-0000-0000920D0000}"/>
    <cellStyle name="Comma 2 2_3.1.2 DB Pension Detail" xfId="3133" xr:uid="{00000000-0005-0000-0000-0000930D0000}"/>
    <cellStyle name="Comma 2 20" xfId="3134" xr:uid="{00000000-0005-0000-0000-0000940D0000}"/>
    <cellStyle name="Comma 2 20 2" xfId="50372" xr:uid="{00000000-0005-0000-0000-0000950D0000}"/>
    <cellStyle name="Comma 2 20 3" xfId="48527" xr:uid="{00000000-0005-0000-0000-0000960D0000}"/>
    <cellStyle name="Comma 2 21" xfId="3135" xr:uid="{00000000-0005-0000-0000-0000970D0000}"/>
    <cellStyle name="Comma 2 21 2" xfId="50848" xr:uid="{00000000-0005-0000-0000-0000980D0000}"/>
    <cellStyle name="Comma 2 21 3" xfId="49398" xr:uid="{00000000-0005-0000-0000-0000990D0000}"/>
    <cellStyle name="Comma 2 22" xfId="3136" xr:uid="{00000000-0005-0000-0000-00009A0D0000}"/>
    <cellStyle name="Comma 2 22 2" xfId="50286"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0" xr:uid="{00000000-0005-0000-0000-0000B60D0000}"/>
    <cellStyle name="Comma 2 3 2 2 2" xfId="3163" xr:uid="{00000000-0005-0000-0000-0000B70D0000}"/>
    <cellStyle name="Comma 2 3 2 2 2 2" xfId="50375"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4" xr:uid="{00000000-0005-0000-0000-0000C20D0000}"/>
    <cellStyle name="Comma 2 3 2 4" xfId="48529"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1" xr:uid="{00000000-0005-0000-0000-0000D40D0000}"/>
    <cellStyle name="Comma 2 3 3 2" xfId="3189" xr:uid="{00000000-0005-0000-0000-0000D50D0000}"/>
    <cellStyle name="Comma 2 3 3 2 2" xfId="50376"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3"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28"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77"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2"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78" xr:uid="{00000000-0005-0000-0000-00006F0E0000}"/>
    <cellStyle name="Comma 2 5 3" xfId="48533"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79" xr:uid="{00000000-0005-0000-0000-00009E0E0000}"/>
    <cellStyle name="Comma 2 6 3" xfId="48534"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0" xr:uid="{00000000-0005-0000-0000-0000AB0E0000}"/>
    <cellStyle name="Comma 2 7 3" xfId="48535"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1" xr:uid="{00000000-0005-0000-0000-0000B80E0000}"/>
    <cellStyle name="Comma 2 8 3" xfId="48536"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2" xr:uid="{00000000-0005-0000-0000-0000C50E0000}"/>
    <cellStyle name="Comma 2 9 3" xfId="48537"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5" xr:uid="{00000000-0005-0000-0000-0000D30E0000}"/>
    <cellStyle name="Comma 21" xfId="51682" xr:uid="{00000000-0005-0000-0000-0000D40E0000}"/>
    <cellStyle name="Comma 22" xfId="51337" xr:uid="{00000000-0005-0000-0000-0000D50E0000}"/>
    <cellStyle name="Comma 23" xfId="51676" xr:uid="{00000000-0005-0000-0000-0000D60E0000}"/>
    <cellStyle name="Comma 24" xfId="50769" xr:uid="{00000000-0005-0000-0000-0000D70E0000}"/>
    <cellStyle name="Comma 25" xfId="51672" xr:uid="{00000000-0005-0000-0000-0000D80E0000}"/>
    <cellStyle name="Comma 26" xfId="51209" xr:uid="{00000000-0005-0000-0000-0000D90E0000}"/>
    <cellStyle name="Comma 27" xfId="50931" xr:uid="{00000000-0005-0000-0000-0000DA0E0000}"/>
    <cellStyle name="Comma 28" xfId="49373"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38" xr:uid="{00000000-0005-0000-0000-0000FB0E0000}"/>
    <cellStyle name="Comma 3 13" xfId="3458" xr:uid="{00000000-0005-0000-0000-0000FC0E0000}"/>
    <cellStyle name="Comma 3 13 2" xfId="50828" xr:uid="{00000000-0005-0000-0000-0000FD0E0000}"/>
    <cellStyle name="Comma 3 13 3" xfId="49374"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0" xr:uid="{00000000-0005-0000-0000-00000C0F0000}"/>
    <cellStyle name="Comma 3 2 2 2" xfId="3472" xr:uid="{00000000-0005-0000-0000-00000D0F0000}"/>
    <cellStyle name="Comma 3 2 2 2 2" xfId="50385"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86" xr:uid="{00000000-0005-0000-0000-0000180F0000}"/>
    <cellStyle name="Comma 3 2 3 3" xfId="48541" xr:uid="{00000000-0005-0000-0000-0000190F0000}"/>
    <cellStyle name="Comma 3 2 4" xfId="3482" xr:uid="{00000000-0005-0000-0000-00001A0F0000}"/>
    <cellStyle name="Comma 3 2 4 2" xfId="50384" xr:uid="{00000000-0005-0000-0000-00001B0F0000}"/>
    <cellStyle name="Comma 3 2 5" xfId="3483" xr:uid="{00000000-0005-0000-0000-00001C0F0000}"/>
    <cellStyle name="Comma 3 2 6" xfId="48539"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29" xr:uid="{00000000-0005-0000-0000-00002C0F0000}"/>
    <cellStyle name="Comma 3 3 2 3" xfId="49375" xr:uid="{00000000-0005-0000-0000-00002D0F0000}"/>
    <cellStyle name="Comma 3 3 3" xfId="3498" xr:uid="{00000000-0005-0000-0000-00002E0F0000}"/>
    <cellStyle name="Comma 3 3 3 2" xfId="50387" xr:uid="{00000000-0005-0000-0000-00002F0F0000}"/>
    <cellStyle name="Comma 3 3 4" xfId="3499" xr:uid="{00000000-0005-0000-0000-0000300F0000}"/>
    <cellStyle name="Comma 3 3 5" xfId="48542"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3"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88"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3"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89"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4"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3"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1"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5" xr:uid="{00000000-0005-0000-0000-0000AB110000}"/>
    <cellStyle name="Comma 7 2" xfId="4126" xr:uid="{00000000-0005-0000-0000-0000AC110000}"/>
    <cellStyle name="Comma 7 2 2" xfId="50390"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47" xr:uid="{00000000-0005-0000-0000-0000B6110000}"/>
    <cellStyle name="Comma 8 2 2" xfId="50392" xr:uid="{00000000-0005-0000-0000-0000B7110000}"/>
    <cellStyle name="Comma 8 3" xfId="48548" xr:uid="{00000000-0005-0000-0000-0000B8110000}"/>
    <cellStyle name="Comma 8 3 2" xfId="50393" xr:uid="{00000000-0005-0000-0000-0000B9110000}"/>
    <cellStyle name="Comma 8 4" xfId="50391" xr:uid="{00000000-0005-0000-0000-0000BA110000}"/>
    <cellStyle name="Comma 8 5" xfId="48546" xr:uid="{00000000-0005-0000-0000-0000BB110000}"/>
    <cellStyle name="Comma 9" xfId="4135" xr:uid="{00000000-0005-0000-0000-0000BC110000}"/>
    <cellStyle name="Comma 9 2" xfId="50394" xr:uid="{00000000-0005-0000-0000-0000BD110000}"/>
    <cellStyle name="Comma 9 3" xfId="48549"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0" xr:uid="{00000000-0005-0000-0000-000026120000}"/>
    <cellStyle name="Emphasis 2" xfId="30" xr:uid="{00000000-0005-0000-0000-000027120000}"/>
    <cellStyle name="Emphasis 2 2" xfId="48551" xr:uid="{00000000-0005-0000-0000-000028120000}"/>
    <cellStyle name="Emphasis 3" xfId="31" xr:uid="{00000000-0005-0000-0000-000029120000}"/>
    <cellStyle name="Emphasis 3 2" xfId="48552"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3"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4"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5"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56" xr:uid="{00000000-0005-0000-0000-0000A6120000}"/>
    <cellStyle name="Good 3" xfId="4357" xr:uid="{00000000-0005-0000-0000-0000A7120000}"/>
    <cellStyle name="Good 3 2" xfId="4358" xr:uid="{00000000-0005-0000-0000-0000A8120000}"/>
    <cellStyle name="Good 3 3" xfId="4359" xr:uid="{00000000-0005-0000-0000-0000A9120000}"/>
    <cellStyle name="Good 3 4" xfId="48557"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59" xr:uid="{00000000-0005-0000-0000-0000B2120000}"/>
    <cellStyle name="GreyOrWhite 2 2" xfId="48560" xr:uid="{00000000-0005-0000-0000-0000B3120000}"/>
    <cellStyle name="GreyOrWhite 2 3" xfId="48561" xr:uid="{00000000-0005-0000-0000-0000B4120000}"/>
    <cellStyle name="GreyOrWhite 2 4" xfId="48562" xr:uid="{00000000-0005-0000-0000-0000B5120000}"/>
    <cellStyle name="GreyOrWhite 2 5" xfId="48563" xr:uid="{00000000-0005-0000-0000-0000B6120000}"/>
    <cellStyle name="GreyOrWhite 2 6" xfId="48564" xr:uid="{00000000-0005-0000-0000-0000B7120000}"/>
    <cellStyle name="GreyOrWhite 2 7" xfId="48565" xr:uid="{00000000-0005-0000-0000-0000B8120000}"/>
    <cellStyle name="GreyOrWhite 2 8" xfId="48566" xr:uid="{00000000-0005-0000-0000-0000B9120000}"/>
    <cellStyle name="GreyOrWhite 3" xfId="48558"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67"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68"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69"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0"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1"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2"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3"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4"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1" xr:uid="{00000000-0005-0000-0000-0000A2130000}"/>
    <cellStyle name="Input 2 2 2 3" xfId="4589" xr:uid="{00000000-0005-0000-0000-0000A3130000}"/>
    <cellStyle name="Input 2 2 2 3 2" xfId="51667" xr:uid="{00000000-0005-0000-0000-0000A4130000}"/>
    <cellStyle name="Input 2 2 2 4" xfId="49796"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0"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68" xr:uid="{00000000-0005-0000-0000-0000B7130000}"/>
    <cellStyle name="Input 2 2 4" xfId="4606" xr:uid="{00000000-0005-0000-0000-0000B8130000}"/>
    <cellStyle name="Input 2 2 4 2" xfId="50872"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196" xr:uid="{00000000-0005-0000-0000-0000D6130000}"/>
    <cellStyle name="Input 2 3 2 3" xfId="4635" xr:uid="{00000000-0005-0000-0000-0000D7130000}"/>
    <cellStyle name="Input 2 3 2 3 2" xfId="51168" xr:uid="{00000000-0005-0000-0000-0000D8130000}"/>
    <cellStyle name="Input 2 3 2 4" xfId="49801"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5"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3" xr:uid="{00000000-0005-0000-0000-0000EB130000}"/>
    <cellStyle name="Input 2 3 4" xfId="4652" xr:uid="{00000000-0005-0000-0000-0000EC130000}"/>
    <cellStyle name="Input 2 3 4 2" xfId="51350"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5"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199" xr:uid="{00000000-0005-0000-0000-000008140000}"/>
    <cellStyle name="Input 2 4 2 3" xfId="4678" xr:uid="{00000000-0005-0000-0000-000009140000}"/>
    <cellStyle name="Input 2 4 2 3 2" xfId="51523" xr:uid="{00000000-0005-0000-0000-00000A140000}"/>
    <cellStyle name="Input 2 4 2 4" xfId="49798"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68"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0" xr:uid="{00000000-0005-0000-0000-00001D140000}"/>
    <cellStyle name="Input 2 4 4" xfId="4695" xr:uid="{00000000-0005-0000-0000-00001E140000}"/>
    <cellStyle name="Input 2 4 4 2" xfId="51489"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1"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68"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1"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86"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0"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2"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18"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3" xr:uid="{00000000-0005-0000-0000-000079140000}"/>
    <cellStyle name="Input 2 9" xfId="4778" xr:uid="{00000000-0005-0000-0000-00007A140000}"/>
    <cellStyle name="Input 2 9 2" xfId="4779" xr:uid="{00000000-0005-0000-0000-00007B140000}"/>
    <cellStyle name="Input 2 9 3" xfId="51675" xr:uid="{00000000-0005-0000-0000-00007C140000}"/>
    <cellStyle name="Input 3" xfId="4780" xr:uid="{00000000-0005-0000-0000-00007D140000}"/>
    <cellStyle name="Input 3 10" xfId="48576" xr:uid="{00000000-0005-0000-0000-00007E140000}"/>
    <cellStyle name="Input 3 2" xfId="4781" xr:uid="{00000000-0005-0000-0000-00007F140000}"/>
    <cellStyle name="Input 3 2 2" xfId="4782" xr:uid="{00000000-0005-0000-0000-000080140000}"/>
    <cellStyle name="Input 3 2 2 2" xfId="50200" xr:uid="{00000000-0005-0000-0000-000081140000}"/>
    <cellStyle name="Input 3 2 2 3" xfId="51265" xr:uid="{00000000-0005-0000-0000-000082140000}"/>
    <cellStyle name="Input 3 2 2 4" xfId="49797" xr:uid="{00000000-0005-0000-0000-000083140000}"/>
    <cellStyle name="Input 3 2 3" xfId="50569" xr:uid="{00000000-0005-0000-0000-000084140000}"/>
    <cellStyle name="Input 3 2 4" xfId="51232" xr:uid="{00000000-0005-0000-0000-000085140000}"/>
    <cellStyle name="Input 3 2 5" xfId="49469" xr:uid="{00000000-0005-0000-0000-000086140000}"/>
    <cellStyle name="Input 3 3" xfId="4783" xr:uid="{00000000-0005-0000-0000-000087140000}"/>
    <cellStyle name="Input 3 3 2" xfId="4784" xr:uid="{00000000-0005-0000-0000-000088140000}"/>
    <cellStyle name="Input 3 3 2 2" xfId="50197" xr:uid="{00000000-0005-0000-0000-000089140000}"/>
    <cellStyle name="Input 3 3 2 3" xfId="51521" xr:uid="{00000000-0005-0000-0000-00008A140000}"/>
    <cellStyle name="Input 3 3 2 4" xfId="49800" xr:uid="{00000000-0005-0000-0000-00008B140000}"/>
    <cellStyle name="Input 3 3 3" xfId="50566" xr:uid="{00000000-0005-0000-0000-00008C140000}"/>
    <cellStyle name="Input 3 3 4" xfId="51456" xr:uid="{00000000-0005-0000-0000-00008D140000}"/>
    <cellStyle name="Input 3 3 5" xfId="49472" xr:uid="{00000000-0005-0000-0000-00008E140000}"/>
    <cellStyle name="Input 3 4" xfId="4785" xr:uid="{00000000-0005-0000-0000-00008F140000}"/>
    <cellStyle name="Input 3 4 2" xfId="49799" xr:uid="{00000000-0005-0000-0000-000090140000}"/>
    <cellStyle name="Input 3 4 2 2" xfId="50198" xr:uid="{00000000-0005-0000-0000-000091140000}"/>
    <cellStyle name="Input 3 4 2 3" xfId="51263" xr:uid="{00000000-0005-0000-0000-000092140000}"/>
    <cellStyle name="Input 3 4 3" xfId="50567" xr:uid="{00000000-0005-0000-0000-000093140000}"/>
    <cellStyle name="Input 3 4 4" xfId="51198" xr:uid="{00000000-0005-0000-0000-000094140000}"/>
    <cellStyle name="Input 3 4 5" xfId="49471" xr:uid="{00000000-0005-0000-0000-000095140000}"/>
    <cellStyle name="Input 3 5" xfId="49632" xr:uid="{00000000-0005-0000-0000-000096140000}"/>
    <cellStyle name="Input 3 5 2" xfId="50924" xr:uid="{00000000-0005-0000-0000-000097140000}"/>
    <cellStyle name="Input 3 5 3" xfId="51176" xr:uid="{00000000-0005-0000-0000-000098140000}"/>
    <cellStyle name="Input 3 6" xfId="50041" xr:uid="{00000000-0005-0000-0000-000099140000}"/>
    <cellStyle name="Input 3 6 2" xfId="51085" xr:uid="{00000000-0005-0000-0000-00009A140000}"/>
    <cellStyle name="Input 3 6 3" xfId="51417" xr:uid="{00000000-0005-0000-0000-00009B140000}"/>
    <cellStyle name="Input 3 7" xfId="50851" xr:uid="{00000000-0005-0000-0000-00009C140000}"/>
    <cellStyle name="Input 3 8" xfId="50770" xr:uid="{00000000-0005-0000-0000-00009D140000}"/>
    <cellStyle name="Input 3 9" xfId="51679"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77"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38"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78"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79"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0"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1"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3"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2"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5"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4"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86"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87"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88"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89"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0"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2"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3"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4"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5" xr:uid="{00000000-0005-0000-0000-0000BF1D0000}"/>
    <cellStyle name="Normal 2 130" xfId="7097" xr:uid="{00000000-0005-0000-0000-0000C01D0000}"/>
    <cellStyle name="Normal 2 131" xfId="48591" xr:uid="{00000000-0005-0000-0000-0000C11D0000}"/>
    <cellStyle name="Normal 2 14" xfId="7098" xr:uid="{00000000-0005-0000-0000-0000C21D0000}"/>
    <cellStyle name="Normal 2 14 2" xfId="48596" xr:uid="{00000000-0005-0000-0000-0000C31D0000}"/>
    <cellStyle name="Normal 2 15" xfId="7099" xr:uid="{00000000-0005-0000-0000-0000C41D0000}"/>
    <cellStyle name="Normal 2 15 2" xfId="48597" xr:uid="{00000000-0005-0000-0000-0000C51D0000}"/>
    <cellStyle name="Normal 2 16" xfId="7100" xr:uid="{00000000-0005-0000-0000-0000C61D0000}"/>
    <cellStyle name="Normal 2 16 2" xfId="48598" xr:uid="{00000000-0005-0000-0000-0000C71D0000}"/>
    <cellStyle name="Normal 2 17" xfId="7101" xr:uid="{00000000-0005-0000-0000-0000C81D0000}"/>
    <cellStyle name="Normal 2 17 2" xfId="48599" xr:uid="{00000000-0005-0000-0000-0000C91D0000}"/>
    <cellStyle name="Normal 2 18" xfId="7102" xr:uid="{00000000-0005-0000-0000-0000CA1D0000}"/>
    <cellStyle name="Normal 2 18 2" xfId="48600" xr:uid="{00000000-0005-0000-0000-0000CB1D0000}"/>
    <cellStyle name="Normal 2 19" xfId="7103" xr:uid="{00000000-0005-0000-0000-0000CC1D0000}"/>
    <cellStyle name="Normal 2 19 2" xfId="48601"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3"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5" xr:uid="{00000000-0005-0000-0000-0000DD1D0000}"/>
    <cellStyle name="Normal 2 2 11 2 2" xfId="48606" xr:uid="{00000000-0005-0000-0000-0000DE1D0000}"/>
    <cellStyle name="Normal 2 2 11 2 3" xfId="48607" xr:uid="{00000000-0005-0000-0000-0000DF1D0000}"/>
    <cellStyle name="Normal 2 2 11 2 4" xfId="48608" xr:uid="{00000000-0005-0000-0000-0000E01D0000}"/>
    <cellStyle name="Normal 2 2 11 2 5" xfId="48609" xr:uid="{00000000-0005-0000-0000-0000E11D0000}"/>
    <cellStyle name="Normal 2 2 11 2 6" xfId="48610" xr:uid="{00000000-0005-0000-0000-0000E21D0000}"/>
    <cellStyle name="Normal 2 2 11 2 7" xfId="48611" xr:uid="{00000000-0005-0000-0000-0000E31D0000}"/>
    <cellStyle name="Normal 2 2 11 3" xfId="48612" xr:uid="{00000000-0005-0000-0000-0000E41D0000}"/>
    <cellStyle name="Normal 2 2 11 4" xfId="48613" xr:uid="{00000000-0005-0000-0000-0000E51D0000}"/>
    <cellStyle name="Normal 2 2 11 5" xfId="48614" xr:uid="{00000000-0005-0000-0000-0000E61D0000}"/>
    <cellStyle name="Normal 2 2 11 6" xfId="48615" xr:uid="{00000000-0005-0000-0000-0000E71D0000}"/>
    <cellStyle name="Normal 2 2 11 7" xfId="48616" xr:uid="{00000000-0005-0000-0000-0000E81D0000}"/>
    <cellStyle name="Normal 2 2 11 8" xfId="48617" xr:uid="{00000000-0005-0000-0000-0000E91D0000}"/>
    <cellStyle name="Normal 2 2 11 9" xfId="48604"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18"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2" xr:uid="{00000000-0005-0000-0000-0000FB1D0000}"/>
    <cellStyle name="Normal 2 2 13" xfId="7132" xr:uid="{00000000-0005-0000-0000-0000FC1D0000}"/>
    <cellStyle name="Normal 2 2 13 2" xfId="48620" xr:uid="{00000000-0005-0000-0000-0000FD1D0000}"/>
    <cellStyle name="Normal 2 2 13 3" xfId="48621" xr:uid="{00000000-0005-0000-0000-0000FE1D0000}"/>
    <cellStyle name="Normal 2 2 13 4" xfId="48622" xr:uid="{00000000-0005-0000-0000-0000FF1D0000}"/>
    <cellStyle name="Normal 2 2 13 5" xfId="48623" xr:uid="{00000000-0005-0000-0000-0000001E0000}"/>
    <cellStyle name="Normal 2 2 13 6" xfId="48624" xr:uid="{00000000-0005-0000-0000-0000011E0000}"/>
    <cellStyle name="Normal 2 2 13 7" xfId="48625" xr:uid="{00000000-0005-0000-0000-0000021E0000}"/>
    <cellStyle name="Normal 2 2 13 8" xfId="48619" xr:uid="{00000000-0005-0000-0000-0000031E0000}"/>
    <cellStyle name="Normal 2 2 14" xfId="7133" xr:uid="{00000000-0005-0000-0000-0000041E0000}"/>
    <cellStyle name="Normal 2 2 14 2" xfId="48626" xr:uid="{00000000-0005-0000-0000-0000051E0000}"/>
    <cellStyle name="Normal 2 2 15" xfId="7134" xr:uid="{00000000-0005-0000-0000-0000061E0000}"/>
    <cellStyle name="Normal 2 2 15 2" xfId="48627" xr:uid="{00000000-0005-0000-0000-0000071E0000}"/>
    <cellStyle name="Normal 2 2 16" xfId="7135" xr:uid="{00000000-0005-0000-0000-0000081E0000}"/>
    <cellStyle name="Normal 2 2 16 2" xfId="48628" xr:uid="{00000000-0005-0000-0000-0000091E0000}"/>
    <cellStyle name="Normal 2 2 17" xfId="7136" xr:uid="{00000000-0005-0000-0000-00000A1E0000}"/>
    <cellStyle name="Normal 2 2 17 2" xfId="48629" xr:uid="{00000000-0005-0000-0000-00000B1E0000}"/>
    <cellStyle name="Normal 2 2 18" xfId="7137" xr:uid="{00000000-0005-0000-0000-00000C1E0000}"/>
    <cellStyle name="Normal 2 2 18 2" xfId="48630" xr:uid="{00000000-0005-0000-0000-00000D1E0000}"/>
    <cellStyle name="Normal 2 2 19" xfId="7138" xr:uid="{00000000-0005-0000-0000-00000E1E0000}"/>
    <cellStyle name="Normal 2 2 19 2" xfId="48631"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3"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5" xr:uid="{00000000-0005-0000-0000-0000241E0000}"/>
    <cellStyle name="Normal 2 2 2 11 2 2" xfId="48636" xr:uid="{00000000-0005-0000-0000-0000251E0000}"/>
    <cellStyle name="Normal 2 2 2 11 2 3" xfId="48637" xr:uid="{00000000-0005-0000-0000-0000261E0000}"/>
    <cellStyle name="Normal 2 2 2 11 2 4" xfId="48638" xr:uid="{00000000-0005-0000-0000-0000271E0000}"/>
    <cellStyle name="Normal 2 2 2 11 2 5" xfId="48639" xr:uid="{00000000-0005-0000-0000-0000281E0000}"/>
    <cellStyle name="Normal 2 2 2 11 2 6" xfId="48640" xr:uid="{00000000-0005-0000-0000-0000291E0000}"/>
    <cellStyle name="Normal 2 2 2 11 2 7" xfId="48641" xr:uid="{00000000-0005-0000-0000-00002A1E0000}"/>
    <cellStyle name="Normal 2 2 2 11 3" xfId="48642" xr:uid="{00000000-0005-0000-0000-00002B1E0000}"/>
    <cellStyle name="Normal 2 2 2 11 4" xfId="48643" xr:uid="{00000000-0005-0000-0000-00002C1E0000}"/>
    <cellStyle name="Normal 2 2 2 11 5" xfId="48644" xr:uid="{00000000-0005-0000-0000-00002D1E0000}"/>
    <cellStyle name="Normal 2 2 2 11 6" xfId="48645" xr:uid="{00000000-0005-0000-0000-00002E1E0000}"/>
    <cellStyle name="Normal 2 2 2 11 7" xfId="48646" xr:uid="{00000000-0005-0000-0000-00002F1E0000}"/>
    <cellStyle name="Normal 2 2 2 11 8" xfId="48647" xr:uid="{00000000-0005-0000-0000-0000301E0000}"/>
    <cellStyle name="Normal 2 2 2 11 9" xfId="48634" xr:uid="{00000000-0005-0000-0000-0000311E0000}"/>
    <cellStyle name="Normal 2 2 2 12" xfId="7158" xr:uid="{00000000-0005-0000-0000-0000321E0000}"/>
    <cellStyle name="Normal 2 2 2 12 2" xfId="48648" xr:uid="{00000000-0005-0000-0000-0000331E0000}"/>
    <cellStyle name="Normal 2 2 2 13" xfId="7159" xr:uid="{00000000-0005-0000-0000-0000341E0000}"/>
    <cellStyle name="Normal 2 2 2 13 2" xfId="48650" xr:uid="{00000000-0005-0000-0000-0000351E0000}"/>
    <cellStyle name="Normal 2 2 2 13 3" xfId="48651" xr:uid="{00000000-0005-0000-0000-0000361E0000}"/>
    <cellStyle name="Normal 2 2 2 13 4" xfId="48652" xr:uid="{00000000-0005-0000-0000-0000371E0000}"/>
    <cellStyle name="Normal 2 2 2 13 5" xfId="48653" xr:uid="{00000000-0005-0000-0000-0000381E0000}"/>
    <cellStyle name="Normal 2 2 2 13 6" xfId="48654" xr:uid="{00000000-0005-0000-0000-0000391E0000}"/>
    <cellStyle name="Normal 2 2 2 13 7" xfId="48655" xr:uid="{00000000-0005-0000-0000-00003A1E0000}"/>
    <cellStyle name="Normal 2 2 2 13 8" xfId="48649" xr:uid="{00000000-0005-0000-0000-00003B1E0000}"/>
    <cellStyle name="Normal 2 2 2 14" xfId="7160" xr:uid="{00000000-0005-0000-0000-00003C1E0000}"/>
    <cellStyle name="Normal 2 2 2 14 2" xfId="48656" xr:uid="{00000000-0005-0000-0000-00003D1E0000}"/>
    <cellStyle name="Normal 2 2 2 15" xfId="7161" xr:uid="{00000000-0005-0000-0000-00003E1E0000}"/>
    <cellStyle name="Normal 2 2 2 15 2" xfId="48657" xr:uid="{00000000-0005-0000-0000-00003F1E0000}"/>
    <cellStyle name="Normal 2 2 2 16" xfId="7162" xr:uid="{00000000-0005-0000-0000-0000401E0000}"/>
    <cellStyle name="Normal 2 2 2 16 2" xfId="48658" xr:uid="{00000000-0005-0000-0000-0000411E0000}"/>
    <cellStyle name="Normal 2 2 2 17" xfId="7163" xr:uid="{00000000-0005-0000-0000-0000421E0000}"/>
    <cellStyle name="Normal 2 2 2 17 2" xfId="48659" xr:uid="{00000000-0005-0000-0000-0000431E0000}"/>
    <cellStyle name="Normal 2 2 2 18" xfId="7164" xr:uid="{00000000-0005-0000-0000-0000441E0000}"/>
    <cellStyle name="Normal 2 2 2 18 2" xfId="48660" xr:uid="{00000000-0005-0000-0000-0000451E0000}"/>
    <cellStyle name="Normal 2 2 2 19" xfId="7165" xr:uid="{00000000-0005-0000-0000-0000461E0000}"/>
    <cellStyle name="Normal 2 2 2 19 2" xfId="48661" xr:uid="{00000000-0005-0000-0000-0000471E0000}"/>
    <cellStyle name="Normal 2 2 2 2" xfId="7166" xr:uid="{00000000-0005-0000-0000-0000481E0000}"/>
    <cellStyle name="Normal 2 2 2 2 10" xfId="7167" xr:uid="{00000000-0005-0000-0000-0000491E0000}"/>
    <cellStyle name="Normal 2 2 2 2 10 2" xfId="48663" xr:uid="{00000000-0005-0000-0000-00004A1E0000}"/>
    <cellStyle name="Normal 2 2 2 2 11" xfId="7168" xr:uid="{00000000-0005-0000-0000-00004B1E0000}"/>
    <cellStyle name="Normal 2 2 2 2 11 2" xfId="48665" xr:uid="{00000000-0005-0000-0000-00004C1E0000}"/>
    <cellStyle name="Normal 2 2 2 2 11 3" xfId="48666" xr:uid="{00000000-0005-0000-0000-00004D1E0000}"/>
    <cellStyle name="Normal 2 2 2 2 11 4" xfId="48667" xr:uid="{00000000-0005-0000-0000-00004E1E0000}"/>
    <cellStyle name="Normal 2 2 2 2 11 5" xfId="48668" xr:uid="{00000000-0005-0000-0000-00004F1E0000}"/>
    <cellStyle name="Normal 2 2 2 2 11 6" xfId="48669" xr:uid="{00000000-0005-0000-0000-0000501E0000}"/>
    <cellStyle name="Normal 2 2 2 2 11 7" xfId="48670" xr:uid="{00000000-0005-0000-0000-0000511E0000}"/>
    <cellStyle name="Normal 2 2 2 2 11 8" xfId="48664" xr:uid="{00000000-0005-0000-0000-0000521E0000}"/>
    <cellStyle name="Normal 2 2 2 2 12" xfId="7169" xr:uid="{00000000-0005-0000-0000-0000531E0000}"/>
    <cellStyle name="Normal 2 2 2 2 12 2" xfId="48671" xr:uid="{00000000-0005-0000-0000-0000541E0000}"/>
    <cellStyle name="Normal 2 2 2 2 13" xfId="7170" xr:uid="{00000000-0005-0000-0000-0000551E0000}"/>
    <cellStyle name="Normal 2 2 2 2 13 2" xfId="48672" xr:uid="{00000000-0005-0000-0000-0000561E0000}"/>
    <cellStyle name="Normal 2 2 2 2 14" xfId="7171" xr:uid="{00000000-0005-0000-0000-0000571E0000}"/>
    <cellStyle name="Normal 2 2 2 2 14 2" xfId="48673" xr:uid="{00000000-0005-0000-0000-0000581E0000}"/>
    <cellStyle name="Normal 2 2 2 2 15" xfId="7172" xr:uid="{00000000-0005-0000-0000-0000591E0000}"/>
    <cellStyle name="Normal 2 2 2 2 15 2" xfId="48674" xr:uid="{00000000-0005-0000-0000-00005A1E0000}"/>
    <cellStyle name="Normal 2 2 2 2 16" xfId="7173" xr:uid="{00000000-0005-0000-0000-00005B1E0000}"/>
    <cellStyle name="Normal 2 2 2 2 16 2" xfId="48675" xr:uid="{00000000-0005-0000-0000-00005C1E0000}"/>
    <cellStyle name="Normal 2 2 2 2 17" xfId="7174" xr:uid="{00000000-0005-0000-0000-00005D1E0000}"/>
    <cellStyle name="Normal 2 2 2 2 17 2" xfId="48676" xr:uid="{00000000-0005-0000-0000-00005E1E0000}"/>
    <cellStyle name="Normal 2 2 2 2 18" xfId="7175" xr:uid="{00000000-0005-0000-0000-00005F1E0000}"/>
    <cellStyle name="Normal 2 2 2 2 18 2" xfId="48677" xr:uid="{00000000-0005-0000-0000-0000601E0000}"/>
    <cellStyle name="Normal 2 2 2 2 19" xfId="7176" xr:uid="{00000000-0005-0000-0000-0000611E0000}"/>
    <cellStyle name="Normal 2 2 2 2 19 2" xfId="48678" xr:uid="{00000000-0005-0000-0000-0000621E0000}"/>
    <cellStyle name="Normal 2 2 2 2 2" xfId="7177" xr:uid="{00000000-0005-0000-0000-0000631E0000}"/>
    <cellStyle name="Normal 2 2 2 2 2 10" xfId="7178" xr:uid="{00000000-0005-0000-0000-0000641E0000}"/>
    <cellStyle name="Normal 2 2 2 2 2 10 2" xfId="48680" xr:uid="{00000000-0005-0000-0000-0000651E0000}"/>
    <cellStyle name="Normal 2 2 2 2 2 11" xfId="7179" xr:uid="{00000000-0005-0000-0000-0000661E0000}"/>
    <cellStyle name="Normal 2 2 2 2 2 11 2" xfId="48682" xr:uid="{00000000-0005-0000-0000-0000671E0000}"/>
    <cellStyle name="Normal 2 2 2 2 2 11 3" xfId="48683" xr:uid="{00000000-0005-0000-0000-0000681E0000}"/>
    <cellStyle name="Normal 2 2 2 2 2 11 4" xfId="48684" xr:uid="{00000000-0005-0000-0000-0000691E0000}"/>
    <cellStyle name="Normal 2 2 2 2 2 11 5" xfId="48685" xr:uid="{00000000-0005-0000-0000-00006A1E0000}"/>
    <cellStyle name="Normal 2 2 2 2 2 11 6" xfId="48686" xr:uid="{00000000-0005-0000-0000-00006B1E0000}"/>
    <cellStyle name="Normal 2 2 2 2 2 11 7" xfId="48687" xr:uid="{00000000-0005-0000-0000-00006C1E0000}"/>
    <cellStyle name="Normal 2 2 2 2 2 11 8" xfId="48681" xr:uid="{00000000-0005-0000-0000-00006D1E0000}"/>
    <cellStyle name="Normal 2 2 2 2 2 12" xfId="7180" xr:uid="{00000000-0005-0000-0000-00006E1E0000}"/>
    <cellStyle name="Normal 2 2 2 2 2 12 2" xfId="48688" xr:uid="{00000000-0005-0000-0000-00006F1E0000}"/>
    <cellStyle name="Normal 2 2 2 2 2 13" xfId="7181" xr:uid="{00000000-0005-0000-0000-0000701E0000}"/>
    <cellStyle name="Normal 2 2 2 2 2 13 2" xfId="48689" xr:uid="{00000000-0005-0000-0000-0000711E0000}"/>
    <cellStyle name="Normal 2 2 2 2 2 14" xfId="7182" xr:uid="{00000000-0005-0000-0000-0000721E0000}"/>
    <cellStyle name="Normal 2 2 2 2 2 14 2" xfId="48690" xr:uid="{00000000-0005-0000-0000-0000731E0000}"/>
    <cellStyle name="Normal 2 2 2 2 2 15" xfId="7183" xr:uid="{00000000-0005-0000-0000-0000741E0000}"/>
    <cellStyle name="Normal 2 2 2 2 2 15 2" xfId="48691" xr:uid="{00000000-0005-0000-0000-0000751E0000}"/>
    <cellStyle name="Normal 2 2 2 2 2 16" xfId="7184" xr:uid="{00000000-0005-0000-0000-0000761E0000}"/>
    <cellStyle name="Normal 2 2 2 2 2 16 2" xfId="48692" xr:uid="{00000000-0005-0000-0000-0000771E0000}"/>
    <cellStyle name="Normal 2 2 2 2 2 17" xfId="7185" xr:uid="{00000000-0005-0000-0000-0000781E0000}"/>
    <cellStyle name="Normal 2 2 2 2 2 17 2" xfId="48693" xr:uid="{00000000-0005-0000-0000-0000791E0000}"/>
    <cellStyle name="Normal 2 2 2 2 2 18" xfId="7186" xr:uid="{00000000-0005-0000-0000-00007A1E0000}"/>
    <cellStyle name="Normal 2 2 2 2 2 18 2" xfId="48694" xr:uid="{00000000-0005-0000-0000-00007B1E0000}"/>
    <cellStyle name="Normal 2 2 2 2 2 19" xfId="7187" xr:uid="{00000000-0005-0000-0000-00007C1E0000}"/>
    <cellStyle name="Normal 2 2 2 2 2 19 2" xfId="48695" xr:uid="{00000000-0005-0000-0000-00007D1E0000}"/>
    <cellStyle name="Normal 2 2 2 2 2 2" xfId="7188" xr:uid="{00000000-0005-0000-0000-00007E1E0000}"/>
    <cellStyle name="Normal 2 2 2 2 2 2 10" xfId="7189" xr:uid="{00000000-0005-0000-0000-00007F1E0000}"/>
    <cellStyle name="Normal 2 2 2 2 2 2 10 2" xfId="48698" xr:uid="{00000000-0005-0000-0000-0000801E0000}"/>
    <cellStyle name="Normal 2 2 2 2 2 2 10 3" xfId="48699" xr:uid="{00000000-0005-0000-0000-0000811E0000}"/>
    <cellStyle name="Normal 2 2 2 2 2 2 10 4" xfId="48700" xr:uid="{00000000-0005-0000-0000-0000821E0000}"/>
    <cellStyle name="Normal 2 2 2 2 2 2 10 5" xfId="48701" xr:uid="{00000000-0005-0000-0000-0000831E0000}"/>
    <cellStyle name="Normal 2 2 2 2 2 2 10 6" xfId="48702" xr:uid="{00000000-0005-0000-0000-0000841E0000}"/>
    <cellStyle name="Normal 2 2 2 2 2 2 10 7" xfId="48703" xr:uid="{00000000-0005-0000-0000-0000851E0000}"/>
    <cellStyle name="Normal 2 2 2 2 2 2 10 8" xfId="48697" xr:uid="{00000000-0005-0000-0000-0000861E0000}"/>
    <cellStyle name="Normal 2 2 2 2 2 2 11" xfId="7190" xr:uid="{00000000-0005-0000-0000-0000871E0000}"/>
    <cellStyle name="Normal 2 2 2 2 2 2 11 2" xfId="48704" xr:uid="{00000000-0005-0000-0000-0000881E0000}"/>
    <cellStyle name="Normal 2 2 2 2 2 2 12" xfId="7191" xr:uid="{00000000-0005-0000-0000-0000891E0000}"/>
    <cellStyle name="Normal 2 2 2 2 2 2 12 2" xfId="48705" xr:uid="{00000000-0005-0000-0000-00008A1E0000}"/>
    <cellStyle name="Normal 2 2 2 2 2 2 13" xfId="7192" xr:uid="{00000000-0005-0000-0000-00008B1E0000}"/>
    <cellStyle name="Normal 2 2 2 2 2 2 13 2" xfId="48706" xr:uid="{00000000-0005-0000-0000-00008C1E0000}"/>
    <cellStyle name="Normal 2 2 2 2 2 2 14" xfId="7193" xr:uid="{00000000-0005-0000-0000-00008D1E0000}"/>
    <cellStyle name="Normal 2 2 2 2 2 2 14 2" xfId="48707" xr:uid="{00000000-0005-0000-0000-00008E1E0000}"/>
    <cellStyle name="Normal 2 2 2 2 2 2 15" xfId="7194" xr:uid="{00000000-0005-0000-0000-00008F1E0000}"/>
    <cellStyle name="Normal 2 2 2 2 2 2 15 2" xfId="48708" xr:uid="{00000000-0005-0000-0000-0000901E0000}"/>
    <cellStyle name="Normal 2 2 2 2 2 2 16" xfId="7195" xr:uid="{00000000-0005-0000-0000-0000911E0000}"/>
    <cellStyle name="Normal 2 2 2 2 2 2 16 2" xfId="48709" xr:uid="{00000000-0005-0000-0000-0000921E0000}"/>
    <cellStyle name="Normal 2 2 2 2 2 2 17" xfId="7196" xr:uid="{00000000-0005-0000-0000-0000931E0000}"/>
    <cellStyle name="Normal 2 2 2 2 2 2 17 2" xfId="48710" xr:uid="{00000000-0005-0000-0000-0000941E0000}"/>
    <cellStyle name="Normal 2 2 2 2 2 2 18" xfId="7197" xr:uid="{00000000-0005-0000-0000-0000951E0000}"/>
    <cellStyle name="Normal 2 2 2 2 2 2 18 2" xfId="48711" xr:uid="{00000000-0005-0000-0000-0000961E0000}"/>
    <cellStyle name="Normal 2 2 2 2 2 2 19" xfId="7198" xr:uid="{00000000-0005-0000-0000-0000971E0000}"/>
    <cellStyle name="Normal 2 2 2 2 2 2 19 2" xfId="48712" xr:uid="{00000000-0005-0000-0000-0000981E0000}"/>
    <cellStyle name="Normal 2 2 2 2 2 2 2" xfId="7199" xr:uid="{00000000-0005-0000-0000-0000991E0000}"/>
    <cellStyle name="Normal 2 2 2 2 2 2 2 10" xfId="7200" xr:uid="{00000000-0005-0000-0000-00009A1E0000}"/>
    <cellStyle name="Normal 2 2 2 2 2 2 2 10 2" xfId="48715" xr:uid="{00000000-0005-0000-0000-00009B1E0000}"/>
    <cellStyle name="Normal 2 2 2 2 2 2 2 10 3" xfId="48716" xr:uid="{00000000-0005-0000-0000-00009C1E0000}"/>
    <cellStyle name="Normal 2 2 2 2 2 2 2 10 4" xfId="48717" xr:uid="{00000000-0005-0000-0000-00009D1E0000}"/>
    <cellStyle name="Normal 2 2 2 2 2 2 2 10 5" xfId="48718" xr:uid="{00000000-0005-0000-0000-00009E1E0000}"/>
    <cellStyle name="Normal 2 2 2 2 2 2 2 10 6" xfId="48719" xr:uid="{00000000-0005-0000-0000-00009F1E0000}"/>
    <cellStyle name="Normal 2 2 2 2 2 2 2 10 7" xfId="48720" xr:uid="{00000000-0005-0000-0000-0000A01E0000}"/>
    <cellStyle name="Normal 2 2 2 2 2 2 2 10 8" xfId="48714" xr:uid="{00000000-0005-0000-0000-0000A11E0000}"/>
    <cellStyle name="Normal 2 2 2 2 2 2 2 11" xfId="7201" xr:uid="{00000000-0005-0000-0000-0000A21E0000}"/>
    <cellStyle name="Normal 2 2 2 2 2 2 2 11 2" xfId="48721" xr:uid="{00000000-0005-0000-0000-0000A31E0000}"/>
    <cellStyle name="Normal 2 2 2 2 2 2 2 12" xfId="7202" xr:uid="{00000000-0005-0000-0000-0000A41E0000}"/>
    <cellStyle name="Normal 2 2 2 2 2 2 2 12 2" xfId="48722" xr:uid="{00000000-0005-0000-0000-0000A51E0000}"/>
    <cellStyle name="Normal 2 2 2 2 2 2 2 13" xfId="7203" xr:uid="{00000000-0005-0000-0000-0000A61E0000}"/>
    <cellStyle name="Normal 2 2 2 2 2 2 2 13 2" xfId="48723" xr:uid="{00000000-0005-0000-0000-0000A71E0000}"/>
    <cellStyle name="Normal 2 2 2 2 2 2 2 14" xfId="7204" xr:uid="{00000000-0005-0000-0000-0000A81E0000}"/>
    <cellStyle name="Normal 2 2 2 2 2 2 2 14 2" xfId="48724" xr:uid="{00000000-0005-0000-0000-0000A91E0000}"/>
    <cellStyle name="Normal 2 2 2 2 2 2 2 15" xfId="7205" xr:uid="{00000000-0005-0000-0000-0000AA1E0000}"/>
    <cellStyle name="Normal 2 2 2 2 2 2 2 15 2" xfId="48725" xr:uid="{00000000-0005-0000-0000-0000AB1E0000}"/>
    <cellStyle name="Normal 2 2 2 2 2 2 2 16" xfId="7206" xr:uid="{00000000-0005-0000-0000-0000AC1E0000}"/>
    <cellStyle name="Normal 2 2 2 2 2 2 2 16 2" xfId="48726" xr:uid="{00000000-0005-0000-0000-0000AD1E0000}"/>
    <cellStyle name="Normal 2 2 2 2 2 2 2 17" xfId="7207" xr:uid="{00000000-0005-0000-0000-0000AE1E0000}"/>
    <cellStyle name="Normal 2 2 2 2 2 2 2 17 2" xfId="48727" xr:uid="{00000000-0005-0000-0000-0000AF1E0000}"/>
    <cellStyle name="Normal 2 2 2 2 2 2 2 18" xfId="7208" xr:uid="{00000000-0005-0000-0000-0000B01E0000}"/>
    <cellStyle name="Normal 2 2 2 2 2 2 2 18 2" xfId="48728" xr:uid="{00000000-0005-0000-0000-0000B11E0000}"/>
    <cellStyle name="Normal 2 2 2 2 2 2 2 19" xfId="7209" xr:uid="{00000000-0005-0000-0000-0000B21E0000}"/>
    <cellStyle name="Normal 2 2 2 2 2 2 2 19 2" xfId="48729" xr:uid="{00000000-0005-0000-0000-0000B31E0000}"/>
    <cellStyle name="Normal 2 2 2 2 2 2 2 2" xfId="7210" xr:uid="{00000000-0005-0000-0000-0000B41E0000}"/>
    <cellStyle name="Normal 2 2 2 2 2 2 2 2 10" xfId="7211" xr:uid="{00000000-0005-0000-0000-0000B51E0000}"/>
    <cellStyle name="Normal 2 2 2 2 2 2 2 2 10 2" xfId="48731" xr:uid="{00000000-0005-0000-0000-0000B61E0000}"/>
    <cellStyle name="Normal 2 2 2 2 2 2 2 2 11" xfId="7212" xr:uid="{00000000-0005-0000-0000-0000B71E0000}"/>
    <cellStyle name="Normal 2 2 2 2 2 2 2 2 11 2" xfId="48732" xr:uid="{00000000-0005-0000-0000-0000B81E0000}"/>
    <cellStyle name="Normal 2 2 2 2 2 2 2 2 12" xfId="7213" xr:uid="{00000000-0005-0000-0000-0000B91E0000}"/>
    <cellStyle name="Normal 2 2 2 2 2 2 2 2 12 2" xfId="48733" xr:uid="{00000000-0005-0000-0000-0000BA1E0000}"/>
    <cellStyle name="Normal 2 2 2 2 2 2 2 2 13" xfId="7214" xr:uid="{00000000-0005-0000-0000-0000BB1E0000}"/>
    <cellStyle name="Normal 2 2 2 2 2 2 2 2 13 2" xfId="48734" xr:uid="{00000000-0005-0000-0000-0000BC1E0000}"/>
    <cellStyle name="Normal 2 2 2 2 2 2 2 2 14" xfId="7215" xr:uid="{00000000-0005-0000-0000-0000BD1E0000}"/>
    <cellStyle name="Normal 2 2 2 2 2 2 2 2 14 2" xfId="48735" xr:uid="{00000000-0005-0000-0000-0000BE1E0000}"/>
    <cellStyle name="Normal 2 2 2 2 2 2 2 2 15" xfId="7216" xr:uid="{00000000-0005-0000-0000-0000BF1E0000}"/>
    <cellStyle name="Normal 2 2 2 2 2 2 2 2 15 2" xfId="48736" xr:uid="{00000000-0005-0000-0000-0000C01E0000}"/>
    <cellStyle name="Normal 2 2 2 2 2 2 2 2 16" xfId="7217" xr:uid="{00000000-0005-0000-0000-0000C11E0000}"/>
    <cellStyle name="Normal 2 2 2 2 2 2 2 2 16 2" xfId="48737" xr:uid="{00000000-0005-0000-0000-0000C21E0000}"/>
    <cellStyle name="Normal 2 2 2 2 2 2 2 2 17" xfId="7218" xr:uid="{00000000-0005-0000-0000-0000C31E0000}"/>
    <cellStyle name="Normal 2 2 2 2 2 2 2 2 17 2" xfId="48738" xr:uid="{00000000-0005-0000-0000-0000C41E0000}"/>
    <cellStyle name="Normal 2 2 2 2 2 2 2 2 18" xfId="7219" xr:uid="{00000000-0005-0000-0000-0000C51E0000}"/>
    <cellStyle name="Normal 2 2 2 2 2 2 2 2 18 2" xfId="48739" xr:uid="{00000000-0005-0000-0000-0000C61E0000}"/>
    <cellStyle name="Normal 2 2 2 2 2 2 2 2 19" xfId="7220" xr:uid="{00000000-0005-0000-0000-0000C71E0000}"/>
    <cellStyle name="Normal 2 2 2 2 2 2 2 2 19 2" xfId="48740" xr:uid="{00000000-0005-0000-0000-0000C81E0000}"/>
    <cellStyle name="Normal 2 2 2 2 2 2 2 2 2" xfId="7221" xr:uid="{00000000-0005-0000-0000-0000C91E0000}"/>
    <cellStyle name="Normal 2 2 2 2 2 2 2 2 2 10" xfId="7222" xr:uid="{00000000-0005-0000-0000-0000CA1E0000}"/>
    <cellStyle name="Normal 2 2 2 2 2 2 2 2 2 10 2" xfId="48742" xr:uid="{00000000-0005-0000-0000-0000CB1E0000}"/>
    <cellStyle name="Normal 2 2 2 2 2 2 2 2 2 11" xfId="7223" xr:uid="{00000000-0005-0000-0000-0000CC1E0000}"/>
    <cellStyle name="Normal 2 2 2 2 2 2 2 2 2 11 2" xfId="48743" xr:uid="{00000000-0005-0000-0000-0000CD1E0000}"/>
    <cellStyle name="Normal 2 2 2 2 2 2 2 2 2 12" xfId="7224" xr:uid="{00000000-0005-0000-0000-0000CE1E0000}"/>
    <cellStyle name="Normal 2 2 2 2 2 2 2 2 2 12 2" xfId="48744" xr:uid="{00000000-0005-0000-0000-0000CF1E0000}"/>
    <cellStyle name="Normal 2 2 2 2 2 2 2 2 2 13" xfId="7225" xr:uid="{00000000-0005-0000-0000-0000D01E0000}"/>
    <cellStyle name="Normal 2 2 2 2 2 2 2 2 2 13 2" xfId="48745" xr:uid="{00000000-0005-0000-0000-0000D11E0000}"/>
    <cellStyle name="Normal 2 2 2 2 2 2 2 2 2 14" xfId="7226" xr:uid="{00000000-0005-0000-0000-0000D21E0000}"/>
    <cellStyle name="Normal 2 2 2 2 2 2 2 2 2 14 2" xfId="48746" xr:uid="{00000000-0005-0000-0000-0000D31E0000}"/>
    <cellStyle name="Normal 2 2 2 2 2 2 2 2 2 15" xfId="7227" xr:uid="{00000000-0005-0000-0000-0000D41E0000}"/>
    <cellStyle name="Normal 2 2 2 2 2 2 2 2 2 15 2" xfId="48747" xr:uid="{00000000-0005-0000-0000-0000D51E0000}"/>
    <cellStyle name="Normal 2 2 2 2 2 2 2 2 2 16" xfId="7228" xr:uid="{00000000-0005-0000-0000-0000D61E0000}"/>
    <cellStyle name="Normal 2 2 2 2 2 2 2 2 2 16 2" xfId="48748" xr:uid="{00000000-0005-0000-0000-0000D71E0000}"/>
    <cellStyle name="Normal 2 2 2 2 2 2 2 2 2 17" xfId="7229" xr:uid="{00000000-0005-0000-0000-0000D81E0000}"/>
    <cellStyle name="Normal 2 2 2 2 2 2 2 2 2 17 2" xfId="48749" xr:uid="{00000000-0005-0000-0000-0000D91E0000}"/>
    <cellStyle name="Normal 2 2 2 2 2 2 2 2 2 18" xfId="7230" xr:uid="{00000000-0005-0000-0000-0000DA1E0000}"/>
    <cellStyle name="Normal 2 2 2 2 2 2 2 2 2 18 2" xfId="48750" xr:uid="{00000000-0005-0000-0000-0000DB1E0000}"/>
    <cellStyle name="Normal 2 2 2 2 2 2 2 2 2 19" xfId="48751" xr:uid="{00000000-0005-0000-0000-0000DC1E0000}"/>
    <cellStyle name="Normal 2 2 2 2 2 2 2 2 2 2" xfId="7231" xr:uid="{00000000-0005-0000-0000-0000DD1E0000}"/>
    <cellStyle name="Normal 2 2 2 2 2 2 2 2 2 2 10" xfId="48753" xr:uid="{00000000-0005-0000-0000-0000DE1E0000}"/>
    <cellStyle name="Normal 2 2 2 2 2 2 2 2 2 2 11" xfId="48754" xr:uid="{00000000-0005-0000-0000-0000DF1E0000}"/>
    <cellStyle name="Normal 2 2 2 2 2 2 2 2 2 2 12" xfId="48755" xr:uid="{00000000-0005-0000-0000-0000E01E0000}"/>
    <cellStyle name="Normal 2 2 2 2 2 2 2 2 2 2 13" xfId="48756" xr:uid="{00000000-0005-0000-0000-0000E11E0000}"/>
    <cellStyle name="Normal 2 2 2 2 2 2 2 2 2 2 14" xfId="48757" xr:uid="{00000000-0005-0000-0000-0000E21E0000}"/>
    <cellStyle name="Normal 2 2 2 2 2 2 2 2 2 2 15" xfId="48758" xr:uid="{00000000-0005-0000-0000-0000E31E0000}"/>
    <cellStyle name="Normal 2 2 2 2 2 2 2 2 2 2 16" xfId="48759" xr:uid="{00000000-0005-0000-0000-0000E41E0000}"/>
    <cellStyle name="Normal 2 2 2 2 2 2 2 2 2 2 17" xfId="48760" xr:uid="{00000000-0005-0000-0000-0000E51E0000}"/>
    <cellStyle name="Normal 2 2 2 2 2 2 2 2 2 2 18" xfId="48761" xr:uid="{00000000-0005-0000-0000-0000E61E0000}"/>
    <cellStyle name="Normal 2 2 2 2 2 2 2 2 2 2 19" xfId="48752" xr:uid="{00000000-0005-0000-0000-0000E71E0000}"/>
    <cellStyle name="Normal 2 2 2 2 2 2 2 2 2 2 2" xfId="48762" xr:uid="{00000000-0005-0000-0000-0000E81E0000}"/>
    <cellStyle name="Normal 2 2 2 2 2 2 2 2 2 2 2 2" xfId="48763" xr:uid="{00000000-0005-0000-0000-0000E91E0000}"/>
    <cellStyle name="Normal 2 2 2 2 2 2 2 2 2 2 2 2 2" xfId="48764" xr:uid="{00000000-0005-0000-0000-0000EA1E0000}"/>
    <cellStyle name="Normal 2 2 2 2 2 2 2 2 2 2 2 2 3" xfId="48765" xr:uid="{00000000-0005-0000-0000-0000EB1E0000}"/>
    <cellStyle name="Normal 2 2 2 2 2 2 2 2 2 2 2 2 4" xfId="48766" xr:uid="{00000000-0005-0000-0000-0000EC1E0000}"/>
    <cellStyle name="Normal 2 2 2 2 2 2 2 2 2 2 2 2 5" xfId="48767" xr:uid="{00000000-0005-0000-0000-0000ED1E0000}"/>
    <cellStyle name="Normal 2 2 2 2 2 2 2 2 2 2 2 2 6" xfId="48768" xr:uid="{00000000-0005-0000-0000-0000EE1E0000}"/>
    <cellStyle name="Normal 2 2 2 2 2 2 2 2 2 2 2 2 7" xfId="48769" xr:uid="{00000000-0005-0000-0000-0000EF1E0000}"/>
    <cellStyle name="Normal 2 2 2 2 2 2 2 2 2 2 2 3" xfId="48770" xr:uid="{00000000-0005-0000-0000-0000F01E0000}"/>
    <cellStyle name="Normal 2 2 2 2 2 2 2 2 2 2 2 4" xfId="48771" xr:uid="{00000000-0005-0000-0000-0000F11E0000}"/>
    <cellStyle name="Normal 2 2 2 2 2 2 2 2 2 2 2 5" xfId="48772" xr:uid="{00000000-0005-0000-0000-0000F21E0000}"/>
    <cellStyle name="Normal 2 2 2 2 2 2 2 2 2 2 2 6" xfId="48773" xr:uid="{00000000-0005-0000-0000-0000F31E0000}"/>
    <cellStyle name="Normal 2 2 2 2 2 2 2 2 2 2 2 7" xfId="48774" xr:uid="{00000000-0005-0000-0000-0000F41E0000}"/>
    <cellStyle name="Normal 2 2 2 2 2 2 2 2 2 2 2 8" xfId="48775" xr:uid="{00000000-0005-0000-0000-0000F51E0000}"/>
    <cellStyle name="Normal 2 2 2 2 2 2 2 2 2 2 3" xfId="48776" xr:uid="{00000000-0005-0000-0000-0000F61E0000}"/>
    <cellStyle name="Normal 2 2 2 2 2 2 2 2 2 2 4" xfId="48777" xr:uid="{00000000-0005-0000-0000-0000F71E0000}"/>
    <cellStyle name="Normal 2 2 2 2 2 2 2 2 2 2 5" xfId="48778" xr:uid="{00000000-0005-0000-0000-0000F81E0000}"/>
    <cellStyle name="Normal 2 2 2 2 2 2 2 2 2 2 5 2" xfId="48779" xr:uid="{00000000-0005-0000-0000-0000F91E0000}"/>
    <cellStyle name="Normal 2 2 2 2 2 2 2 2 2 2 5 3" xfId="48780" xr:uid="{00000000-0005-0000-0000-0000FA1E0000}"/>
    <cellStyle name="Normal 2 2 2 2 2 2 2 2 2 2 5 4" xfId="48781" xr:uid="{00000000-0005-0000-0000-0000FB1E0000}"/>
    <cellStyle name="Normal 2 2 2 2 2 2 2 2 2 2 5 5" xfId="48782" xr:uid="{00000000-0005-0000-0000-0000FC1E0000}"/>
    <cellStyle name="Normal 2 2 2 2 2 2 2 2 2 2 5 6" xfId="48783" xr:uid="{00000000-0005-0000-0000-0000FD1E0000}"/>
    <cellStyle name="Normal 2 2 2 2 2 2 2 2 2 2 5 7" xfId="48784" xr:uid="{00000000-0005-0000-0000-0000FE1E0000}"/>
    <cellStyle name="Normal 2 2 2 2 2 2 2 2 2 2 6" xfId="48785" xr:uid="{00000000-0005-0000-0000-0000FF1E0000}"/>
    <cellStyle name="Normal 2 2 2 2 2 2 2 2 2 2 7" xfId="48786" xr:uid="{00000000-0005-0000-0000-0000001F0000}"/>
    <cellStyle name="Normal 2 2 2 2 2 2 2 2 2 2 8" xfId="48787" xr:uid="{00000000-0005-0000-0000-0000011F0000}"/>
    <cellStyle name="Normal 2 2 2 2 2 2 2 2 2 2 9" xfId="48788" xr:uid="{00000000-0005-0000-0000-0000021F0000}"/>
    <cellStyle name="Normal 2 2 2 2 2 2 2 2 2 20" xfId="48741" xr:uid="{00000000-0005-0000-0000-0000031F0000}"/>
    <cellStyle name="Normal 2 2 2 2 2 2 2 2 2 3" xfId="7232" xr:uid="{00000000-0005-0000-0000-0000041F0000}"/>
    <cellStyle name="Normal 2 2 2 2 2 2 2 2 2 3 2" xfId="48789" xr:uid="{00000000-0005-0000-0000-0000051F0000}"/>
    <cellStyle name="Normal 2 2 2 2 2 2 2 2 2 4" xfId="7233" xr:uid="{00000000-0005-0000-0000-0000061F0000}"/>
    <cellStyle name="Normal 2 2 2 2 2 2 2 2 2 4 2" xfId="48791" xr:uid="{00000000-0005-0000-0000-0000071F0000}"/>
    <cellStyle name="Normal 2 2 2 2 2 2 2 2 2 4 2 2" xfId="48792" xr:uid="{00000000-0005-0000-0000-0000081F0000}"/>
    <cellStyle name="Normal 2 2 2 2 2 2 2 2 2 4 2 3" xfId="48793" xr:uid="{00000000-0005-0000-0000-0000091F0000}"/>
    <cellStyle name="Normal 2 2 2 2 2 2 2 2 2 4 2 4" xfId="48794" xr:uid="{00000000-0005-0000-0000-00000A1F0000}"/>
    <cellStyle name="Normal 2 2 2 2 2 2 2 2 2 4 2 5" xfId="48795" xr:uid="{00000000-0005-0000-0000-00000B1F0000}"/>
    <cellStyle name="Normal 2 2 2 2 2 2 2 2 2 4 2 6" xfId="48796" xr:uid="{00000000-0005-0000-0000-00000C1F0000}"/>
    <cellStyle name="Normal 2 2 2 2 2 2 2 2 2 4 2 7" xfId="48797" xr:uid="{00000000-0005-0000-0000-00000D1F0000}"/>
    <cellStyle name="Normal 2 2 2 2 2 2 2 2 2 4 3" xfId="48798" xr:uid="{00000000-0005-0000-0000-00000E1F0000}"/>
    <cellStyle name="Normal 2 2 2 2 2 2 2 2 2 4 4" xfId="48799" xr:uid="{00000000-0005-0000-0000-00000F1F0000}"/>
    <cellStyle name="Normal 2 2 2 2 2 2 2 2 2 4 5" xfId="48800" xr:uid="{00000000-0005-0000-0000-0000101F0000}"/>
    <cellStyle name="Normal 2 2 2 2 2 2 2 2 2 4 6" xfId="48801" xr:uid="{00000000-0005-0000-0000-0000111F0000}"/>
    <cellStyle name="Normal 2 2 2 2 2 2 2 2 2 4 7" xfId="48802" xr:uid="{00000000-0005-0000-0000-0000121F0000}"/>
    <cellStyle name="Normal 2 2 2 2 2 2 2 2 2 4 8" xfId="48803" xr:uid="{00000000-0005-0000-0000-0000131F0000}"/>
    <cellStyle name="Normal 2 2 2 2 2 2 2 2 2 4 9" xfId="48790" xr:uid="{00000000-0005-0000-0000-0000141F0000}"/>
    <cellStyle name="Normal 2 2 2 2 2 2 2 2 2 5" xfId="7234" xr:uid="{00000000-0005-0000-0000-0000151F0000}"/>
    <cellStyle name="Normal 2 2 2 2 2 2 2 2 2 5 2" xfId="48804" xr:uid="{00000000-0005-0000-0000-0000161F0000}"/>
    <cellStyle name="Normal 2 2 2 2 2 2 2 2 2 6" xfId="7235" xr:uid="{00000000-0005-0000-0000-0000171F0000}"/>
    <cellStyle name="Normal 2 2 2 2 2 2 2 2 2 6 2" xfId="48806" xr:uid="{00000000-0005-0000-0000-0000181F0000}"/>
    <cellStyle name="Normal 2 2 2 2 2 2 2 2 2 6 3" xfId="48807" xr:uid="{00000000-0005-0000-0000-0000191F0000}"/>
    <cellStyle name="Normal 2 2 2 2 2 2 2 2 2 6 4" xfId="48808" xr:uid="{00000000-0005-0000-0000-00001A1F0000}"/>
    <cellStyle name="Normal 2 2 2 2 2 2 2 2 2 6 5" xfId="48809" xr:uid="{00000000-0005-0000-0000-00001B1F0000}"/>
    <cellStyle name="Normal 2 2 2 2 2 2 2 2 2 6 6" xfId="48810" xr:uid="{00000000-0005-0000-0000-00001C1F0000}"/>
    <cellStyle name="Normal 2 2 2 2 2 2 2 2 2 6 7" xfId="48811" xr:uid="{00000000-0005-0000-0000-00001D1F0000}"/>
    <cellStyle name="Normal 2 2 2 2 2 2 2 2 2 6 8" xfId="48805" xr:uid="{00000000-0005-0000-0000-00001E1F0000}"/>
    <cellStyle name="Normal 2 2 2 2 2 2 2 2 2 7" xfId="7236" xr:uid="{00000000-0005-0000-0000-00001F1F0000}"/>
    <cellStyle name="Normal 2 2 2 2 2 2 2 2 2 7 2" xfId="48812" xr:uid="{00000000-0005-0000-0000-0000201F0000}"/>
    <cellStyle name="Normal 2 2 2 2 2 2 2 2 2 8" xfId="7237" xr:uid="{00000000-0005-0000-0000-0000211F0000}"/>
    <cellStyle name="Normal 2 2 2 2 2 2 2 2 2 8 2" xfId="48813" xr:uid="{00000000-0005-0000-0000-0000221F0000}"/>
    <cellStyle name="Normal 2 2 2 2 2 2 2 2 2 9" xfId="7238" xr:uid="{00000000-0005-0000-0000-0000231F0000}"/>
    <cellStyle name="Normal 2 2 2 2 2 2 2 2 2 9 2" xfId="48814" xr:uid="{00000000-0005-0000-0000-0000241F0000}"/>
    <cellStyle name="Normal 2 2 2 2 2 2 2 2 2_Opex Input" xfId="48815" xr:uid="{00000000-0005-0000-0000-0000251F0000}"/>
    <cellStyle name="Normal 2 2 2 2 2 2 2 2 20" xfId="48816" xr:uid="{00000000-0005-0000-0000-0000261F0000}"/>
    <cellStyle name="Normal 2 2 2 2 2 2 2 2 21" xfId="48730" xr:uid="{00000000-0005-0000-0000-0000271F0000}"/>
    <cellStyle name="Normal 2 2 2 2 2 2 2 2 3" xfId="7239" xr:uid="{00000000-0005-0000-0000-0000281F0000}"/>
    <cellStyle name="Normal 2 2 2 2 2 2 2 2 3 2" xfId="48817" xr:uid="{00000000-0005-0000-0000-0000291F0000}"/>
    <cellStyle name="Normal 2 2 2 2 2 2 2 2 4" xfId="7240" xr:uid="{00000000-0005-0000-0000-00002A1F0000}"/>
    <cellStyle name="Normal 2 2 2 2 2 2 2 2 4 2" xfId="48818" xr:uid="{00000000-0005-0000-0000-00002B1F0000}"/>
    <cellStyle name="Normal 2 2 2 2 2 2 2 2 5" xfId="7241" xr:uid="{00000000-0005-0000-0000-00002C1F0000}"/>
    <cellStyle name="Normal 2 2 2 2 2 2 2 2 5 2" xfId="48820" xr:uid="{00000000-0005-0000-0000-00002D1F0000}"/>
    <cellStyle name="Normal 2 2 2 2 2 2 2 2 5 2 2" xfId="48821" xr:uid="{00000000-0005-0000-0000-00002E1F0000}"/>
    <cellStyle name="Normal 2 2 2 2 2 2 2 2 5 2 3" xfId="48822" xr:uid="{00000000-0005-0000-0000-00002F1F0000}"/>
    <cellStyle name="Normal 2 2 2 2 2 2 2 2 5 2 4" xfId="48823" xr:uid="{00000000-0005-0000-0000-0000301F0000}"/>
    <cellStyle name="Normal 2 2 2 2 2 2 2 2 5 2 5" xfId="48824" xr:uid="{00000000-0005-0000-0000-0000311F0000}"/>
    <cellStyle name="Normal 2 2 2 2 2 2 2 2 5 2 6" xfId="48825" xr:uid="{00000000-0005-0000-0000-0000321F0000}"/>
    <cellStyle name="Normal 2 2 2 2 2 2 2 2 5 2 7" xfId="48826" xr:uid="{00000000-0005-0000-0000-0000331F0000}"/>
    <cellStyle name="Normal 2 2 2 2 2 2 2 2 5 3" xfId="48827" xr:uid="{00000000-0005-0000-0000-0000341F0000}"/>
    <cellStyle name="Normal 2 2 2 2 2 2 2 2 5 4" xfId="48828" xr:uid="{00000000-0005-0000-0000-0000351F0000}"/>
    <cellStyle name="Normal 2 2 2 2 2 2 2 2 5 5" xfId="48829" xr:uid="{00000000-0005-0000-0000-0000361F0000}"/>
    <cellStyle name="Normal 2 2 2 2 2 2 2 2 5 6" xfId="48830" xr:uid="{00000000-0005-0000-0000-0000371F0000}"/>
    <cellStyle name="Normal 2 2 2 2 2 2 2 2 5 7" xfId="48831" xr:uid="{00000000-0005-0000-0000-0000381F0000}"/>
    <cellStyle name="Normal 2 2 2 2 2 2 2 2 5 8" xfId="48832" xr:uid="{00000000-0005-0000-0000-0000391F0000}"/>
    <cellStyle name="Normal 2 2 2 2 2 2 2 2 5 9" xfId="48819" xr:uid="{00000000-0005-0000-0000-00003A1F0000}"/>
    <cellStyle name="Normal 2 2 2 2 2 2 2 2 6" xfId="7242" xr:uid="{00000000-0005-0000-0000-00003B1F0000}"/>
    <cellStyle name="Normal 2 2 2 2 2 2 2 2 6 2" xfId="48833" xr:uid="{00000000-0005-0000-0000-00003C1F0000}"/>
    <cellStyle name="Normal 2 2 2 2 2 2 2 2 7" xfId="7243" xr:uid="{00000000-0005-0000-0000-00003D1F0000}"/>
    <cellStyle name="Normal 2 2 2 2 2 2 2 2 7 2" xfId="48835" xr:uid="{00000000-0005-0000-0000-00003E1F0000}"/>
    <cellStyle name="Normal 2 2 2 2 2 2 2 2 7 3" xfId="48836" xr:uid="{00000000-0005-0000-0000-00003F1F0000}"/>
    <cellStyle name="Normal 2 2 2 2 2 2 2 2 7 4" xfId="48837" xr:uid="{00000000-0005-0000-0000-0000401F0000}"/>
    <cellStyle name="Normal 2 2 2 2 2 2 2 2 7 5" xfId="48838" xr:uid="{00000000-0005-0000-0000-0000411F0000}"/>
    <cellStyle name="Normal 2 2 2 2 2 2 2 2 7 6" xfId="48839" xr:uid="{00000000-0005-0000-0000-0000421F0000}"/>
    <cellStyle name="Normal 2 2 2 2 2 2 2 2 7 7" xfId="48840" xr:uid="{00000000-0005-0000-0000-0000431F0000}"/>
    <cellStyle name="Normal 2 2 2 2 2 2 2 2 7 8" xfId="48834" xr:uid="{00000000-0005-0000-0000-0000441F0000}"/>
    <cellStyle name="Normal 2 2 2 2 2 2 2 2 8" xfId="7244" xr:uid="{00000000-0005-0000-0000-0000451F0000}"/>
    <cellStyle name="Normal 2 2 2 2 2 2 2 2 8 2" xfId="48841" xr:uid="{00000000-0005-0000-0000-0000461F0000}"/>
    <cellStyle name="Normal 2 2 2 2 2 2 2 2 9" xfId="7245" xr:uid="{00000000-0005-0000-0000-0000471F0000}"/>
    <cellStyle name="Normal 2 2 2 2 2 2 2 2 9 2" xfId="48842" xr:uid="{00000000-0005-0000-0000-0000481F0000}"/>
    <cellStyle name="Normal 2 2 2 2 2 2 2 2_ELEC SAP FCST UPLOAD" xfId="7246" xr:uid="{00000000-0005-0000-0000-0000491F0000}"/>
    <cellStyle name="Normal 2 2 2 2 2 2 2 20" xfId="7247" xr:uid="{00000000-0005-0000-0000-00004A1F0000}"/>
    <cellStyle name="Normal 2 2 2 2 2 2 2 20 2" xfId="48843" xr:uid="{00000000-0005-0000-0000-00004B1F0000}"/>
    <cellStyle name="Normal 2 2 2 2 2 2 2 21" xfId="7248" xr:uid="{00000000-0005-0000-0000-00004C1F0000}"/>
    <cellStyle name="Normal 2 2 2 2 2 2 2 21 2" xfId="48844" xr:uid="{00000000-0005-0000-0000-00004D1F0000}"/>
    <cellStyle name="Normal 2 2 2 2 2 2 2 22" xfId="7249" xr:uid="{00000000-0005-0000-0000-00004E1F0000}"/>
    <cellStyle name="Normal 2 2 2 2 2 2 2 22 2" xfId="48845" xr:uid="{00000000-0005-0000-0000-00004F1F0000}"/>
    <cellStyle name="Normal 2 2 2 2 2 2 2 23" xfId="48846" xr:uid="{00000000-0005-0000-0000-0000501F0000}"/>
    <cellStyle name="Normal 2 2 2 2 2 2 2 24" xfId="48713" xr:uid="{00000000-0005-0000-0000-0000511F0000}"/>
    <cellStyle name="Normal 2 2 2 2 2 2 2 3" xfId="7250" xr:uid="{00000000-0005-0000-0000-0000521F0000}"/>
    <cellStyle name="Normal 2 2 2 2 2 2 2 3 2" xfId="48847" xr:uid="{00000000-0005-0000-0000-0000531F0000}"/>
    <cellStyle name="Normal 2 2 2 2 2 2 2 4" xfId="7251" xr:uid="{00000000-0005-0000-0000-0000541F0000}"/>
    <cellStyle name="Normal 2 2 2 2 2 2 2 4 2" xfId="48848" xr:uid="{00000000-0005-0000-0000-0000551F0000}"/>
    <cellStyle name="Normal 2 2 2 2 2 2 2 5" xfId="7252" xr:uid="{00000000-0005-0000-0000-0000561F0000}"/>
    <cellStyle name="Normal 2 2 2 2 2 2 2 5 2" xfId="48849" xr:uid="{00000000-0005-0000-0000-0000571F0000}"/>
    <cellStyle name="Normal 2 2 2 2 2 2 2 6" xfId="7253" xr:uid="{00000000-0005-0000-0000-0000581F0000}"/>
    <cellStyle name="Normal 2 2 2 2 2 2 2 6 2" xfId="48850" xr:uid="{00000000-0005-0000-0000-0000591F0000}"/>
    <cellStyle name="Normal 2 2 2 2 2 2 2 7" xfId="7254" xr:uid="{00000000-0005-0000-0000-00005A1F0000}"/>
    <cellStyle name="Normal 2 2 2 2 2 2 2 7 2" xfId="48851" xr:uid="{00000000-0005-0000-0000-00005B1F0000}"/>
    <cellStyle name="Normal 2 2 2 2 2 2 2 8" xfId="7255" xr:uid="{00000000-0005-0000-0000-00005C1F0000}"/>
    <cellStyle name="Normal 2 2 2 2 2 2 2 8 2" xfId="48853" xr:uid="{00000000-0005-0000-0000-00005D1F0000}"/>
    <cellStyle name="Normal 2 2 2 2 2 2 2 8 2 2" xfId="48854" xr:uid="{00000000-0005-0000-0000-00005E1F0000}"/>
    <cellStyle name="Normal 2 2 2 2 2 2 2 8 2 3" xfId="48855" xr:uid="{00000000-0005-0000-0000-00005F1F0000}"/>
    <cellStyle name="Normal 2 2 2 2 2 2 2 8 2 4" xfId="48856" xr:uid="{00000000-0005-0000-0000-0000601F0000}"/>
    <cellStyle name="Normal 2 2 2 2 2 2 2 8 2 5" xfId="48857" xr:uid="{00000000-0005-0000-0000-0000611F0000}"/>
    <cellStyle name="Normal 2 2 2 2 2 2 2 8 2 6" xfId="48858" xr:uid="{00000000-0005-0000-0000-0000621F0000}"/>
    <cellStyle name="Normal 2 2 2 2 2 2 2 8 2 7" xfId="48859" xr:uid="{00000000-0005-0000-0000-0000631F0000}"/>
    <cellStyle name="Normal 2 2 2 2 2 2 2 8 3" xfId="48860" xr:uid="{00000000-0005-0000-0000-0000641F0000}"/>
    <cellStyle name="Normal 2 2 2 2 2 2 2 8 4" xfId="48861" xr:uid="{00000000-0005-0000-0000-0000651F0000}"/>
    <cellStyle name="Normal 2 2 2 2 2 2 2 8 5" xfId="48862" xr:uid="{00000000-0005-0000-0000-0000661F0000}"/>
    <cellStyle name="Normal 2 2 2 2 2 2 2 8 6" xfId="48863" xr:uid="{00000000-0005-0000-0000-0000671F0000}"/>
    <cellStyle name="Normal 2 2 2 2 2 2 2 8 7" xfId="48864" xr:uid="{00000000-0005-0000-0000-0000681F0000}"/>
    <cellStyle name="Normal 2 2 2 2 2 2 2 8 8" xfId="48865" xr:uid="{00000000-0005-0000-0000-0000691F0000}"/>
    <cellStyle name="Normal 2 2 2 2 2 2 2 8 9" xfId="48852" xr:uid="{00000000-0005-0000-0000-00006A1F0000}"/>
    <cellStyle name="Normal 2 2 2 2 2 2 2 9" xfId="7256" xr:uid="{00000000-0005-0000-0000-00006B1F0000}"/>
    <cellStyle name="Normal 2 2 2 2 2 2 2 9 2" xfId="48866" xr:uid="{00000000-0005-0000-0000-00006C1F0000}"/>
    <cellStyle name="Normal 2 2 2 2 2 2 2_ELEC SAP FCST UPLOAD" xfId="7257" xr:uid="{00000000-0005-0000-0000-00006D1F0000}"/>
    <cellStyle name="Normal 2 2 2 2 2 2 20" xfId="7258" xr:uid="{00000000-0005-0000-0000-00006E1F0000}"/>
    <cellStyle name="Normal 2 2 2 2 2 2 20 2" xfId="48867" xr:uid="{00000000-0005-0000-0000-00006F1F0000}"/>
    <cellStyle name="Normal 2 2 2 2 2 2 21" xfId="7259" xr:uid="{00000000-0005-0000-0000-0000701F0000}"/>
    <cellStyle name="Normal 2 2 2 2 2 2 21 2" xfId="48868" xr:uid="{00000000-0005-0000-0000-0000711F0000}"/>
    <cellStyle name="Normal 2 2 2 2 2 2 22" xfId="7260" xr:uid="{00000000-0005-0000-0000-0000721F0000}"/>
    <cellStyle name="Normal 2 2 2 2 2 2 22 2" xfId="48869" xr:uid="{00000000-0005-0000-0000-0000731F0000}"/>
    <cellStyle name="Normal 2 2 2 2 2 2 23" xfId="48870" xr:uid="{00000000-0005-0000-0000-0000741F0000}"/>
    <cellStyle name="Normal 2 2 2 2 2 2 24" xfId="48696" xr:uid="{00000000-0005-0000-0000-0000751F0000}"/>
    <cellStyle name="Normal 2 2 2 2 2 2 3" xfId="7261" xr:uid="{00000000-0005-0000-0000-0000761F0000}"/>
    <cellStyle name="Normal 2 2 2 2 2 2 3 2" xfId="7262" xr:uid="{00000000-0005-0000-0000-0000771F0000}"/>
    <cellStyle name="Normal 2 2 2 2 2 2 3 2 2" xfId="48872" xr:uid="{00000000-0005-0000-0000-0000781F0000}"/>
    <cellStyle name="Normal 2 2 2 2 2 2 3 3" xfId="7263" xr:uid="{00000000-0005-0000-0000-0000791F0000}"/>
    <cellStyle name="Normal 2 2 2 2 2 2 3 3 2" xfId="48873" xr:uid="{00000000-0005-0000-0000-00007A1F0000}"/>
    <cellStyle name="Normal 2 2 2 2 2 2 3 4" xfId="48871" xr:uid="{00000000-0005-0000-0000-00007B1F0000}"/>
    <cellStyle name="Normal 2 2 2 2 2 2 3_ELEC SAP FCST UPLOAD" xfId="7264" xr:uid="{00000000-0005-0000-0000-00007C1F0000}"/>
    <cellStyle name="Normal 2 2 2 2 2 2 4" xfId="7265" xr:uid="{00000000-0005-0000-0000-00007D1F0000}"/>
    <cellStyle name="Normal 2 2 2 2 2 2 4 2" xfId="48874" xr:uid="{00000000-0005-0000-0000-00007E1F0000}"/>
    <cellStyle name="Normal 2 2 2 2 2 2 5" xfId="7266" xr:uid="{00000000-0005-0000-0000-00007F1F0000}"/>
    <cellStyle name="Normal 2 2 2 2 2 2 5 2" xfId="48875" xr:uid="{00000000-0005-0000-0000-0000801F0000}"/>
    <cellStyle name="Normal 2 2 2 2 2 2 6" xfId="7267" xr:uid="{00000000-0005-0000-0000-0000811F0000}"/>
    <cellStyle name="Normal 2 2 2 2 2 2 6 2" xfId="48876" xr:uid="{00000000-0005-0000-0000-0000821F0000}"/>
    <cellStyle name="Normal 2 2 2 2 2 2 7" xfId="7268" xr:uid="{00000000-0005-0000-0000-0000831F0000}"/>
    <cellStyle name="Normal 2 2 2 2 2 2 7 2" xfId="48877" xr:uid="{00000000-0005-0000-0000-0000841F0000}"/>
    <cellStyle name="Normal 2 2 2 2 2 2 8" xfId="7269" xr:uid="{00000000-0005-0000-0000-0000851F0000}"/>
    <cellStyle name="Normal 2 2 2 2 2 2 8 2" xfId="48879" xr:uid="{00000000-0005-0000-0000-0000861F0000}"/>
    <cellStyle name="Normal 2 2 2 2 2 2 8 2 2" xfId="48880" xr:uid="{00000000-0005-0000-0000-0000871F0000}"/>
    <cellStyle name="Normal 2 2 2 2 2 2 8 2 3" xfId="48881" xr:uid="{00000000-0005-0000-0000-0000881F0000}"/>
    <cellStyle name="Normal 2 2 2 2 2 2 8 2 4" xfId="48882" xr:uid="{00000000-0005-0000-0000-0000891F0000}"/>
    <cellStyle name="Normal 2 2 2 2 2 2 8 2 5" xfId="48883" xr:uid="{00000000-0005-0000-0000-00008A1F0000}"/>
    <cellStyle name="Normal 2 2 2 2 2 2 8 2 6" xfId="48884" xr:uid="{00000000-0005-0000-0000-00008B1F0000}"/>
    <cellStyle name="Normal 2 2 2 2 2 2 8 2 7" xfId="48885" xr:uid="{00000000-0005-0000-0000-00008C1F0000}"/>
    <cellStyle name="Normal 2 2 2 2 2 2 8 3" xfId="48886" xr:uid="{00000000-0005-0000-0000-00008D1F0000}"/>
    <cellStyle name="Normal 2 2 2 2 2 2 8 4" xfId="48887" xr:uid="{00000000-0005-0000-0000-00008E1F0000}"/>
    <cellStyle name="Normal 2 2 2 2 2 2 8 5" xfId="48888" xr:uid="{00000000-0005-0000-0000-00008F1F0000}"/>
    <cellStyle name="Normal 2 2 2 2 2 2 8 6" xfId="48889" xr:uid="{00000000-0005-0000-0000-0000901F0000}"/>
    <cellStyle name="Normal 2 2 2 2 2 2 8 7" xfId="48890" xr:uid="{00000000-0005-0000-0000-0000911F0000}"/>
    <cellStyle name="Normal 2 2 2 2 2 2 8 8" xfId="48891" xr:uid="{00000000-0005-0000-0000-0000921F0000}"/>
    <cellStyle name="Normal 2 2 2 2 2 2 8 9" xfId="48878" xr:uid="{00000000-0005-0000-0000-0000931F0000}"/>
    <cellStyle name="Normal 2 2 2 2 2 2 9" xfId="7270" xr:uid="{00000000-0005-0000-0000-0000941F0000}"/>
    <cellStyle name="Normal 2 2 2 2 2 2 9 2" xfId="48892" xr:uid="{00000000-0005-0000-0000-0000951F0000}"/>
    <cellStyle name="Normal 2 2 2 2 2 2_ELEC SAP FCST UPLOAD" xfId="7271" xr:uid="{00000000-0005-0000-0000-0000961F0000}"/>
    <cellStyle name="Normal 2 2 2 2 2 20" xfId="7272" xr:uid="{00000000-0005-0000-0000-0000971F0000}"/>
    <cellStyle name="Normal 2 2 2 2 2 20 2" xfId="48893" xr:uid="{00000000-0005-0000-0000-0000981F0000}"/>
    <cellStyle name="Normal 2 2 2 2 2 21" xfId="7273" xr:uid="{00000000-0005-0000-0000-0000991F0000}"/>
    <cellStyle name="Normal 2 2 2 2 2 21 2" xfId="48894" xr:uid="{00000000-0005-0000-0000-00009A1F0000}"/>
    <cellStyle name="Normal 2 2 2 2 2 22" xfId="7274" xr:uid="{00000000-0005-0000-0000-00009B1F0000}"/>
    <cellStyle name="Normal 2 2 2 2 2 22 2" xfId="48895" xr:uid="{00000000-0005-0000-0000-00009C1F0000}"/>
    <cellStyle name="Normal 2 2 2 2 2 23" xfId="7275" xr:uid="{00000000-0005-0000-0000-00009D1F0000}"/>
    <cellStyle name="Normal 2 2 2 2 2 23 2" xfId="48896" xr:uid="{00000000-0005-0000-0000-00009E1F0000}"/>
    <cellStyle name="Normal 2 2 2 2 2 24" xfId="48897" xr:uid="{00000000-0005-0000-0000-00009F1F0000}"/>
    <cellStyle name="Normal 2 2 2 2 2 25" xfId="48679" xr:uid="{00000000-0005-0000-0000-0000A01F0000}"/>
    <cellStyle name="Normal 2 2 2 2 2 3" xfId="7276" xr:uid="{00000000-0005-0000-0000-0000A11F0000}"/>
    <cellStyle name="Normal 2 2 2 2 2 3 2" xfId="7277" xr:uid="{00000000-0005-0000-0000-0000A21F0000}"/>
    <cellStyle name="Normal 2 2 2 2 2 3 2 2" xfId="48899" xr:uid="{00000000-0005-0000-0000-0000A31F0000}"/>
    <cellStyle name="Normal 2 2 2 2 2 3 3" xfId="7278" xr:uid="{00000000-0005-0000-0000-0000A41F0000}"/>
    <cellStyle name="Normal 2 2 2 2 2 3 3 2" xfId="48900" xr:uid="{00000000-0005-0000-0000-0000A51F0000}"/>
    <cellStyle name="Normal 2 2 2 2 2 3 4" xfId="48898" xr:uid="{00000000-0005-0000-0000-0000A61F0000}"/>
    <cellStyle name="Normal 2 2 2 2 2 3_ELEC SAP FCST UPLOAD" xfId="7279" xr:uid="{00000000-0005-0000-0000-0000A71F0000}"/>
    <cellStyle name="Normal 2 2 2 2 2 4" xfId="7280" xr:uid="{00000000-0005-0000-0000-0000A81F0000}"/>
    <cellStyle name="Normal 2 2 2 2 2 4 2" xfId="48901" xr:uid="{00000000-0005-0000-0000-0000A91F0000}"/>
    <cellStyle name="Normal 2 2 2 2 2 5" xfId="7281" xr:uid="{00000000-0005-0000-0000-0000AA1F0000}"/>
    <cellStyle name="Normal 2 2 2 2 2 5 2" xfId="48902" xr:uid="{00000000-0005-0000-0000-0000AB1F0000}"/>
    <cellStyle name="Normal 2 2 2 2 2 6" xfId="7282" xr:uid="{00000000-0005-0000-0000-0000AC1F0000}"/>
    <cellStyle name="Normal 2 2 2 2 2 6 2" xfId="48903" xr:uid="{00000000-0005-0000-0000-0000AD1F0000}"/>
    <cellStyle name="Normal 2 2 2 2 2 7" xfId="7283" xr:uid="{00000000-0005-0000-0000-0000AE1F0000}"/>
    <cellStyle name="Normal 2 2 2 2 2 7 2" xfId="48904" xr:uid="{00000000-0005-0000-0000-0000AF1F0000}"/>
    <cellStyle name="Normal 2 2 2 2 2 8" xfId="7284" xr:uid="{00000000-0005-0000-0000-0000B01F0000}"/>
    <cellStyle name="Normal 2 2 2 2 2 8 2" xfId="48905" xr:uid="{00000000-0005-0000-0000-0000B11F0000}"/>
    <cellStyle name="Normal 2 2 2 2 2 9" xfId="7285" xr:uid="{00000000-0005-0000-0000-0000B21F0000}"/>
    <cellStyle name="Normal 2 2 2 2 2 9 2" xfId="48907" xr:uid="{00000000-0005-0000-0000-0000B31F0000}"/>
    <cellStyle name="Normal 2 2 2 2 2 9 2 2" xfId="48908" xr:uid="{00000000-0005-0000-0000-0000B41F0000}"/>
    <cellStyle name="Normal 2 2 2 2 2 9 2 3" xfId="48909" xr:uid="{00000000-0005-0000-0000-0000B51F0000}"/>
    <cellStyle name="Normal 2 2 2 2 2 9 2 4" xfId="48910" xr:uid="{00000000-0005-0000-0000-0000B61F0000}"/>
    <cellStyle name="Normal 2 2 2 2 2 9 2 5" xfId="48911" xr:uid="{00000000-0005-0000-0000-0000B71F0000}"/>
    <cellStyle name="Normal 2 2 2 2 2 9 2 6" xfId="48912" xr:uid="{00000000-0005-0000-0000-0000B81F0000}"/>
    <cellStyle name="Normal 2 2 2 2 2 9 2 7" xfId="48913" xr:uid="{00000000-0005-0000-0000-0000B91F0000}"/>
    <cellStyle name="Normal 2 2 2 2 2 9 3" xfId="48914" xr:uid="{00000000-0005-0000-0000-0000BA1F0000}"/>
    <cellStyle name="Normal 2 2 2 2 2 9 4" xfId="48915" xr:uid="{00000000-0005-0000-0000-0000BB1F0000}"/>
    <cellStyle name="Normal 2 2 2 2 2 9 5" xfId="48916" xr:uid="{00000000-0005-0000-0000-0000BC1F0000}"/>
    <cellStyle name="Normal 2 2 2 2 2 9 6" xfId="48917" xr:uid="{00000000-0005-0000-0000-0000BD1F0000}"/>
    <cellStyle name="Normal 2 2 2 2 2 9 7" xfId="48918" xr:uid="{00000000-0005-0000-0000-0000BE1F0000}"/>
    <cellStyle name="Normal 2 2 2 2 2 9 8" xfId="48919" xr:uid="{00000000-0005-0000-0000-0000BF1F0000}"/>
    <cellStyle name="Normal 2 2 2 2 2 9 9" xfId="48906" xr:uid="{00000000-0005-0000-0000-0000C01F0000}"/>
    <cellStyle name="Normal 2 2 2 2 2_ELEC SAP FCST UPLOAD" xfId="7286" xr:uid="{00000000-0005-0000-0000-0000C11F0000}"/>
    <cellStyle name="Normal 2 2 2 2 20" xfId="7287" xr:uid="{00000000-0005-0000-0000-0000C21F0000}"/>
    <cellStyle name="Normal 2 2 2 2 20 2" xfId="48920" xr:uid="{00000000-0005-0000-0000-0000C31F0000}"/>
    <cellStyle name="Normal 2 2 2 2 21" xfId="7288" xr:uid="{00000000-0005-0000-0000-0000C41F0000}"/>
    <cellStyle name="Normal 2 2 2 2 21 2" xfId="48921" xr:uid="{00000000-0005-0000-0000-0000C51F0000}"/>
    <cellStyle name="Normal 2 2 2 2 22" xfId="7289" xr:uid="{00000000-0005-0000-0000-0000C61F0000}"/>
    <cellStyle name="Normal 2 2 2 2 22 2" xfId="48922" xr:uid="{00000000-0005-0000-0000-0000C71F0000}"/>
    <cellStyle name="Normal 2 2 2 2 23" xfId="7290" xr:uid="{00000000-0005-0000-0000-0000C81F0000}"/>
    <cellStyle name="Normal 2 2 2 2 23 2" xfId="48923" xr:uid="{00000000-0005-0000-0000-0000C91F0000}"/>
    <cellStyle name="Normal 2 2 2 2 24" xfId="7291" xr:uid="{00000000-0005-0000-0000-0000CA1F0000}"/>
    <cellStyle name="Normal 2 2 2 2 24 2" xfId="48924"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27" xr:uid="{00000000-0005-0000-0000-0000D41F0000}"/>
    <cellStyle name="Normal 2 2 2 2 3 2 3" xfId="7300" xr:uid="{00000000-0005-0000-0000-0000D51F0000}"/>
    <cellStyle name="Normal 2 2 2 2 3 2 3 2" xfId="48928" xr:uid="{00000000-0005-0000-0000-0000D61F0000}"/>
    <cellStyle name="Normal 2 2 2 2 3 2 4" xfId="48926" xr:uid="{00000000-0005-0000-0000-0000D71F0000}"/>
    <cellStyle name="Normal 2 2 2 2 3 2_ELEC SAP FCST UPLOAD" xfId="7301" xr:uid="{00000000-0005-0000-0000-0000D81F0000}"/>
    <cellStyle name="Normal 2 2 2 2 3 3" xfId="7302" xr:uid="{00000000-0005-0000-0000-0000D91F0000}"/>
    <cellStyle name="Normal 2 2 2 2 3 3 2" xfId="48929" xr:uid="{00000000-0005-0000-0000-0000DA1F0000}"/>
    <cellStyle name="Normal 2 2 2 2 3 4" xfId="7303" xr:uid="{00000000-0005-0000-0000-0000DB1F0000}"/>
    <cellStyle name="Normal 2 2 2 2 3 4 2" xfId="48930" xr:uid="{00000000-0005-0000-0000-0000DC1F0000}"/>
    <cellStyle name="Normal 2 2 2 2 3 5" xfId="7304" xr:uid="{00000000-0005-0000-0000-0000DD1F0000}"/>
    <cellStyle name="Normal 2 2 2 2 3 5 2" xfId="48931" xr:uid="{00000000-0005-0000-0000-0000DE1F0000}"/>
    <cellStyle name="Normal 2 2 2 2 3 6" xfId="7305" xr:uid="{00000000-0005-0000-0000-0000DF1F0000}"/>
    <cellStyle name="Normal 2 2 2 2 3 6 2" xfId="48932" xr:uid="{00000000-0005-0000-0000-0000E01F0000}"/>
    <cellStyle name="Normal 2 2 2 2 3 7" xfId="48925"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4" xr:uid="{00000000-0005-0000-0000-0000EF1F0000}"/>
    <cellStyle name="Normal 2 2 2 2 4 3" xfId="7319" xr:uid="{00000000-0005-0000-0000-0000F01F0000}"/>
    <cellStyle name="Normal 2 2 2 2 4 3 2" xfId="48935" xr:uid="{00000000-0005-0000-0000-0000F11F0000}"/>
    <cellStyle name="Normal 2 2 2 2 4 4" xfId="48933"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36"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37"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38"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39"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2" xr:uid="{00000000-0005-0000-0000-000039200000}"/>
    <cellStyle name="Normal 2 2 2 2 9" xfId="7386" xr:uid="{00000000-0005-0000-0000-00003A200000}"/>
    <cellStyle name="Normal 2 2 2 2 9 2" xfId="48941" xr:uid="{00000000-0005-0000-0000-00003B200000}"/>
    <cellStyle name="Normal 2 2 2 2 9 2 2" xfId="48942" xr:uid="{00000000-0005-0000-0000-00003C200000}"/>
    <cellStyle name="Normal 2 2 2 2 9 2 3" xfId="48943" xr:uid="{00000000-0005-0000-0000-00003D200000}"/>
    <cellStyle name="Normal 2 2 2 2 9 2 4" xfId="48944" xr:uid="{00000000-0005-0000-0000-00003E200000}"/>
    <cellStyle name="Normal 2 2 2 2 9 2 5" xfId="48945" xr:uid="{00000000-0005-0000-0000-00003F200000}"/>
    <cellStyle name="Normal 2 2 2 2 9 2 6" xfId="48946" xr:uid="{00000000-0005-0000-0000-000040200000}"/>
    <cellStyle name="Normal 2 2 2 2 9 2 7" xfId="48947" xr:uid="{00000000-0005-0000-0000-000041200000}"/>
    <cellStyle name="Normal 2 2 2 2 9 3" xfId="48948" xr:uid="{00000000-0005-0000-0000-000042200000}"/>
    <cellStyle name="Normal 2 2 2 2 9 4" xfId="48949" xr:uid="{00000000-0005-0000-0000-000043200000}"/>
    <cellStyle name="Normal 2 2 2 2 9 5" xfId="48950" xr:uid="{00000000-0005-0000-0000-000044200000}"/>
    <cellStyle name="Normal 2 2 2 2 9 6" xfId="48951" xr:uid="{00000000-0005-0000-0000-000045200000}"/>
    <cellStyle name="Normal 2 2 2 2 9 7" xfId="48952" xr:uid="{00000000-0005-0000-0000-000046200000}"/>
    <cellStyle name="Normal 2 2 2 2 9 8" xfId="48953" xr:uid="{00000000-0005-0000-0000-000047200000}"/>
    <cellStyle name="Normal 2 2 2 2 9 9" xfId="48940" xr:uid="{00000000-0005-0000-0000-000048200000}"/>
    <cellStyle name="Normal 2 2 2 2_ELEC SAP FCST UPLOAD" xfId="7387" xr:uid="{00000000-0005-0000-0000-000049200000}"/>
    <cellStyle name="Normal 2 2 2 20" xfId="7388" xr:uid="{00000000-0005-0000-0000-00004A200000}"/>
    <cellStyle name="Normal 2 2 2 20 2" xfId="48954" xr:uid="{00000000-0005-0000-0000-00004B200000}"/>
    <cellStyle name="Normal 2 2 2 21" xfId="7389" xr:uid="{00000000-0005-0000-0000-00004C200000}"/>
    <cellStyle name="Normal 2 2 2 21 2" xfId="48955" xr:uid="{00000000-0005-0000-0000-00004D200000}"/>
    <cellStyle name="Normal 2 2 2 22" xfId="7390" xr:uid="{00000000-0005-0000-0000-00004E200000}"/>
    <cellStyle name="Normal 2 2 2 22 2" xfId="48956" xr:uid="{00000000-0005-0000-0000-00004F200000}"/>
    <cellStyle name="Normal 2 2 2 23" xfId="7391" xr:uid="{00000000-0005-0000-0000-000050200000}"/>
    <cellStyle name="Normal 2 2 2 23 2" xfId="48957" xr:uid="{00000000-0005-0000-0000-000051200000}"/>
    <cellStyle name="Normal 2 2 2 24" xfId="7392" xr:uid="{00000000-0005-0000-0000-000052200000}"/>
    <cellStyle name="Normal 2 2 2 24 2" xfId="48958" xr:uid="{00000000-0005-0000-0000-000053200000}"/>
    <cellStyle name="Normal 2 2 2 25" xfId="7393" xr:uid="{00000000-0005-0000-0000-000054200000}"/>
    <cellStyle name="Normal 2 2 2 25 2" xfId="48959" xr:uid="{00000000-0005-0000-0000-000055200000}"/>
    <cellStyle name="Normal 2 2 2 26" xfId="7394" xr:uid="{00000000-0005-0000-0000-000056200000}"/>
    <cellStyle name="Normal 2 2 2 26 2" xfId="48960"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1"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5" xr:uid="{00000000-0005-0000-0000-00006B200000}"/>
    <cellStyle name="Normal 2 2 2 4 2 2 3" xfId="7413" xr:uid="{00000000-0005-0000-0000-00006C200000}"/>
    <cellStyle name="Normal 2 2 2 4 2 2 3 2" xfId="48966" xr:uid="{00000000-0005-0000-0000-00006D200000}"/>
    <cellStyle name="Normal 2 2 2 4 2 2 4" xfId="48964" xr:uid="{00000000-0005-0000-0000-00006E200000}"/>
    <cellStyle name="Normal 2 2 2 4 2 2_ELEC SAP FCST UPLOAD" xfId="7414" xr:uid="{00000000-0005-0000-0000-00006F200000}"/>
    <cellStyle name="Normal 2 2 2 4 2 3" xfId="7415" xr:uid="{00000000-0005-0000-0000-000070200000}"/>
    <cellStyle name="Normal 2 2 2 4 2 3 2" xfId="48967" xr:uid="{00000000-0005-0000-0000-000071200000}"/>
    <cellStyle name="Normal 2 2 2 4 2 4" xfId="7416" xr:uid="{00000000-0005-0000-0000-000072200000}"/>
    <cellStyle name="Normal 2 2 2 4 2 4 2" xfId="48968" xr:uid="{00000000-0005-0000-0000-000073200000}"/>
    <cellStyle name="Normal 2 2 2 4 2 5" xfId="7417" xr:uid="{00000000-0005-0000-0000-000074200000}"/>
    <cellStyle name="Normal 2 2 2 4 2 5 2" xfId="48969" xr:uid="{00000000-0005-0000-0000-000075200000}"/>
    <cellStyle name="Normal 2 2 2 4 2 6" xfId="7418" xr:uid="{00000000-0005-0000-0000-000076200000}"/>
    <cellStyle name="Normal 2 2 2 4 2 6 2" xfId="48970" xr:uid="{00000000-0005-0000-0000-000077200000}"/>
    <cellStyle name="Normal 2 2 2 4 2 7" xfId="48963"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2" xr:uid="{00000000-0005-0000-0000-00007C200000}"/>
    <cellStyle name="Normal 2 2 2 4 3 3" xfId="7422" xr:uid="{00000000-0005-0000-0000-00007D200000}"/>
    <cellStyle name="Normal 2 2 2 4 3 3 2" xfId="48973" xr:uid="{00000000-0005-0000-0000-00007E200000}"/>
    <cellStyle name="Normal 2 2 2 4 3 4" xfId="48971" xr:uid="{00000000-0005-0000-0000-00007F200000}"/>
    <cellStyle name="Normal 2 2 2 4 3_ELEC SAP FCST UPLOAD" xfId="7423" xr:uid="{00000000-0005-0000-0000-000080200000}"/>
    <cellStyle name="Normal 2 2 2 4 4" xfId="7424" xr:uid="{00000000-0005-0000-0000-000081200000}"/>
    <cellStyle name="Normal 2 2 2 4 4 2" xfId="48974" xr:uid="{00000000-0005-0000-0000-000082200000}"/>
    <cellStyle name="Normal 2 2 2 4 5" xfId="7425" xr:uid="{00000000-0005-0000-0000-000083200000}"/>
    <cellStyle name="Normal 2 2 2 4 5 2" xfId="48975" xr:uid="{00000000-0005-0000-0000-000084200000}"/>
    <cellStyle name="Normal 2 2 2 4 6" xfId="7426" xr:uid="{00000000-0005-0000-0000-000085200000}"/>
    <cellStyle name="Normal 2 2 2 4 6 2" xfId="48976" xr:uid="{00000000-0005-0000-0000-000086200000}"/>
    <cellStyle name="Normal 2 2 2 4 7" xfId="48962"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78" xr:uid="{00000000-0005-0000-0000-000095200000}"/>
    <cellStyle name="Normal 2 2 2 5 3" xfId="7440" xr:uid="{00000000-0005-0000-0000-000096200000}"/>
    <cellStyle name="Normal 2 2 2 5 3 2" xfId="48979" xr:uid="{00000000-0005-0000-0000-000097200000}"/>
    <cellStyle name="Normal 2 2 2 5 4" xfId="48977"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0"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1"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2"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2" xr:uid="{00000000-0005-0000-0000-0000C5200000}"/>
    <cellStyle name="Normal 2 2 2 9" xfId="7482" xr:uid="{00000000-0005-0000-0000-0000C6200000}"/>
    <cellStyle name="Normal 2 2 2 9 2" xfId="48983" xr:uid="{00000000-0005-0000-0000-0000C7200000}"/>
    <cellStyle name="Normal 2 2 2_3.1.2 DB Pension Detail" xfId="7483" xr:uid="{00000000-0005-0000-0000-0000C8200000}"/>
    <cellStyle name="Normal 2 2 20" xfId="7484" xr:uid="{00000000-0005-0000-0000-0000C9200000}"/>
    <cellStyle name="Normal 2 2 20 2" xfId="48984" xr:uid="{00000000-0005-0000-0000-0000CA200000}"/>
    <cellStyle name="Normal 2 2 21" xfId="7485" xr:uid="{00000000-0005-0000-0000-0000CB200000}"/>
    <cellStyle name="Normal 2 2 21 2" xfId="48985" xr:uid="{00000000-0005-0000-0000-0000CC200000}"/>
    <cellStyle name="Normal 2 2 22" xfId="7486" xr:uid="{00000000-0005-0000-0000-0000CD200000}"/>
    <cellStyle name="Normal 2 2 22 2" xfId="48986" xr:uid="{00000000-0005-0000-0000-0000CE200000}"/>
    <cellStyle name="Normal 2 2 23" xfId="7487" xr:uid="{00000000-0005-0000-0000-0000CF200000}"/>
    <cellStyle name="Normal 2 2 23 2" xfId="48987" xr:uid="{00000000-0005-0000-0000-0000D0200000}"/>
    <cellStyle name="Normal 2 2 24" xfId="7488" xr:uid="{00000000-0005-0000-0000-0000D1200000}"/>
    <cellStyle name="Normal 2 2 24 2" xfId="48988" xr:uid="{00000000-0005-0000-0000-0000D2200000}"/>
    <cellStyle name="Normal 2 2 25" xfId="7489" xr:uid="{00000000-0005-0000-0000-0000D3200000}"/>
    <cellStyle name="Normal 2 2 25 2" xfId="48989" xr:uid="{00000000-0005-0000-0000-0000D4200000}"/>
    <cellStyle name="Normal 2 2 26" xfId="7490" xr:uid="{00000000-0005-0000-0000-0000D5200000}"/>
    <cellStyle name="Normal 2 2 26 2" xfId="48990"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8996"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5" xr:uid="{00000000-0005-0000-0000-000024210000}"/>
    <cellStyle name="Normal 2 2 3 2 2 2 2 3" xfId="7567" xr:uid="{00000000-0005-0000-0000-000025210000}"/>
    <cellStyle name="Normal 2 2 3 2 2 2 2 3 2" xfId="48997"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4" xr:uid="{00000000-0005-0000-0000-000031210000}"/>
    <cellStyle name="Normal 2 2 3 2 2 2 3" xfId="7578" xr:uid="{00000000-0005-0000-0000-000032210000}"/>
    <cellStyle name="Normal 2 2 3 2 2 2 3 2" xfId="48998" xr:uid="{00000000-0005-0000-0000-000033210000}"/>
    <cellStyle name="Normal 2 2 3 2 2 2 4" xfId="7579" xr:uid="{00000000-0005-0000-0000-000034210000}"/>
    <cellStyle name="Normal 2 2 3 2 2 2 4 2" xfId="48999" xr:uid="{00000000-0005-0000-0000-000035210000}"/>
    <cellStyle name="Normal 2 2 3 2 2 2 5" xfId="7580" xr:uid="{00000000-0005-0000-0000-000036210000}"/>
    <cellStyle name="Normal 2 2 3 2 2 2 5 2" xfId="49000" xr:uid="{00000000-0005-0000-0000-000037210000}"/>
    <cellStyle name="Normal 2 2 3 2 2 2 6" xfId="7581" xr:uid="{00000000-0005-0000-0000-000038210000}"/>
    <cellStyle name="Normal 2 2 3 2 2 2 6 2" xfId="49001"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3" xr:uid="{00000000-0005-0000-0000-000041210000}"/>
    <cellStyle name="Normal 2 2 3 2 2 3" xfId="7589" xr:uid="{00000000-0005-0000-0000-000042210000}"/>
    <cellStyle name="Normal 2 2 3 2 2 3 2" xfId="7590" xr:uid="{00000000-0005-0000-0000-000043210000}"/>
    <cellStyle name="Normal 2 2 3 2 2 3 2 2" xfId="49003" xr:uid="{00000000-0005-0000-0000-000044210000}"/>
    <cellStyle name="Normal 2 2 3 2 2 3 3" xfId="7591" xr:uid="{00000000-0005-0000-0000-000045210000}"/>
    <cellStyle name="Normal 2 2 3 2 2 3 3 2" xfId="49004" xr:uid="{00000000-0005-0000-0000-000046210000}"/>
    <cellStyle name="Normal 2 2 3 2 2 3 4" xfId="49002" xr:uid="{00000000-0005-0000-0000-000047210000}"/>
    <cellStyle name="Normal 2 2 3 2 2 3_ELEC SAP FCST UPLOAD" xfId="7592" xr:uid="{00000000-0005-0000-0000-000048210000}"/>
    <cellStyle name="Normal 2 2 3 2 2 4" xfId="7593" xr:uid="{00000000-0005-0000-0000-000049210000}"/>
    <cellStyle name="Normal 2 2 3 2 2 4 2" xfId="49005" xr:uid="{00000000-0005-0000-0000-00004A210000}"/>
    <cellStyle name="Normal 2 2 3 2 2 5" xfId="7594" xr:uid="{00000000-0005-0000-0000-00004B210000}"/>
    <cellStyle name="Normal 2 2 3 2 2 5 2" xfId="49006" xr:uid="{00000000-0005-0000-0000-00004C210000}"/>
    <cellStyle name="Normal 2 2 3 2 2 6" xfId="7595" xr:uid="{00000000-0005-0000-0000-00004D210000}"/>
    <cellStyle name="Normal 2 2 3 2 2 6 2" xfId="49007"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2" xr:uid="{00000000-0005-0000-0000-000057210000}"/>
    <cellStyle name="Normal 2 2 3 2 3" xfId="7604" xr:uid="{00000000-0005-0000-0000-000058210000}"/>
    <cellStyle name="Normal 2 2 3 2 3 2" xfId="7605" xr:uid="{00000000-0005-0000-0000-000059210000}"/>
    <cellStyle name="Normal 2 2 3 2 3 2 2" xfId="49009" xr:uid="{00000000-0005-0000-0000-00005A210000}"/>
    <cellStyle name="Normal 2 2 3 2 3 3" xfId="7606" xr:uid="{00000000-0005-0000-0000-00005B210000}"/>
    <cellStyle name="Normal 2 2 3 2 3 3 2" xfId="49010" xr:uid="{00000000-0005-0000-0000-00005C210000}"/>
    <cellStyle name="Normal 2 2 3 2 3 4" xfId="49008" xr:uid="{00000000-0005-0000-0000-00005D210000}"/>
    <cellStyle name="Normal 2 2 3 2 3_ELEC SAP FCST UPLOAD" xfId="7607" xr:uid="{00000000-0005-0000-0000-00005E210000}"/>
    <cellStyle name="Normal 2 2 3 2 4" xfId="7608" xr:uid="{00000000-0005-0000-0000-00005F210000}"/>
    <cellStyle name="Normal 2 2 3 2 4 2" xfId="49011" xr:uid="{00000000-0005-0000-0000-000060210000}"/>
    <cellStyle name="Normal 2 2 3 2 5" xfId="7609" xr:uid="{00000000-0005-0000-0000-000061210000}"/>
    <cellStyle name="Normal 2 2 3 2 5 2" xfId="49012" xr:uid="{00000000-0005-0000-0000-000062210000}"/>
    <cellStyle name="Normal 2 2 3 2 6" xfId="7610" xr:uid="{00000000-0005-0000-0000-000063210000}"/>
    <cellStyle name="Normal 2 2 3 2 6 2" xfId="49013" xr:uid="{00000000-0005-0000-0000-000064210000}"/>
    <cellStyle name="Normal 2 2 3 2 7" xfId="7611" xr:uid="{00000000-0005-0000-0000-000065210000}"/>
    <cellStyle name="Normal 2 2 3 2 7 2" xfId="49014"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17" xr:uid="{00000000-0005-0000-0000-000077210000}"/>
    <cellStyle name="Normal 2 2 3 3 2 3" xfId="7628" xr:uid="{00000000-0005-0000-0000-000078210000}"/>
    <cellStyle name="Normal 2 2 3 3 2 3 2" xfId="49018" xr:uid="{00000000-0005-0000-0000-000079210000}"/>
    <cellStyle name="Normal 2 2 3 3 2 4" xfId="49016" xr:uid="{00000000-0005-0000-0000-00007A210000}"/>
    <cellStyle name="Normal 2 2 3 3 2_ELEC SAP FCST UPLOAD" xfId="7629" xr:uid="{00000000-0005-0000-0000-00007B210000}"/>
    <cellStyle name="Normal 2 2 3 3 3" xfId="7630" xr:uid="{00000000-0005-0000-0000-00007C210000}"/>
    <cellStyle name="Normal 2 2 3 3 3 2" xfId="49019" xr:uid="{00000000-0005-0000-0000-00007D210000}"/>
    <cellStyle name="Normal 2 2 3 3 4" xfId="7631" xr:uid="{00000000-0005-0000-0000-00007E210000}"/>
    <cellStyle name="Normal 2 2 3 3 4 2" xfId="49020" xr:uid="{00000000-0005-0000-0000-00007F210000}"/>
    <cellStyle name="Normal 2 2 3 3 5" xfId="7632" xr:uid="{00000000-0005-0000-0000-000080210000}"/>
    <cellStyle name="Normal 2 2 3 3 5 2" xfId="49021" xr:uid="{00000000-0005-0000-0000-000081210000}"/>
    <cellStyle name="Normal 2 2 3 3 6" xfId="7633" xr:uid="{00000000-0005-0000-0000-000082210000}"/>
    <cellStyle name="Normal 2 2 3 3 6 2" xfId="49022" xr:uid="{00000000-0005-0000-0000-000083210000}"/>
    <cellStyle name="Normal 2 2 3 3 7" xfId="49015"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4" xr:uid="{00000000-0005-0000-0000-000092210000}"/>
    <cellStyle name="Normal 2 2 3 4 3" xfId="7647" xr:uid="{00000000-0005-0000-0000-000093210000}"/>
    <cellStyle name="Normal 2 2 3 4 3 2" xfId="49025" xr:uid="{00000000-0005-0000-0000-000094210000}"/>
    <cellStyle name="Normal 2 2 3 4 4" xfId="49023"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26"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27"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28"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1"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2"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1" xr:uid="{00000000-0005-0000-0000-00001C220000}"/>
    <cellStyle name="Normal 2 2 4 2 2 3" xfId="7777" xr:uid="{00000000-0005-0000-0000-00001D220000}"/>
    <cellStyle name="Normal 2 2 4 2 2 3 2" xfId="49033"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0" xr:uid="{00000000-0005-0000-0000-000029220000}"/>
    <cellStyle name="Normal 2 2 4 2 3" xfId="7788" xr:uid="{00000000-0005-0000-0000-00002A220000}"/>
    <cellStyle name="Normal 2 2 4 2 3 2" xfId="49034" xr:uid="{00000000-0005-0000-0000-00002B220000}"/>
    <cellStyle name="Normal 2 2 4 2 4" xfId="7789" xr:uid="{00000000-0005-0000-0000-00002C220000}"/>
    <cellStyle name="Normal 2 2 4 2 4 2" xfId="49035" xr:uid="{00000000-0005-0000-0000-00002D220000}"/>
    <cellStyle name="Normal 2 2 4 2 5" xfId="7790" xr:uid="{00000000-0005-0000-0000-00002E220000}"/>
    <cellStyle name="Normal 2 2 4 2 5 2" xfId="49036" xr:uid="{00000000-0005-0000-0000-00002F220000}"/>
    <cellStyle name="Normal 2 2 4 2 6" xfId="7791" xr:uid="{00000000-0005-0000-0000-000030220000}"/>
    <cellStyle name="Normal 2 2 4 2 6 2" xfId="49037"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39" xr:uid="{00000000-0005-0000-0000-000042220000}"/>
    <cellStyle name="Normal 2 2 4 3 3" xfId="7808" xr:uid="{00000000-0005-0000-0000-000043220000}"/>
    <cellStyle name="Normal 2 2 4 3 3 2" xfId="49040" xr:uid="{00000000-0005-0000-0000-000044220000}"/>
    <cellStyle name="Normal 2 2 4 3 4" xfId="49038"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1"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2"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3"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29"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5"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46"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4"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47"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48"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49"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0"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1" xr:uid="{00000000-0005-0000-0000-000027250000}"/>
    <cellStyle name="Normal 2 21" xfId="8535" xr:uid="{00000000-0005-0000-0000-000028250000}"/>
    <cellStyle name="Normal 2 21 2" xfId="49052" xr:uid="{00000000-0005-0000-0000-000029250000}"/>
    <cellStyle name="Normal 2 22" xfId="8536" xr:uid="{00000000-0005-0000-0000-00002A250000}"/>
    <cellStyle name="Normal 2 22 2" xfId="49053" xr:uid="{00000000-0005-0000-0000-00002B250000}"/>
    <cellStyle name="Normal 2 23" xfId="8537" xr:uid="{00000000-0005-0000-0000-00002C250000}"/>
    <cellStyle name="Normal 2 23 2" xfId="49054" xr:uid="{00000000-0005-0000-0000-00002D250000}"/>
    <cellStyle name="Normal 2 24" xfId="8538" xr:uid="{00000000-0005-0000-0000-00002E250000}"/>
    <cellStyle name="Normal 2 24 2" xfId="49055" xr:uid="{00000000-0005-0000-0000-00002F250000}"/>
    <cellStyle name="Normal 2 25" xfId="8539" xr:uid="{00000000-0005-0000-0000-000030250000}"/>
    <cellStyle name="Normal 2 25 2" xfId="49056" xr:uid="{00000000-0005-0000-0000-000031250000}"/>
    <cellStyle name="Normal 2 26" xfId="8540" xr:uid="{00000000-0005-0000-0000-000032250000}"/>
    <cellStyle name="Normal 2 26 2" xfId="49057" xr:uid="{00000000-0005-0000-0000-000033250000}"/>
    <cellStyle name="Normal 2 27" xfId="8541" xr:uid="{00000000-0005-0000-0000-000034250000}"/>
    <cellStyle name="Normal 2 27 2" xfId="49058"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4"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3" xr:uid="{00000000-0005-0000-0000-000082250000}"/>
    <cellStyle name="Normal 2 3 2 2 2 2 3" xfId="8617" xr:uid="{00000000-0005-0000-0000-000083250000}"/>
    <cellStyle name="Normal 2 3 2 2 2 2 3 2" xfId="49065"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2" xr:uid="{00000000-0005-0000-0000-00008F250000}"/>
    <cellStyle name="Normal 2 3 2 2 2 3" xfId="8628" xr:uid="{00000000-0005-0000-0000-000090250000}"/>
    <cellStyle name="Normal 2 3 2 2 2 3 2" xfId="49066" xr:uid="{00000000-0005-0000-0000-000091250000}"/>
    <cellStyle name="Normal 2 3 2 2 2 4" xfId="8629" xr:uid="{00000000-0005-0000-0000-000092250000}"/>
    <cellStyle name="Normal 2 3 2 2 2 4 2" xfId="49067" xr:uid="{00000000-0005-0000-0000-000093250000}"/>
    <cellStyle name="Normal 2 3 2 2 2 5" xfId="8630" xr:uid="{00000000-0005-0000-0000-000094250000}"/>
    <cellStyle name="Normal 2 3 2 2 2 5 2" xfId="49068" xr:uid="{00000000-0005-0000-0000-000095250000}"/>
    <cellStyle name="Normal 2 3 2 2 2 6" xfId="8631" xr:uid="{00000000-0005-0000-0000-000096250000}"/>
    <cellStyle name="Normal 2 3 2 2 2 6 2" xfId="49069"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1" xr:uid="{00000000-0005-0000-0000-0000A8250000}"/>
    <cellStyle name="Normal 2 3 2 2 3 3" xfId="8648" xr:uid="{00000000-0005-0000-0000-0000A9250000}"/>
    <cellStyle name="Normal 2 3 2 2 3 3 2" xfId="49072" xr:uid="{00000000-0005-0000-0000-0000AA250000}"/>
    <cellStyle name="Normal 2 3 2 2 3 4" xfId="49070"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3"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4"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5"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1"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77"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76" xr:uid="{00000000-0005-0000-0000-000026260000}"/>
    <cellStyle name="Normal 2 3 2 3 3" xfId="8766" xr:uid="{00000000-0005-0000-0000-000027260000}"/>
    <cellStyle name="Normal 2 3 2 3 3 2" xfId="49078"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79"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0"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1"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2"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0"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5"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4" xr:uid="{00000000-0005-0000-0000-0000B6260000}"/>
    <cellStyle name="Normal 2 3 3 2 3" xfId="8902" xr:uid="{00000000-0005-0000-0000-0000B7260000}"/>
    <cellStyle name="Normal 2 3 3 2 3 2" xfId="49086"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87"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88"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89"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0"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3"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2"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3"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1"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4"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5"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096"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59"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097"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1"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2"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0"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3"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4"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5"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06"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099"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08"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09"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07"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0"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1"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2"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098"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3"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4"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5"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16"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17"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18"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19"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2"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4"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0"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3"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27"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0"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397"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2"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3"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2" xr:uid="{00000000-0005-0000-0000-0000D4330000}"/>
    <cellStyle name="Normal 3 10 3" xfId="12212" xr:uid="{00000000-0005-0000-0000-0000D5330000}"/>
    <cellStyle name="Normal 3 10 3 2" xfId="49124" xr:uid="{00000000-0005-0000-0000-0000D6330000}"/>
    <cellStyle name="Normal 3 10 4" xfId="12213" xr:uid="{00000000-0005-0000-0000-0000D7330000}"/>
    <cellStyle name="Normal 3 10 4 2" xfId="49125" xr:uid="{00000000-0005-0000-0000-0000D8330000}"/>
    <cellStyle name="Normal 3 10 5" xfId="12214" xr:uid="{00000000-0005-0000-0000-0000D9330000}"/>
    <cellStyle name="Normal 3 10 5 2" xfId="49126" xr:uid="{00000000-0005-0000-0000-0000DA330000}"/>
    <cellStyle name="Normal 3 10 6" xfId="12215" xr:uid="{00000000-0005-0000-0000-0000DB330000}"/>
    <cellStyle name="Normal 3 10 6 2" xfId="49127" xr:uid="{00000000-0005-0000-0000-0000DC330000}"/>
    <cellStyle name="Normal 3 10 7" xfId="12216" xr:uid="{00000000-0005-0000-0000-0000DD330000}"/>
    <cellStyle name="Normal 3 10 7 2" xfId="49128"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29"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0"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1" xr:uid="{00000000-0005-0000-0000-000006340000}"/>
    <cellStyle name="Normal 3 14" xfId="12253" xr:uid="{00000000-0005-0000-0000-000007340000}"/>
    <cellStyle name="Normal 3 14 2" xfId="49132" xr:uid="{00000000-0005-0000-0000-000008340000}"/>
    <cellStyle name="Normal 3 15" xfId="12254" xr:uid="{00000000-0005-0000-0000-000009340000}"/>
    <cellStyle name="Normal 3 15 2" xfId="49133" xr:uid="{00000000-0005-0000-0000-00000A340000}"/>
    <cellStyle name="Normal 3 16" xfId="12255" xr:uid="{00000000-0005-0000-0000-00000B340000}"/>
    <cellStyle name="Normal 3 16 2" xfId="49134" xr:uid="{00000000-0005-0000-0000-00000C340000}"/>
    <cellStyle name="Normal 3 17" xfId="12256" xr:uid="{00000000-0005-0000-0000-00000D340000}"/>
    <cellStyle name="Normal 3 17 2" xfId="49135" xr:uid="{00000000-0005-0000-0000-00000E340000}"/>
    <cellStyle name="Normal 3 18" xfId="12257" xr:uid="{00000000-0005-0000-0000-00000F340000}"/>
    <cellStyle name="Normal 3 18 2" xfId="49136" xr:uid="{00000000-0005-0000-0000-000010340000}"/>
    <cellStyle name="Normal 3 19" xfId="12258" xr:uid="{00000000-0005-0000-0000-000011340000}"/>
    <cellStyle name="Normal 3 19 2" xfId="49137" xr:uid="{00000000-0005-0000-0000-000012340000}"/>
    <cellStyle name="Normal 3 2" xfId="89" xr:uid="{00000000-0005-0000-0000-000013340000}"/>
    <cellStyle name="Normal 3 2 10" xfId="12259" xr:uid="{00000000-0005-0000-0000-000014340000}"/>
    <cellStyle name="Normal 3 2 10 2" xfId="49139" xr:uid="{00000000-0005-0000-0000-000015340000}"/>
    <cellStyle name="Normal 3 2 11" xfId="12260" xr:uid="{00000000-0005-0000-0000-000016340000}"/>
    <cellStyle name="Normal 3 2 11 2" xfId="49140" xr:uid="{00000000-0005-0000-0000-000017340000}"/>
    <cellStyle name="Normal 3 2 12" xfId="12261" xr:uid="{00000000-0005-0000-0000-000018340000}"/>
    <cellStyle name="Normal 3 2 12 2" xfId="49141" xr:uid="{00000000-0005-0000-0000-000019340000}"/>
    <cellStyle name="Normal 3 2 13" xfId="12262" xr:uid="{00000000-0005-0000-0000-00001A340000}"/>
    <cellStyle name="Normal 3 2 13 2" xfId="49142" xr:uid="{00000000-0005-0000-0000-00001B340000}"/>
    <cellStyle name="Normal 3 2 14" xfId="12263" xr:uid="{00000000-0005-0000-0000-00001C340000}"/>
    <cellStyle name="Normal 3 2 14 2" xfId="49143" xr:uid="{00000000-0005-0000-0000-00001D340000}"/>
    <cellStyle name="Normal 3 2 15" xfId="12264" xr:uid="{00000000-0005-0000-0000-00001E340000}"/>
    <cellStyle name="Normal 3 2 15 2" xfId="49144" xr:uid="{00000000-0005-0000-0000-00001F340000}"/>
    <cellStyle name="Normal 3 2 16" xfId="12265" xr:uid="{00000000-0005-0000-0000-000020340000}"/>
    <cellStyle name="Normal 3 2 16 2" xfId="49145"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47" xr:uid="{00000000-0005-0000-0000-000031340000}"/>
    <cellStyle name="Normal 3 2 2 3" xfId="49148" xr:uid="{00000000-0005-0000-0000-000032340000}"/>
    <cellStyle name="Normal 3 2 2 4" xfId="49149" xr:uid="{00000000-0005-0000-0000-000033340000}"/>
    <cellStyle name="Normal 3 2 2 5" xfId="49150" xr:uid="{00000000-0005-0000-0000-000034340000}"/>
    <cellStyle name="Normal 3 2 2 6" xfId="49151" xr:uid="{00000000-0005-0000-0000-000035340000}"/>
    <cellStyle name="Normal 3 2 2 7" xfId="49152" xr:uid="{00000000-0005-0000-0000-000036340000}"/>
    <cellStyle name="Normal 3 2 2 8" xfId="49146"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3"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4"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5"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56"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57"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38" xr:uid="{00000000-0005-0000-0000-00009D340000}"/>
    <cellStyle name="Normal 3 2 8" xfId="12377" xr:uid="{00000000-0005-0000-0000-00009E340000}"/>
    <cellStyle name="Normal 3 2 8 2" xfId="49158" xr:uid="{00000000-0005-0000-0000-00009F340000}"/>
    <cellStyle name="Normal 3 2 9" xfId="12378" xr:uid="{00000000-0005-0000-0000-0000A0340000}"/>
    <cellStyle name="Normal 3 2 9 2" xfId="49159" xr:uid="{00000000-0005-0000-0000-0000A1340000}"/>
    <cellStyle name="Normal 3 2_3.1.2 DB Pension Detail" xfId="12379" xr:uid="{00000000-0005-0000-0000-0000A2340000}"/>
    <cellStyle name="Normal 3 20" xfId="12380" xr:uid="{00000000-0005-0000-0000-0000A3340000}"/>
    <cellStyle name="Normal 3 20 2" xfId="49160"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2"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1"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3"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4"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5"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66"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67"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68"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1"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4"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3" xr:uid="{00000000-0005-0000-0000-0000193E0000}"/>
    <cellStyle name="Normal 4 2 2 2 2 3" xfId="14789" xr:uid="{00000000-0005-0000-0000-00001A3E0000}"/>
    <cellStyle name="Normal 4 2 2 2 2 3 2" xfId="49175"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2" xr:uid="{00000000-0005-0000-0000-0000263E0000}"/>
    <cellStyle name="Normal 4 2 2 2 3" xfId="14800" xr:uid="{00000000-0005-0000-0000-0000273E0000}"/>
    <cellStyle name="Normal 4 2 2 2 3 2" xfId="49176" xr:uid="{00000000-0005-0000-0000-0000283E0000}"/>
    <cellStyle name="Normal 4 2 2 2 4" xfId="14801" xr:uid="{00000000-0005-0000-0000-0000293E0000}"/>
    <cellStyle name="Normal 4 2 2 2 4 2" xfId="49177" xr:uid="{00000000-0005-0000-0000-00002A3E0000}"/>
    <cellStyle name="Normal 4 2 2 2 5" xfId="14802" xr:uid="{00000000-0005-0000-0000-00002B3E0000}"/>
    <cellStyle name="Normal 4 2 2 2 5 2" xfId="49178" xr:uid="{00000000-0005-0000-0000-00002C3E0000}"/>
    <cellStyle name="Normal 4 2 2 2 6" xfId="14803" xr:uid="{00000000-0005-0000-0000-00002D3E0000}"/>
    <cellStyle name="Normal 4 2 2 2 6 2" xfId="49179"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1" xr:uid="{00000000-0005-0000-0000-0000363E0000}"/>
    <cellStyle name="Normal 4 2 2 3" xfId="14811" xr:uid="{00000000-0005-0000-0000-0000373E0000}"/>
    <cellStyle name="Normal 4 2 2 3 2" xfId="14812" xr:uid="{00000000-0005-0000-0000-0000383E0000}"/>
    <cellStyle name="Normal 4 2 2 3 2 2" xfId="49181" xr:uid="{00000000-0005-0000-0000-0000393E0000}"/>
    <cellStyle name="Normal 4 2 2 3 3" xfId="14813" xr:uid="{00000000-0005-0000-0000-00003A3E0000}"/>
    <cellStyle name="Normal 4 2 2 3 3 2" xfId="49182" xr:uid="{00000000-0005-0000-0000-00003B3E0000}"/>
    <cellStyle name="Normal 4 2 2 3 4" xfId="49180" xr:uid="{00000000-0005-0000-0000-00003C3E0000}"/>
    <cellStyle name="Normal 4 2 2 3_ELEC SAP FCST UPLOAD" xfId="14814" xr:uid="{00000000-0005-0000-0000-00003D3E0000}"/>
    <cellStyle name="Normal 4 2 2 4" xfId="14815" xr:uid="{00000000-0005-0000-0000-00003E3E0000}"/>
    <cellStyle name="Normal 4 2 2 4 2" xfId="49183" xr:uid="{00000000-0005-0000-0000-00003F3E0000}"/>
    <cellStyle name="Normal 4 2 2 5" xfId="14816" xr:uid="{00000000-0005-0000-0000-0000403E0000}"/>
    <cellStyle name="Normal 4 2 2 5 2" xfId="49184" xr:uid="{00000000-0005-0000-0000-0000413E0000}"/>
    <cellStyle name="Normal 4 2 2 6" xfId="14817" xr:uid="{00000000-0005-0000-0000-0000423E0000}"/>
    <cellStyle name="Normal 4 2 2 6 2" xfId="49185"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0" xr:uid="{00000000-0005-0000-0000-00004C3E0000}"/>
    <cellStyle name="Normal 4 2 3" xfId="99" xr:uid="{00000000-0005-0000-0000-00004D3E0000}"/>
    <cellStyle name="Normal 4 2 3 2" xfId="14826" xr:uid="{00000000-0005-0000-0000-00004E3E0000}"/>
    <cellStyle name="Normal 4 2 3 2 2" xfId="49187" xr:uid="{00000000-0005-0000-0000-00004F3E0000}"/>
    <cellStyle name="Normal 4 2 3 3" xfId="14827" xr:uid="{00000000-0005-0000-0000-0000503E0000}"/>
    <cellStyle name="Normal 4 2 3 3 2" xfId="49188" xr:uid="{00000000-0005-0000-0000-0000513E0000}"/>
    <cellStyle name="Normal 4 2 3 4" xfId="49186" xr:uid="{00000000-0005-0000-0000-0000523E0000}"/>
    <cellStyle name="Normal 4 2 3_ELEC SAP FCST UPLOAD" xfId="14828" xr:uid="{00000000-0005-0000-0000-0000533E0000}"/>
    <cellStyle name="Normal 4 2 4" xfId="14829" xr:uid="{00000000-0005-0000-0000-0000543E0000}"/>
    <cellStyle name="Normal 4 2 4 2" xfId="49189" xr:uid="{00000000-0005-0000-0000-0000553E0000}"/>
    <cellStyle name="Normal 4 2 5" xfId="14830" xr:uid="{00000000-0005-0000-0000-0000563E0000}"/>
    <cellStyle name="Normal 4 2 5 2" xfId="49190" xr:uid="{00000000-0005-0000-0000-0000573E0000}"/>
    <cellStyle name="Normal 4 2 6" xfId="14831" xr:uid="{00000000-0005-0000-0000-0000583E0000}"/>
    <cellStyle name="Normal 4 2 6 2" xfId="49191" xr:uid="{00000000-0005-0000-0000-0000593E0000}"/>
    <cellStyle name="Normal 4 2 7" xfId="14832" xr:uid="{00000000-0005-0000-0000-00005A3E0000}"/>
    <cellStyle name="Normal 4 2 7 2" xfId="49192"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5" xr:uid="{00000000-0005-0000-0000-00006C3E0000}"/>
    <cellStyle name="Normal 4 3 2 3" xfId="14849" xr:uid="{00000000-0005-0000-0000-00006D3E0000}"/>
    <cellStyle name="Normal 4 3 2 3 2" xfId="49196" xr:uid="{00000000-0005-0000-0000-00006E3E0000}"/>
    <cellStyle name="Normal 4 3 2 4" xfId="49194" xr:uid="{00000000-0005-0000-0000-00006F3E0000}"/>
    <cellStyle name="Normal 4 3 2_ELEC SAP FCST UPLOAD" xfId="14850" xr:uid="{00000000-0005-0000-0000-0000703E0000}"/>
    <cellStyle name="Normal 4 3 3" xfId="14851" xr:uid="{00000000-0005-0000-0000-0000713E0000}"/>
    <cellStyle name="Normal 4 3 3 2" xfId="49197" xr:uid="{00000000-0005-0000-0000-0000723E0000}"/>
    <cellStyle name="Normal 4 3 4" xfId="14852" xr:uid="{00000000-0005-0000-0000-0000733E0000}"/>
    <cellStyle name="Normal 4 3 4 2" xfId="49198" xr:uid="{00000000-0005-0000-0000-0000743E0000}"/>
    <cellStyle name="Normal 4 3 5" xfId="14853" xr:uid="{00000000-0005-0000-0000-0000753E0000}"/>
    <cellStyle name="Normal 4 3 5 2" xfId="49199" xr:uid="{00000000-0005-0000-0000-0000763E0000}"/>
    <cellStyle name="Normal 4 3 6" xfId="14854" xr:uid="{00000000-0005-0000-0000-0000773E0000}"/>
    <cellStyle name="Normal 4 3 6 2" xfId="49200" xr:uid="{00000000-0005-0000-0000-0000783E0000}"/>
    <cellStyle name="Normal 4 3 7" xfId="49193"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1"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2"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3"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69"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07"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06" xr:uid="{00000000-0005-0000-0000-00006D430000}"/>
    <cellStyle name="Normal 5 2 2 3" xfId="16117" xr:uid="{00000000-0005-0000-0000-00006E430000}"/>
    <cellStyle name="Normal 5 2 2 3 2" xfId="49208"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5" xr:uid="{00000000-0005-0000-0000-00007A430000}"/>
    <cellStyle name="Normal 5 2 3" xfId="16128" xr:uid="{00000000-0005-0000-0000-00007B430000}"/>
    <cellStyle name="Normal 5 2 3 2" xfId="49209" xr:uid="{00000000-0005-0000-0000-00007C430000}"/>
    <cellStyle name="Normal 5 2 4" xfId="16129" xr:uid="{00000000-0005-0000-0000-00007D430000}"/>
    <cellStyle name="Normal 5 2 4 2" xfId="49210" xr:uid="{00000000-0005-0000-0000-00007E430000}"/>
    <cellStyle name="Normal 5 2 5" xfId="16130" xr:uid="{00000000-0005-0000-0000-00007F430000}"/>
    <cellStyle name="Normal 5 2 5 2" xfId="49211" xr:uid="{00000000-0005-0000-0000-000080430000}"/>
    <cellStyle name="Normal 5 2 6" xfId="16131" xr:uid="{00000000-0005-0000-0000-000081430000}"/>
    <cellStyle name="Normal 5 2 6 2" xfId="49212"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3"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4"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5"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4"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16" xr:uid="{00000000-0005-0000-0000-00003C460000}"/>
    <cellStyle name="Normal 6 9" xfId="16825" xr:uid="{00000000-0005-0000-0000-00003D460000}"/>
    <cellStyle name="Normal 60" xfId="16826" xr:uid="{00000000-0005-0000-0000-00003E460000}"/>
    <cellStyle name="Normal 61" xfId="90" xr:uid="{00000000-0005-0000-0000-00003F460000}"/>
    <cellStyle name="Normal 61 2" xfId="16827" xr:uid="{00000000-0005-0000-0000-000040460000}"/>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37"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17"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36" xr:uid="{00000000-0005-0000-0000-000006470000}"/>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18"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19"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0"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1" xr:uid="{00000000-0005-0000-0000-0000574B0000}"/>
    <cellStyle name="Normál_Cost_Baseline v1.1" xfId="18122" xr:uid="{00000000-0005-0000-0000-0000594B0000}"/>
    <cellStyle name="Normal_Opex Tables 2 2 2" xfId="85" xr:uid="{00000000-0005-0000-0000-00005B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86" xr:uid="{00000000-0005-0000-0000-0000754B0000}"/>
    <cellStyle name="Note 2 2 2 3" xfId="18147" xr:uid="{00000000-0005-0000-0000-0000764B0000}"/>
    <cellStyle name="Note 2 2 2 3 2" xfId="18148" xr:uid="{00000000-0005-0000-0000-0000774B0000}"/>
    <cellStyle name="Note 2 2 2 3 3" xfId="51393"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2"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5" xr:uid="{00000000-0005-0000-0000-0000834B0000}"/>
    <cellStyle name="Note 2 2 4" xfId="18158" xr:uid="{00000000-0005-0000-0000-0000844B0000}"/>
    <cellStyle name="Note 2 2 4 2" xfId="18159" xr:uid="{00000000-0005-0000-0000-0000854B0000}"/>
    <cellStyle name="Note 2 2 4 3" xfId="51491"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4"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4" xr:uid="{00000000-0005-0000-0000-00009B4B0000}"/>
    <cellStyle name="Note 2 3 2 3" xfId="51160" xr:uid="{00000000-0005-0000-0000-00009C4B0000}"/>
    <cellStyle name="Note 2 3 2 4" xfId="49793" xr:uid="{00000000-0005-0000-0000-00009D4B0000}"/>
    <cellStyle name="Note 2 3 3" xfId="18179" xr:uid="{00000000-0005-0000-0000-00009E4B0000}"/>
    <cellStyle name="Note 2 3 3 2" xfId="50573" xr:uid="{00000000-0005-0000-0000-00009F4B0000}"/>
    <cellStyle name="Note 2 3 4" xfId="51478" xr:uid="{00000000-0005-0000-0000-0000A04B0000}"/>
    <cellStyle name="Note 2 3 5" xfId="49465"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5" xr:uid="{00000000-0005-0000-0000-0000AF4B0000}"/>
    <cellStyle name="Note 2 4 2 3" xfId="51382" xr:uid="{00000000-0005-0000-0000-0000B04B0000}"/>
    <cellStyle name="Note 2 4 2 4" xfId="49803" xr:uid="{00000000-0005-0000-0000-0000B14B0000}"/>
    <cellStyle name="Note 2 4 3" xfId="18193" xr:uid="{00000000-0005-0000-0000-0000B24B0000}"/>
    <cellStyle name="Note 2 4 3 2" xfId="50564" xr:uid="{00000000-0005-0000-0000-0000B34B0000}"/>
    <cellStyle name="Note 2 4 4" xfId="50945" xr:uid="{00000000-0005-0000-0000-0000B44B0000}"/>
    <cellStyle name="Note 2 4 5" xfId="49475"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4" xr:uid="{00000000-0005-0000-0000-0000C34B0000}"/>
    <cellStyle name="Note 2 5 3" xfId="18207" xr:uid="{00000000-0005-0000-0000-0000C44B0000}"/>
    <cellStyle name="Note 2 5 3 2" xfId="50653" xr:uid="{00000000-0005-0000-0000-0000C54B0000}"/>
    <cellStyle name="Note 2 5 4" xfId="49634"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4" xr:uid="{00000000-0005-0000-0000-0000D34B0000}"/>
    <cellStyle name="Note 2 6 3" xfId="51331" xr:uid="{00000000-0005-0000-0000-0000D44B0000}"/>
    <cellStyle name="Note 2 6 4" xfId="50039"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58"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1"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3"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2" xr:uid="{00000000-0005-0000-0000-0000024C0000}"/>
    <cellStyle name="Note 3" xfId="18261" xr:uid="{00000000-0005-0000-0000-0000034C0000}"/>
    <cellStyle name="Note 3 10" xfId="49464" xr:uid="{00000000-0005-0000-0000-0000044C0000}"/>
    <cellStyle name="Note 3 10 2" xfId="49792" xr:uid="{00000000-0005-0000-0000-0000054C0000}"/>
    <cellStyle name="Note 3 10 2 2" xfId="50205" xr:uid="{00000000-0005-0000-0000-0000064C0000}"/>
    <cellStyle name="Note 3 10 2 3" xfId="51530" xr:uid="{00000000-0005-0000-0000-0000074C0000}"/>
    <cellStyle name="Note 3 10 3" xfId="50574" xr:uid="{00000000-0005-0000-0000-0000084C0000}"/>
    <cellStyle name="Note 3 10 4" xfId="51222" xr:uid="{00000000-0005-0000-0000-0000094C0000}"/>
    <cellStyle name="Note 3 11" xfId="49476" xr:uid="{00000000-0005-0000-0000-00000A4C0000}"/>
    <cellStyle name="Note 3 11 2" xfId="49804" xr:uid="{00000000-0005-0000-0000-00000B4C0000}"/>
    <cellStyle name="Note 3 11 2 2" xfId="50194" xr:uid="{00000000-0005-0000-0000-00000C4C0000}"/>
    <cellStyle name="Note 3 11 2 3" xfId="51621" xr:uid="{00000000-0005-0000-0000-00000D4C0000}"/>
    <cellStyle name="Note 3 11 3" xfId="50563" xr:uid="{00000000-0005-0000-0000-00000E4C0000}"/>
    <cellStyle name="Note 3 11 4" xfId="51233" xr:uid="{00000000-0005-0000-0000-00000F4C0000}"/>
    <cellStyle name="Note 3 12" xfId="49635" xr:uid="{00000000-0005-0000-0000-0000104C0000}"/>
    <cellStyle name="Note 3 12 2" xfId="50987" xr:uid="{00000000-0005-0000-0000-0000114C0000}"/>
    <cellStyle name="Note 3 12 3" xfId="50649" xr:uid="{00000000-0005-0000-0000-0000124C0000}"/>
    <cellStyle name="Note 3 13" xfId="50038" xr:uid="{00000000-0005-0000-0000-0000134C0000}"/>
    <cellStyle name="Note 3 13 2" xfId="51083" xr:uid="{00000000-0005-0000-0000-0000144C0000}"/>
    <cellStyle name="Note 3 13 3" xfId="51563" xr:uid="{00000000-0005-0000-0000-0000154C0000}"/>
    <cellStyle name="Note 3 14" xfId="50757" xr:uid="{00000000-0005-0000-0000-0000164C0000}"/>
    <cellStyle name="Note 3 15" xfId="50952" xr:uid="{00000000-0005-0000-0000-0000174C0000}"/>
    <cellStyle name="Note 3 16" xfId="51139" xr:uid="{00000000-0005-0000-0000-0000184C0000}"/>
    <cellStyle name="Note 3 17" xfId="49223" xr:uid="{00000000-0005-0000-0000-0000194C0000}"/>
    <cellStyle name="Note 3 2" xfId="18262" xr:uid="{00000000-0005-0000-0000-00001A4C0000}"/>
    <cellStyle name="Note 3 2 10" xfId="49224" xr:uid="{00000000-0005-0000-0000-00001B4C0000}"/>
    <cellStyle name="Note 3 2 2" xfId="18263" xr:uid="{00000000-0005-0000-0000-00001C4C0000}"/>
    <cellStyle name="Note 3 2 2 2" xfId="49814" xr:uid="{00000000-0005-0000-0000-00001D4C0000}"/>
    <cellStyle name="Note 3 2 2 2 2" xfId="50185" xr:uid="{00000000-0005-0000-0000-00001E4C0000}"/>
    <cellStyle name="Note 3 2 2 2 3" xfId="51273" xr:uid="{00000000-0005-0000-0000-00001F4C0000}"/>
    <cellStyle name="Note 3 2 2 3" xfId="50553" xr:uid="{00000000-0005-0000-0000-0000204C0000}"/>
    <cellStyle name="Note 3 2 2 4" xfId="51454" xr:uid="{00000000-0005-0000-0000-0000214C0000}"/>
    <cellStyle name="Note 3 2 2 5" xfId="49486" xr:uid="{00000000-0005-0000-0000-0000224C0000}"/>
    <cellStyle name="Note 3 2 3" xfId="49463" xr:uid="{00000000-0005-0000-0000-0000234C0000}"/>
    <cellStyle name="Note 3 2 3 2" xfId="49791" xr:uid="{00000000-0005-0000-0000-0000244C0000}"/>
    <cellStyle name="Note 3 2 3 2 2" xfId="50206" xr:uid="{00000000-0005-0000-0000-0000254C0000}"/>
    <cellStyle name="Note 3 2 3 2 3" xfId="51272" xr:uid="{00000000-0005-0000-0000-0000264C0000}"/>
    <cellStyle name="Note 3 2 3 3" xfId="50575" xr:uid="{00000000-0005-0000-0000-0000274C0000}"/>
    <cellStyle name="Note 3 2 3 4" xfId="51457" xr:uid="{00000000-0005-0000-0000-0000284C0000}"/>
    <cellStyle name="Note 3 2 4" xfId="49477" xr:uid="{00000000-0005-0000-0000-0000294C0000}"/>
    <cellStyle name="Note 3 2 4 2" xfId="49805" xr:uid="{00000000-0005-0000-0000-00002A4C0000}"/>
    <cellStyle name="Note 3 2 4 2 2" xfId="50193" xr:uid="{00000000-0005-0000-0000-00002B4C0000}"/>
    <cellStyle name="Note 3 2 4 2 3" xfId="51136" xr:uid="{00000000-0005-0000-0000-00002C4C0000}"/>
    <cellStyle name="Note 3 2 4 3" xfId="50562" xr:uid="{00000000-0005-0000-0000-00002D4C0000}"/>
    <cellStyle name="Note 3 2 4 4" xfId="51490" xr:uid="{00000000-0005-0000-0000-00002E4C0000}"/>
    <cellStyle name="Note 3 2 5" xfId="49636" xr:uid="{00000000-0005-0000-0000-00002F4C0000}"/>
    <cellStyle name="Note 3 2 5 2" xfId="50900" xr:uid="{00000000-0005-0000-0000-0000304C0000}"/>
    <cellStyle name="Note 3 2 5 3" xfId="50650" xr:uid="{00000000-0005-0000-0000-0000314C0000}"/>
    <cellStyle name="Note 3 2 6" xfId="50037" xr:uid="{00000000-0005-0000-0000-0000324C0000}"/>
    <cellStyle name="Note 3 2 6 2" xfId="51082" xr:uid="{00000000-0005-0000-0000-0000334C0000}"/>
    <cellStyle name="Note 3 2 6 3" xfId="51306" xr:uid="{00000000-0005-0000-0000-0000344C0000}"/>
    <cellStyle name="Note 3 2 7" xfId="50756" xr:uid="{00000000-0005-0000-0000-0000354C0000}"/>
    <cellStyle name="Note 3 2 8" xfId="50904" xr:uid="{00000000-0005-0000-0000-0000364C0000}"/>
    <cellStyle name="Note 3 2 9" xfId="50772" xr:uid="{00000000-0005-0000-0000-0000374C0000}"/>
    <cellStyle name="Note 3 3" xfId="18264" xr:uid="{00000000-0005-0000-0000-0000384C0000}"/>
    <cellStyle name="Note 3 3 10" xfId="49225" xr:uid="{00000000-0005-0000-0000-0000394C0000}"/>
    <cellStyle name="Note 3 3 2" xfId="18265" xr:uid="{00000000-0005-0000-0000-00003A4C0000}"/>
    <cellStyle name="Note 3 3 2 2" xfId="49815" xr:uid="{00000000-0005-0000-0000-00003B4C0000}"/>
    <cellStyle name="Note 3 3 2 2 2" xfId="50184" xr:uid="{00000000-0005-0000-0000-00003C4C0000}"/>
    <cellStyle name="Note 3 3 2 2 3" xfId="51531" xr:uid="{00000000-0005-0000-0000-00003D4C0000}"/>
    <cellStyle name="Note 3 3 2 3" xfId="50552" xr:uid="{00000000-0005-0000-0000-00003E4C0000}"/>
    <cellStyle name="Note 3 3 2 4" xfId="51352" xr:uid="{00000000-0005-0000-0000-00003F4C0000}"/>
    <cellStyle name="Note 3 3 2 5" xfId="49487" xr:uid="{00000000-0005-0000-0000-0000404C0000}"/>
    <cellStyle name="Note 3 3 3" xfId="49462" xr:uid="{00000000-0005-0000-0000-0000414C0000}"/>
    <cellStyle name="Note 3 3 3 2" xfId="49790" xr:uid="{00000000-0005-0000-0000-0000424C0000}"/>
    <cellStyle name="Note 3 3 3 2 2" xfId="50207" xr:uid="{00000000-0005-0000-0000-0000434C0000}"/>
    <cellStyle name="Note 3 3 3 2 3" xfId="50879" xr:uid="{00000000-0005-0000-0000-0000444C0000}"/>
    <cellStyle name="Note 3 3 3 3" xfId="50576" xr:uid="{00000000-0005-0000-0000-0000454C0000}"/>
    <cellStyle name="Note 3 3 3 4" xfId="51199" xr:uid="{00000000-0005-0000-0000-0000464C0000}"/>
    <cellStyle name="Note 3 3 4" xfId="49478" xr:uid="{00000000-0005-0000-0000-0000474C0000}"/>
    <cellStyle name="Note 3 3 4 2" xfId="49806" xr:uid="{00000000-0005-0000-0000-0000484C0000}"/>
    <cellStyle name="Note 3 3 4 2 2" xfId="50192" xr:uid="{00000000-0005-0000-0000-0000494C0000}"/>
    <cellStyle name="Note 3 3 4 2 3" xfId="50894" xr:uid="{00000000-0005-0000-0000-00004A4C0000}"/>
    <cellStyle name="Note 3 3 4 3" xfId="50561" xr:uid="{00000000-0005-0000-0000-00004B4C0000}"/>
    <cellStyle name="Note 3 3 4 4" xfId="51197" xr:uid="{00000000-0005-0000-0000-00004C4C0000}"/>
    <cellStyle name="Note 3 3 5" xfId="49637" xr:uid="{00000000-0005-0000-0000-00004D4C0000}"/>
    <cellStyle name="Note 3 3 5 2" xfId="50925" xr:uid="{00000000-0005-0000-0000-00004E4C0000}"/>
    <cellStyle name="Note 3 3 5 3" xfId="50651" xr:uid="{00000000-0005-0000-0000-00004F4C0000}"/>
    <cellStyle name="Note 3 3 6" xfId="50036" xr:uid="{00000000-0005-0000-0000-0000504C0000}"/>
    <cellStyle name="Note 3 3 6 2" xfId="51081" xr:uid="{00000000-0005-0000-0000-0000514C0000}"/>
    <cellStyle name="Note 3 3 6 3" xfId="51156" xr:uid="{00000000-0005-0000-0000-0000524C0000}"/>
    <cellStyle name="Note 3 3 7" xfId="50755" xr:uid="{00000000-0005-0000-0000-0000534C0000}"/>
    <cellStyle name="Note 3 3 8" xfId="50981" xr:uid="{00000000-0005-0000-0000-0000544C0000}"/>
    <cellStyle name="Note 3 3 9" xfId="50786" xr:uid="{00000000-0005-0000-0000-0000554C0000}"/>
    <cellStyle name="Note 3 4" xfId="18266" xr:uid="{00000000-0005-0000-0000-0000564C0000}"/>
    <cellStyle name="Note 3 4 10" xfId="49226" xr:uid="{00000000-0005-0000-0000-0000574C0000}"/>
    <cellStyle name="Note 3 4 2" xfId="49488" xr:uid="{00000000-0005-0000-0000-0000584C0000}"/>
    <cellStyle name="Note 3 4 2 2" xfId="49816" xr:uid="{00000000-0005-0000-0000-0000594C0000}"/>
    <cellStyle name="Note 3 4 2 2 2" xfId="50183" xr:uid="{00000000-0005-0000-0000-00005A4C0000}"/>
    <cellStyle name="Note 3 4 2 2 3" xfId="51159" xr:uid="{00000000-0005-0000-0000-00005B4C0000}"/>
    <cellStyle name="Note 3 4 2 3" xfId="50551" xr:uid="{00000000-0005-0000-0000-00005C4C0000}"/>
    <cellStyle name="Note 3 4 2 4" xfId="51646" xr:uid="{00000000-0005-0000-0000-00005D4C0000}"/>
    <cellStyle name="Note 3 4 3" xfId="49461" xr:uid="{00000000-0005-0000-0000-00005E4C0000}"/>
    <cellStyle name="Note 3 4 3 2" xfId="49789" xr:uid="{00000000-0005-0000-0000-00005F4C0000}"/>
    <cellStyle name="Note 3 4 3 2 2" xfId="50208" xr:uid="{00000000-0005-0000-0000-0000604C0000}"/>
    <cellStyle name="Note 3 4 3 2 3" xfId="51616" xr:uid="{00000000-0005-0000-0000-0000614C0000}"/>
    <cellStyle name="Note 3 4 3 3" xfId="50577" xr:uid="{00000000-0005-0000-0000-0000624C0000}"/>
    <cellStyle name="Note 3 4 3 4" xfId="51488" xr:uid="{00000000-0005-0000-0000-0000634C0000}"/>
    <cellStyle name="Note 3 4 4" xfId="49479" xr:uid="{00000000-0005-0000-0000-0000644C0000}"/>
    <cellStyle name="Note 3 4 4 2" xfId="49807" xr:uid="{00000000-0005-0000-0000-0000654C0000}"/>
    <cellStyle name="Note 3 4 4 2 2" xfId="50191" xr:uid="{00000000-0005-0000-0000-0000664C0000}"/>
    <cellStyle name="Note 3 4 4 2 3" xfId="50965" xr:uid="{00000000-0005-0000-0000-0000674C0000}"/>
    <cellStyle name="Note 3 4 4 3" xfId="50560" xr:uid="{00000000-0005-0000-0000-0000684C0000}"/>
    <cellStyle name="Note 3 4 4 4" xfId="51455" xr:uid="{00000000-0005-0000-0000-0000694C0000}"/>
    <cellStyle name="Note 3 4 5" xfId="49638" xr:uid="{00000000-0005-0000-0000-00006A4C0000}"/>
    <cellStyle name="Note 3 4 5 2" xfId="50859" xr:uid="{00000000-0005-0000-0000-00006B4C0000}"/>
    <cellStyle name="Note 3 4 5 3" xfId="51372" xr:uid="{00000000-0005-0000-0000-00006C4C0000}"/>
    <cellStyle name="Note 3 4 6" xfId="50035" xr:uid="{00000000-0005-0000-0000-00006D4C0000}"/>
    <cellStyle name="Note 3 4 6 2" xfId="51080" xr:uid="{00000000-0005-0000-0000-00006E4C0000}"/>
    <cellStyle name="Note 3 4 6 3" xfId="51129" xr:uid="{00000000-0005-0000-0000-00006F4C0000}"/>
    <cellStyle name="Note 3 4 7" xfId="50754" xr:uid="{00000000-0005-0000-0000-0000704C0000}"/>
    <cellStyle name="Note 3 4 8" xfId="50792" xr:uid="{00000000-0005-0000-0000-0000714C0000}"/>
    <cellStyle name="Note 3 4 9" xfId="50759" xr:uid="{00000000-0005-0000-0000-0000724C0000}"/>
    <cellStyle name="Note 3 5" xfId="49227" xr:uid="{00000000-0005-0000-0000-0000734C0000}"/>
    <cellStyle name="Note 3 5 2" xfId="49489" xr:uid="{00000000-0005-0000-0000-0000744C0000}"/>
    <cellStyle name="Note 3 5 2 2" xfId="49817" xr:uid="{00000000-0005-0000-0000-0000754C0000}"/>
    <cellStyle name="Note 3 5 2 2 2" xfId="50182" xr:uid="{00000000-0005-0000-0000-0000764C0000}"/>
    <cellStyle name="Note 3 5 2 2 3" xfId="51419" xr:uid="{00000000-0005-0000-0000-0000774C0000}"/>
    <cellStyle name="Note 3 5 2 3" xfId="50550" xr:uid="{00000000-0005-0000-0000-0000784C0000}"/>
    <cellStyle name="Note 3 5 2 4" xfId="50958" xr:uid="{00000000-0005-0000-0000-0000794C0000}"/>
    <cellStyle name="Note 3 5 3" xfId="49460" xr:uid="{00000000-0005-0000-0000-00007A4C0000}"/>
    <cellStyle name="Note 3 5 3 2" xfId="49788" xr:uid="{00000000-0005-0000-0000-00007B4C0000}"/>
    <cellStyle name="Note 3 5 3 2 2" xfId="50209" xr:uid="{00000000-0005-0000-0000-00007C4C0000}"/>
    <cellStyle name="Note 3 5 3 2 3" xfId="51390" xr:uid="{00000000-0005-0000-0000-00007D4C0000}"/>
    <cellStyle name="Note 3 5 3 3" xfId="50578" xr:uid="{00000000-0005-0000-0000-00007E4C0000}"/>
    <cellStyle name="Note 3 5 3 4" xfId="51231" xr:uid="{00000000-0005-0000-0000-00007F4C0000}"/>
    <cellStyle name="Note 3 5 4" xfId="49480" xr:uid="{00000000-0005-0000-0000-0000804C0000}"/>
    <cellStyle name="Note 3 5 4 2" xfId="49808" xr:uid="{00000000-0005-0000-0000-0000814C0000}"/>
    <cellStyle name="Note 3 5 4 2 2" xfId="50190" xr:uid="{00000000-0005-0000-0000-0000824C0000}"/>
    <cellStyle name="Note 3 5 4 2 3" xfId="51274" xr:uid="{00000000-0005-0000-0000-0000834C0000}"/>
    <cellStyle name="Note 3 5 4 3" xfId="50559" xr:uid="{00000000-0005-0000-0000-0000844C0000}"/>
    <cellStyle name="Note 3 5 4 4" xfId="51351" xr:uid="{00000000-0005-0000-0000-0000854C0000}"/>
    <cellStyle name="Note 3 5 5" xfId="49639" xr:uid="{00000000-0005-0000-0000-0000864C0000}"/>
    <cellStyle name="Note 3 5 5 2" xfId="50928" xr:uid="{00000000-0005-0000-0000-0000874C0000}"/>
    <cellStyle name="Note 3 5 5 3" xfId="50664" xr:uid="{00000000-0005-0000-0000-0000884C0000}"/>
    <cellStyle name="Note 3 5 6" xfId="50034" xr:uid="{00000000-0005-0000-0000-0000894C0000}"/>
    <cellStyle name="Note 3 5 6 2" xfId="51079" xr:uid="{00000000-0005-0000-0000-00008A4C0000}"/>
    <cellStyle name="Note 3 5 6 3" xfId="50932" xr:uid="{00000000-0005-0000-0000-00008B4C0000}"/>
    <cellStyle name="Note 3 5 7" xfId="50753" xr:uid="{00000000-0005-0000-0000-00008C4C0000}"/>
    <cellStyle name="Note 3 5 8" xfId="50867" xr:uid="{00000000-0005-0000-0000-00008D4C0000}"/>
    <cellStyle name="Note 3 5 9" xfId="50982" xr:uid="{00000000-0005-0000-0000-00008E4C0000}"/>
    <cellStyle name="Note 3 6" xfId="49228" xr:uid="{00000000-0005-0000-0000-00008F4C0000}"/>
    <cellStyle name="Note 3 6 2" xfId="49490" xr:uid="{00000000-0005-0000-0000-0000904C0000}"/>
    <cellStyle name="Note 3 6 2 2" xfId="49818" xr:uid="{00000000-0005-0000-0000-0000914C0000}"/>
    <cellStyle name="Note 3 6 2 2 2" xfId="50181" xr:uid="{00000000-0005-0000-0000-0000924C0000}"/>
    <cellStyle name="Note 3 6 2 2 3" xfId="51330" xr:uid="{00000000-0005-0000-0000-0000934C0000}"/>
    <cellStyle name="Note 3 6 2 3" xfId="50549" xr:uid="{00000000-0005-0000-0000-0000944C0000}"/>
    <cellStyle name="Note 3 6 2 4" xfId="51235" xr:uid="{00000000-0005-0000-0000-0000954C0000}"/>
    <cellStyle name="Note 3 6 3" xfId="49459" xr:uid="{00000000-0005-0000-0000-0000964C0000}"/>
    <cellStyle name="Note 3 6 3 2" xfId="49787" xr:uid="{00000000-0005-0000-0000-0000974C0000}"/>
    <cellStyle name="Note 3 6 3 2 2" xfId="50210" xr:uid="{00000000-0005-0000-0000-0000984C0000}"/>
    <cellStyle name="Note 3 6 3 2 3" xfId="51557" xr:uid="{00000000-0005-0000-0000-0000994C0000}"/>
    <cellStyle name="Note 3 6 3 3" xfId="50579" xr:uid="{00000000-0005-0000-0000-00009A4C0000}"/>
    <cellStyle name="Note 3 6 3 4" xfId="50805" xr:uid="{00000000-0005-0000-0000-00009B4C0000}"/>
    <cellStyle name="Note 3 6 4" xfId="49481" xr:uid="{00000000-0005-0000-0000-00009C4C0000}"/>
    <cellStyle name="Note 3 6 4 2" xfId="49809" xr:uid="{00000000-0005-0000-0000-00009D4C0000}"/>
    <cellStyle name="Note 3 6 4 2 2" xfId="50189" xr:uid="{00000000-0005-0000-0000-00009E4C0000}"/>
    <cellStyle name="Note 3 6 4 2 3" xfId="51532" xr:uid="{00000000-0005-0000-0000-00009F4C0000}"/>
    <cellStyle name="Note 3 6 4 3" xfId="50558" xr:uid="{00000000-0005-0000-0000-0000A04C0000}"/>
    <cellStyle name="Note 3 6 4 4" xfId="51647" xr:uid="{00000000-0005-0000-0000-0000A14C0000}"/>
    <cellStyle name="Note 3 6 5" xfId="49640" xr:uid="{00000000-0005-0000-0000-0000A24C0000}"/>
    <cellStyle name="Note 3 6 5 2" xfId="50862" xr:uid="{00000000-0005-0000-0000-0000A34C0000}"/>
    <cellStyle name="Note 3 6 5 3" xfId="51210" xr:uid="{00000000-0005-0000-0000-0000A44C0000}"/>
    <cellStyle name="Note 3 6 6" xfId="49963" xr:uid="{00000000-0005-0000-0000-0000A54C0000}"/>
    <cellStyle name="Note 3 6 6 2" xfId="51008" xr:uid="{00000000-0005-0000-0000-0000A64C0000}"/>
    <cellStyle name="Note 3 6 6 3" xfId="51547" xr:uid="{00000000-0005-0000-0000-0000A74C0000}"/>
    <cellStyle name="Note 3 6 7" xfId="50752" xr:uid="{00000000-0005-0000-0000-0000A84C0000}"/>
    <cellStyle name="Note 3 6 8" xfId="50942" xr:uid="{00000000-0005-0000-0000-0000A94C0000}"/>
    <cellStyle name="Note 3 6 9" xfId="50929" xr:uid="{00000000-0005-0000-0000-0000AA4C0000}"/>
    <cellStyle name="Note 3 7" xfId="49229" xr:uid="{00000000-0005-0000-0000-0000AB4C0000}"/>
    <cellStyle name="Note 3 7 2" xfId="49491" xr:uid="{00000000-0005-0000-0000-0000AC4C0000}"/>
    <cellStyle name="Note 3 7 2 2" xfId="49819" xr:uid="{00000000-0005-0000-0000-0000AD4C0000}"/>
    <cellStyle name="Note 3 7 2 2 2" xfId="50180" xr:uid="{00000000-0005-0000-0000-0000AE4C0000}"/>
    <cellStyle name="Note 3 7 2 2 3" xfId="51586" xr:uid="{00000000-0005-0000-0000-0000AF4C0000}"/>
    <cellStyle name="Note 3 7 2 3" xfId="50548" xr:uid="{00000000-0005-0000-0000-0000B04C0000}"/>
    <cellStyle name="Note 3 7 2 4" xfId="51492" xr:uid="{00000000-0005-0000-0000-0000B14C0000}"/>
    <cellStyle name="Note 3 7 3" xfId="49458" xr:uid="{00000000-0005-0000-0000-0000B24C0000}"/>
    <cellStyle name="Note 3 7 3 2" xfId="49786" xr:uid="{00000000-0005-0000-0000-0000B34C0000}"/>
    <cellStyle name="Note 3 7 3 2 2" xfId="50211" xr:uid="{00000000-0005-0000-0000-0000B44C0000}"/>
    <cellStyle name="Note 3 7 3 2 3" xfId="51300" xr:uid="{00000000-0005-0000-0000-0000B54C0000}"/>
    <cellStyle name="Note 3 7 3 3" xfId="50580" xr:uid="{00000000-0005-0000-0000-0000B64C0000}"/>
    <cellStyle name="Note 3 7 3 4" xfId="51649" xr:uid="{00000000-0005-0000-0000-0000B74C0000}"/>
    <cellStyle name="Note 3 7 4" xfId="49482" xr:uid="{00000000-0005-0000-0000-0000B84C0000}"/>
    <cellStyle name="Note 3 7 4 2" xfId="49810" xr:uid="{00000000-0005-0000-0000-0000B94C0000}"/>
    <cellStyle name="Note 3 7 4 2 2" xfId="50188" xr:uid="{00000000-0005-0000-0000-0000BA4C0000}"/>
    <cellStyle name="Note 3 7 4 2 3" xfId="51299" xr:uid="{00000000-0005-0000-0000-0000BB4C0000}"/>
    <cellStyle name="Note 3 7 4 3" xfId="50557" xr:uid="{00000000-0005-0000-0000-0000BC4C0000}"/>
    <cellStyle name="Note 3 7 4 4" xfId="50886" xr:uid="{00000000-0005-0000-0000-0000BD4C0000}"/>
    <cellStyle name="Note 3 7 5" xfId="49641" xr:uid="{00000000-0005-0000-0000-0000BE4C0000}"/>
    <cellStyle name="Note 3 7 5 2" xfId="50923" xr:uid="{00000000-0005-0000-0000-0000BF4C0000}"/>
    <cellStyle name="Note 3 7 5 3" xfId="50764" xr:uid="{00000000-0005-0000-0000-0000C04C0000}"/>
    <cellStyle name="Note 3 7 6" xfId="50049" xr:uid="{00000000-0005-0000-0000-0000C14C0000}"/>
    <cellStyle name="Note 3 7 6 2" xfId="51093" xr:uid="{00000000-0005-0000-0000-0000C24C0000}"/>
    <cellStyle name="Note 3 7 6 3" xfId="51600" xr:uid="{00000000-0005-0000-0000-0000C34C0000}"/>
    <cellStyle name="Note 3 7 7" xfId="50751" xr:uid="{00000000-0005-0000-0000-0000C44C0000}"/>
    <cellStyle name="Note 3 7 8" xfId="50882" xr:uid="{00000000-0005-0000-0000-0000C54C0000}"/>
    <cellStyle name="Note 3 7 9" xfId="50652" xr:uid="{00000000-0005-0000-0000-0000C64C0000}"/>
    <cellStyle name="Note 3 8" xfId="49230" xr:uid="{00000000-0005-0000-0000-0000C74C0000}"/>
    <cellStyle name="Note 3 8 2" xfId="49492" xr:uid="{00000000-0005-0000-0000-0000C84C0000}"/>
    <cellStyle name="Note 3 8 2 2" xfId="49820" xr:uid="{00000000-0005-0000-0000-0000C94C0000}"/>
    <cellStyle name="Note 3 8 2 2 2" xfId="50179" xr:uid="{00000000-0005-0000-0000-0000CA4C0000}"/>
    <cellStyle name="Note 3 8 2 2 3" xfId="51669" xr:uid="{00000000-0005-0000-0000-0000CB4C0000}"/>
    <cellStyle name="Note 3 8 2 3" xfId="50547" xr:uid="{00000000-0005-0000-0000-0000CC4C0000}"/>
    <cellStyle name="Note 3 8 2 4" xfId="51195" xr:uid="{00000000-0005-0000-0000-0000CD4C0000}"/>
    <cellStyle name="Note 3 8 3" xfId="49457" xr:uid="{00000000-0005-0000-0000-0000CE4C0000}"/>
    <cellStyle name="Note 3 8 3 2" xfId="49785" xr:uid="{00000000-0005-0000-0000-0000CF4C0000}"/>
    <cellStyle name="Note 3 8 3 2 2" xfId="50212" xr:uid="{00000000-0005-0000-0000-0000D04C0000}"/>
    <cellStyle name="Note 3 8 3 2 3" xfId="51529" xr:uid="{00000000-0005-0000-0000-0000D14C0000}"/>
    <cellStyle name="Note 3 8 3 3" xfId="50581" xr:uid="{00000000-0005-0000-0000-0000D24C0000}"/>
    <cellStyle name="Note 3 8 3 4" xfId="51348" xr:uid="{00000000-0005-0000-0000-0000D34C0000}"/>
    <cellStyle name="Note 3 8 4" xfId="49483" xr:uid="{00000000-0005-0000-0000-0000D44C0000}"/>
    <cellStyle name="Note 3 8 4 2" xfId="49811" xr:uid="{00000000-0005-0000-0000-0000D54C0000}"/>
    <cellStyle name="Note 3 8 4 2 2" xfId="50187" xr:uid="{00000000-0005-0000-0000-0000D64C0000}"/>
    <cellStyle name="Note 3 8 4 2 3" xfId="51556" xr:uid="{00000000-0005-0000-0000-0000D74C0000}"/>
    <cellStyle name="Note 3 8 4 3" xfId="50556" xr:uid="{00000000-0005-0000-0000-0000D84C0000}"/>
    <cellStyle name="Note 3 8 4 4" xfId="51234" xr:uid="{00000000-0005-0000-0000-0000D94C0000}"/>
    <cellStyle name="Note 3 8 5" xfId="49642" xr:uid="{00000000-0005-0000-0000-0000DA4C0000}"/>
    <cellStyle name="Note 3 8 5 2" xfId="50858" xr:uid="{00000000-0005-0000-0000-0000DB4C0000}"/>
    <cellStyle name="Note 3 8 5 3" xfId="50782" xr:uid="{00000000-0005-0000-0000-0000DC4C0000}"/>
    <cellStyle name="Note 3 8 6" xfId="50033" xr:uid="{00000000-0005-0000-0000-0000DD4C0000}"/>
    <cellStyle name="Note 3 8 6 2" xfId="51078" xr:uid="{00000000-0005-0000-0000-0000DE4C0000}"/>
    <cellStyle name="Note 3 8 6 3" xfId="51128" xr:uid="{00000000-0005-0000-0000-0000DF4C0000}"/>
    <cellStyle name="Note 3 8 7" xfId="50750" xr:uid="{00000000-0005-0000-0000-0000E04C0000}"/>
    <cellStyle name="Note 3 8 8" xfId="50953" xr:uid="{00000000-0005-0000-0000-0000E14C0000}"/>
    <cellStyle name="Note 3 8 9" xfId="50761" xr:uid="{00000000-0005-0000-0000-0000E24C0000}"/>
    <cellStyle name="Note 3 9" xfId="49485" xr:uid="{00000000-0005-0000-0000-0000E34C0000}"/>
    <cellStyle name="Note 3 9 2" xfId="49813" xr:uid="{00000000-0005-0000-0000-0000E44C0000}"/>
    <cellStyle name="Note 3 9 2 2" xfId="50066" xr:uid="{00000000-0005-0000-0000-0000E54C0000}"/>
    <cellStyle name="Note 3 9 2 3" xfId="51666" xr:uid="{00000000-0005-0000-0000-0000E64C0000}"/>
    <cellStyle name="Note 3 9 3" xfId="50554" xr:uid="{00000000-0005-0000-0000-0000E74C0000}"/>
    <cellStyle name="Note 3 9 4" xfId="51196"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78" xr:uid="{00000000-0005-0000-0000-0000254D0000}"/>
    <cellStyle name="Output 2 2 2 3" xfId="18327" xr:uid="{00000000-0005-0000-0000-0000264D0000}"/>
    <cellStyle name="Output 2 2 2 3 2" xfId="18328" xr:uid="{00000000-0005-0000-0000-0000274D0000}"/>
    <cellStyle name="Output 2 2 2 3 3" xfId="51336"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1"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46" xr:uid="{00000000-0005-0000-0000-0000334D0000}"/>
    <cellStyle name="Output 2 2 4" xfId="18338" xr:uid="{00000000-0005-0000-0000-0000344D0000}"/>
    <cellStyle name="Output 2 2 4 2" xfId="18339" xr:uid="{00000000-0005-0000-0000-0000354D0000}"/>
    <cellStyle name="Output 2 2 4 3" xfId="51453"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3"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3" xr:uid="{00000000-0005-0000-0000-00004B4D0000}"/>
    <cellStyle name="Output 2 3 2 3" xfId="51271" xr:uid="{00000000-0005-0000-0000-00004C4D0000}"/>
    <cellStyle name="Output 2 3 2 4" xfId="49784" xr:uid="{00000000-0005-0000-0000-00004D4D0000}"/>
    <cellStyle name="Output 2 3 3" xfId="18359" xr:uid="{00000000-0005-0000-0000-00004E4D0000}"/>
    <cellStyle name="Output 2 3 3 2" xfId="50582" xr:uid="{00000000-0005-0000-0000-00004F4D0000}"/>
    <cellStyle name="Output 2 3 4" xfId="51477" xr:uid="{00000000-0005-0000-0000-0000504D0000}"/>
    <cellStyle name="Output 2 3 5" xfId="49456"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3" xr:uid="{00000000-0005-0000-0000-0000624D0000}"/>
    <cellStyle name="Output 2 4 3" xfId="18376" xr:uid="{00000000-0005-0000-0000-0000634D0000}"/>
    <cellStyle name="Output 2 4 3 2" xfId="50763" xr:uid="{00000000-0005-0000-0000-0000644D0000}"/>
    <cellStyle name="Output 2 4 4" xfId="49643"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1"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77" xr:uid="{00000000-0005-0000-0000-0000754D0000}"/>
    <cellStyle name="Output 2 5 3" xfId="18391" xr:uid="{00000000-0005-0000-0000-0000764D0000}"/>
    <cellStyle name="Output 2 5 3 2" xfId="51127" xr:uid="{00000000-0005-0000-0000-0000774D0000}"/>
    <cellStyle name="Output 2 5 4" xfId="50032" xr:uid="{00000000-0005-0000-0000-0000784D0000}"/>
    <cellStyle name="Output 2 6" xfId="18392" xr:uid="{00000000-0005-0000-0000-0000794D0000}"/>
    <cellStyle name="Output 2 6 2" xfId="18393" xr:uid="{00000000-0005-0000-0000-00007A4D0000}"/>
    <cellStyle name="Output 2 6 3" xfId="50749" xr:uid="{00000000-0005-0000-0000-00007B4D0000}"/>
    <cellStyle name="Output 2 7" xfId="18394" xr:uid="{00000000-0005-0000-0000-00007C4D0000}"/>
    <cellStyle name="Output 2 7 2" xfId="18395" xr:uid="{00000000-0005-0000-0000-00007D4D0000}"/>
    <cellStyle name="Output 2 7 3" xfId="50905"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77" xr:uid="{00000000-0005-0000-0000-0000844D0000}"/>
    <cellStyle name="Output 3 2 2 3" xfId="50746" xr:uid="{00000000-0005-0000-0000-0000854D0000}"/>
    <cellStyle name="Output 3 2 2 4" xfId="49822" xr:uid="{00000000-0005-0000-0000-0000864D0000}"/>
    <cellStyle name="Output 3 2 3" xfId="50545" xr:uid="{00000000-0005-0000-0000-0000874D0000}"/>
    <cellStyle name="Output 3 2 4" xfId="51223" xr:uid="{00000000-0005-0000-0000-0000884D0000}"/>
    <cellStyle name="Output 3 2 5" xfId="49494" xr:uid="{00000000-0005-0000-0000-0000894D0000}"/>
    <cellStyle name="Output 3 3" xfId="18401" xr:uid="{00000000-0005-0000-0000-00008A4D0000}"/>
    <cellStyle name="Output 3 3 2" xfId="18402" xr:uid="{00000000-0005-0000-0000-00008B4D0000}"/>
    <cellStyle name="Output 3 3 2 2" xfId="50214" xr:uid="{00000000-0005-0000-0000-00008C4D0000}"/>
    <cellStyle name="Output 3 3 2 3" xfId="50846" xr:uid="{00000000-0005-0000-0000-00008D4D0000}"/>
    <cellStyle name="Output 3 3 2 4" xfId="49783" xr:uid="{00000000-0005-0000-0000-00008E4D0000}"/>
    <cellStyle name="Output 3 3 3" xfId="50583" xr:uid="{00000000-0005-0000-0000-00008F4D0000}"/>
    <cellStyle name="Output 3 3 4" xfId="51221" xr:uid="{00000000-0005-0000-0000-0000904D0000}"/>
    <cellStyle name="Output 3 3 5" xfId="49455" xr:uid="{00000000-0005-0000-0000-0000914D0000}"/>
    <cellStyle name="Output 3 4" xfId="18403" xr:uid="{00000000-0005-0000-0000-0000924D0000}"/>
    <cellStyle name="Output 3 4 2" xfId="50422" xr:uid="{00000000-0005-0000-0000-0000934D0000}"/>
    <cellStyle name="Output 3 4 3" xfId="50781" xr:uid="{00000000-0005-0000-0000-0000944D0000}"/>
    <cellStyle name="Output 3 4 4" xfId="49644" xr:uid="{00000000-0005-0000-0000-0000954D0000}"/>
    <cellStyle name="Output 3 5" xfId="50031" xr:uid="{00000000-0005-0000-0000-0000964D0000}"/>
    <cellStyle name="Output 3 5 2" xfId="51076" xr:uid="{00000000-0005-0000-0000-0000974D0000}"/>
    <cellStyle name="Output 3 5 3" xfId="50863" xr:uid="{00000000-0005-0000-0000-0000984D0000}"/>
    <cellStyle name="Output 3 6" xfId="50748" xr:uid="{00000000-0005-0000-0000-0000994D0000}"/>
    <cellStyle name="Output 3 7" xfId="50980" xr:uid="{00000000-0005-0000-0000-00009A4D0000}"/>
    <cellStyle name="Output 3 8" xfId="49232"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3"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4"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5" xr:uid="{00000000-0005-0000-0000-0000BF4F0000}"/>
    <cellStyle name="Percent 14" xfId="49236" xr:uid="{00000000-0005-0000-0000-0000C04F0000}"/>
    <cellStyle name="Percent 15" xfId="48239" xr:uid="{00000000-0005-0000-0000-0000C14F0000}"/>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3"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37"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2" xfId="21414" xr:uid="{00000000-0005-0000-0000-000069590000}"/>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0"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39"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2"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1"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4"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3"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38"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76"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46"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5"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77"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2"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78"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47"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48"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0"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49"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2"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1"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5" xr:uid="{00000000-0005-0000-0000-000057890000}"/>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79"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3"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5"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4"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57"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56"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4" xr:uid="{00000000-0005-0000-0000-000026A30000}"/>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59"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58"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0"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1"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0"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1" xr:uid="{00000000-0005-0000-0000-0000B0B70000}"/>
    <cellStyle name="SAPBEXaggData 2 2 3" xfId="50778" xr:uid="{00000000-0005-0000-0000-0000B1B70000}"/>
    <cellStyle name="SAPBEXaggData 2 2 4" xfId="49834" xr:uid="{00000000-0005-0000-0000-0000B2B70000}"/>
    <cellStyle name="SAPBEXaggData 2 3" xfId="45513" xr:uid="{00000000-0005-0000-0000-0000B3B70000}"/>
    <cellStyle name="SAPBEXaggData 2 3 2" xfId="50533" xr:uid="{00000000-0005-0000-0000-0000B4B70000}"/>
    <cellStyle name="SAPBEXaggData 2 4" xfId="50977" xr:uid="{00000000-0005-0000-0000-0000B5B70000}"/>
    <cellStyle name="SAPBEXaggData 2 5" xfId="49506"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2" xr:uid="{00000000-0005-0000-0000-0000C2B70000}"/>
    <cellStyle name="SAPBEXaggData 3 2 2" xfId="50215" xr:uid="{00000000-0005-0000-0000-0000C3B70000}"/>
    <cellStyle name="SAPBEXaggData 3 2 3" xfId="51617" xr:uid="{00000000-0005-0000-0000-0000C4B70000}"/>
    <cellStyle name="SAPBEXaggData 3 3" xfId="50584" xr:uid="{00000000-0005-0000-0000-0000C5B70000}"/>
    <cellStyle name="SAPBEXaggData 3 4" xfId="51458" xr:uid="{00000000-0005-0000-0000-0000C6B70000}"/>
    <cellStyle name="SAPBEXaggData 3 5" xfId="49454"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2" xr:uid="{00000000-0005-0000-0000-0000CBB70000}"/>
    <cellStyle name="SAPBEXaggData 4" xfId="45528" xr:uid="{00000000-0005-0000-0000-0000CCB70000}"/>
    <cellStyle name="SAPBEXaggData 4 2" xfId="49823" xr:uid="{00000000-0005-0000-0000-0000CDB70000}"/>
    <cellStyle name="SAPBEXaggData 4 2 2" xfId="50176" xr:uid="{00000000-0005-0000-0000-0000CEB70000}"/>
    <cellStyle name="SAPBEXaggData 4 2 3" xfId="50777" xr:uid="{00000000-0005-0000-0000-0000CFB70000}"/>
    <cellStyle name="SAPBEXaggData 4 3" xfId="50544" xr:uid="{00000000-0005-0000-0000-0000D0B70000}"/>
    <cellStyle name="SAPBEXaggData 4 4" xfId="51479" xr:uid="{00000000-0005-0000-0000-0000D1B70000}"/>
    <cellStyle name="SAPBEXaggData 4 5" xfId="49495" xr:uid="{00000000-0005-0000-0000-0000D2B70000}"/>
    <cellStyle name="SAPBEXaggData 5" xfId="45529" xr:uid="{00000000-0005-0000-0000-0000D3B70000}"/>
    <cellStyle name="SAPBEXaggData 5 2" xfId="50421" xr:uid="{00000000-0005-0000-0000-0000D4B70000}"/>
    <cellStyle name="SAPBEXaggData 5 3" xfId="50766" xr:uid="{00000000-0005-0000-0000-0000D5B70000}"/>
    <cellStyle name="SAPBEXaggData 5 4" xfId="49645" xr:uid="{00000000-0005-0000-0000-0000D6B70000}"/>
    <cellStyle name="SAPBEXaggData 6" xfId="45530" xr:uid="{00000000-0005-0000-0000-0000D7B70000}"/>
    <cellStyle name="SAPBEXaggData 6 2" xfId="51075" xr:uid="{00000000-0005-0000-0000-0000D8B70000}"/>
    <cellStyle name="SAPBEXaggData 6 3" xfId="51126" xr:uid="{00000000-0005-0000-0000-0000D9B70000}"/>
    <cellStyle name="SAPBEXaggData 6 4" xfId="50030" xr:uid="{00000000-0005-0000-0000-0000DAB70000}"/>
    <cellStyle name="SAPBEXaggData 7" xfId="45531" xr:uid="{00000000-0005-0000-0000-0000DBB70000}"/>
    <cellStyle name="SAPBEXaggData 7 2" xfId="50743" xr:uid="{00000000-0005-0000-0000-0000DCB70000}"/>
    <cellStyle name="SAPBEXaggData 8" xfId="45532" xr:uid="{00000000-0005-0000-0000-0000DDB70000}"/>
    <cellStyle name="SAPBEXaggData 8 2" xfId="51467" xr:uid="{00000000-0005-0000-0000-0000DEB70000}"/>
    <cellStyle name="SAPBEXaggData 9" xfId="45533" xr:uid="{00000000-0005-0000-0000-0000DFB70000}"/>
    <cellStyle name="SAPBEXaggData 9 2" xfId="51211"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0" xr:uid="{00000000-0005-0000-0000-0000EFB70000}"/>
    <cellStyle name="SAPBEXaggDataEmph 2 2 3" xfId="50768" xr:uid="{00000000-0005-0000-0000-0000F0B70000}"/>
    <cellStyle name="SAPBEXaggDataEmph 2 2 4" xfId="49835" xr:uid="{00000000-0005-0000-0000-0000F1B70000}"/>
    <cellStyle name="SAPBEXaggDataEmph 2 3" xfId="45547" xr:uid="{00000000-0005-0000-0000-0000F2B70000}"/>
    <cellStyle name="SAPBEXaggDataEmph 2 3 2" xfId="50532" xr:uid="{00000000-0005-0000-0000-0000F3B70000}"/>
    <cellStyle name="SAPBEXaggDataEmph 2 4" xfId="50806" xr:uid="{00000000-0005-0000-0000-0000F4B70000}"/>
    <cellStyle name="SAPBEXaggDataEmph 2 5" xfId="49507"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1" xr:uid="{00000000-0005-0000-0000-000001B80000}"/>
    <cellStyle name="SAPBEXaggDataEmph 3 2 2" xfId="50216" xr:uid="{00000000-0005-0000-0000-000002B80000}"/>
    <cellStyle name="SAPBEXaggDataEmph 3 2 3" xfId="51389" xr:uid="{00000000-0005-0000-0000-000003B80000}"/>
    <cellStyle name="SAPBEXaggDataEmph 3 3" xfId="50585" xr:uid="{00000000-0005-0000-0000-000004B80000}"/>
    <cellStyle name="SAPBEXaggDataEmph 3 4" xfId="51200" xr:uid="{00000000-0005-0000-0000-000005B80000}"/>
    <cellStyle name="SAPBEXaggDataEmph 3 5" xfId="49453"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3" xr:uid="{00000000-0005-0000-0000-00000AB80000}"/>
    <cellStyle name="SAPBEXaggDataEmph 4" xfId="45562" xr:uid="{00000000-0005-0000-0000-00000BB80000}"/>
    <cellStyle name="SAPBEXaggDataEmph 4 2" xfId="49824" xr:uid="{00000000-0005-0000-0000-00000CB80000}"/>
    <cellStyle name="SAPBEXaggDataEmph 4 2 2" xfId="50175" xr:uid="{00000000-0005-0000-0000-00000DB80000}"/>
    <cellStyle name="SAPBEXaggDataEmph 4 2 3" xfId="50818" xr:uid="{00000000-0005-0000-0000-00000EB80000}"/>
    <cellStyle name="SAPBEXaggDataEmph 4 3" xfId="50543" xr:uid="{00000000-0005-0000-0000-00000FB80000}"/>
    <cellStyle name="SAPBEXaggDataEmph 4 4" xfId="51353" xr:uid="{00000000-0005-0000-0000-000010B80000}"/>
    <cellStyle name="SAPBEXaggDataEmph 4 5" xfId="49496" xr:uid="{00000000-0005-0000-0000-000011B80000}"/>
    <cellStyle name="SAPBEXaggDataEmph 5" xfId="45563" xr:uid="{00000000-0005-0000-0000-000012B80000}"/>
    <cellStyle name="SAPBEXaggDataEmph 5 2" xfId="50420" xr:uid="{00000000-0005-0000-0000-000013B80000}"/>
    <cellStyle name="SAPBEXaggDataEmph 5 3" xfId="50831" xr:uid="{00000000-0005-0000-0000-000014B80000}"/>
    <cellStyle name="SAPBEXaggDataEmph 5 4" xfId="49646" xr:uid="{00000000-0005-0000-0000-000015B80000}"/>
    <cellStyle name="SAPBEXaggDataEmph 6" xfId="45564" xr:uid="{00000000-0005-0000-0000-000016B80000}"/>
    <cellStyle name="SAPBEXaggDataEmph 6 2" xfId="51074" xr:uid="{00000000-0005-0000-0000-000017B80000}"/>
    <cellStyle name="SAPBEXaggDataEmph 6 3" xfId="51601" xr:uid="{00000000-0005-0000-0000-000018B80000}"/>
    <cellStyle name="SAPBEXaggDataEmph 6 4" xfId="50029" xr:uid="{00000000-0005-0000-0000-000019B80000}"/>
    <cellStyle name="SAPBEXaggDataEmph 7" xfId="45565" xr:uid="{00000000-0005-0000-0000-00001AB80000}"/>
    <cellStyle name="SAPBEXaggDataEmph 7 2" xfId="50742" xr:uid="{00000000-0005-0000-0000-00001BB80000}"/>
    <cellStyle name="SAPBEXaggDataEmph 8" xfId="45566" xr:uid="{00000000-0005-0000-0000-00001CB80000}"/>
    <cellStyle name="SAPBEXaggDataEmph 8 2" xfId="51212" xr:uid="{00000000-0005-0000-0000-00001DB80000}"/>
    <cellStyle name="SAPBEXaggDataEmph 9" xfId="45567" xr:uid="{00000000-0005-0000-0000-00001EB80000}"/>
    <cellStyle name="SAPBEXaggDataEmph 9 2" xfId="50774"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69" xr:uid="{00000000-0005-0000-0000-00002EB80000}"/>
    <cellStyle name="SAPBEXaggItem 2 2 3" xfId="50784" xr:uid="{00000000-0005-0000-0000-00002FB80000}"/>
    <cellStyle name="SAPBEXaggItem 2 2 4" xfId="49836" xr:uid="{00000000-0005-0000-0000-000030B80000}"/>
    <cellStyle name="SAPBEXaggItem 2 3" xfId="45581" xr:uid="{00000000-0005-0000-0000-000031B80000}"/>
    <cellStyle name="SAPBEXaggItem 2 3 2" xfId="50531" xr:uid="{00000000-0005-0000-0000-000032B80000}"/>
    <cellStyle name="SAPBEXaggItem 2 4" xfId="51237" xr:uid="{00000000-0005-0000-0000-000033B80000}"/>
    <cellStyle name="SAPBEXaggItem 2 5" xfId="49508"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0" xr:uid="{00000000-0005-0000-0000-000040B80000}"/>
    <cellStyle name="SAPBEXaggItem 3 2 2" xfId="50217" xr:uid="{00000000-0005-0000-0000-000041B80000}"/>
    <cellStyle name="SAPBEXaggItem 3 2 3" xfId="51421" xr:uid="{00000000-0005-0000-0000-000042B80000}"/>
    <cellStyle name="SAPBEXaggItem 3 3" xfId="50586" xr:uid="{00000000-0005-0000-0000-000043B80000}"/>
    <cellStyle name="SAPBEXaggItem 3 4" xfId="51487" xr:uid="{00000000-0005-0000-0000-000044B80000}"/>
    <cellStyle name="SAPBEXaggItem 3 5" xfId="49452"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4" xr:uid="{00000000-0005-0000-0000-000049B80000}"/>
    <cellStyle name="SAPBEXaggItem 4" xfId="45596" xr:uid="{00000000-0005-0000-0000-00004AB80000}"/>
    <cellStyle name="SAPBEXaggItem 4 2" xfId="49825" xr:uid="{00000000-0005-0000-0000-00004BB80000}"/>
    <cellStyle name="SAPBEXaggItem 4 2 2" xfId="50174" xr:uid="{00000000-0005-0000-0000-00004CB80000}"/>
    <cellStyle name="SAPBEXaggItem 4 2 3" xfId="50855" xr:uid="{00000000-0005-0000-0000-00004DB80000}"/>
    <cellStyle name="SAPBEXaggItem 4 3" xfId="50542" xr:uid="{00000000-0005-0000-0000-00004EB80000}"/>
    <cellStyle name="SAPBEXaggItem 4 4" xfId="51645" xr:uid="{00000000-0005-0000-0000-00004FB80000}"/>
    <cellStyle name="SAPBEXaggItem 4 5" xfId="49497" xr:uid="{00000000-0005-0000-0000-000050B80000}"/>
    <cellStyle name="SAPBEXaggItem 5" xfId="45597" xr:uid="{00000000-0005-0000-0000-000051B80000}"/>
    <cellStyle name="SAPBEXaggItem 5 2" xfId="50419" xr:uid="{00000000-0005-0000-0000-000052B80000}"/>
    <cellStyle name="SAPBEXaggItem 5 3" xfId="51629" xr:uid="{00000000-0005-0000-0000-000053B80000}"/>
    <cellStyle name="SAPBEXaggItem 5 4" xfId="49647" xr:uid="{00000000-0005-0000-0000-000054B80000}"/>
    <cellStyle name="SAPBEXaggItem 6" xfId="45598" xr:uid="{00000000-0005-0000-0000-000055B80000}"/>
    <cellStyle name="SAPBEXaggItem 6 2" xfId="51073" xr:uid="{00000000-0005-0000-0000-000056B80000}"/>
    <cellStyle name="SAPBEXaggItem 6 3" xfId="50919" xr:uid="{00000000-0005-0000-0000-000057B80000}"/>
    <cellStyle name="SAPBEXaggItem 6 4" xfId="50028" xr:uid="{00000000-0005-0000-0000-000058B80000}"/>
    <cellStyle name="SAPBEXaggItem 7" xfId="45599" xr:uid="{00000000-0005-0000-0000-000059B80000}"/>
    <cellStyle name="SAPBEXaggItem 7 2" xfId="50741" xr:uid="{00000000-0005-0000-0000-00005AB80000}"/>
    <cellStyle name="SAPBEXaggItem 8" xfId="45600" xr:uid="{00000000-0005-0000-0000-00005BB80000}"/>
    <cellStyle name="SAPBEXaggItem 8 2" xfId="51469" xr:uid="{00000000-0005-0000-0000-00005CB80000}"/>
    <cellStyle name="SAPBEXaggItem 9" xfId="45601" xr:uid="{00000000-0005-0000-0000-00005DB80000}"/>
    <cellStyle name="SAPBEXaggItem 9 2" xfId="51678"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68" xr:uid="{00000000-0005-0000-0000-00006DB80000}"/>
    <cellStyle name="SAPBEXaggItemX 2 2 3" xfId="51668" xr:uid="{00000000-0005-0000-0000-00006EB80000}"/>
    <cellStyle name="SAPBEXaggItemX 2 2 4" xfId="49837" xr:uid="{00000000-0005-0000-0000-00006FB80000}"/>
    <cellStyle name="SAPBEXaggItemX 2 3" xfId="45615" xr:uid="{00000000-0005-0000-0000-000070B80000}"/>
    <cellStyle name="SAPBEXaggItemX 2 3 2" xfId="50530" xr:uid="{00000000-0005-0000-0000-000071B80000}"/>
    <cellStyle name="SAPBEXaggItemX 2 4" xfId="51494" xr:uid="{00000000-0005-0000-0000-000072B80000}"/>
    <cellStyle name="SAPBEXaggItemX 2 5" xfId="49509"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79" xr:uid="{00000000-0005-0000-0000-00007FB80000}"/>
    <cellStyle name="SAPBEXaggItemX 3 2 2" xfId="50218" xr:uid="{00000000-0005-0000-0000-000080B80000}"/>
    <cellStyle name="SAPBEXaggItemX 3 2 3" xfId="51161" xr:uid="{00000000-0005-0000-0000-000081B80000}"/>
    <cellStyle name="SAPBEXaggItemX 3 3" xfId="50587" xr:uid="{00000000-0005-0000-0000-000082B80000}"/>
    <cellStyle name="SAPBEXaggItemX 3 4" xfId="51230" xr:uid="{00000000-0005-0000-0000-000083B80000}"/>
    <cellStyle name="SAPBEXaggItemX 3 5" xfId="49451"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5" xr:uid="{00000000-0005-0000-0000-000088B80000}"/>
    <cellStyle name="SAPBEXaggItemX 4" xfId="45630" xr:uid="{00000000-0005-0000-0000-000089B80000}"/>
    <cellStyle name="SAPBEXaggItemX 4 2" xfId="50418" xr:uid="{00000000-0005-0000-0000-00008AB80000}"/>
    <cellStyle name="SAPBEXaggItemX 4 3" xfId="50663" xr:uid="{00000000-0005-0000-0000-00008BB80000}"/>
    <cellStyle name="SAPBEXaggItemX 4 4" xfId="49648" xr:uid="{00000000-0005-0000-0000-00008CB80000}"/>
    <cellStyle name="SAPBEXaggItemX 5" xfId="45631" xr:uid="{00000000-0005-0000-0000-00008DB80000}"/>
    <cellStyle name="SAPBEXaggItemX 5 2" xfId="51072" xr:uid="{00000000-0005-0000-0000-00008EB80000}"/>
    <cellStyle name="SAPBEXaggItemX 5 3" xfId="51414" xr:uid="{00000000-0005-0000-0000-00008FB80000}"/>
    <cellStyle name="SAPBEXaggItemX 5 4" xfId="50027" xr:uid="{00000000-0005-0000-0000-000090B80000}"/>
    <cellStyle name="SAPBEXaggItemX 6" xfId="45632" xr:uid="{00000000-0005-0000-0000-000091B80000}"/>
    <cellStyle name="SAPBEXaggItemX 6 2" xfId="50740" xr:uid="{00000000-0005-0000-0000-000092B80000}"/>
    <cellStyle name="SAPBEXaggItemX 7" xfId="45633" xr:uid="{00000000-0005-0000-0000-000093B80000}"/>
    <cellStyle name="SAPBEXaggItemX 7 2" xfId="51338"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66" xr:uid="{00000000-0005-0000-0000-000098B80000}"/>
    <cellStyle name="SAPBEXchaText 2" xfId="45636" xr:uid="{00000000-0005-0000-0000-000099B80000}"/>
    <cellStyle name="SAPBEXchaText 2 2" xfId="49838" xr:uid="{00000000-0005-0000-0000-00009AB80000}"/>
    <cellStyle name="SAPBEXchaText 2 2 2" xfId="50167" xr:uid="{00000000-0005-0000-0000-00009BB80000}"/>
    <cellStyle name="SAPBEXchaText 2 2 3" xfId="50817" xr:uid="{00000000-0005-0000-0000-00009CB80000}"/>
    <cellStyle name="SAPBEXchaText 2 3" xfId="50529" xr:uid="{00000000-0005-0000-0000-00009DB80000}"/>
    <cellStyle name="SAPBEXchaText 2 4" xfId="51193" xr:uid="{00000000-0005-0000-0000-00009EB80000}"/>
    <cellStyle name="SAPBEXchaText 2 5" xfId="49510" xr:uid="{00000000-0005-0000-0000-00009FB80000}"/>
    <cellStyle name="SAPBEXchaText 3" xfId="49450" xr:uid="{00000000-0005-0000-0000-0000A0B80000}"/>
    <cellStyle name="SAPBEXchaText 3 2" xfId="49778" xr:uid="{00000000-0005-0000-0000-0000A1B80000}"/>
    <cellStyle name="SAPBEXchaText 3 2 2" xfId="50219" xr:uid="{00000000-0005-0000-0000-0000A2B80000}"/>
    <cellStyle name="SAPBEXchaText 3 2 3" xfId="51528" xr:uid="{00000000-0005-0000-0000-0000A3B80000}"/>
    <cellStyle name="SAPBEXchaText 3 3" xfId="50588" xr:uid="{00000000-0005-0000-0000-0000A4B80000}"/>
    <cellStyle name="SAPBEXchaText 3 4" xfId="50978" xr:uid="{00000000-0005-0000-0000-0000A5B80000}"/>
    <cellStyle name="SAPBEXchaText 4" xfId="49498" xr:uid="{00000000-0005-0000-0000-0000A6B80000}"/>
    <cellStyle name="SAPBEXchaText 4 2" xfId="49826" xr:uid="{00000000-0005-0000-0000-0000A7B80000}"/>
    <cellStyle name="SAPBEXchaText 4 2 2" xfId="50173" xr:uid="{00000000-0005-0000-0000-0000A8B80000}"/>
    <cellStyle name="SAPBEXchaText 4 2 3" xfId="50655" xr:uid="{00000000-0005-0000-0000-0000A9B80000}"/>
    <cellStyle name="SAPBEXchaText 4 3" xfId="50541" xr:uid="{00000000-0005-0000-0000-0000AAB80000}"/>
    <cellStyle name="SAPBEXchaText 4 4" xfId="50896" xr:uid="{00000000-0005-0000-0000-0000ABB80000}"/>
    <cellStyle name="SAPBEXchaText 5" xfId="49649" xr:uid="{00000000-0005-0000-0000-0000ACB80000}"/>
    <cellStyle name="SAPBEXchaText 5 2" xfId="50417" xr:uid="{00000000-0005-0000-0000-0000ADB80000}"/>
    <cellStyle name="SAPBEXchaText 5 3" xfId="51468" xr:uid="{00000000-0005-0000-0000-0000AEB80000}"/>
    <cellStyle name="SAPBEXchaText 6" xfId="50026" xr:uid="{00000000-0005-0000-0000-0000AFB80000}"/>
    <cellStyle name="SAPBEXchaText 6 2" xfId="51071" xr:uid="{00000000-0005-0000-0000-0000B0B80000}"/>
    <cellStyle name="SAPBEXchaText 6 3" xfId="51584" xr:uid="{00000000-0005-0000-0000-0000B1B80000}"/>
    <cellStyle name="SAPBEXchaText 7" xfId="50739" xr:uid="{00000000-0005-0000-0000-0000B2B80000}"/>
    <cellStyle name="SAPBEXchaText 8" xfId="51664" xr:uid="{00000000-0005-0000-0000-0000B3B80000}"/>
    <cellStyle name="SAPBEXchaText 9" xfId="51680"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66" xr:uid="{00000000-0005-0000-0000-0000C3B80000}"/>
    <cellStyle name="SAPBEXexcBad7 2 2 3" xfId="50876" xr:uid="{00000000-0005-0000-0000-0000C4B80000}"/>
    <cellStyle name="SAPBEXexcBad7 2 2 4" xfId="49839" xr:uid="{00000000-0005-0000-0000-0000C5B80000}"/>
    <cellStyle name="SAPBEXexcBad7 2 3" xfId="45650" xr:uid="{00000000-0005-0000-0000-0000C6B80000}"/>
    <cellStyle name="SAPBEXexcBad7 2 3 2" xfId="50528" xr:uid="{00000000-0005-0000-0000-0000C7B80000}"/>
    <cellStyle name="SAPBEXexcBad7 2 4" xfId="51451" xr:uid="{00000000-0005-0000-0000-0000C8B80000}"/>
    <cellStyle name="SAPBEXexcBad7 2 5" xfId="49511"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77" xr:uid="{00000000-0005-0000-0000-0000D5B80000}"/>
    <cellStyle name="SAPBEXexcBad7 3 2 2" xfId="50220" xr:uid="{00000000-0005-0000-0000-0000D6B80000}"/>
    <cellStyle name="SAPBEXexcBad7 3 2 3" xfId="51270" xr:uid="{00000000-0005-0000-0000-0000D7B80000}"/>
    <cellStyle name="SAPBEXexcBad7 3 3" xfId="50589" xr:uid="{00000000-0005-0000-0000-0000D8B80000}"/>
    <cellStyle name="SAPBEXexcBad7 3 4" xfId="51650" xr:uid="{00000000-0005-0000-0000-0000D9B80000}"/>
    <cellStyle name="SAPBEXexcBad7 3 5" xfId="49449"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67" xr:uid="{00000000-0005-0000-0000-0000DEB80000}"/>
    <cellStyle name="SAPBEXexcBad7 4" xfId="45665" xr:uid="{00000000-0005-0000-0000-0000DFB80000}"/>
    <cellStyle name="SAPBEXexcBad7 4 2" xfId="49827" xr:uid="{00000000-0005-0000-0000-0000E0B80000}"/>
    <cellStyle name="SAPBEXexcBad7 4 2 2" xfId="50172" xr:uid="{00000000-0005-0000-0000-0000E1B80000}"/>
    <cellStyle name="SAPBEXexcBad7 4 2 3" xfId="50832" xr:uid="{00000000-0005-0000-0000-0000E2B80000}"/>
    <cellStyle name="SAPBEXexcBad7 4 3" xfId="50540" xr:uid="{00000000-0005-0000-0000-0000E3B80000}"/>
    <cellStyle name="SAPBEXexcBad7 4 4" xfId="50967" xr:uid="{00000000-0005-0000-0000-0000E4B80000}"/>
    <cellStyle name="SAPBEXexcBad7 4 5" xfId="49499" xr:uid="{00000000-0005-0000-0000-0000E5B80000}"/>
    <cellStyle name="SAPBEXexcBad7 5" xfId="45666" xr:uid="{00000000-0005-0000-0000-0000E6B80000}"/>
    <cellStyle name="SAPBEXexcBad7 5 2" xfId="50416" xr:uid="{00000000-0005-0000-0000-0000E7B80000}"/>
    <cellStyle name="SAPBEXexcBad7 5 3" xfId="50765" xr:uid="{00000000-0005-0000-0000-0000E8B80000}"/>
    <cellStyle name="SAPBEXexcBad7 5 4" xfId="49650" xr:uid="{00000000-0005-0000-0000-0000E9B80000}"/>
    <cellStyle name="SAPBEXexcBad7 6" xfId="45667" xr:uid="{00000000-0005-0000-0000-0000EAB80000}"/>
    <cellStyle name="SAPBEXexcBad7 6 2" xfId="51070" xr:uid="{00000000-0005-0000-0000-0000EBB80000}"/>
    <cellStyle name="SAPBEXexcBad7 6 3" xfId="51327" xr:uid="{00000000-0005-0000-0000-0000ECB80000}"/>
    <cellStyle name="SAPBEXexcBad7 6 4" xfId="50025" xr:uid="{00000000-0005-0000-0000-0000EDB80000}"/>
    <cellStyle name="SAPBEXexcBad7 7" xfId="45668" xr:uid="{00000000-0005-0000-0000-0000EEB80000}"/>
    <cellStyle name="SAPBEXexcBad7 7 2" xfId="50738" xr:uid="{00000000-0005-0000-0000-0000EFB80000}"/>
    <cellStyle name="SAPBEXexcBad7 8" xfId="45669" xr:uid="{00000000-0005-0000-0000-0000F0B80000}"/>
    <cellStyle name="SAPBEXexcBad7 8 2" xfId="50906" xr:uid="{00000000-0005-0000-0000-0000F1B80000}"/>
    <cellStyle name="SAPBEXexcBad7 9" xfId="45670" xr:uid="{00000000-0005-0000-0000-0000F2B80000}"/>
    <cellStyle name="SAPBEXexcBad7 9 2" xfId="50939"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5" xr:uid="{00000000-0005-0000-0000-000002B90000}"/>
    <cellStyle name="SAPBEXexcBad8 2 2 3" xfId="51276" xr:uid="{00000000-0005-0000-0000-000003B90000}"/>
    <cellStyle name="SAPBEXexcBad8 2 2 4" xfId="49840" xr:uid="{00000000-0005-0000-0000-000004B90000}"/>
    <cellStyle name="SAPBEXexcBad8 2 3" xfId="45684" xr:uid="{00000000-0005-0000-0000-000005B90000}"/>
    <cellStyle name="SAPBEXexcBad8 2 3 2" xfId="50527" xr:uid="{00000000-0005-0000-0000-000006B90000}"/>
    <cellStyle name="SAPBEXexcBad8 2 4" xfId="51355" xr:uid="{00000000-0005-0000-0000-000007B90000}"/>
    <cellStyle name="SAPBEXexcBad8 2 5" xfId="49512"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76" xr:uid="{00000000-0005-0000-0000-000014B90000}"/>
    <cellStyle name="SAPBEXexcBad8 3 2 2" xfId="50221" xr:uid="{00000000-0005-0000-0000-000015B90000}"/>
    <cellStyle name="SAPBEXexcBad8 3 2 3" xfId="50816" xr:uid="{00000000-0005-0000-0000-000016B90000}"/>
    <cellStyle name="SAPBEXexcBad8 3 3" xfId="50590" xr:uid="{00000000-0005-0000-0000-000017B90000}"/>
    <cellStyle name="SAPBEXexcBad8 3 4" xfId="51347" xr:uid="{00000000-0005-0000-0000-000018B90000}"/>
    <cellStyle name="SAPBEXexcBad8 3 5" xfId="49448"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68" xr:uid="{00000000-0005-0000-0000-00001DB90000}"/>
    <cellStyle name="SAPBEXexcBad8 4" xfId="45699" xr:uid="{00000000-0005-0000-0000-00001EB90000}"/>
    <cellStyle name="SAPBEXexcBad8 4 2" xfId="49828" xr:uid="{00000000-0005-0000-0000-00001FB90000}"/>
    <cellStyle name="SAPBEXexcBad8 4 2 2" xfId="50836" xr:uid="{00000000-0005-0000-0000-000020B90000}"/>
    <cellStyle name="SAPBEXexcBad8 4 2 3" xfId="51392" xr:uid="{00000000-0005-0000-0000-000021B90000}"/>
    <cellStyle name="SAPBEXexcBad8 4 3" xfId="50539" xr:uid="{00000000-0005-0000-0000-000022B90000}"/>
    <cellStyle name="SAPBEXexcBad8 4 4" xfId="51236" xr:uid="{00000000-0005-0000-0000-000023B90000}"/>
    <cellStyle name="SAPBEXexcBad8 4 5" xfId="49500" xr:uid="{00000000-0005-0000-0000-000024B90000}"/>
    <cellStyle name="SAPBEXexcBad8 5" xfId="45700" xr:uid="{00000000-0005-0000-0000-000025B90000}"/>
    <cellStyle name="SAPBEXexcBad8 5 2" xfId="50415" xr:uid="{00000000-0005-0000-0000-000026B90000}"/>
    <cellStyle name="SAPBEXexcBad8 5 3" xfId="50783" xr:uid="{00000000-0005-0000-0000-000027B90000}"/>
    <cellStyle name="SAPBEXexcBad8 5 4" xfId="49651" xr:uid="{00000000-0005-0000-0000-000028B90000}"/>
    <cellStyle name="SAPBEXexcBad8 6" xfId="45701" xr:uid="{00000000-0005-0000-0000-000029B90000}"/>
    <cellStyle name="SAPBEXexcBad8 6 2" xfId="51069" xr:uid="{00000000-0005-0000-0000-00002AB90000}"/>
    <cellStyle name="SAPBEXexcBad8 6 3" xfId="51554" xr:uid="{00000000-0005-0000-0000-00002BB90000}"/>
    <cellStyle name="SAPBEXexcBad8 6 4" xfId="50024" xr:uid="{00000000-0005-0000-0000-00002CB90000}"/>
    <cellStyle name="SAPBEXexcBad8 7" xfId="45702" xr:uid="{00000000-0005-0000-0000-00002DB90000}"/>
    <cellStyle name="SAPBEXexcBad8 7 2" xfId="50737" xr:uid="{00000000-0005-0000-0000-00002EB90000}"/>
    <cellStyle name="SAPBEXexcBad8 8" xfId="45703" xr:uid="{00000000-0005-0000-0000-00002FB90000}"/>
    <cellStyle name="SAPBEXexcBad8 8 2" xfId="51215" xr:uid="{00000000-0005-0000-0000-000030B90000}"/>
    <cellStyle name="SAPBEXexcBad8 9" xfId="45704" xr:uid="{00000000-0005-0000-0000-000031B90000}"/>
    <cellStyle name="SAPBEXexcBad8 9 2" xfId="50760"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4" xr:uid="{00000000-0005-0000-0000-000041B90000}"/>
    <cellStyle name="SAPBEXexcBad9 2 2 3" xfId="51534" xr:uid="{00000000-0005-0000-0000-000042B90000}"/>
    <cellStyle name="SAPBEXexcBad9 2 2 4" xfId="49841" xr:uid="{00000000-0005-0000-0000-000043B90000}"/>
    <cellStyle name="SAPBEXexcBad9 2 3" xfId="45718" xr:uid="{00000000-0005-0000-0000-000044B90000}"/>
    <cellStyle name="SAPBEXexcBad9 2 3 2" xfId="50526" xr:uid="{00000000-0005-0000-0000-000045B90000}"/>
    <cellStyle name="SAPBEXexcBad9 2 4" xfId="51643" xr:uid="{00000000-0005-0000-0000-000046B90000}"/>
    <cellStyle name="SAPBEXexcBad9 2 5" xfId="49513"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5" xr:uid="{00000000-0005-0000-0000-000053B90000}"/>
    <cellStyle name="SAPBEXexcBad9 3 2 2" xfId="50222" xr:uid="{00000000-0005-0000-0000-000054B90000}"/>
    <cellStyle name="SAPBEXexcBad9 3 2 3" xfId="51591" xr:uid="{00000000-0005-0000-0000-000055B90000}"/>
    <cellStyle name="SAPBEXexcBad9 3 3" xfId="50591" xr:uid="{00000000-0005-0000-0000-000056B90000}"/>
    <cellStyle name="SAPBEXexcBad9 3 4" xfId="51564" xr:uid="{00000000-0005-0000-0000-000057B90000}"/>
    <cellStyle name="SAPBEXexcBad9 3 5" xfId="49447"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69" xr:uid="{00000000-0005-0000-0000-00005CB90000}"/>
    <cellStyle name="SAPBEXexcBad9 4" xfId="45733" xr:uid="{00000000-0005-0000-0000-00005DB90000}"/>
    <cellStyle name="SAPBEXexcBad9 4 2" xfId="50414" xr:uid="{00000000-0005-0000-0000-00005EB90000}"/>
    <cellStyle name="SAPBEXexcBad9 4 3" xfId="50762" xr:uid="{00000000-0005-0000-0000-00005FB90000}"/>
    <cellStyle name="SAPBEXexcBad9 4 4" xfId="49652" xr:uid="{00000000-0005-0000-0000-000060B90000}"/>
    <cellStyle name="SAPBEXexcBad9 5" xfId="45734" xr:uid="{00000000-0005-0000-0000-000061B90000}"/>
    <cellStyle name="SAPBEXexcBad9 5 2" xfId="51068" xr:uid="{00000000-0005-0000-0000-000062B90000}"/>
    <cellStyle name="SAPBEXexcBad9 5 3" xfId="51296" xr:uid="{00000000-0005-0000-0000-000063B90000}"/>
    <cellStyle name="SAPBEXexcBad9 5 4" xfId="50023" xr:uid="{00000000-0005-0000-0000-000064B90000}"/>
    <cellStyle name="SAPBEXexcBad9 6" xfId="45735" xr:uid="{00000000-0005-0000-0000-000065B90000}"/>
    <cellStyle name="SAPBEXexcBad9 6 2" xfId="50736" xr:uid="{00000000-0005-0000-0000-000066B90000}"/>
    <cellStyle name="SAPBEXexcBad9 7" xfId="45736" xr:uid="{00000000-0005-0000-0000-000067B90000}"/>
    <cellStyle name="SAPBEXexcBad9 7 2" xfId="51472"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49" xr:uid="{00000000-0005-0000-0000-000079B90000}"/>
    <cellStyle name="SAPBEXexcCritical4 2 2 3" xfId="51308" xr:uid="{00000000-0005-0000-0000-00007AB90000}"/>
    <cellStyle name="SAPBEXexcCritical4 2 2 4" xfId="49842" xr:uid="{00000000-0005-0000-0000-00007BB90000}"/>
    <cellStyle name="SAPBEXexcCritical4 2 3" xfId="45752" xr:uid="{00000000-0005-0000-0000-00007CB90000}"/>
    <cellStyle name="SAPBEXexcCritical4 2 3 2" xfId="50525" xr:uid="{00000000-0005-0000-0000-00007DB90000}"/>
    <cellStyle name="SAPBEXexcCritical4 2 4" xfId="50946" xr:uid="{00000000-0005-0000-0000-00007EB90000}"/>
    <cellStyle name="SAPBEXexcCritical4 2 5" xfId="49514"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4" xr:uid="{00000000-0005-0000-0000-00008BB90000}"/>
    <cellStyle name="SAPBEXexcCritical4 3 2 2" xfId="50223" xr:uid="{00000000-0005-0000-0000-00008CB90000}"/>
    <cellStyle name="SAPBEXexcCritical4 3 2 3" xfId="51388" xr:uid="{00000000-0005-0000-0000-00008DB90000}"/>
    <cellStyle name="SAPBEXexcCritical4 3 3" xfId="50592" xr:uid="{00000000-0005-0000-0000-00008EB90000}"/>
    <cellStyle name="SAPBEXexcCritical4 3 4" xfId="51307" xr:uid="{00000000-0005-0000-0000-00008FB90000}"/>
    <cellStyle name="SAPBEXexcCritical4 3 5" xfId="49446"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0" xr:uid="{00000000-0005-0000-0000-000094B90000}"/>
    <cellStyle name="SAPBEXexcCritical4 4" xfId="45767" xr:uid="{00000000-0005-0000-0000-000095B90000}"/>
    <cellStyle name="SAPBEXexcCritical4 4 2" xfId="49922" xr:uid="{00000000-0005-0000-0000-000096B90000}"/>
    <cellStyle name="SAPBEXexcCritical4 4 2 2" xfId="50088" xr:uid="{00000000-0005-0000-0000-000097B90000}"/>
    <cellStyle name="SAPBEXexcCritical4 4 2 3" xfId="51107" xr:uid="{00000000-0005-0000-0000-000098B90000}"/>
    <cellStyle name="SAPBEXexcCritical4 4 3" xfId="50445" xr:uid="{00000000-0005-0000-0000-000099B90000}"/>
    <cellStyle name="SAPBEXexcCritical4 4 4" xfId="51240" xr:uid="{00000000-0005-0000-0000-00009AB90000}"/>
    <cellStyle name="SAPBEXexcCritical4 4 5" xfId="49594" xr:uid="{00000000-0005-0000-0000-00009BB90000}"/>
    <cellStyle name="SAPBEXexcCritical4 5" xfId="45768" xr:uid="{00000000-0005-0000-0000-00009CB90000}"/>
    <cellStyle name="SAPBEXexcCritical4 5 2" xfId="50413" xr:uid="{00000000-0005-0000-0000-00009DB90000}"/>
    <cellStyle name="SAPBEXexcCritical4 5 3" xfId="50780" xr:uid="{00000000-0005-0000-0000-00009EB90000}"/>
    <cellStyle name="SAPBEXexcCritical4 5 4" xfId="49653" xr:uid="{00000000-0005-0000-0000-00009FB90000}"/>
    <cellStyle name="SAPBEXexcCritical4 6" xfId="45769" xr:uid="{00000000-0005-0000-0000-0000A0B90000}"/>
    <cellStyle name="SAPBEXexcCritical4 6 2" xfId="51067" xr:uid="{00000000-0005-0000-0000-0000A1B90000}"/>
    <cellStyle name="SAPBEXexcCritical4 6 3" xfId="51125" xr:uid="{00000000-0005-0000-0000-0000A2B90000}"/>
    <cellStyle name="SAPBEXexcCritical4 6 4" xfId="50022" xr:uid="{00000000-0005-0000-0000-0000A3B90000}"/>
    <cellStyle name="SAPBEXexcCritical4 7" xfId="45770" xr:uid="{00000000-0005-0000-0000-0000A4B90000}"/>
    <cellStyle name="SAPBEXexcCritical4 7 2" xfId="50735" xr:uid="{00000000-0005-0000-0000-0000A5B90000}"/>
    <cellStyle name="SAPBEXexcCritical4 8" xfId="45771" xr:uid="{00000000-0005-0000-0000-0000A6B90000}"/>
    <cellStyle name="SAPBEXexcCritical4 8 2" xfId="51208" xr:uid="{00000000-0005-0000-0000-0000A7B90000}"/>
    <cellStyle name="SAPBEXexcCritical4 9" xfId="45772" xr:uid="{00000000-0005-0000-0000-0000A8B90000}"/>
    <cellStyle name="SAPBEXexcCritical4 9 2" xfId="51684"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5" xr:uid="{00000000-0005-0000-0000-0000B8B90000}"/>
    <cellStyle name="SAPBEXexcCritical5 2 2 3" xfId="51565" xr:uid="{00000000-0005-0000-0000-0000B9B90000}"/>
    <cellStyle name="SAPBEXexcCritical5 2 2 4" xfId="49843" xr:uid="{00000000-0005-0000-0000-0000BAB90000}"/>
    <cellStyle name="SAPBEXexcCritical5 2 3" xfId="45786" xr:uid="{00000000-0005-0000-0000-0000BBB90000}"/>
    <cellStyle name="SAPBEXexcCritical5 2 3 2" xfId="50524" xr:uid="{00000000-0005-0000-0000-0000BCB90000}"/>
    <cellStyle name="SAPBEXexcCritical5 2 4" xfId="50887" xr:uid="{00000000-0005-0000-0000-0000BDB90000}"/>
    <cellStyle name="SAPBEXexcCritical5 2 5" xfId="49515"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3" xr:uid="{00000000-0005-0000-0000-0000CAB90000}"/>
    <cellStyle name="SAPBEXexcCritical5 3 2 2" xfId="50224" xr:uid="{00000000-0005-0000-0000-0000CBB90000}"/>
    <cellStyle name="SAPBEXexcCritical5 3 2 3" xfId="51422" xr:uid="{00000000-0005-0000-0000-0000CCB90000}"/>
    <cellStyle name="SAPBEXexcCritical5 3 3" xfId="50593" xr:uid="{00000000-0005-0000-0000-0000CDB90000}"/>
    <cellStyle name="SAPBEXexcCritical5 3 4" xfId="51459" xr:uid="{00000000-0005-0000-0000-0000CEB90000}"/>
    <cellStyle name="SAPBEXexcCritical5 3 5" xfId="49445"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1" xr:uid="{00000000-0005-0000-0000-0000D3B90000}"/>
    <cellStyle name="SAPBEXexcCritical5 4" xfId="45801" xr:uid="{00000000-0005-0000-0000-0000D4B90000}"/>
    <cellStyle name="SAPBEXexcCritical5 4 2" xfId="49923" xr:uid="{00000000-0005-0000-0000-0000D5B90000}"/>
    <cellStyle name="SAPBEXexcCritical5 4 2 2" xfId="50826" xr:uid="{00000000-0005-0000-0000-0000D6B90000}"/>
    <cellStyle name="SAPBEXexcCritical5 4 2 3" xfId="51154" xr:uid="{00000000-0005-0000-0000-0000D7B90000}"/>
    <cellStyle name="SAPBEXexcCritical5 4 3" xfId="50444" xr:uid="{00000000-0005-0000-0000-0000D8B90000}"/>
    <cellStyle name="SAPBEXexcCritical5 4 4" xfId="51497" xr:uid="{00000000-0005-0000-0000-0000D9B90000}"/>
    <cellStyle name="SAPBEXexcCritical5 4 5" xfId="49595" xr:uid="{00000000-0005-0000-0000-0000DAB90000}"/>
    <cellStyle name="SAPBEXexcCritical5 5" xfId="45802" xr:uid="{00000000-0005-0000-0000-0000DBB90000}"/>
    <cellStyle name="SAPBEXexcCritical5 5 2" xfId="50412" xr:uid="{00000000-0005-0000-0000-0000DCB90000}"/>
    <cellStyle name="SAPBEXexcCritical5 5 3" xfId="50767" xr:uid="{00000000-0005-0000-0000-0000DDB90000}"/>
    <cellStyle name="SAPBEXexcCritical5 5 4" xfId="49654" xr:uid="{00000000-0005-0000-0000-0000DEB90000}"/>
    <cellStyle name="SAPBEXexcCritical5 6" xfId="45803" xr:uid="{00000000-0005-0000-0000-0000DFB90000}"/>
    <cellStyle name="SAPBEXexcCritical5 6 2" xfId="51066" xr:uid="{00000000-0005-0000-0000-0000E0B90000}"/>
    <cellStyle name="SAPBEXexcCritical5 6 3" xfId="51124" xr:uid="{00000000-0005-0000-0000-0000E1B90000}"/>
    <cellStyle name="SAPBEXexcCritical5 6 4" xfId="50021" xr:uid="{00000000-0005-0000-0000-0000E2B90000}"/>
    <cellStyle name="SAPBEXexcCritical5 7" xfId="45804" xr:uid="{00000000-0005-0000-0000-0000E3B90000}"/>
    <cellStyle name="SAPBEXexcCritical5 7 2" xfId="50734" xr:uid="{00000000-0005-0000-0000-0000E4B90000}"/>
    <cellStyle name="SAPBEXexcCritical5 8" xfId="45805" xr:uid="{00000000-0005-0000-0000-0000E5B90000}"/>
    <cellStyle name="SAPBEXexcCritical5 8 2" xfId="51466" xr:uid="{00000000-0005-0000-0000-0000E6B90000}"/>
    <cellStyle name="SAPBEXexcCritical5 9" xfId="45806" xr:uid="{00000000-0005-0000-0000-0000E7B90000}"/>
    <cellStyle name="SAPBEXexcCritical5 9 2" xfId="50791"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3" xr:uid="{00000000-0005-0000-0000-0000F7B90000}"/>
    <cellStyle name="SAPBEXexcCritical6 2 2 3" xfId="51395" xr:uid="{00000000-0005-0000-0000-0000F8B90000}"/>
    <cellStyle name="SAPBEXexcCritical6 2 2 4" xfId="49844" xr:uid="{00000000-0005-0000-0000-0000F9B90000}"/>
    <cellStyle name="SAPBEXexcCritical6 2 3" xfId="45820" xr:uid="{00000000-0005-0000-0000-0000FAB90000}"/>
    <cellStyle name="SAPBEXexcCritical6 2 3 2" xfId="50523" xr:uid="{00000000-0005-0000-0000-0000FBB90000}"/>
    <cellStyle name="SAPBEXexcCritical6 2 4" xfId="51239" xr:uid="{00000000-0005-0000-0000-0000FCB90000}"/>
    <cellStyle name="SAPBEXexcCritical6 2 5" xfId="49516"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2" xr:uid="{00000000-0005-0000-0000-000009BA0000}"/>
    <cellStyle name="SAPBEXexcCritical6 3 2 2" xfId="50225" xr:uid="{00000000-0005-0000-0000-00000ABA0000}"/>
    <cellStyle name="SAPBEXexcCritical6 3 2 3" xfId="51162" xr:uid="{00000000-0005-0000-0000-00000BBA0000}"/>
    <cellStyle name="SAPBEXexcCritical6 3 3" xfId="50594" xr:uid="{00000000-0005-0000-0000-00000CBA0000}"/>
    <cellStyle name="SAPBEXexcCritical6 3 4" xfId="51201" xr:uid="{00000000-0005-0000-0000-00000DBA0000}"/>
    <cellStyle name="SAPBEXexcCritical6 3 5" xfId="49444"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2" xr:uid="{00000000-0005-0000-0000-000012BA0000}"/>
    <cellStyle name="SAPBEXexcCritical6 4" xfId="45835" xr:uid="{00000000-0005-0000-0000-000013BA0000}"/>
    <cellStyle name="SAPBEXexcCritical6 4 2" xfId="49829" xr:uid="{00000000-0005-0000-0000-000014BA0000}"/>
    <cellStyle name="SAPBEXexcCritical6 4 2 2" xfId="50835" xr:uid="{00000000-0005-0000-0000-000015BA0000}"/>
    <cellStyle name="SAPBEXexcCritical6 4 2 3" xfId="50745" xr:uid="{00000000-0005-0000-0000-000016BA0000}"/>
    <cellStyle name="SAPBEXexcCritical6 4 3" xfId="50538" xr:uid="{00000000-0005-0000-0000-000017BA0000}"/>
    <cellStyle name="SAPBEXexcCritical6 4 4" xfId="51493" xr:uid="{00000000-0005-0000-0000-000018BA0000}"/>
    <cellStyle name="SAPBEXexcCritical6 4 5" xfId="49501" xr:uid="{00000000-0005-0000-0000-000019BA0000}"/>
    <cellStyle name="SAPBEXexcCritical6 5" xfId="45836" xr:uid="{00000000-0005-0000-0000-00001ABA0000}"/>
    <cellStyle name="SAPBEXexcCritical6 5 2" xfId="50411" xr:uid="{00000000-0005-0000-0000-00001BBA0000}"/>
    <cellStyle name="SAPBEXexcCritical6 5 3" xfId="50068" xr:uid="{00000000-0005-0000-0000-00001CBA0000}"/>
    <cellStyle name="SAPBEXexcCritical6 5 4" xfId="49655" xr:uid="{00000000-0005-0000-0000-00001DBA0000}"/>
    <cellStyle name="SAPBEXexcCritical6 6" xfId="45837" xr:uid="{00000000-0005-0000-0000-00001EBA0000}"/>
    <cellStyle name="SAPBEXexcCritical6 6 2" xfId="51065" xr:uid="{00000000-0005-0000-0000-00001FBA0000}"/>
    <cellStyle name="SAPBEXexcCritical6 6 3" xfId="51123" xr:uid="{00000000-0005-0000-0000-000020BA0000}"/>
    <cellStyle name="SAPBEXexcCritical6 6 4" xfId="50020" xr:uid="{00000000-0005-0000-0000-000021BA0000}"/>
    <cellStyle name="SAPBEXexcCritical6 7" xfId="45838" xr:uid="{00000000-0005-0000-0000-000022BA0000}"/>
    <cellStyle name="SAPBEXexcCritical6 7 2" xfId="50733" xr:uid="{00000000-0005-0000-0000-000023BA0000}"/>
    <cellStyle name="SAPBEXexcCritical6 8" xfId="45839" xr:uid="{00000000-0005-0000-0000-000024BA0000}"/>
    <cellStyle name="SAPBEXexcCritical6 8 2" xfId="51213" xr:uid="{00000000-0005-0000-0000-000025BA0000}"/>
    <cellStyle name="SAPBEXexcCritical6 9" xfId="45840" xr:uid="{00000000-0005-0000-0000-000026BA0000}"/>
    <cellStyle name="SAPBEXexcCritical6 9 2" xfId="50675"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2" xr:uid="{00000000-0005-0000-0000-000036BA0000}"/>
    <cellStyle name="SAPBEXexcGood1 2 2 3" xfId="51615" xr:uid="{00000000-0005-0000-0000-000037BA0000}"/>
    <cellStyle name="SAPBEXexcGood1 2 2 4" xfId="49845" xr:uid="{00000000-0005-0000-0000-000038BA0000}"/>
    <cellStyle name="SAPBEXexcGood1 2 3" xfId="45854" xr:uid="{00000000-0005-0000-0000-000039BA0000}"/>
    <cellStyle name="SAPBEXexcGood1 2 3 2" xfId="50522" xr:uid="{00000000-0005-0000-0000-00003ABA0000}"/>
    <cellStyle name="SAPBEXexcGood1 2 4" xfId="51496" xr:uid="{00000000-0005-0000-0000-00003BBA0000}"/>
    <cellStyle name="SAPBEXexcGood1 2 5" xfId="49517"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1" xr:uid="{00000000-0005-0000-0000-000048BA0000}"/>
    <cellStyle name="SAPBEXexcGood1 3 2 2" xfId="50226" xr:uid="{00000000-0005-0000-0000-000049BA0000}"/>
    <cellStyle name="SAPBEXexcGood1 3 2 3" xfId="51527" xr:uid="{00000000-0005-0000-0000-00004ABA0000}"/>
    <cellStyle name="SAPBEXexcGood1 3 3" xfId="50595" xr:uid="{00000000-0005-0000-0000-00004BBA0000}"/>
    <cellStyle name="SAPBEXexcGood1 3 4" xfId="51486" xr:uid="{00000000-0005-0000-0000-00004CBA0000}"/>
    <cellStyle name="SAPBEXexcGood1 3 5" xfId="49443"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3" xr:uid="{00000000-0005-0000-0000-000051BA0000}"/>
    <cellStyle name="SAPBEXexcGood1 4" xfId="45869" xr:uid="{00000000-0005-0000-0000-000052BA0000}"/>
    <cellStyle name="SAPBEXexcGood1 4 2" xfId="49926" xr:uid="{00000000-0005-0000-0000-000053BA0000}"/>
    <cellStyle name="SAPBEXexcGood1 4 2 2" xfId="50825" xr:uid="{00000000-0005-0000-0000-000054BA0000}"/>
    <cellStyle name="SAPBEXexcGood1 4 2 3" xfId="51148" xr:uid="{00000000-0005-0000-0000-000055BA0000}"/>
    <cellStyle name="SAPBEXexcGood1 4 3" xfId="50441" xr:uid="{00000000-0005-0000-0000-000056BA0000}"/>
    <cellStyle name="SAPBEXexcGood1 4 4" xfId="51358" xr:uid="{00000000-0005-0000-0000-000057BA0000}"/>
    <cellStyle name="SAPBEXexcGood1 4 5" xfId="49598" xr:uid="{00000000-0005-0000-0000-000058BA0000}"/>
    <cellStyle name="SAPBEXexcGood1 5" xfId="45870" xr:uid="{00000000-0005-0000-0000-000059BA0000}"/>
    <cellStyle name="SAPBEXexcGood1 5 2" xfId="50410" xr:uid="{00000000-0005-0000-0000-00005ABA0000}"/>
    <cellStyle name="SAPBEXexcGood1 5 3" xfId="50912" xr:uid="{00000000-0005-0000-0000-00005BBA0000}"/>
    <cellStyle name="SAPBEXexcGood1 5 4" xfId="49656" xr:uid="{00000000-0005-0000-0000-00005CBA0000}"/>
    <cellStyle name="SAPBEXexcGood1 6" xfId="45871" xr:uid="{00000000-0005-0000-0000-00005DBA0000}"/>
    <cellStyle name="SAPBEXexcGood1 6 2" xfId="51064" xr:uid="{00000000-0005-0000-0000-00005EBA0000}"/>
    <cellStyle name="SAPBEXexcGood1 6 3" xfId="51122" xr:uid="{00000000-0005-0000-0000-00005FBA0000}"/>
    <cellStyle name="SAPBEXexcGood1 6 4" xfId="50019" xr:uid="{00000000-0005-0000-0000-000060BA0000}"/>
    <cellStyle name="SAPBEXexcGood1 7" xfId="45872" xr:uid="{00000000-0005-0000-0000-000061BA0000}"/>
    <cellStyle name="SAPBEXexcGood1 7 2" xfId="50732" xr:uid="{00000000-0005-0000-0000-000062BA0000}"/>
    <cellStyle name="SAPBEXexcGood1 8" xfId="45873" xr:uid="{00000000-0005-0000-0000-000063BA0000}"/>
    <cellStyle name="SAPBEXexcGood1 8 2" xfId="51470" xr:uid="{00000000-0005-0000-0000-000064BA0000}"/>
    <cellStyle name="SAPBEXexcGood1 9" xfId="45874" xr:uid="{00000000-0005-0000-0000-000065BA0000}"/>
    <cellStyle name="SAPBEXexcGood1 9 2" xfId="51681"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1" xr:uid="{00000000-0005-0000-0000-000075BA0000}"/>
    <cellStyle name="SAPBEXexcGood2 2 2 3" xfId="50645" xr:uid="{00000000-0005-0000-0000-000076BA0000}"/>
    <cellStyle name="SAPBEXexcGood2 2 2 4" xfId="49846" xr:uid="{00000000-0005-0000-0000-000077BA0000}"/>
    <cellStyle name="SAPBEXexcGood2 2 3" xfId="45888" xr:uid="{00000000-0005-0000-0000-000078BA0000}"/>
    <cellStyle name="SAPBEXexcGood2 2 3 2" xfId="50521" xr:uid="{00000000-0005-0000-0000-000079BA0000}"/>
    <cellStyle name="SAPBEXexcGood2 2 4" xfId="51191" xr:uid="{00000000-0005-0000-0000-00007ABA0000}"/>
    <cellStyle name="SAPBEXexcGood2 2 5" xfId="49518"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0" xr:uid="{00000000-0005-0000-0000-000087BA0000}"/>
    <cellStyle name="SAPBEXexcGood2 3 2 2" xfId="50227" xr:uid="{00000000-0005-0000-0000-000088BA0000}"/>
    <cellStyle name="SAPBEXexcGood2 3 2 3" xfId="51269" xr:uid="{00000000-0005-0000-0000-000089BA0000}"/>
    <cellStyle name="SAPBEXexcGood2 3 3" xfId="50596" xr:uid="{00000000-0005-0000-0000-00008ABA0000}"/>
    <cellStyle name="SAPBEXexcGood2 3 4" xfId="51229" xr:uid="{00000000-0005-0000-0000-00008BBA0000}"/>
    <cellStyle name="SAPBEXexcGood2 3 5" xfId="49442"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4" xr:uid="{00000000-0005-0000-0000-000090BA0000}"/>
    <cellStyle name="SAPBEXexcGood2 4" xfId="45903" xr:uid="{00000000-0005-0000-0000-000091BA0000}"/>
    <cellStyle name="SAPBEXexcGood2 4 2" xfId="49830" xr:uid="{00000000-0005-0000-0000-000092BA0000}"/>
    <cellStyle name="SAPBEXexcGood2 4 2 2" xfId="50837" xr:uid="{00000000-0005-0000-0000-000093BA0000}"/>
    <cellStyle name="SAPBEXexcGood2 4 2 3" xfId="51658" xr:uid="{00000000-0005-0000-0000-000094BA0000}"/>
    <cellStyle name="SAPBEXexcGood2 4 3" xfId="50537" xr:uid="{00000000-0005-0000-0000-000095BA0000}"/>
    <cellStyle name="SAPBEXexcGood2 4 4" xfId="51194" xr:uid="{00000000-0005-0000-0000-000096BA0000}"/>
    <cellStyle name="SAPBEXexcGood2 4 5" xfId="49502" xr:uid="{00000000-0005-0000-0000-000097BA0000}"/>
    <cellStyle name="SAPBEXexcGood2 5" xfId="45904" xr:uid="{00000000-0005-0000-0000-000098BA0000}"/>
    <cellStyle name="SAPBEXexcGood2 5 2" xfId="50409" xr:uid="{00000000-0005-0000-0000-000099BA0000}"/>
    <cellStyle name="SAPBEXexcGood2 5 3" xfId="51255" xr:uid="{00000000-0005-0000-0000-00009ABA0000}"/>
    <cellStyle name="SAPBEXexcGood2 5 4" xfId="49657" xr:uid="{00000000-0005-0000-0000-00009BBA0000}"/>
    <cellStyle name="SAPBEXexcGood2 6" xfId="45905" xr:uid="{00000000-0005-0000-0000-00009CBA0000}"/>
    <cellStyle name="SAPBEXexcGood2 6 2" xfId="51063" xr:uid="{00000000-0005-0000-0000-00009DBA0000}"/>
    <cellStyle name="SAPBEXexcGood2 6 3" xfId="51602" xr:uid="{00000000-0005-0000-0000-00009EBA0000}"/>
    <cellStyle name="SAPBEXexcGood2 6 4" xfId="50018" xr:uid="{00000000-0005-0000-0000-00009FBA0000}"/>
    <cellStyle name="SAPBEXexcGood2 7" xfId="45906" xr:uid="{00000000-0005-0000-0000-0000A0BA0000}"/>
    <cellStyle name="SAPBEXexcGood2 7 2" xfId="50731" xr:uid="{00000000-0005-0000-0000-0000A1BA0000}"/>
    <cellStyle name="SAPBEXexcGood2 8" xfId="45907" xr:uid="{00000000-0005-0000-0000-0000A2BA0000}"/>
    <cellStyle name="SAPBEXexcGood2 8 2" xfId="51339" xr:uid="{00000000-0005-0000-0000-0000A3BA0000}"/>
    <cellStyle name="SAPBEXexcGood2 9" xfId="45908" xr:uid="{00000000-0005-0000-0000-0000A4BA0000}"/>
    <cellStyle name="SAPBEXexcGood2 9 2" xfId="50744"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0" xr:uid="{00000000-0005-0000-0000-0000B4BA0000}"/>
    <cellStyle name="SAPBEXexcGood3 2 2 3" xfId="51309" xr:uid="{00000000-0005-0000-0000-0000B5BA0000}"/>
    <cellStyle name="SAPBEXexcGood3 2 2 4" xfId="49847" xr:uid="{00000000-0005-0000-0000-0000B6BA0000}"/>
    <cellStyle name="SAPBEXexcGood3 2 3" xfId="45922" xr:uid="{00000000-0005-0000-0000-0000B7BA0000}"/>
    <cellStyle name="SAPBEXexcGood3 2 3 2" xfId="50520" xr:uid="{00000000-0005-0000-0000-0000B8BA0000}"/>
    <cellStyle name="SAPBEXexcGood3 2 4" xfId="51449" xr:uid="{00000000-0005-0000-0000-0000B9BA0000}"/>
    <cellStyle name="SAPBEXexcGood3 2 5" xfId="49519"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69" xr:uid="{00000000-0005-0000-0000-0000C6BA0000}"/>
    <cellStyle name="SAPBEXexcGood3 3 2 2" xfId="50228" xr:uid="{00000000-0005-0000-0000-0000C7BA0000}"/>
    <cellStyle name="SAPBEXexcGood3 3 2 3" xfId="50815" xr:uid="{00000000-0005-0000-0000-0000C8BA0000}"/>
    <cellStyle name="SAPBEXexcGood3 3 3" xfId="50597" xr:uid="{00000000-0005-0000-0000-0000C9BA0000}"/>
    <cellStyle name="SAPBEXexcGood3 3 4" xfId="50909" xr:uid="{00000000-0005-0000-0000-0000CABA0000}"/>
    <cellStyle name="SAPBEXexcGood3 3 5" xfId="49441"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5" xr:uid="{00000000-0005-0000-0000-0000CFBA0000}"/>
    <cellStyle name="SAPBEXexcGood3 4" xfId="45937" xr:uid="{00000000-0005-0000-0000-0000D0BA0000}"/>
    <cellStyle name="SAPBEXexcGood3 4 2" xfId="49831" xr:uid="{00000000-0005-0000-0000-0000D1BA0000}"/>
    <cellStyle name="SAPBEXexcGood3 4 2 2" xfId="50834" xr:uid="{00000000-0005-0000-0000-0000D2BA0000}"/>
    <cellStyle name="SAPBEXexcGood3 4 2 3" xfId="50659" xr:uid="{00000000-0005-0000-0000-0000D3BA0000}"/>
    <cellStyle name="SAPBEXexcGood3 4 3" xfId="50536" xr:uid="{00000000-0005-0000-0000-0000D4BA0000}"/>
    <cellStyle name="SAPBEXexcGood3 4 4" xfId="51452" xr:uid="{00000000-0005-0000-0000-0000D5BA0000}"/>
    <cellStyle name="SAPBEXexcGood3 4 5" xfId="49503" xr:uid="{00000000-0005-0000-0000-0000D6BA0000}"/>
    <cellStyle name="SAPBEXexcGood3 5" xfId="45938" xr:uid="{00000000-0005-0000-0000-0000D7BA0000}"/>
    <cellStyle name="SAPBEXexcGood3 5 2" xfId="50408" xr:uid="{00000000-0005-0000-0000-0000D8BA0000}"/>
    <cellStyle name="SAPBEXexcGood3 5 3" xfId="51512" xr:uid="{00000000-0005-0000-0000-0000D9BA0000}"/>
    <cellStyle name="SAPBEXexcGood3 5 4" xfId="49658" xr:uid="{00000000-0005-0000-0000-0000DABA0000}"/>
    <cellStyle name="SAPBEXexcGood3 6" xfId="45939" xr:uid="{00000000-0005-0000-0000-0000DBBA0000}"/>
    <cellStyle name="SAPBEXexcGood3 6 2" xfId="51062" xr:uid="{00000000-0005-0000-0000-0000DCBA0000}"/>
    <cellStyle name="SAPBEXexcGood3 6 3" xfId="51413" xr:uid="{00000000-0005-0000-0000-0000DDBA0000}"/>
    <cellStyle name="SAPBEXexcGood3 6 4" xfId="50017" xr:uid="{00000000-0005-0000-0000-0000DEBA0000}"/>
    <cellStyle name="SAPBEXexcGood3 7" xfId="45940" xr:uid="{00000000-0005-0000-0000-0000DFBA0000}"/>
    <cellStyle name="SAPBEXexcGood3 7 2" xfId="50730" xr:uid="{00000000-0005-0000-0000-0000E0BA0000}"/>
    <cellStyle name="SAPBEXexcGood3 8" xfId="45941" xr:uid="{00000000-0005-0000-0000-0000E1BA0000}"/>
    <cellStyle name="SAPBEXexcGood3 8 2" xfId="51657" xr:uid="{00000000-0005-0000-0000-0000E2BA0000}"/>
    <cellStyle name="SAPBEXexcGood3 9" xfId="45942" xr:uid="{00000000-0005-0000-0000-0000E3BA0000}"/>
    <cellStyle name="SAPBEXexcGood3 9 2" xfId="50921"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48" xr:uid="{00000000-0005-0000-0000-0000E8BA0000}"/>
    <cellStyle name="SAPBEXfilterDrill 2 2 2" xfId="50159" xr:uid="{00000000-0005-0000-0000-0000E9BA0000}"/>
    <cellStyle name="SAPBEXfilterDrill 2 2 3" xfId="51566" xr:uid="{00000000-0005-0000-0000-0000EABA0000}"/>
    <cellStyle name="SAPBEXfilterDrill 2 3" xfId="50519" xr:uid="{00000000-0005-0000-0000-0000EBBA0000}"/>
    <cellStyle name="SAPBEXfilterDrill 2 4" xfId="51357" xr:uid="{00000000-0005-0000-0000-0000ECBA0000}"/>
    <cellStyle name="SAPBEXfilterDrill 2 5" xfId="49520" xr:uid="{00000000-0005-0000-0000-0000EDBA0000}"/>
    <cellStyle name="SAPBEXfilterDrill 3" xfId="49440" xr:uid="{00000000-0005-0000-0000-0000EEBA0000}"/>
    <cellStyle name="SAPBEXfilterDrill 3 2" xfId="49768" xr:uid="{00000000-0005-0000-0000-0000EFBA0000}"/>
    <cellStyle name="SAPBEXfilterDrill 3 2 2" xfId="50229" xr:uid="{00000000-0005-0000-0000-0000F0BA0000}"/>
    <cellStyle name="SAPBEXfilterDrill 3 2 3" xfId="51618" xr:uid="{00000000-0005-0000-0000-0000F1BA0000}"/>
    <cellStyle name="SAPBEXfilterDrill 3 3" xfId="50598" xr:uid="{00000000-0005-0000-0000-0000F2BA0000}"/>
    <cellStyle name="SAPBEXfilterDrill 3 4" xfId="51651" xr:uid="{00000000-0005-0000-0000-0000F3BA0000}"/>
    <cellStyle name="SAPBEXfilterDrill 4" xfId="49659" xr:uid="{00000000-0005-0000-0000-0000F4BA0000}"/>
    <cellStyle name="SAPBEXfilterDrill 4 2" xfId="50407" xr:uid="{00000000-0005-0000-0000-0000F5BA0000}"/>
    <cellStyle name="SAPBEXfilterDrill 4 3" xfId="51175" xr:uid="{00000000-0005-0000-0000-0000F6BA0000}"/>
    <cellStyle name="SAPBEXfilterDrill 5" xfId="50016" xr:uid="{00000000-0005-0000-0000-0000F7BA0000}"/>
    <cellStyle name="SAPBEXfilterDrill 5 2" xfId="51061" xr:uid="{00000000-0005-0000-0000-0000F8BA0000}"/>
    <cellStyle name="SAPBEXfilterDrill 5 3" xfId="51590" xr:uid="{00000000-0005-0000-0000-0000F9BA0000}"/>
    <cellStyle name="SAPBEXfilterDrill 6" xfId="50729" xr:uid="{00000000-0005-0000-0000-0000FABA0000}"/>
    <cellStyle name="SAPBEXfilterDrill 7" xfId="51214" xr:uid="{00000000-0005-0000-0000-0000FBBA0000}"/>
    <cellStyle name="SAPBEXfilterDrill 8" xfId="49276"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49" xr:uid="{00000000-0005-0000-0000-000000BB0000}"/>
    <cellStyle name="SAPBEXfilterItem 2 2 2" xfId="50158" xr:uid="{00000000-0005-0000-0000-000001BB0000}"/>
    <cellStyle name="SAPBEXfilterItem 2 2 3" xfId="51396" xr:uid="{00000000-0005-0000-0000-000002BB0000}"/>
    <cellStyle name="SAPBEXfilterItem 2 3" xfId="50518" xr:uid="{00000000-0005-0000-0000-000003BB0000}"/>
    <cellStyle name="SAPBEXfilterItem 2 4" xfId="51641" xr:uid="{00000000-0005-0000-0000-000004BB0000}"/>
    <cellStyle name="SAPBEXfilterItem 2 5" xfId="49521" xr:uid="{00000000-0005-0000-0000-000005BB0000}"/>
    <cellStyle name="SAPBEXfilterItem 3" xfId="49439" xr:uid="{00000000-0005-0000-0000-000006BB0000}"/>
    <cellStyle name="SAPBEXfilterItem 3 2" xfId="49767" xr:uid="{00000000-0005-0000-0000-000007BB0000}"/>
    <cellStyle name="SAPBEXfilterItem 3 2 2" xfId="50230" xr:uid="{00000000-0005-0000-0000-000008BB0000}"/>
    <cellStyle name="SAPBEXfilterItem 3 2 3" xfId="51387" xr:uid="{00000000-0005-0000-0000-000009BB0000}"/>
    <cellStyle name="SAPBEXfilterItem 3 3" xfId="50599" xr:uid="{00000000-0005-0000-0000-00000ABB0000}"/>
    <cellStyle name="SAPBEXfilterItem 3 4" xfId="51346" xr:uid="{00000000-0005-0000-0000-00000BBB0000}"/>
    <cellStyle name="SAPBEXfilterItem 4" xfId="49660" xr:uid="{00000000-0005-0000-0000-00000CBB0000}"/>
    <cellStyle name="SAPBEXfilterItem 4 2" xfId="50406" xr:uid="{00000000-0005-0000-0000-00000DBB0000}"/>
    <cellStyle name="SAPBEXfilterItem 4 3" xfId="51434" xr:uid="{00000000-0005-0000-0000-00000EBB0000}"/>
    <cellStyle name="SAPBEXfilterItem 5" xfId="50015" xr:uid="{00000000-0005-0000-0000-00000FBB0000}"/>
    <cellStyle name="SAPBEXfilterItem 5 2" xfId="51060" xr:uid="{00000000-0005-0000-0000-000010BB0000}"/>
    <cellStyle name="SAPBEXfilterItem 5 3" xfId="51335" xr:uid="{00000000-0005-0000-0000-000011BB0000}"/>
    <cellStyle name="SAPBEXfilterItem 6" xfId="50728" xr:uid="{00000000-0005-0000-0000-000012BB0000}"/>
    <cellStyle name="SAPBEXfilterItem 7" xfId="51471" xr:uid="{00000000-0005-0000-0000-000013BB0000}"/>
    <cellStyle name="SAPBEXfilterItem 8" xfId="49277"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0" xr:uid="{00000000-0005-0000-0000-000018BB0000}"/>
    <cellStyle name="SAPBEXfilterText 2 2 2" xfId="50157" xr:uid="{00000000-0005-0000-0000-000019BB0000}"/>
    <cellStyle name="SAPBEXfilterText 2 2 3" xfId="51614" xr:uid="{00000000-0005-0000-0000-00001ABB0000}"/>
    <cellStyle name="SAPBEXfilterText 2 3" xfId="50517" xr:uid="{00000000-0005-0000-0000-00001BBB0000}"/>
    <cellStyle name="SAPBEXfilterText 2 4" xfId="51238" xr:uid="{00000000-0005-0000-0000-00001CBB0000}"/>
    <cellStyle name="SAPBEXfilterText 2 5" xfId="49522" xr:uid="{00000000-0005-0000-0000-00001DBB0000}"/>
    <cellStyle name="SAPBEXfilterText 3" xfId="49438" xr:uid="{00000000-0005-0000-0000-00001EBB0000}"/>
    <cellStyle name="SAPBEXfilterText 3 2" xfId="49766" xr:uid="{00000000-0005-0000-0000-00001FBB0000}"/>
    <cellStyle name="SAPBEXfilterText 3 2 2" xfId="50231" xr:uid="{00000000-0005-0000-0000-000020BB0000}"/>
    <cellStyle name="SAPBEXfilterText 3 2 3" xfId="51423" xr:uid="{00000000-0005-0000-0000-000021BB0000}"/>
    <cellStyle name="SAPBEXfilterText 3 3" xfId="50600" xr:uid="{00000000-0005-0000-0000-000022BB0000}"/>
    <cellStyle name="SAPBEXfilterText 3 4" xfId="51476" xr:uid="{00000000-0005-0000-0000-000023BB0000}"/>
    <cellStyle name="SAPBEXfilterText 4" xfId="49661" xr:uid="{00000000-0005-0000-0000-000024BB0000}"/>
    <cellStyle name="SAPBEXfilterText 4 2" xfId="50405" xr:uid="{00000000-0005-0000-0000-000025BB0000}"/>
    <cellStyle name="SAPBEXfilterText 4 3" xfId="51373" xr:uid="{00000000-0005-0000-0000-000026BB0000}"/>
    <cellStyle name="SAPBEXfilterText 5" xfId="50014" xr:uid="{00000000-0005-0000-0000-000027BB0000}"/>
    <cellStyle name="SAPBEXfilterText 5 2" xfId="51059" xr:uid="{00000000-0005-0000-0000-000028BB0000}"/>
    <cellStyle name="SAPBEXfilterText 5 3" xfId="51583" xr:uid="{00000000-0005-0000-0000-000029BB0000}"/>
    <cellStyle name="SAPBEXfilterText 6" xfId="50727" xr:uid="{00000000-0005-0000-0000-00002ABB0000}"/>
    <cellStyle name="SAPBEXfilterText 7" xfId="50979" xr:uid="{00000000-0005-0000-0000-00002BBB0000}"/>
    <cellStyle name="SAPBEXfilterText 8" xfId="49278"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56" xr:uid="{00000000-0005-0000-0000-00003BBB0000}"/>
    <cellStyle name="SAPBEXformats 2 2 3" xfId="50949" xr:uid="{00000000-0005-0000-0000-00003CBB0000}"/>
    <cellStyle name="SAPBEXformats 2 2 4" xfId="49851" xr:uid="{00000000-0005-0000-0000-00003DBB0000}"/>
    <cellStyle name="SAPBEXformats 2 3" xfId="45962" xr:uid="{00000000-0005-0000-0000-00003EBB0000}"/>
    <cellStyle name="SAPBEXformats 2 3 2" xfId="50516" xr:uid="{00000000-0005-0000-0000-00003FBB0000}"/>
    <cellStyle name="SAPBEXformats 2 4" xfId="51495" xr:uid="{00000000-0005-0000-0000-000040BB0000}"/>
    <cellStyle name="SAPBEXformats 2 5" xfId="49523"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5" xr:uid="{00000000-0005-0000-0000-00004DBB0000}"/>
    <cellStyle name="SAPBEXformats 3 2 2" xfId="50232" xr:uid="{00000000-0005-0000-0000-00004EBB0000}"/>
    <cellStyle name="SAPBEXformats 3 2 3" xfId="51163" xr:uid="{00000000-0005-0000-0000-00004FBB0000}"/>
    <cellStyle name="SAPBEXformats 3 3" xfId="50601" xr:uid="{00000000-0005-0000-0000-000050BB0000}"/>
    <cellStyle name="SAPBEXformats 3 4" xfId="51220" xr:uid="{00000000-0005-0000-0000-000051BB0000}"/>
    <cellStyle name="SAPBEXformats 3 5" xfId="49437"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79" xr:uid="{00000000-0005-0000-0000-000056BB0000}"/>
    <cellStyle name="SAPBEXformats 4" xfId="45977" xr:uid="{00000000-0005-0000-0000-000057BB0000}"/>
    <cellStyle name="SAPBEXformats 4 2" xfId="49832" xr:uid="{00000000-0005-0000-0000-000058BB0000}"/>
    <cellStyle name="SAPBEXformats 4 2 2" xfId="50847" xr:uid="{00000000-0005-0000-0000-000059BB0000}"/>
    <cellStyle name="SAPBEXformats 4 2 3" xfId="50776" xr:uid="{00000000-0005-0000-0000-00005ABB0000}"/>
    <cellStyle name="SAPBEXformats 4 3" xfId="50535" xr:uid="{00000000-0005-0000-0000-00005BBB0000}"/>
    <cellStyle name="SAPBEXformats 4 4" xfId="51354" xr:uid="{00000000-0005-0000-0000-00005CBB0000}"/>
    <cellStyle name="SAPBEXformats 4 5" xfId="49504" xr:uid="{00000000-0005-0000-0000-00005DBB0000}"/>
    <cellStyle name="SAPBEXformats 5" xfId="45978" xr:uid="{00000000-0005-0000-0000-00005EBB0000}"/>
    <cellStyle name="SAPBEXformats 5 2" xfId="50404" xr:uid="{00000000-0005-0000-0000-00005FBB0000}"/>
    <cellStyle name="SAPBEXformats 5 3" xfId="51628" xr:uid="{00000000-0005-0000-0000-000060BB0000}"/>
    <cellStyle name="SAPBEXformats 5 4" xfId="49662" xr:uid="{00000000-0005-0000-0000-000061BB0000}"/>
    <cellStyle name="SAPBEXformats 6" xfId="45979" xr:uid="{00000000-0005-0000-0000-000062BB0000}"/>
    <cellStyle name="SAPBEXformats 6 2" xfId="51058" xr:uid="{00000000-0005-0000-0000-000063BB0000}"/>
    <cellStyle name="SAPBEXformats 6 3" xfId="51326" xr:uid="{00000000-0005-0000-0000-000064BB0000}"/>
    <cellStyle name="SAPBEXformats 6 4" xfId="50013" xr:uid="{00000000-0005-0000-0000-000065BB0000}"/>
    <cellStyle name="SAPBEXformats 7" xfId="45980" xr:uid="{00000000-0005-0000-0000-000066BB0000}"/>
    <cellStyle name="SAPBEXformats 7 2" xfId="50726" xr:uid="{00000000-0005-0000-0000-000067BB0000}"/>
    <cellStyle name="SAPBEXformats 8" xfId="45981" xr:uid="{00000000-0005-0000-0000-000068BB0000}"/>
    <cellStyle name="SAPBEXformats 8 2" xfId="51216" xr:uid="{00000000-0005-0000-0000-000069BB0000}"/>
    <cellStyle name="SAPBEXformats 9" xfId="45982" xr:uid="{00000000-0005-0000-0000-00006ABB0000}"/>
    <cellStyle name="SAPBEXformats 9 2" xfId="50779"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4" xr:uid="{00000000-0005-0000-0000-00006FBB0000}"/>
    <cellStyle name="SAPBEXheaderItem 3 2" xfId="49852" xr:uid="{00000000-0005-0000-0000-000070BB0000}"/>
    <cellStyle name="SAPBEXheaderItem 3 2 2" xfId="50155" xr:uid="{00000000-0005-0000-0000-000071BB0000}"/>
    <cellStyle name="SAPBEXheaderItem 3 2 3" xfId="51278" xr:uid="{00000000-0005-0000-0000-000072BB0000}"/>
    <cellStyle name="SAPBEXheaderItem 3 3" xfId="50515" xr:uid="{00000000-0005-0000-0000-000073BB0000}"/>
    <cellStyle name="SAPBEXheaderItem 3 4" xfId="51192" xr:uid="{00000000-0005-0000-0000-000074BB0000}"/>
    <cellStyle name="SAPBEXheaderItem 4" xfId="49436" xr:uid="{00000000-0005-0000-0000-000075BB0000}"/>
    <cellStyle name="SAPBEXheaderItem 4 2" xfId="49764" xr:uid="{00000000-0005-0000-0000-000076BB0000}"/>
    <cellStyle name="SAPBEXheaderItem 4 2 2" xfId="50233" xr:uid="{00000000-0005-0000-0000-000077BB0000}"/>
    <cellStyle name="SAPBEXheaderItem 4 2 3" xfId="51526" xr:uid="{00000000-0005-0000-0000-000078BB0000}"/>
    <cellStyle name="SAPBEXheaderItem 4 3" xfId="50602" xr:uid="{00000000-0005-0000-0000-000079BB0000}"/>
    <cellStyle name="SAPBEXheaderItem 4 4" xfId="51460" xr:uid="{00000000-0005-0000-0000-00007ABB0000}"/>
    <cellStyle name="SAPBEXheaderItem 5" xfId="49663" xr:uid="{00000000-0005-0000-0000-00007BBB0000}"/>
    <cellStyle name="SAPBEXheaderItem 5 2" xfId="50403" xr:uid="{00000000-0005-0000-0000-00007CBB0000}"/>
    <cellStyle name="SAPBEXheaderItem 5 3" xfId="50974" xr:uid="{00000000-0005-0000-0000-00007DBB0000}"/>
    <cellStyle name="SAPBEXheaderItem 6" xfId="50012" xr:uid="{00000000-0005-0000-0000-00007EBB0000}"/>
    <cellStyle name="SAPBEXheaderItem 6 2" xfId="51057" xr:uid="{00000000-0005-0000-0000-00007FBB0000}"/>
    <cellStyle name="SAPBEXheaderItem 6 3" xfId="51553" xr:uid="{00000000-0005-0000-0000-000080BB0000}"/>
    <cellStyle name="SAPBEXheaderItem 7" xfId="50725" xr:uid="{00000000-0005-0000-0000-000081BB0000}"/>
    <cellStyle name="SAPBEXheaderItem 8" xfId="51473" xr:uid="{00000000-0005-0000-0000-000082BB0000}"/>
    <cellStyle name="SAPBEXheaderItem 9" xfId="49280"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5" xr:uid="{00000000-0005-0000-0000-000087BB0000}"/>
    <cellStyle name="SAPBEXheaderText 3 2" xfId="49853" xr:uid="{00000000-0005-0000-0000-000088BB0000}"/>
    <cellStyle name="SAPBEXheaderText 3 2 2" xfId="50067" xr:uid="{00000000-0005-0000-0000-000089BB0000}"/>
    <cellStyle name="SAPBEXheaderText 3 2 3" xfId="51536" xr:uid="{00000000-0005-0000-0000-00008ABB0000}"/>
    <cellStyle name="SAPBEXheaderText 3 3" xfId="50514" xr:uid="{00000000-0005-0000-0000-00008BBB0000}"/>
    <cellStyle name="SAPBEXheaderText 3 4" xfId="51450" xr:uid="{00000000-0005-0000-0000-00008CBB0000}"/>
    <cellStyle name="SAPBEXheaderText 4" xfId="49435" xr:uid="{00000000-0005-0000-0000-00008DBB0000}"/>
    <cellStyle name="SAPBEXheaderText 4 2" xfId="49763" xr:uid="{00000000-0005-0000-0000-00008EBB0000}"/>
    <cellStyle name="SAPBEXheaderText 4 2 2" xfId="50234" xr:uid="{00000000-0005-0000-0000-00008FBB0000}"/>
    <cellStyle name="SAPBEXheaderText 4 2 3" xfId="51268" xr:uid="{00000000-0005-0000-0000-000090BB0000}"/>
    <cellStyle name="SAPBEXheaderText 4 3" xfId="50603" xr:uid="{00000000-0005-0000-0000-000091BB0000}"/>
    <cellStyle name="SAPBEXheaderText 4 4" xfId="51202" xr:uid="{00000000-0005-0000-0000-000092BB0000}"/>
    <cellStyle name="SAPBEXheaderText 5" xfId="49664" xr:uid="{00000000-0005-0000-0000-000093BB0000}"/>
    <cellStyle name="SAPBEXheaderText 5 2" xfId="50402" xr:uid="{00000000-0005-0000-0000-000094BB0000}"/>
    <cellStyle name="SAPBEXheaderText 5 3" xfId="51256" xr:uid="{00000000-0005-0000-0000-000095BB0000}"/>
    <cellStyle name="SAPBEXheaderText 6" xfId="50011" xr:uid="{00000000-0005-0000-0000-000096BB0000}"/>
    <cellStyle name="SAPBEXheaderText 6 2" xfId="51056" xr:uid="{00000000-0005-0000-0000-000097BB0000}"/>
    <cellStyle name="SAPBEXheaderText 6 3" xfId="51295" xr:uid="{00000000-0005-0000-0000-000098BB0000}"/>
    <cellStyle name="SAPBEXheaderText 7" xfId="50724" xr:uid="{00000000-0005-0000-0000-000099BB0000}"/>
    <cellStyle name="SAPBEXheaderText 8" xfId="51340" xr:uid="{00000000-0005-0000-0000-00009ABB0000}"/>
    <cellStyle name="SAPBEXheaderText 9" xfId="49281"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1"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4" xr:uid="{00000000-0005-0000-0000-0000B6BB0000}"/>
    <cellStyle name="SAPBEXHLevel0 2 2 2 3" xfId="51567" xr:uid="{00000000-0005-0000-0000-0000B7BB0000}"/>
    <cellStyle name="SAPBEXHLevel0 2 2 2 4" xfId="49855" xr:uid="{00000000-0005-0000-0000-0000B8BB0000}"/>
    <cellStyle name="SAPBEXHLevel0 2 2 3" xfId="46011" xr:uid="{00000000-0005-0000-0000-0000B9BB0000}"/>
    <cellStyle name="SAPBEXHLevel0 2 2 3 2" xfId="50512" xr:uid="{00000000-0005-0000-0000-0000BABB0000}"/>
    <cellStyle name="SAPBEXHLevel0 2 2 4" xfId="51480" xr:uid="{00000000-0005-0000-0000-0000BBBB0000}"/>
    <cellStyle name="SAPBEXHLevel0 2 2 5" xfId="49527"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36" xr:uid="{00000000-0005-0000-0000-0000C9BB0000}"/>
    <cellStyle name="SAPBEXHLevel0 2 3 2 3" xfId="51619" xr:uid="{00000000-0005-0000-0000-0000CABB0000}"/>
    <cellStyle name="SAPBEXHLevel0 2 3 2 4" xfId="49761" xr:uid="{00000000-0005-0000-0000-0000CBBB0000}"/>
    <cellStyle name="SAPBEXHLevel0 2 3 3" xfId="50605" xr:uid="{00000000-0005-0000-0000-0000CCBB0000}"/>
    <cellStyle name="SAPBEXHLevel0 2 3 4" xfId="51228" xr:uid="{00000000-0005-0000-0000-0000CDBB0000}"/>
    <cellStyle name="SAPBEXHLevel0 2 3 5" xfId="49433"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3" xr:uid="{00000000-0005-0000-0000-0000D2BB0000}"/>
    <cellStyle name="SAPBEXHLevel0 2 4" xfId="46027" xr:uid="{00000000-0005-0000-0000-0000D3BB0000}"/>
    <cellStyle name="SAPBEXHLevel0 2 4 2" xfId="46028" xr:uid="{00000000-0005-0000-0000-0000D4BB0000}"/>
    <cellStyle name="SAPBEXHLevel0 2 4 2 2" xfId="50400" xr:uid="{00000000-0005-0000-0000-0000D5BB0000}"/>
    <cellStyle name="SAPBEXHLevel0 2 4 3" xfId="51302" xr:uid="{00000000-0005-0000-0000-0000D6BB0000}"/>
    <cellStyle name="SAPBEXHLevel0 2 4 4" xfId="49666" xr:uid="{00000000-0005-0000-0000-0000D7BB0000}"/>
    <cellStyle name="SAPBEXHLevel0 2 5" xfId="46029" xr:uid="{00000000-0005-0000-0000-0000D8BB0000}"/>
    <cellStyle name="SAPBEXHLevel0 2 5 2" xfId="46030" xr:uid="{00000000-0005-0000-0000-0000D9BB0000}"/>
    <cellStyle name="SAPBEXHLevel0 2 5 2 2" xfId="51054" xr:uid="{00000000-0005-0000-0000-0000DABB0000}"/>
    <cellStyle name="SAPBEXHLevel0 2 5 3" xfId="51120" xr:uid="{00000000-0005-0000-0000-0000DBBB0000}"/>
    <cellStyle name="SAPBEXHLevel0 2 5 4" xfId="50009" xr:uid="{00000000-0005-0000-0000-0000DCBB0000}"/>
    <cellStyle name="SAPBEXHLevel0 2 6" xfId="46031" xr:uid="{00000000-0005-0000-0000-0000DDBB0000}"/>
    <cellStyle name="SAPBEXHLevel0 2 6 2" xfId="46032" xr:uid="{00000000-0005-0000-0000-0000DEBB0000}"/>
    <cellStyle name="SAPBEXHLevel0 2 6 3" xfId="50722" xr:uid="{00000000-0005-0000-0000-0000DFBB0000}"/>
    <cellStyle name="SAPBEXHLevel0 2 7" xfId="46033" xr:uid="{00000000-0005-0000-0000-0000E0BB0000}"/>
    <cellStyle name="SAPBEXHLevel0 2 7 2" xfId="46034" xr:uid="{00000000-0005-0000-0000-0000E1BB0000}"/>
    <cellStyle name="SAPBEXHLevel0 2 7 3" xfId="51474"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69" xr:uid="{00000000-0005-0000-0000-0000F2BB0000}"/>
    <cellStyle name="SAPBEXHLevel0 3 2 3" xfId="51310" xr:uid="{00000000-0005-0000-0000-0000F3BB0000}"/>
    <cellStyle name="SAPBEXHLevel0 3 2 4" xfId="49854" xr:uid="{00000000-0005-0000-0000-0000F4BB0000}"/>
    <cellStyle name="SAPBEXHLevel0 3 3" xfId="46050" xr:uid="{00000000-0005-0000-0000-0000F5BB0000}"/>
    <cellStyle name="SAPBEXHLevel0 3 3 2" xfId="50513" xr:uid="{00000000-0005-0000-0000-0000F6BB0000}"/>
    <cellStyle name="SAPBEXHLevel0 3 4" xfId="51224" xr:uid="{00000000-0005-0000-0000-0000F7BB0000}"/>
    <cellStyle name="SAPBEXHLevel0 3 5" xfId="49526"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2" xr:uid="{00000000-0005-0000-0000-0000FDBB0000}"/>
    <cellStyle name="SAPBEXHLevel0 4" xfId="46055" xr:uid="{00000000-0005-0000-0000-0000FEBB0000}"/>
    <cellStyle name="SAPBEXHLevel0 4 2" xfId="46056" xr:uid="{00000000-0005-0000-0000-0000FFBB0000}"/>
    <cellStyle name="SAPBEXHLevel0 4 2 2" xfId="50235" xr:uid="{00000000-0005-0000-0000-000000BC0000}"/>
    <cellStyle name="SAPBEXHLevel0 4 2 3" xfId="50814" xr:uid="{00000000-0005-0000-0000-000001BC0000}"/>
    <cellStyle name="SAPBEXHLevel0 4 2 4" xfId="49762" xr:uid="{00000000-0005-0000-0000-000002BC0000}"/>
    <cellStyle name="SAPBEXHLevel0 4 3" xfId="50604" xr:uid="{00000000-0005-0000-0000-000003BC0000}"/>
    <cellStyle name="SAPBEXHLevel0 4 4" xfId="51485" xr:uid="{00000000-0005-0000-0000-000004BC0000}"/>
    <cellStyle name="SAPBEXHLevel0 4 5" xfId="49434" xr:uid="{00000000-0005-0000-0000-000005BC0000}"/>
    <cellStyle name="SAPBEXHLevel0 5" xfId="46057" xr:uid="{00000000-0005-0000-0000-000006BC0000}"/>
    <cellStyle name="SAPBEXHLevel0 5 2" xfId="46058" xr:uid="{00000000-0005-0000-0000-000007BC0000}"/>
    <cellStyle name="SAPBEXHLevel0 5 2 2" xfId="50833" xr:uid="{00000000-0005-0000-0000-000008BC0000}"/>
    <cellStyle name="SAPBEXHLevel0 5 2 3" xfId="50747" xr:uid="{00000000-0005-0000-0000-000009BC0000}"/>
    <cellStyle name="SAPBEXHLevel0 5 2 4" xfId="49833" xr:uid="{00000000-0005-0000-0000-00000ABC0000}"/>
    <cellStyle name="SAPBEXHLevel0 5 3" xfId="50534" xr:uid="{00000000-0005-0000-0000-00000BBC0000}"/>
    <cellStyle name="SAPBEXHLevel0 5 4" xfId="51644" xr:uid="{00000000-0005-0000-0000-00000CBC0000}"/>
    <cellStyle name="SAPBEXHLevel0 5 5" xfId="49505" xr:uid="{00000000-0005-0000-0000-00000DBC0000}"/>
    <cellStyle name="SAPBEXHLevel0 6" xfId="46059" xr:uid="{00000000-0005-0000-0000-00000EBC0000}"/>
    <cellStyle name="SAPBEXHLevel0 6 2" xfId="46060" xr:uid="{00000000-0005-0000-0000-00000FBC0000}"/>
    <cellStyle name="SAPBEXHLevel0 6 2 2" xfId="50401" xr:uid="{00000000-0005-0000-0000-000010BC0000}"/>
    <cellStyle name="SAPBEXHLevel0 6 3" xfId="51513" xr:uid="{00000000-0005-0000-0000-000011BC0000}"/>
    <cellStyle name="SAPBEXHLevel0 6 4" xfId="49665" xr:uid="{00000000-0005-0000-0000-000012BC0000}"/>
    <cellStyle name="SAPBEXHLevel0 7" xfId="46061" xr:uid="{00000000-0005-0000-0000-000013BC0000}"/>
    <cellStyle name="SAPBEXHLevel0 7 2" xfId="46062" xr:uid="{00000000-0005-0000-0000-000014BC0000}"/>
    <cellStyle name="SAPBEXHLevel0 7 2 2" xfId="51055" xr:uid="{00000000-0005-0000-0000-000015BC0000}"/>
    <cellStyle name="SAPBEXHLevel0 7 3" xfId="51121" xr:uid="{00000000-0005-0000-0000-000016BC0000}"/>
    <cellStyle name="SAPBEXHLevel0 7 4" xfId="50010" xr:uid="{00000000-0005-0000-0000-000017BC0000}"/>
    <cellStyle name="SAPBEXHLevel0 8" xfId="46063" xr:uid="{00000000-0005-0000-0000-000018BC0000}"/>
    <cellStyle name="SAPBEXHLevel0 8 2" xfId="46064" xr:uid="{00000000-0005-0000-0000-000019BC0000}"/>
    <cellStyle name="SAPBEXHLevel0 8 3" xfId="50723" xr:uid="{00000000-0005-0000-0000-00001ABC0000}"/>
    <cellStyle name="SAPBEXHLevel0 9" xfId="46065" xr:uid="{00000000-0005-0000-0000-00001BBC0000}"/>
    <cellStyle name="SAPBEXHLevel0 9 2" xfId="46066" xr:uid="{00000000-0005-0000-0000-00001CBC0000}"/>
    <cellStyle name="SAPBEXHLevel0 9 3" xfId="51217"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2" xr:uid="{00000000-0005-0000-0000-000037BC0000}"/>
    <cellStyle name="SAPBEXHLevel0X 2 2 2 3" xfId="51613" xr:uid="{00000000-0005-0000-0000-000038BC0000}"/>
    <cellStyle name="SAPBEXHLevel0X 2 2 2 4" xfId="49857" xr:uid="{00000000-0005-0000-0000-000039BC0000}"/>
    <cellStyle name="SAPBEXHLevel0X 2 2 3" xfId="46091" xr:uid="{00000000-0005-0000-0000-00003ABC0000}"/>
    <cellStyle name="SAPBEXHLevel0X 2 2 3 2" xfId="50510" xr:uid="{00000000-0005-0000-0000-00003BBC0000}"/>
    <cellStyle name="SAPBEXHLevel0X 2 2 4" xfId="51642" xr:uid="{00000000-0005-0000-0000-00003CBC0000}"/>
    <cellStyle name="SAPBEXHLevel0X 2 2 5" xfId="49529"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38" xr:uid="{00000000-0005-0000-0000-00004ABC0000}"/>
    <cellStyle name="SAPBEXHLevel0X 2 3 2 3" xfId="51424" xr:uid="{00000000-0005-0000-0000-00004BBC0000}"/>
    <cellStyle name="SAPBEXHLevel0X 2 3 2 4" xfId="49759" xr:uid="{00000000-0005-0000-0000-00004CBC0000}"/>
    <cellStyle name="SAPBEXHLevel0X 2 3 3" xfId="50607" xr:uid="{00000000-0005-0000-0000-00004DBC0000}"/>
    <cellStyle name="SAPBEXHLevel0X 2 3 4" xfId="51652" xr:uid="{00000000-0005-0000-0000-00004EBC0000}"/>
    <cellStyle name="SAPBEXHLevel0X 2 3 5" xfId="49431"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5" xr:uid="{00000000-0005-0000-0000-000053BC0000}"/>
    <cellStyle name="SAPBEXHLevel0X 2 4" xfId="46107" xr:uid="{00000000-0005-0000-0000-000054BC0000}"/>
    <cellStyle name="SAPBEXHLevel0X 2 4 2" xfId="46108" xr:uid="{00000000-0005-0000-0000-000055BC0000}"/>
    <cellStyle name="SAPBEXHLevel0X 2 4 2 2" xfId="50398" xr:uid="{00000000-0005-0000-0000-000056BC0000}"/>
    <cellStyle name="SAPBEXHLevel0X 2 4 3" xfId="51374" xr:uid="{00000000-0005-0000-0000-000057BC0000}"/>
    <cellStyle name="SAPBEXHLevel0X 2 4 4" xfId="49668" xr:uid="{00000000-0005-0000-0000-000058BC0000}"/>
    <cellStyle name="SAPBEXHLevel0X 2 5" xfId="46109" xr:uid="{00000000-0005-0000-0000-000059BC0000}"/>
    <cellStyle name="SAPBEXHLevel0X 2 5 2" xfId="46110" xr:uid="{00000000-0005-0000-0000-00005ABC0000}"/>
    <cellStyle name="SAPBEXHLevel0X 2 5 2 2" xfId="51052" xr:uid="{00000000-0005-0000-0000-00005BBC0000}"/>
    <cellStyle name="SAPBEXHLevel0X 2 5 3" xfId="51412" xr:uid="{00000000-0005-0000-0000-00005CBC0000}"/>
    <cellStyle name="SAPBEXHLevel0X 2 5 4" xfId="50007" xr:uid="{00000000-0005-0000-0000-00005DBC0000}"/>
    <cellStyle name="SAPBEXHLevel0X 2 6" xfId="46111" xr:uid="{00000000-0005-0000-0000-00005EBC0000}"/>
    <cellStyle name="SAPBEXHLevel0X 2 6 2" xfId="46112" xr:uid="{00000000-0005-0000-0000-00005FBC0000}"/>
    <cellStyle name="SAPBEXHLevel0X 2 6 3" xfId="50720" xr:uid="{00000000-0005-0000-0000-000060BC0000}"/>
    <cellStyle name="SAPBEXHLevel0X 2 7" xfId="46113" xr:uid="{00000000-0005-0000-0000-000061BC0000}"/>
    <cellStyle name="SAPBEXHLevel0X 2 7 2" xfId="46114" xr:uid="{00000000-0005-0000-0000-000062BC0000}"/>
    <cellStyle name="SAPBEXHLevel0X 2 7 3" xfId="51341"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0" xr:uid="{00000000-0005-0000-0000-000072BC0000}"/>
    <cellStyle name="SAPBEXHLevel0X 3 10 2" xfId="49758" xr:uid="{00000000-0005-0000-0000-000073BC0000}"/>
    <cellStyle name="SAPBEXHLevel0X 3 10 2 2" xfId="50239" xr:uid="{00000000-0005-0000-0000-000074BC0000}"/>
    <cellStyle name="SAPBEXHLevel0X 3 10 2 3" xfId="51164" xr:uid="{00000000-0005-0000-0000-000075BC0000}"/>
    <cellStyle name="SAPBEXHLevel0X 3 10 3" xfId="50608" xr:uid="{00000000-0005-0000-0000-000076BC0000}"/>
    <cellStyle name="SAPBEXHLevel0X 3 10 4" xfId="51345" xr:uid="{00000000-0005-0000-0000-000077BC0000}"/>
    <cellStyle name="SAPBEXHLevel0X 3 11" xfId="49669" xr:uid="{00000000-0005-0000-0000-000078BC0000}"/>
    <cellStyle name="SAPBEXHLevel0X 3 11 2" xfId="50397" xr:uid="{00000000-0005-0000-0000-000079BC0000}"/>
    <cellStyle name="SAPBEXHLevel0X 3 11 3" xfId="51627" xr:uid="{00000000-0005-0000-0000-00007ABC0000}"/>
    <cellStyle name="SAPBEXHLevel0X 3 12" xfId="50006" xr:uid="{00000000-0005-0000-0000-00007BBC0000}"/>
    <cellStyle name="SAPBEXHLevel0X 3 12 2" xfId="51051" xr:uid="{00000000-0005-0000-0000-00007CBC0000}"/>
    <cellStyle name="SAPBEXHLevel0X 3 12 3" xfId="51582" xr:uid="{00000000-0005-0000-0000-00007DBC0000}"/>
    <cellStyle name="SAPBEXHLevel0X 3 13" xfId="50719" xr:uid="{00000000-0005-0000-0000-00007EBC0000}"/>
    <cellStyle name="SAPBEXHLevel0X 3 14" xfId="51656" xr:uid="{00000000-0005-0000-0000-00007FBC0000}"/>
    <cellStyle name="SAPBEXHLevel0X 3 15" xfId="49286" xr:uid="{00000000-0005-0000-0000-000080BC0000}"/>
    <cellStyle name="SAPBEXHLevel0X 3 2" xfId="46129" xr:uid="{00000000-0005-0000-0000-000081BC0000}"/>
    <cellStyle name="SAPBEXHLevel0X 3 2 2" xfId="49531" xr:uid="{00000000-0005-0000-0000-000082BC0000}"/>
    <cellStyle name="SAPBEXHLevel0X 3 2 2 2" xfId="49859" xr:uid="{00000000-0005-0000-0000-000083BC0000}"/>
    <cellStyle name="SAPBEXHLevel0X 3 2 2 2 2" xfId="50150" xr:uid="{00000000-0005-0000-0000-000084BC0000}"/>
    <cellStyle name="SAPBEXHLevel0X 3 2 2 2 3" xfId="51279" xr:uid="{00000000-0005-0000-0000-000085BC0000}"/>
    <cellStyle name="SAPBEXHLevel0X 3 2 2 3" xfId="50508" xr:uid="{00000000-0005-0000-0000-000086BC0000}"/>
    <cellStyle name="SAPBEXHLevel0X 3 2 2 4" xfId="50976" xr:uid="{00000000-0005-0000-0000-000087BC0000}"/>
    <cellStyle name="SAPBEXHLevel0X 3 2 3" xfId="49429" xr:uid="{00000000-0005-0000-0000-000088BC0000}"/>
    <cellStyle name="SAPBEXHLevel0X 3 2 3 2" xfId="49757" xr:uid="{00000000-0005-0000-0000-000089BC0000}"/>
    <cellStyle name="SAPBEXHLevel0X 3 2 3 2 2" xfId="50240" xr:uid="{00000000-0005-0000-0000-00008ABC0000}"/>
    <cellStyle name="SAPBEXHLevel0X 3 2 3 2 3" xfId="51525" xr:uid="{00000000-0005-0000-0000-00008BBC0000}"/>
    <cellStyle name="SAPBEXHLevel0X 3 2 3 3" xfId="50609" xr:uid="{00000000-0005-0000-0000-00008CBC0000}"/>
    <cellStyle name="SAPBEXHLevel0X 3 2 3 4" xfId="51561" xr:uid="{00000000-0005-0000-0000-00008DBC0000}"/>
    <cellStyle name="SAPBEXHLevel0X 3 2 4" xfId="49670" xr:uid="{00000000-0005-0000-0000-00008EBC0000}"/>
    <cellStyle name="SAPBEXHLevel0X 3 2 4 2" xfId="50396" xr:uid="{00000000-0005-0000-0000-00008FBC0000}"/>
    <cellStyle name="SAPBEXHLevel0X 3 2 4 3" xfId="50809" xr:uid="{00000000-0005-0000-0000-000090BC0000}"/>
    <cellStyle name="SAPBEXHLevel0X 3 2 5" xfId="50005" xr:uid="{00000000-0005-0000-0000-000091BC0000}"/>
    <cellStyle name="SAPBEXHLevel0X 3 2 5 2" xfId="51050" xr:uid="{00000000-0005-0000-0000-000092BC0000}"/>
    <cellStyle name="SAPBEXHLevel0X 3 2 5 3" xfId="51325" xr:uid="{00000000-0005-0000-0000-000093BC0000}"/>
    <cellStyle name="SAPBEXHLevel0X 3 2 6" xfId="50718" xr:uid="{00000000-0005-0000-0000-000094BC0000}"/>
    <cellStyle name="SAPBEXHLevel0X 3 2 7" xfId="50654" xr:uid="{00000000-0005-0000-0000-000095BC0000}"/>
    <cellStyle name="SAPBEXHLevel0X 3 2 8" xfId="49287" xr:uid="{00000000-0005-0000-0000-000096BC0000}"/>
    <cellStyle name="SAPBEXHLevel0X 3 3" xfId="46130" xr:uid="{00000000-0005-0000-0000-000097BC0000}"/>
    <cellStyle name="SAPBEXHLevel0X 3 3 2" xfId="49532" xr:uid="{00000000-0005-0000-0000-000098BC0000}"/>
    <cellStyle name="SAPBEXHLevel0X 3 3 2 2" xfId="49860" xr:uid="{00000000-0005-0000-0000-000099BC0000}"/>
    <cellStyle name="SAPBEXHLevel0X 3 3 2 2 2" xfId="50149" xr:uid="{00000000-0005-0000-0000-00009ABC0000}"/>
    <cellStyle name="SAPBEXHLevel0X 3 3 2 2 3" xfId="51537" xr:uid="{00000000-0005-0000-0000-00009BBC0000}"/>
    <cellStyle name="SAPBEXHLevel0X 3 3 2 3" xfId="50507" xr:uid="{00000000-0005-0000-0000-00009CBC0000}"/>
    <cellStyle name="SAPBEXHLevel0X 3 3 2 4" xfId="51241" xr:uid="{00000000-0005-0000-0000-00009DBC0000}"/>
    <cellStyle name="SAPBEXHLevel0X 3 3 3" xfId="49428" xr:uid="{00000000-0005-0000-0000-00009EBC0000}"/>
    <cellStyle name="SAPBEXHLevel0X 3 3 3 2" xfId="49756" xr:uid="{00000000-0005-0000-0000-00009FBC0000}"/>
    <cellStyle name="SAPBEXHLevel0X 3 3 3 2 2" xfId="50241" xr:uid="{00000000-0005-0000-0000-0000A0BC0000}"/>
    <cellStyle name="SAPBEXHLevel0X 3 3 3 2 3" xfId="51267" xr:uid="{00000000-0005-0000-0000-0000A1BC0000}"/>
    <cellStyle name="SAPBEXHLevel0X 3 3 3 3" xfId="50610" xr:uid="{00000000-0005-0000-0000-0000A2BC0000}"/>
    <cellStyle name="SAPBEXHLevel0X 3 3 3 4" xfId="51304" xr:uid="{00000000-0005-0000-0000-0000A3BC0000}"/>
    <cellStyle name="SAPBEXHLevel0X 3 3 4" xfId="49671" xr:uid="{00000000-0005-0000-0000-0000A4BC0000}"/>
    <cellStyle name="SAPBEXHLevel0X 3 3 4 2" xfId="50395" xr:uid="{00000000-0005-0000-0000-0000A5BC0000}"/>
    <cellStyle name="SAPBEXHLevel0X 3 3 4 3" xfId="51257" xr:uid="{00000000-0005-0000-0000-0000A6BC0000}"/>
    <cellStyle name="SAPBEXHLevel0X 3 3 5" xfId="50004" xr:uid="{00000000-0005-0000-0000-0000A7BC0000}"/>
    <cellStyle name="SAPBEXHLevel0X 3 3 5 2" xfId="51049" xr:uid="{00000000-0005-0000-0000-0000A8BC0000}"/>
    <cellStyle name="SAPBEXHLevel0X 3 3 5 3" xfId="51552" xr:uid="{00000000-0005-0000-0000-0000A9BC0000}"/>
    <cellStyle name="SAPBEXHLevel0X 3 3 6" xfId="50717" xr:uid="{00000000-0005-0000-0000-0000AABC0000}"/>
    <cellStyle name="SAPBEXHLevel0X 3 3 7" xfId="50869" xr:uid="{00000000-0005-0000-0000-0000ABBC0000}"/>
    <cellStyle name="SAPBEXHLevel0X 3 3 8" xfId="49288" xr:uid="{00000000-0005-0000-0000-0000ACBC0000}"/>
    <cellStyle name="SAPBEXHLevel0X 3 4" xfId="49289" xr:uid="{00000000-0005-0000-0000-0000ADBC0000}"/>
    <cellStyle name="SAPBEXHLevel0X 3 4 2" xfId="49533" xr:uid="{00000000-0005-0000-0000-0000AEBC0000}"/>
    <cellStyle name="SAPBEXHLevel0X 3 4 2 2" xfId="49861" xr:uid="{00000000-0005-0000-0000-0000AFBC0000}"/>
    <cellStyle name="SAPBEXHLevel0X 3 4 2 2 2" xfId="50148" xr:uid="{00000000-0005-0000-0000-0000B0BC0000}"/>
    <cellStyle name="SAPBEXHLevel0X 3 4 2 2 3" xfId="51311" xr:uid="{00000000-0005-0000-0000-0000B1BC0000}"/>
    <cellStyle name="SAPBEXHLevel0X 3 4 2 3" xfId="50506" xr:uid="{00000000-0005-0000-0000-0000B2BC0000}"/>
    <cellStyle name="SAPBEXHLevel0X 3 4 2 4" xfId="51498" xr:uid="{00000000-0005-0000-0000-0000B3BC0000}"/>
    <cellStyle name="SAPBEXHLevel0X 3 4 3" xfId="49427" xr:uid="{00000000-0005-0000-0000-0000B4BC0000}"/>
    <cellStyle name="SAPBEXHLevel0X 3 4 3 2" xfId="49755" xr:uid="{00000000-0005-0000-0000-0000B5BC0000}"/>
    <cellStyle name="SAPBEXHLevel0X 3 4 3 2 2" xfId="50242" xr:uid="{00000000-0005-0000-0000-0000B6BC0000}"/>
    <cellStyle name="SAPBEXHLevel0X 3 4 3 2 3" xfId="50644" xr:uid="{00000000-0005-0000-0000-0000B7BC0000}"/>
    <cellStyle name="SAPBEXHLevel0X 3 4 3 3" xfId="50611" xr:uid="{00000000-0005-0000-0000-0000B8BC0000}"/>
    <cellStyle name="SAPBEXHLevel0X 3 4 3 4" xfId="51461" xr:uid="{00000000-0005-0000-0000-0000B9BC0000}"/>
    <cellStyle name="SAPBEXHLevel0X 3 4 4" xfId="49672" xr:uid="{00000000-0005-0000-0000-0000BABC0000}"/>
    <cellStyle name="SAPBEXHLevel0X 3 4 4 2" xfId="50059" xr:uid="{00000000-0005-0000-0000-0000BBBC0000}"/>
    <cellStyle name="SAPBEXHLevel0X 3 4 4 3" xfId="51514" xr:uid="{00000000-0005-0000-0000-0000BCBC0000}"/>
    <cellStyle name="SAPBEXHLevel0X 3 4 5" xfId="50003" xr:uid="{00000000-0005-0000-0000-0000BDBC0000}"/>
    <cellStyle name="SAPBEXHLevel0X 3 4 5 2" xfId="51048" xr:uid="{00000000-0005-0000-0000-0000BEBC0000}"/>
    <cellStyle name="SAPBEXHLevel0X 3 4 5 3" xfId="51294" xr:uid="{00000000-0005-0000-0000-0000BFBC0000}"/>
    <cellStyle name="SAPBEXHLevel0X 3 4 6" xfId="50716" xr:uid="{00000000-0005-0000-0000-0000C0BC0000}"/>
    <cellStyle name="SAPBEXHLevel0X 3 4 7" xfId="50943" xr:uid="{00000000-0005-0000-0000-0000C1BC0000}"/>
    <cellStyle name="SAPBEXHLevel0X 3 5" xfId="49290" xr:uid="{00000000-0005-0000-0000-0000C2BC0000}"/>
    <cellStyle name="SAPBEXHLevel0X 3 5 2" xfId="49534" xr:uid="{00000000-0005-0000-0000-0000C3BC0000}"/>
    <cellStyle name="SAPBEXHLevel0X 3 5 2 2" xfId="49862" xr:uid="{00000000-0005-0000-0000-0000C4BC0000}"/>
    <cellStyle name="SAPBEXHLevel0X 3 5 2 2 2" xfId="50147" xr:uid="{00000000-0005-0000-0000-0000C5BC0000}"/>
    <cellStyle name="SAPBEXHLevel0X 3 5 2 2 3" xfId="51568" xr:uid="{00000000-0005-0000-0000-0000C6BC0000}"/>
    <cellStyle name="SAPBEXHLevel0X 3 5 2 3" xfId="50505" xr:uid="{00000000-0005-0000-0000-0000C7BC0000}"/>
    <cellStyle name="SAPBEXHLevel0X 3 5 2 4" xfId="51189" xr:uid="{00000000-0005-0000-0000-0000C8BC0000}"/>
    <cellStyle name="SAPBEXHLevel0X 3 5 3" xfId="49426" xr:uid="{00000000-0005-0000-0000-0000C9BC0000}"/>
    <cellStyle name="SAPBEXHLevel0X 3 5 3 2" xfId="49754" xr:uid="{00000000-0005-0000-0000-0000CABC0000}"/>
    <cellStyle name="SAPBEXHLevel0X 3 5 3 2 2" xfId="50243" xr:uid="{00000000-0005-0000-0000-0000CBBC0000}"/>
    <cellStyle name="SAPBEXHLevel0X 3 5 3 2 3" xfId="51659" xr:uid="{00000000-0005-0000-0000-0000CCBC0000}"/>
    <cellStyle name="SAPBEXHLevel0X 3 5 3 3" xfId="50612" xr:uid="{00000000-0005-0000-0000-0000CDBC0000}"/>
    <cellStyle name="SAPBEXHLevel0X 3 5 3 4" xfId="51203" xr:uid="{00000000-0005-0000-0000-0000CEBC0000}"/>
    <cellStyle name="SAPBEXHLevel0X 3 5 4" xfId="49673" xr:uid="{00000000-0005-0000-0000-0000CFBC0000}"/>
    <cellStyle name="SAPBEXHLevel0X 3 5 4 2" xfId="50371" xr:uid="{00000000-0005-0000-0000-0000D0BC0000}"/>
    <cellStyle name="SAPBEXHLevel0X 3 5 4 3" xfId="51174" xr:uid="{00000000-0005-0000-0000-0000D1BC0000}"/>
    <cellStyle name="SAPBEXHLevel0X 3 5 5" xfId="49962" xr:uid="{00000000-0005-0000-0000-0000D2BC0000}"/>
    <cellStyle name="SAPBEXHLevel0X 3 5 5 2" xfId="51007" xr:uid="{00000000-0005-0000-0000-0000D3BC0000}"/>
    <cellStyle name="SAPBEXHLevel0X 3 5 5 3" xfId="51329" xr:uid="{00000000-0005-0000-0000-0000D4BC0000}"/>
    <cellStyle name="SAPBEXHLevel0X 3 5 6" xfId="50715" xr:uid="{00000000-0005-0000-0000-0000D5BC0000}"/>
    <cellStyle name="SAPBEXHLevel0X 3 5 7" xfId="50883" xr:uid="{00000000-0005-0000-0000-0000D6BC0000}"/>
    <cellStyle name="SAPBEXHLevel0X 3 6" xfId="49291" xr:uid="{00000000-0005-0000-0000-0000D7BC0000}"/>
    <cellStyle name="SAPBEXHLevel0X 3 6 2" xfId="49535" xr:uid="{00000000-0005-0000-0000-0000D8BC0000}"/>
    <cellStyle name="SAPBEXHLevel0X 3 6 2 2" xfId="49863" xr:uid="{00000000-0005-0000-0000-0000D9BC0000}"/>
    <cellStyle name="SAPBEXHLevel0X 3 6 2 2 2" xfId="50146" xr:uid="{00000000-0005-0000-0000-0000DABC0000}"/>
    <cellStyle name="SAPBEXHLevel0X 3 6 2 2 3" xfId="51398" xr:uid="{00000000-0005-0000-0000-0000DBBC0000}"/>
    <cellStyle name="SAPBEXHLevel0X 3 6 2 3" xfId="50504" xr:uid="{00000000-0005-0000-0000-0000DCBC0000}"/>
    <cellStyle name="SAPBEXHLevel0X 3 6 2 4" xfId="51447" xr:uid="{00000000-0005-0000-0000-0000DDBC0000}"/>
    <cellStyle name="SAPBEXHLevel0X 3 6 3" xfId="49425" xr:uid="{00000000-0005-0000-0000-0000DEBC0000}"/>
    <cellStyle name="SAPBEXHLevel0X 3 6 3 2" xfId="49753" xr:uid="{00000000-0005-0000-0000-0000DFBC0000}"/>
    <cellStyle name="SAPBEXHLevel0X 3 6 3 2 2" xfId="50244" xr:uid="{00000000-0005-0000-0000-0000E0BC0000}"/>
    <cellStyle name="SAPBEXHLevel0X 3 6 3 2 3" xfId="51385" xr:uid="{00000000-0005-0000-0000-0000E1BC0000}"/>
    <cellStyle name="SAPBEXHLevel0X 3 6 3 3" xfId="50613" xr:uid="{00000000-0005-0000-0000-0000E2BC0000}"/>
    <cellStyle name="SAPBEXHLevel0X 3 6 3 4" xfId="51484" xr:uid="{00000000-0005-0000-0000-0000E3BC0000}"/>
    <cellStyle name="SAPBEXHLevel0X 3 6 4" xfId="49674" xr:uid="{00000000-0005-0000-0000-0000E4BC0000}"/>
    <cellStyle name="SAPBEXHLevel0X 3 6 4 2" xfId="50345" xr:uid="{00000000-0005-0000-0000-0000E5BC0000}"/>
    <cellStyle name="SAPBEXHLevel0X 3 6 4 3" xfId="51433" xr:uid="{00000000-0005-0000-0000-0000E6BC0000}"/>
    <cellStyle name="SAPBEXHLevel0X 3 6 5" xfId="50002" xr:uid="{00000000-0005-0000-0000-0000E7BC0000}"/>
    <cellStyle name="SAPBEXHLevel0X 3 6 5 2" xfId="51047" xr:uid="{00000000-0005-0000-0000-0000E8BC0000}"/>
    <cellStyle name="SAPBEXHLevel0X 3 6 5 3" xfId="51119" xr:uid="{00000000-0005-0000-0000-0000E9BC0000}"/>
    <cellStyle name="SAPBEXHLevel0X 3 6 6" xfId="50714" xr:uid="{00000000-0005-0000-0000-0000EABC0000}"/>
    <cellStyle name="SAPBEXHLevel0X 3 6 7" xfId="50954" xr:uid="{00000000-0005-0000-0000-0000EBBC0000}"/>
    <cellStyle name="SAPBEXHLevel0X 3 7" xfId="49292" xr:uid="{00000000-0005-0000-0000-0000ECBC0000}"/>
    <cellStyle name="SAPBEXHLevel0X 3 7 2" xfId="49536" xr:uid="{00000000-0005-0000-0000-0000EDBC0000}"/>
    <cellStyle name="SAPBEXHLevel0X 3 7 2 2" xfId="49864" xr:uid="{00000000-0005-0000-0000-0000EEBC0000}"/>
    <cellStyle name="SAPBEXHLevel0X 3 7 2 2 2" xfId="50145" xr:uid="{00000000-0005-0000-0000-0000EFBC0000}"/>
    <cellStyle name="SAPBEXHLevel0X 3 7 2 2 3" xfId="51612" xr:uid="{00000000-0005-0000-0000-0000F0BC0000}"/>
    <cellStyle name="SAPBEXHLevel0X 3 7 2 3" xfId="50503" xr:uid="{00000000-0005-0000-0000-0000F1BC0000}"/>
    <cellStyle name="SAPBEXHLevel0X 3 7 2 4" xfId="51359" xr:uid="{00000000-0005-0000-0000-0000F2BC0000}"/>
    <cellStyle name="SAPBEXHLevel0X 3 7 3" xfId="49424" xr:uid="{00000000-0005-0000-0000-0000F3BC0000}"/>
    <cellStyle name="SAPBEXHLevel0X 3 7 3 2" xfId="49752" xr:uid="{00000000-0005-0000-0000-0000F4BC0000}"/>
    <cellStyle name="SAPBEXHLevel0X 3 7 3 2 2" xfId="50245" xr:uid="{00000000-0005-0000-0000-0000F5BC0000}"/>
    <cellStyle name="SAPBEXHLevel0X 3 7 3 2 3" xfId="51425" xr:uid="{00000000-0005-0000-0000-0000F6BC0000}"/>
    <cellStyle name="SAPBEXHLevel0X 3 7 3 3" xfId="50614" xr:uid="{00000000-0005-0000-0000-0000F7BC0000}"/>
    <cellStyle name="SAPBEXHLevel0X 3 7 3 4" xfId="51227" xr:uid="{00000000-0005-0000-0000-0000F8BC0000}"/>
    <cellStyle name="SAPBEXHLevel0X 3 7 4" xfId="49675" xr:uid="{00000000-0005-0000-0000-0000F9BC0000}"/>
    <cellStyle name="SAPBEXHLevel0X 3 7 4 2" xfId="50344" xr:uid="{00000000-0005-0000-0000-0000FABC0000}"/>
    <cellStyle name="SAPBEXHLevel0X 3 7 4 3" xfId="51375" xr:uid="{00000000-0005-0000-0000-0000FBBC0000}"/>
    <cellStyle name="SAPBEXHLevel0X 3 7 5" xfId="50001" xr:uid="{00000000-0005-0000-0000-0000FCBC0000}"/>
    <cellStyle name="SAPBEXHLevel0X 3 7 5 2" xfId="51046" xr:uid="{00000000-0005-0000-0000-0000FDBC0000}"/>
    <cellStyle name="SAPBEXHLevel0X 3 7 5 3" xfId="51604" xr:uid="{00000000-0005-0000-0000-0000FEBC0000}"/>
    <cellStyle name="SAPBEXHLevel0X 3 7 6" xfId="50713" xr:uid="{00000000-0005-0000-0000-0000FFBC0000}"/>
    <cellStyle name="SAPBEXHLevel0X 3 7 7" xfId="50907" xr:uid="{00000000-0005-0000-0000-000000BD0000}"/>
    <cellStyle name="SAPBEXHLevel0X 3 8" xfId="49293" xr:uid="{00000000-0005-0000-0000-000001BD0000}"/>
    <cellStyle name="SAPBEXHLevel0X 3 8 2" xfId="49537" xr:uid="{00000000-0005-0000-0000-000002BD0000}"/>
    <cellStyle name="SAPBEXHLevel0X 3 8 2 2" xfId="49865" xr:uid="{00000000-0005-0000-0000-000003BD0000}"/>
    <cellStyle name="SAPBEXHLevel0X 3 8 2 2 2" xfId="50144" xr:uid="{00000000-0005-0000-0000-000004BD0000}"/>
    <cellStyle name="SAPBEXHLevel0X 3 8 2 2 3" xfId="50961" xr:uid="{00000000-0005-0000-0000-000005BD0000}"/>
    <cellStyle name="SAPBEXHLevel0X 3 8 2 3" xfId="50502" xr:uid="{00000000-0005-0000-0000-000006BD0000}"/>
    <cellStyle name="SAPBEXHLevel0X 3 8 2 4" xfId="51639" xr:uid="{00000000-0005-0000-0000-000007BD0000}"/>
    <cellStyle name="SAPBEXHLevel0X 3 8 3" xfId="49423" xr:uid="{00000000-0005-0000-0000-000008BD0000}"/>
    <cellStyle name="SAPBEXHLevel0X 3 8 3 2" xfId="49751" xr:uid="{00000000-0005-0000-0000-000009BD0000}"/>
    <cellStyle name="SAPBEXHLevel0X 3 8 3 2 2" xfId="50246" xr:uid="{00000000-0005-0000-0000-00000ABD0000}"/>
    <cellStyle name="SAPBEXHLevel0X 3 8 3 2 3" xfId="51165" xr:uid="{00000000-0005-0000-0000-00000BBD0000}"/>
    <cellStyle name="SAPBEXHLevel0X 3 8 3 3" xfId="50615" xr:uid="{00000000-0005-0000-0000-00000CBD0000}"/>
    <cellStyle name="SAPBEXHLevel0X 3 8 3 4" xfId="50895" xr:uid="{00000000-0005-0000-0000-00000DBD0000}"/>
    <cellStyle name="SAPBEXHLevel0X 3 8 4" xfId="49676" xr:uid="{00000000-0005-0000-0000-00000EBD0000}"/>
    <cellStyle name="SAPBEXHLevel0X 3 8 4 2" xfId="50343" xr:uid="{00000000-0005-0000-0000-00000FBD0000}"/>
    <cellStyle name="SAPBEXHLevel0X 3 8 4 3" xfId="51626" xr:uid="{00000000-0005-0000-0000-000010BD0000}"/>
    <cellStyle name="SAPBEXHLevel0X 3 8 5" xfId="50047" xr:uid="{00000000-0005-0000-0000-000011BD0000}"/>
    <cellStyle name="SAPBEXHLevel0X 3 8 5 2" xfId="51091" xr:uid="{00000000-0005-0000-0000-000012BD0000}"/>
    <cellStyle name="SAPBEXHLevel0X 3 8 5 3" xfId="51585" xr:uid="{00000000-0005-0000-0000-000013BD0000}"/>
    <cellStyle name="SAPBEXHLevel0X 3 8 6" xfId="50712" xr:uid="{00000000-0005-0000-0000-000014BD0000}"/>
    <cellStyle name="SAPBEXHLevel0X 3 8 7" xfId="50970" xr:uid="{00000000-0005-0000-0000-000015BD0000}"/>
    <cellStyle name="SAPBEXHLevel0X 3 9" xfId="49530" xr:uid="{00000000-0005-0000-0000-000016BD0000}"/>
    <cellStyle name="SAPBEXHLevel0X 3 9 2" xfId="49858" xr:uid="{00000000-0005-0000-0000-000017BD0000}"/>
    <cellStyle name="SAPBEXHLevel0X 3 9 2 2" xfId="50151" xr:uid="{00000000-0005-0000-0000-000018BD0000}"/>
    <cellStyle name="SAPBEXHLevel0X 3 9 2 3" xfId="50890" xr:uid="{00000000-0005-0000-0000-000019BD0000}"/>
    <cellStyle name="SAPBEXHLevel0X 3 9 3" xfId="50509" xr:uid="{00000000-0005-0000-0000-00001ABD0000}"/>
    <cellStyle name="SAPBEXHLevel0X 3 9 4" xfId="50910"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4" xr:uid="{00000000-0005-0000-0000-000020BD0000}"/>
    <cellStyle name="SAPBEXHLevel0X 4" xfId="46135" xr:uid="{00000000-0005-0000-0000-000021BD0000}"/>
    <cellStyle name="SAPBEXHLevel0X 4 2" xfId="46136" xr:uid="{00000000-0005-0000-0000-000022BD0000}"/>
    <cellStyle name="SAPBEXHLevel0X 4 2 2" xfId="50153" xr:uid="{00000000-0005-0000-0000-000023BD0000}"/>
    <cellStyle name="SAPBEXHLevel0X 4 2 3" xfId="51397" xr:uid="{00000000-0005-0000-0000-000024BD0000}"/>
    <cellStyle name="SAPBEXHLevel0X 4 2 4" xfId="49856" xr:uid="{00000000-0005-0000-0000-000025BD0000}"/>
    <cellStyle name="SAPBEXHLevel0X 4 3" xfId="50511" xr:uid="{00000000-0005-0000-0000-000026BD0000}"/>
    <cellStyle name="SAPBEXHLevel0X 4 4" xfId="51356" xr:uid="{00000000-0005-0000-0000-000027BD0000}"/>
    <cellStyle name="SAPBEXHLevel0X 4 5" xfId="49528" xr:uid="{00000000-0005-0000-0000-000028BD0000}"/>
    <cellStyle name="SAPBEXHLevel0X 5" xfId="46137" xr:uid="{00000000-0005-0000-0000-000029BD0000}"/>
    <cellStyle name="SAPBEXHLevel0X 5 2" xfId="46138" xr:uid="{00000000-0005-0000-0000-00002ABD0000}"/>
    <cellStyle name="SAPBEXHLevel0X 5 2 2" xfId="50237" xr:uid="{00000000-0005-0000-0000-00002BBD0000}"/>
    <cellStyle name="SAPBEXHLevel0X 5 2 3" xfId="51386" xr:uid="{00000000-0005-0000-0000-00002CBD0000}"/>
    <cellStyle name="SAPBEXHLevel0X 5 2 4" xfId="49760" xr:uid="{00000000-0005-0000-0000-00002DBD0000}"/>
    <cellStyle name="SAPBEXHLevel0X 5 3" xfId="50606" xr:uid="{00000000-0005-0000-0000-00002EBD0000}"/>
    <cellStyle name="SAPBEXHLevel0X 5 4" xfId="50966" xr:uid="{00000000-0005-0000-0000-00002FBD0000}"/>
    <cellStyle name="SAPBEXHLevel0X 5 5" xfId="49432" xr:uid="{00000000-0005-0000-0000-000030BD0000}"/>
    <cellStyle name="SAPBEXHLevel0X 6" xfId="46139" xr:uid="{00000000-0005-0000-0000-000031BD0000}"/>
    <cellStyle name="SAPBEXHLevel0X 6 2" xfId="46140" xr:uid="{00000000-0005-0000-0000-000032BD0000}"/>
    <cellStyle name="SAPBEXHLevel0X 6 2 2" xfId="50399" xr:uid="{00000000-0005-0000-0000-000033BD0000}"/>
    <cellStyle name="SAPBEXHLevel0X 6 3" xfId="51559" xr:uid="{00000000-0005-0000-0000-000034BD0000}"/>
    <cellStyle name="SAPBEXHLevel0X 6 4" xfId="49667" xr:uid="{00000000-0005-0000-0000-000035BD0000}"/>
    <cellStyle name="SAPBEXHLevel0X 7" xfId="46141" xr:uid="{00000000-0005-0000-0000-000036BD0000}"/>
    <cellStyle name="SAPBEXHLevel0X 7 2" xfId="46142" xr:uid="{00000000-0005-0000-0000-000037BD0000}"/>
    <cellStyle name="SAPBEXHLevel0X 7 2 2" xfId="51053" xr:uid="{00000000-0005-0000-0000-000038BD0000}"/>
    <cellStyle name="SAPBEXHLevel0X 7 3" xfId="51603" xr:uid="{00000000-0005-0000-0000-000039BD0000}"/>
    <cellStyle name="SAPBEXHLevel0X 7 4" xfId="50008" xr:uid="{00000000-0005-0000-0000-00003ABD0000}"/>
    <cellStyle name="SAPBEXHLevel0X 8" xfId="46143" xr:uid="{00000000-0005-0000-0000-00003BBD0000}"/>
    <cellStyle name="SAPBEXHLevel0X 8 2" xfId="46144" xr:uid="{00000000-0005-0000-0000-00003CBD0000}"/>
    <cellStyle name="SAPBEXHLevel0X 8 3" xfId="50721" xr:uid="{00000000-0005-0000-0000-00003DBD0000}"/>
    <cellStyle name="SAPBEXHLevel0X 9" xfId="46145" xr:uid="{00000000-0005-0000-0000-00003EBD0000}"/>
    <cellStyle name="SAPBEXHLevel0X 9 2" xfId="46146" xr:uid="{00000000-0005-0000-0000-00003FBD0000}"/>
    <cellStyle name="SAPBEXHLevel0X 9 3" xfId="51465"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38"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2" xr:uid="{00000000-0005-0000-0000-00005BBD0000}"/>
    <cellStyle name="SAPBEXHLevel1 2 2 2 3" xfId="51538" xr:uid="{00000000-0005-0000-0000-00005CBD0000}"/>
    <cellStyle name="SAPBEXHLevel1 2 2 2 4" xfId="49867" xr:uid="{00000000-0005-0000-0000-00005DBD0000}"/>
    <cellStyle name="SAPBEXHLevel1 2 2 3" xfId="46171" xr:uid="{00000000-0005-0000-0000-00005EBD0000}"/>
    <cellStyle name="SAPBEXHLevel1 2 2 3 2" xfId="50500" xr:uid="{00000000-0005-0000-0000-00005FBD0000}"/>
    <cellStyle name="SAPBEXHLevel1 2 2 4" xfId="51188" xr:uid="{00000000-0005-0000-0000-000060BD0000}"/>
    <cellStyle name="SAPBEXHLevel1 2 2 5" xfId="49539"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48" xr:uid="{00000000-0005-0000-0000-00006EBD0000}"/>
    <cellStyle name="SAPBEXHLevel1 2 3 2 3" xfId="51266" xr:uid="{00000000-0005-0000-0000-00006FBD0000}"/>
    <cellStyle name="SAPBEXHLevel1 2 3 2 4" xfId="49749" xr:uid="{00000000-0005-0000-0000-000070BD0000}"/>
    <cellStyle name="SAPBEXHLevel1 2 3 3" xfId="50617" xr:uid="{00000000-0005-0000-0000-000071BD0000}"/>
    <cellStyle name="SAPBEXHLevel1 2 3 4" xfId="51344" xr:uid="{00000000-0005-0000-0000-000072BD0000}"/>
    <cellStyle name="SAPBEXHLevel1 2 3 5" xfId="49421"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5" xr:uid="{00000000-0005-0000-0000-000077BD0000}"/>
    <cellStyle name="SAPBEXHLevel1 2 4" xfId="46187" xr:uid="{00000000-0005-0000-0000-000078BD0000}"/>
    <cellStyle name="SAPBEXHLevel1 2 4 2" xfId="46188" xr:uid="{00000000-0005-0000-0000-000079BD0000}"/>
    <cellStyle name="SAPBEXHLevel1 2 4 2 2" xfId="50341" xr:uid="{00000000-0005-0000-0000-00007ABD0000}"/>
    <cellStyle name="SAPBEXHLevel1 2 4 3" xfId="51258" xr:uid="{00000000-0005-0000-0000-00007BBD0000}"/>
    <cellStyle name="SAPBEXHLevel1 2 4 4" xfId="49678" xr:uid="{00000000-0005-0000-0000-00007CBD0000}"/>
    <cellStyle name="SAPBEXHLevel1 2 5" xfId="46189" xr:uid="{00000000-0005-0000-0000-00007DBD0000}"/>
    <cellStyle name="SAPBEXHLevel1 2 5 2" xfId="46190" xr:uid="{00000000-0005-0000-0000-00007EBD0000}"/>
    <cellStyle name="SAPBEXHLevel1 2 5 2 2" xfId="51044" xr:uid="{00000000-0005-0000-0000-00007FBD0000}"/>
    <cellStyle name="SAPBEXHLevel1 2 5 3" xfId="51581" xr:uid="{00000000-0005-0000-0000-000080BD0000}"/>
    <cellStyle name="SAPBEXHLevel1 2 5 4" xfId="49999" xr:uid="{00000000-0005-0000-0000-000081BD0000}"/>
    <cellStyle name="SAPBEXHLevel1 2 6" xfId="46191" xr:uid="{00000000-0005-0000-0000-000082BD0000}"/>
    <cellStyle name="SAPBEXHLevel1 2 6 2" xfId="46192" xr:uid="{00000000-0005-0000-0000-000083BD0000}"/>
    <cellStyle name="SAPBEXHLevel1 2 6 3" xfId="50710" xr:uid="{00000000-0005-0000-0000-000084BD0000}"/>
    <cellStyle name="SAPBEXHLevel1 2 7" xfId="46193" xr:uid="{00000000-0005-0000-0000-000085BD0000}"/>
    <cellStyle name="SAPBEXHLevel1 2 7 2" xfId="46194" xr:uid="{00000000-0005-0000-0000-000086BD0000}"/>
    <cellStyle name="SAPBEXHLevel1 2 7 3" xfId="51140"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3" xr:uid="{00000000-0005-0000-0000-000097BD0000}"/>
    <cellStyle name="SAPBEXHLevel1 3 2 3" xfId="51280" xr:uid="{00000000-0005-0000-0000-000098BD0000}"/>
    <cellStyle name="SAPBEXHLevel1 3 2 4" xfId="49866" xr:uid="{00000000-0005-0000-0000-000099BD0000}"/>
    <cellStyle name="SAPBEXHLevel1 3 3" xfId="46210" xr:uid="{00000000-0005-0000-0000-00009ABD0000}"/>
    <cellStyle name="SAPBEXHLevel1 3 3 2" xfId="50501" xr:uid="{00000000-0005-0000-0000-00009BBD0000}"/>
    <cellStyle name="SAPBEXHLevel1 3 4" xfId="50807" xr:uid="{00000000-0005-0000-0000-00009CBD0000}"/>
    <cellStyle name="SAPBEXHLevel1 3 5" xfId="49538"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4" xr:uid="{00000000-0005-0000-0000-0000A2BD0000}"/>
    <cellStyle name="SAPBEXHLevel1 4" xfId="46215" xr:uid="{00000000-0005-0000-0000-0000A3BD0000}"/>
    <cellStyle name="SAPBEXHLevel1 4 2" xfId="46216" xr:uid="{00000000-0005-0000-0000-0000A4BD0000}"/>
    <cellStyle name="SAPBEXHLevel1 4 2 2" xfId="50247" xr:uid="{00000000-0005-0000-0000-0000A5BD0000}"/>
    <cellStyle name="SAPBEXHLevel1 4 2 3" xfId="51524" xr:uid="{00000000-0005-0000-0000-0000A6BD0000}"/>
    <cellStyle name="SAPBEXHLevel1 4 2 4" xfId="49750" xr:uid="{00000000-0005-0000-0000-0000A7BD0000}"/>
    <cellStyle name="SAPBEXHLevel1 4 3" xfId="50616" xr:uid="{00000000-0005-0000-0000-0000A8BD0000}"/>
    <cellStyle name="SAPBEXHLevel1 4 4" xfId="51653" xr:uid="{00000000-0005-0000-0000-0000A9BD0000}"/>
    <cellStyle name="SAPBEXHLevel1 4 5" xfId="49422" xr:uid="{00000000-0005-0000-0000-0000AABD0000}"/>
    <cellStyle name="SAPBEXHLevel1 5" xfId="46217" xr:uid="{00000000-0005-0000-0000-0000ABBD0000}"/>
    <cellStyle name="SAPBEXHLevel1 5 2" xfId="46218" xr:uid="{00000000-0005-0000-0000-0000ACBD0000}"/>
    <cellStyle name="SAPBEXHLevel1 5 2 2" xfId="50087" xr:uid="{00000000-0005-0000-0000-0000ADBD0000}"/>
    <cellStyle name="SAPBEXHLevel1 5 2 3" xfId="51108" xr:uid="{00000000-0005-0000-0000-0000AEBD0000}"/>
    <cellStyle name="SAPBEXHLevel1 5 2 4" xfId="49924" xr:uid="{00000000-0005-0000-0000-0000AFBD0000}"/>
    <cellStyle name="SAPBEXHLevel1 5 3" xfId="50443" xr:uid="{00000000-0005-0000-0000-0000B0BD0000}"/>
    <cellStyle name="SAPBEXHLevel1 5 4" xfId="51190" xr:uid="{00000000-0005-0000-0000-0000B1BD0000}"/>
    <cellStyle name="SAPBEXHLevel1 5 5" xfId="49596" xr:uid="{00000000-0005-0000-0000-0000B2BD0000}"/>
    <cellStyle name="SAPBEXHLevel1 6" xfId="46219" xr:uid="{00000000-0005-0000-0000-0000B3BD0000}"/>
    <cellStyle name="SAPBEXHLevel1 6 2" xfId="46220" xr:uid="{00000000-0005-0000-0000-0000B4BD0000}"/>
    <cellStyle name="SAPBEXHLevel1 6 2 2" xfId="50342" xr:uid="{00000000-0005-0000-0000-0000B5BD0000}"/>
    <cellStyle name="SAPBEXHLevel1 6 3" xfId="50810" xr:uid="{00000000-0005-0000-0000-0000B6BD0000}"/>
    <cellStyle name="SAPBEXHLevel1 6 4" xfId="49677" xr:uid="{00000000-0005-0000-0000-0000B7BD0000}"/>
    <cellStyle name="SAPBEXHLevel1 7" xfId="46221" xr:uid="{00000000-0005-0000-0000-0000B8BD0000}"/>
    <cellStyle name="SAPBEXHLevel1 7 2" xfId="46222" xr:uid="{00000000-0005-0000-0000-0000B9BD0000}"/>
    <cellStyle name="SAPBEXHLevel1 7 2 2" xfId="51045" xr:uid="{00000000-0005-0000-0000-0000BABD0000}"/>
    <cellStyle name="SAPBEXHLevel1 7 3" xfId="51411" xr:uid="{00000000-0005-0000-0000-0000BBBD0000}"/>
    <cellStyle name="SAPBEXHLevel1 7 4" xfId="50000" xr:uid="{00000000-0005-0000-0000-0000BCBD0000}"/>
    <cellStyle name="SAPBEXHLevel1 8" xfId="46223" xr:uid="{00000000-0005-0000-0000-0000BDBD0000}"/>
    <cellStyle name="SAPBEXHLevel1 8 2" xfId="46224" xr:uid="{00000000-0005-0000-0000-0000BEBD0000}"/>
    <cellStyle name="SAPBEXHLevel1 8 3" xfId="50711" xr:uid="{00000000-0005-0000-0000-0000BFBD0000}"/>
    <cellStyle name="SAPBEXHLevel1 9" xfId="46225" xr:uid="{00000000-0005-0000-0000-0000C0BD0000}"/>
    <cellStyle name="SAPBEXHLevel1 9 2" xfId="46226" xr:uid="{00000000-0005-0000-0000-0000C1BD0000}"/>
    <cellStyle name="SAPBEXHLevel1 9 3" xfId="50941"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0" xr:uid="{00000000-0005-0000-0000-0000DCBD0000}"/>
    <cellStyle name="SAPBEXHLevel1X 2 2 2 3" xfId="51569" xr:uid="{00000000-0005-0000-0000-0000DDBD0000}"/>
    <cellStyle name="SAPBEXHLevel1X 2 2 2 4" xfId="49869" xr:uid="{00000000-0005-0000-0000-0000DEBD0000}"/>
    <cellStyle name="SAPBEXHLevel1X 2 2 3" xfId="46251" xr:uid="{00000000-0005-0000-0000-0000DFBD0000}"/>
    <cellStyle name="SAPBEXHLevel1X 2 2 3 2" xfId="50498" xr:uid="{00000000-0005-0000-0000-0000E0BD0000}"/>
    <cellStyle name="SAPBEXHLevel1X 2 2 4" xfId="51360" xr:uid="{00000000-0005-0000-0000-0000E1BD0000}"/>
    <cellStyle name="SAPBEXHLevel1X 2 2 5" xfId="49541"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0" xr:uid="{00000000-0005-0000-0000-0000EFBD0000}"/>
    <cellStyle name="SAPBEXHLevel1X 2 3 2 3" xfId="51620" xr:uid="{00000000-0005-0000-0000-0000F0BD0000}"/>
    <cellStyle name="SAPBEXHLevel1X 2 3 2 4" xfId="49747" xr:uid="{00000000-0005-0000-0000-0000F1BD0000}"/>
    <cellStyle name="SAPBEXHLevel1X 2 3 3" xfId="50619" xr:uid="{00000000-0005-0000-0000-0000F2BD0000}"/>
    <cellStyle name="SAPBEXHLevel1X 2 3 4" xfId="51303" xr:uid="{00000000-0005-0000-0000-0000F3BD0000}"/>
    <cellStyle name="SAPBEXHLevel1X 2 3 5" xfId="49419"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297" xr:uid="{00000000-0005-0000-0000-0000F8BD0000}"/>
    <cellStyle name="SAPBEXHLevel1X 2 4" xfId="46267" xr:uid="{00000000-0005-0000-0000-0000F9BD0000}"/>
    <cellStyle name="SAPBEXHLevel1X 2 4 2" xfId="46268" xr:uid="{00000000-0005-0000-0000-0000FABD0000}"/>
    <cellStyle name="SAPBEXHLevel1X 2 4 2 2" xfId="50333" xr:uid="{00000000-0005-0000-0000-0000FBBD0000}"/>
    <cellStyle name="SAPBEXHLevel1X 2 4 3" xfId="51173" xr:uid="{00000000-0005-0000-0000-0000FCBD0000}"/>
    <cellStyle name="SAPBEXHLevel1X 2 4 4" xfId="49680" xr:uid="{00000000-0005-0000-0000-0000FDBD0000}"/>
    <cellStyle name="SAPBEXHLevel1X 2 5" xfId="46269" xr:uid="{00000000-0005-0000-0000-0000FEBD0000}"/>
    <cellStyle name="SAPBEXHLevel1X 2 5 2" xfId="46270" xr:uid="{00000000-0005-0000-0000-0000FFBD0000}"/>
    <cellStyle name="SAPBEXHLevel1X 2 5 2 2" xfId="51090" xr:uid="{00000000-0005-0000-0000-000000BE0000}"/>
    <cellStyle name="SAPBEXHLevel1X 2 5 3" xfId="50902" xr:uid="{00000000-0005-0000-0000-000001BE0000}"/>
    <cellStyle name="SAPBEXHLevel1X 2 5 4" xfId="50046" xr:uid="{00000000-0005-0000-0000-000002BE0000}"/>
    <cellStyle name="SAPBEXHLevel1X 2 6" xfId="46271" xr:uid="{00000000-0005-0000-0000-000003BE0000}"/>
    <cellStyle name="SAPBEXHLevel1X 2 6 2" xfId="46272" xr:uid="{00000000-0005-0000-0000-000004BE0000}"/>
    <cellStyle name="SAPBEXHLevel1X 2 6 3" xfId="50708" xr:uid="{00000000-0005-0000-0000-000005BE0000}"/>
    <cellStyle name="SAPBEXHLevel1X 2 7" xfId="46273" xr:uid="{00000000-0005-0000-0000-000006BE0000}"/>
    <cellStyle name="SAPBEXHLevel1X 2 7 2" xfId="46274" xr:uid="{00000000-0005-0000-0000-000007BE0000}"/>
    <cellStyle name="SAPBEXHLevel1X 2 7 3" xfId="50850"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18" xr:uid="{00000000-0005-0000-0000-000017BE0000}"/>
    <cellStyle name="SAPBEXHLevel1X 3 10 2" xfId="49746" xr:uid="{00000000-0005-0000-0000-000018BE0000}"/>
    <cellStyle name="SAPBEXHLevel1X 3 10 2 2" xfId="50251" xr:uid="{00000000-0005-0000-0000-000019BE0000}"/>
    <cellStyle name="SAPBEXHLevel1X 3 10 2 3" xfId="51384" xr:uid="{00000000-0005-0000-0000-00001ABE0000}"/>
    <cellStyle name="SAPBEXHLevel1X 3 10 3" xfId="50620" xr:uid="{00000000-0005-0000-0000-00001BBE0000}"/>
    <cellStyle name="SAPBEXHLevel1X 3 10 4" xfId="51462" xr:uid="{00000000-0005-0000-0000-00001CBE0000}"/>
    <cellStyle name="SAPBEXHLevel1X 3 11" xfId="49681" xr:uid="{00000000-0005-0000-0000-00001DBE0000}"/>
    <cellStyle name="SAPBEXHLevel1X 3 11 2" xfId="50332" xr:uid="{00000000-0005-0000-0000-00001EBE0000}"/>
    <cellStyle name="SAPBEXHLevel1X 3 11 3" xfId="51432" xr:uid="{00000000-0005-0000-0000-00001FBE0000}"/>
    <cellStyle name="SAPBEXHLevel1X 3 12" xfId="49997" xr:uid="{00000000-0005-0000-0000-000020BE0000}"/>
    <cellStyle name="SAPBEXHLevel1X 3 12 2" xfId="51042" xr:uid="{00000000-0005-0000-0000-000021BE0000}"/>
    <cellStyle name="SAPBEXHLevel1X 3 12 3" xfId="51551" xr:uid="{00000000-0005-0000-0000-000022BE0000}"/>
    <cellStyle name="SAPBEXHLevel1X 3 13" xfId="50707" xr:uid="{00000000-0005-0000-0000-000023BE0000}"/>
    <cellStyle name="SAPBEXHLevel1X 3 14" xfId="51141" xr:uid="{00000000-0005-0000-0000-000024BE0000}"/>
    <cellStyle name="SAPBEXHLevel1X 3 15" xfId="49298" xr:uid="{00000000-0005-0000-0000-000025BE0000}"/>
    <cellStyle name="SAPBEXHLevel1X 3 2" xfId="46289" xr:uid="{00000000-0005-0000-0000-000026BE0000}"/>
    <cellStyle name="SAPBEXHLevel1X 3 2 2" xfId="49543" xr:uid="{00000000-0005-0000-0000-000027BE0000}"/>
    <cellStyle name="SAPBEXHLevel1X 3 2 2 2" xfId="49871" xr:uid="{00000000-0005-0000-0000-000028BE0000}"/>
    <cellStyle name="SAPBEXHLevel1X 3 2 2 2 2" xfId="50138" xr:uid="{00000000-0005-0000-0000-000029BE0000}"/>
    <cellStyle name="SAPBEXHLevel1X 3 2 2 2 3" xfId="51611" xr:uid="{00000000-0005-0000-0000-00002ABE0000}"/>
    <cellStyle name="SAPBEXHLevel1X 3 2 2 3" xfId="50496" xr:uid="{00000000-0005-0000-0000-00002BBE0000}"/>
    <cellStyle name="SAPBEXHLevel1X 3 2 2 4" xfId="50873" xr:uid="{00000000-0005-0000-0000-00002CBE0000}"/>
    <cellStyle name="SAPBEXHLevel1X 3 2 3" xfId="49417" xr:uid="{00000000-0005-0000-0000-00002DBE0000}"/>
    <cellStyle name="SAPBEXHLevel1X 3 2 3 2" xfId="49745" xr:uid="{00000000-0005-0000-0000-00002EBE0000}"/>
    <cellStyle name="SAPBEXHLevel1X 3 2 3 2 2" xfId="50252" xr:uid="{00000000-0005-0000-0000-00002FBE0000}"/>
    <cellStyle name="SAPBEXHLevel1X 3 2 3 2 3" xfId="51426" xr:uid="{00000000-0005-0000-0000-000030BE0000}"/>
    <cellStyle name="SAPBEXHLevel1X 3 2 3 3" xfId="50621" xr:uid="{00000000-0005-0000-0000-000031BE0000}"/>
    <cellStyle name="SAPBEXHLevel1X 3 2 3 4" xfId="51204" xr:uid="{00000000-0005-0000-0000-000032BE0000}"/>
    <cellStyle name="SAPBEXHLevel1X 3 2 4" xfId="49682" xr:uid="{00000000-0005-0000-0000-000033BE0000}"/>
    <cellStyle name="SAPBEXHLevel1X 3 2 4 2" xfId="50326" xr:uid="{00000000-0005-0000-0000-000034BE0000}"/>
    <cellStyle name="SAPBEXHLevel1X 3 2 4 3" xfId="51376" xr:uid="{00000000-0005-0000-0000-000035BE0000}"/>
    <cellStyle name="SAPBEXHLevel1X 3 2 5" xfId="49996" xr:uid="{00000000-0005-0000-0000-000036BE0000}"/>
    <cellStyle name="SAPBEXHLevel1X 3 2 5 2" xfId="51041" xr:uid="{00000000-0005-0000-0000-000037BE0000}"/>
    <cellStyle name="SAPBEXHLevel1X 3 2 5 3" xfId="51293" xr:uid="{00000000-0005-0000-0000-000038BE0000}"/>
    <cellStyle name="SAPBEXHLevel1X 3 2 6" xfId="50706" xr:uid="{00000000-0005-0000-0000-000039BE0000}"/>
    <cellStyle name="SAPBEXHLevel1X 3 2 7" xfId="50916" xr:uid="{00000000-0005-0000-0000-00003ABE0000}"/>
    <cellStyle name="SAPBEXHLevel1X 3 2 8" xfId="49299" xr:uid="{00000000-0005-0000-0000-00003BBE0000}"/>
    <cellStyle name="SAPBEXHLevel1X 3 3" xfId="46290" xr:uid="{00000000-0005-0000-0000-00003CBE0000}"/>
    <cellStyle name="SAPBEXHLevel1X 3 3 2" xfId="49544" xr:uid="{00000000-0005-0000-0000-00003DBE0000}"/>
    <cellStyle name="SAPBEXHLevel1X 3 3 2 2" xfId="49872" xr:uid="{00000000-0005-0000-0000-00003EBE0000}"/>
    <cellStyle name="SAPBEXHLevel1X 3 3 2 2 2" xfId="50137" xr:uid="{00000000-0005-0000-0000-00003FBE0000}"/>
    <cellStyle name="SAPBEXHLevel1X 3 3 2 2 3" xfId="50646" xr:uid="{00000000-0005-0000-0000-000040BE0000}"/>
    <cellStyle name="SAPBEXHLevel1X 3 3 2 3" xfId="50495" xr:uid="{00000000-0005-0000-0000-000041BE0000}"/>
    <cellStyle name="SAPBEXHLevel1X 3 3 2 4" xfId="51243" xr:uid="{00000000-0005-0000-0000-000042BE0000}"/>
    <cellStyle name="SAPBEXHLevel1X 3 3 3" xfId="49591" xr:uid="{00000000-0005-0000-0000-000043BE0000}"/>
    <cellStyle name="SAPBEXHLevel1X 3 3 3 2" xfId="49919" xr:uid="{00000000-0005-0000-0000-000044BE0000}"/>
    <cellStyle name="SAPBEXHLevel1X 3 3 3 2 2" xfId="50090" xr:uid="{00000000-0005-0000-0000-000045BE0000}"/>
    <cellStyle name="SAPBEXHLevel1X 3 3 3 2 3" xfId="51106" xr:uid="{00000000-0005-0000-0000-000046BE0000}"/>
    <cellStyle name="SAPBEXHLevel1X 3 3 3 3" xfId="50448" xr:uid="{00000000-0005-0000-0000-000047BE0000}"/>
    <cellStyle name="SAPBEXHLevel1X 3 3 3 4" xfId="51662" xr:uid="{00000000-0005-0000-0000-000048BE0000}"/>
    <cellStyle name="SAPBEXHLevel1X 3 3 4" xfId="49683" xr:uid="{00000000-0005-0000-0000-000049BE0000}"/>
    <cellStyle name="SAPBEXHLevel1X 3 3 4 2" xfId="50325" xr:uid="{00000000-0005-0000-0000-00004ABE0000}"/>
    <cellStyle name="SAPBEXHLevel1X 3 3 4 3" xfId="51625" xr:uid="{00000000-0005-0000-0000-00004BBE0000}"/>
    <cellStyle name="SAPBEXHLevel1X 3 3 5" xfId="49995" xr:uid="{00000000-0005-0000-0000-00004CBE0000}"/>
    <cellStyle name="SAPBEXHLevel1X 3 3 5 2" xfId="51040" xr:uid="{00000000-0005-0000-0000-00004DBE0000}"/>
    <cellStyle name="SAPBEXHLevel1X 3 3 5 3" xfId="51118" xr:uid="{00000000-0005-0000-0000-00004EBE0000}"/>
    <cellStyle name="SAPBEXHLevel1X 3 3 6" xfId="50705" xr:uid="{00000000-0005-0000-0000-00004FBE0000}"/>
    <cellStyle name="SAPBEXHLevel1X 3 3 7" xfId="50662" xr:uid="{00000000-0005-0000-0000-000050BE0000}"/>
    <cellStyle name="SAPBEXHLevel1X 3 3 8" xfId="49300" xr:uid="{00000000-0005-0000-0000-000051BE0000}"/>
    <cellStyle name="SAPBEXHLevel1X 3 4" xfId="49301" xr:uid="{00000000-0005-0000-0000-000052BE0000}"/>
    <cellStyle name="SAPBEXHLevel1X 3 4 2" xfId="49545" xr:uid="{00000000-0005-0000-0000-000053BE0000}"/>
    <cellStyle name="SAPBEXHLevel1X 3 4 2 2" xfId="49873" xr:uid="{00000000-0005-0000-0000-000054BE0000}"/>
    <cellStyle name="SAPBEXHLevel1X 3 4 2 2 2" xfId="50136" xr:uid="{00000000-0005-0000-0000-000055BE0000}"/>
    <cellStyle name="SAPBEXHLevel1X 3 4 2 2 3" xfId="51281" xr:uid="{00000000-0005-0000-0000-000056BE0000}"/>
    <cellStyle name="SAPBEXHLevel1X 3 4 2 3" xfId="50494" xr:uid="{00000000-0005-0000-0000-000057BE0000}"/>
    <cellStyle name="SAPBEXHLevel1X 3 4 2 4" xfId="51500" xr:uid="{00000000-0005-0000-0000-000058BE0000}"/>
    <cellStyle name="SAPBEXHLevel1X 3 4 3" xfId="49416" xr:uid="{00000000-0005-0000-0000-000059BE0000}"/>
    <cellStyle name="SAPBEXHLevel1X 3 4 3 2" xfId="49744" xr:uid="{00000000-0005-0000-0000-00005ABE0000}"/>
    <cellStyle name="SAPBEXHLevel1X 3 4 3 2 2" xfId="50253" xr:uid="{00000000-0005-0000-0000-00005BBE0000}"/>
    <cellStyle name="SAPBEXHLevel1X 3 4 3 2 3" xfId="51166" xr:uid="{00000000-0005-0000-0000-00005CBE0000}"/>
    <cellStyle name="SAPBEXHLevel1X 3 4 3 3" xfId="50622" xr:uid="{00000000-0005-0000-0000-00005DBE0000}"/>
    <cellStyle name="SAPBEXHLevel1X 3 4 3 4" xfId="51483" xr:uid="{00000000-0005-0000-0000-00005EBE0000}"/>
    <cellStyle name="SAPBEXHLevel1X 3 4 4" xfId="49684" xr:uid="{00000000-0005-0000-0000-00005FBE0000}"/>
    <cellStyle name="SAPBEXHLevel1X 3 4 4 2" xfId="50324" xr:uid="{00000000-0005-0000-0000-000060BE0000}"/>
    <cellStyle name="SAPBEXHLevel1X 3 4 4 3" xfId="50811" xr:uid="{00000000-0005-0000-0000-000061BE0000}"/>
    <cellStyle name="SAPBEXHLevel1X 3 4 5" xfId="49994" xr:uid="{00000000-0005-0000-0000-000062BE0000}"/>
    <cellStyle name="SAPBEXHLevel1X 3 4 5 2" xfId="51039" xr:uid="{00000000-0005-0000-0000-000063BE0000}"/>
    <cellStyle name="SAPBEXHLevel1X 3 4 5 3" xfId="51605" xr:uid="{00000000-0005-0000-0000-000064BE0000}"/>
    <cellStyle name="SAPBEXHLevel1X 3 4 6" xfId="50704" xr:uid="{00000000-0005-0000-0000-000065BE0000}"/>
    <cellStyle name="SAPBEXHLevel1X 3 4 7" xfId="50903" xr:uid="{00000000-0005-0000-0000-000066BE0000}"/>
    <cellStyle name="SAPBEXHLevel1X 3 5" xfId="49302" xr:uid="{00000000-0005-0000-0000-000067BE0000}"/>
    <cellStyle name="SAPBEXHLevel1X 3 5 2" xfId="49546" xr:uid="{00000000-0005-0000-0000-000068BE0000}"/>
    <cellStyle name="SAPBEXHLevel1X 3 5 2 2" xfId="49874" xr:uid="{00000000-0005-0000-0000-000069BE0000}"/>
    <cellStyle name="SAPBEXHLevel1X 3 5 2 2 2" xfId="50135" xr:uid="{00000000-0005-0000-0000-00006ABE0000}"/>
    <cellStyle name="SAPBEXHLevel1X 3 5 2 2 3" xfId="51539" xr:uid="{00000000-0005-0000-0000-00006BBE0000}"/>
    <cellStyle name="SAPBEXHLevel1X 3 5 2 3" xfId="50493" xr:uid="{00000000-0005-0000-0000-00006CBE0000}"/>
    <cellStyle name="SAPBEXHLevel1X 3 5 2 4" xfId="51187" xr:uid="{00000000-0005-0000-0000-00006DBE0000}"/>
    <cellStyle name="SAPBEXHLevel1X 3 5 3" xfId="49415" xr:uid="{00000000-0005-0000-0000-00006EBE0000}"/>
    <cellStyle name="SAPBEXHLevel1X 3 5 3 2" xfId="49743" xr:uid="{00000000-0005-0000-0000-00006FBE0000}"/>
    <cellStyle name="SAPBEXHLevel1X 3 5 3 2 2" xfId="50254" xr:uid="{00000000-0005-0000-0000-000070BE0000}"/>
    <cellStyle name="SAPBEXHLevel1X 3 5 3 2 3" xfId="50973" xr:uid="{00000000-0005-0000-0000-000071BE0000}"/>
    <cellStyle name="SAPBEXHLevel1X 3 5 3 3" xfId="50623" xr:uid="{00000000-0005-0000-0000-000072BE0000}"/>
    <cellStyle name="SAPBEXHLevel1X 3 5 3 4" xfId="51226" xr:uid="{00000000-0005-0000-0000-000073BE0000}"/>
    <cellStyle name="SAPBEXHLevel1X 3 5 4" xfId="49685" xr:uid="{00000000-0005-0000-0000-000074BE0000}"/>
    <cellStyle name="SAPBEXHLevel1X 3 5 4 2" xfId="50323" xr:uid="{00000000-0005-0000-0000-000075BE0000}"/>
    <cellStyle name="SAPBEXHLevel1X 3 5 4 3" xfId="51259" xr:uid="{00000000-0005-0000-0000-000076BE0000}"/>
    <cellStyle name="SAPBEXHLevel1X 3 5 5" xfId="49993" xr:uid="{00000000-0005-0000-0000-000077BE0000}"/>
    <cellStyle name="SAPBEXHLevel1X 3 5 5 2" xfId="51038" xr:uid="{00000000-0005-0000-0000-000078BE0000}"/>
    <cellStyle name="SAPBEXHLevel1X 3 5 5 3" xfId="51410" xr:uid="{00000000-0005-0000-0000-000079BE0000}"/>
    <cellStyle name="SAPBEXHLevel1X 3 5 6" xfId="50703" xr:uid="{00000000-0005-0000-0000-00007ABE0000}"/>
    <cellStyle name="SAPBEXHLevel1X 3 5 7" xfId="50989" xr:uid="{00000000-0005-0000-0000-00007BBE0000}"/>
    <cellStyle name="SAPBEXHLevel1X 3 6" xfId="49303" xr:uid="{00000000-0005-0000-0000-00007CBE0000}"/>
    <cellStyle name="SAPBEXHLevel1X 3 6 2" xfId="49547" xr:uid="{00000000-0005-0000-0000-00007DBE0000}"/>
    <cellStyle name="SAPBEXHLevel1X 3 6 2 2" xfId="49875" xr:uid="{00000000-0005-0000-0000-00007EBE0000}"/>
    <cellStyle name="SAPBEXHLevel1X 3 6 2 2 2" xfId="50134" xr:uid="{00000000-0005-0000-0000-00007FBE0000}"/>
    <cellStyle name="SAPBEXHLevel1X 3 6 2 2 3" xfId="51313" xr:uid="{00000000-0005-0000-0000-000080BE0000}"/>
    <cellStyle name="SAPBEXHLevel1X 3 6 2 3" xfId="50492" xr:uid="{00000000-0005-0000-0000-000081BE0000}"/>
    <cellStyle name="SAPBEXHLevel1X 3 6 2 4" xfId="51445" xr:uid="{00000000-0005-0000-0000-000082BE0000}"/>
    <cellStyle name="SAPBEXHLevel1X 3 6 3" xfId="49590" xr:uid="{00000000-0005-0000-0000-000083BE0000}"/>
    <cellStyle name="SAPBEXHLevel1X 3 6 3 2" xfId="49918" xr:uid="{00000000-0005-0000-0000-000084BE0000}"/>
    <cellStyle name="SAPBEXHLevel1X 3 6 3 2 2" xfId="50091" xr:uid="{00000000-0005-0000-0000-000085BE0000}"/>
    <cellStyle name="SAPBEXHLevel1X 3 6 3 2 3" xfId="51152" xr:uid="{00000000-0005-0000-0000-000086BE0000}"/>
    <cellStyle name="SAPBEXHLevel1X 3 6 3 3" xfId="50449" xr:uid="{00000000-0005-0000-0000-000087BE0000}"/>
    <cellStyle name="SAPBEXHLevel1X 3 6 3 4" xfId="51367" xr:uid="{00000000-0005-0000-0000-000088BE0000}"/>
    <cellStyle name="SAPBEXHLevel1X 3 6 4" xfId="49686" xr:uid="{00000000-0005-0000-0000-000089BE0000}"/>
    <cellStyle name="SAPBEXHLevel1X 3 6 4 2" xfId="50322" xr:uid="{00000000-0005-0000-0000-00008ABE0000}"/>
    <cellStyle name="SAPBEXHLevel1X 3 6 4 3" xfId="51516" xr:uid="{00000000-0005-0000-0000-00008BBE0000}"/>
    <cellStyle name="SAPBEXHLevel1X 3 6 5" xfId="49992" xr:uid="{00000000-0005-0000-0000-00008CBE0000}"/>
    <cellStyle name="SAPBEXHLevel1X 3 6 5 2" xfId="51037" xr:uid="{00000000-0005-0000-0000-00008DBE0000}"/>
    <cellStyle name="SAPBEXHLevel1X 3 6 5 3" xfId="51589" xr:uid="{00000000-0005-0000-0000-00008EBE0000}"/>
    <cellStyle name="SAPBEXHLevel1X 3 6 6" xfId="50702" xr:uid="{00000000-0005-0000-0000-00008FBE0000}"/>
    <cellStyle name="SAPBEXHLevel1X 3 6 7" xfId="50793" xr:uid="{00000000-0005-0000-0000-000090BE0000}"/>
    <cellStyle name="SAPBEXHLevel1X 3 7" xfId="49304" xr:uid="{00000000-0005-0000-0000-000091BE0000}"/>
    <cellStyle name="SAPBEXHLevel1X 3 7 2" xfId="49548" xr:uid="{00000000-0005-0000-0000-000092BE0000}"/>
    <cellStyle name="SAPBEXHLevel1X 3 7 2 2" xfId="49876" xr:uid="{00000000-0005-0000-0000-000093BE0000}"/>
    <cellStyle name="SAPBEXHLevel1X 3 7 2 2 2" xfId="50133" xr:uid="{00000000-0005-0000-0000-000094BE0000}"/>
    <cellStyle name="SAPBEXHLevel1X 3 7 2 2 3" xfId="51570" xr:uid="{00000000-0005-0000-0000-000095BE0000}"/>
    <cellStyle name="SAPBEXHLevel1X 3 7 2 3" xfId="50491" xr:uid="{00000000-0005-0000-0000-000096BE0000}"/>
    <cellStyle name="SAPBEXHLevel1X 3 7 2 4" xfId="51361" xr:uid="{00000000-0005-0000-0000-000097BE0000}"/>
    <cellStyle name="SAPBEXHLevel1X 3 7 3" xfId="49414" xr:uid="{00000000-0005-0000-0000-000098BE0000}"/>
    <cellStyle name="SAPBEXHLevel1X 3 7 3 2" xfId="49742" xr:uid="{00000000-0005-0000-0000-000099BE0000}"/>
    <cellStyle name="SAPBEXHLevel1X 3 7 3 2 2" xfId="50255" xr:uid="{00000000-0005-0000-0000-00009ABE0000}"/>
    <cellStyle name="SAPBEXHLevel1X 3 7 3 2 3" xfId="51594" xr:uid="{00000000-0005-0000-0000-00009BBE0000}"/>
    <cellStyle name="SAPBEXHLevel1X 3 7 3 3" xfId="50624" xr:uid="{00000000-0005-0000-0000-00009CBE0000}"/>
    <cellStyle name="SAPBEXHLevel1X 3 7 3 4" xfId="50957" xr:uid="{00000000-0005-0000-0000-00009DBE0000}"/>
    <cellStyle name="SAPBEXHLevel1X 3 7 4" xfId="49687" xr:uid="{00000000-0005-0000-0000-00009EBE0000}"/>
    <cellStyle name="SAPBEXHLevel1X 3 7 4 2" xfId="50321" xr:uid="{00000000-0005-0000-0000-00009FBE0000}"/>
    <cellStyle name="SAPBEXHLevel1X 3 7 4 3" xfId="50648" xr:uid="{00000000-0005-0000-0000-0000A0BE0000}"/>
    <cellStyle name="SAPBEXHLevel1X 3 7 5" xfId="49965" xr:uid="{00000000-0005-0000-0000-0000A1BE0000}"/>
    <cellStyle name="SAPBEXHLevel1X 3 7 5 2" xfId="51010" xr:uid="{00000000-0005-0000-0000-0000A2BE0000}"/>
    <cellStyle name="SAPBEXHLevel1X 3 7 5 3" xfId="51577" xr:uid="{00000000-0005-0000-0000-0000A3BE0000}"/>
    <cellStyle name="SAPBEXHLevel1X 3 7 6" xfId="50701" xr:uid="{00000000-0005-0000-0000-0000A4BE0000}"/>
    <cellStyle name="SAPBEXHLevel1X 3 7 7" xfId="50794" xr:uid="{00000000-0005-0000-0000-0000A5BE0000}"/>
    <cellStyle name="SAPBEXHLevel1X 3 8" xfId="49305" xr:uid="{00000000-0005-0000-0000-0000A6BE0000}"/>
    <cellStyle name="SAPBEXHLevel1X 3 8 2" xfId="49549" xr:uid="{00000000-0005-0000-0000-0000A7BE0000}"/>
    <cellStyle name="SAPBEXHLevel1X 3 8 2 2" xfId="49877" xr:uid="{00000000-0005-0000-0000-0000A8BE0000}"/>
    <cellStyle name="SAPBEXHLevel1X 3 8 2 2 2" xfId="50132" xr:uid="{00000000-0005-0000-0000-0000A9BE0000}"/>
    <cellStyle name="SAPBEXHLevel1X 3 8 2 2 3" xfId="51400" xr:uid="{00000000-0005-0000-0000-0000AABE0000}"/>
    <cellStyle name="SAPBEXHLevel1X 3 8 2 3" xfId="50490" xr:uid="{00000000-0005-0000-0000-0000ABBE0000}"/>
    <cellStyle name="SAPBEXHLevel1X 3 8 2 4" xfId="51637" xr:uid="{00000000-0005-0000-0000-0000ACBE0000}"/>
    <cellStyle name="SAPBEXHLevel1X 3 8 3" xfId="49413" xr:uid="{00000000-0005-0000-0000-0000ADBE0000}"/>
    <cellStyle name="SAPBEXHLevel1X 3 8 3 2" xfId="49741" xr:uid="{00000000-0005-0000-0000-0000AEBE0000}"/>
    <cellStyle name="SAPBEXHLevel1X 3 8 3 2 2" xfId="50256" xr:uid="{00000000-0005-0000-0000-0000AFBE0000}"/>
    <cellStyle name="SAPBEXHLevel1X 3 8 3 2 3" xfId="51383" xr:uid="{00000000-0005-0000-0000-0000B0BE0000}"/>
    <cellStyle name="SAPBEXHLevel1X 3 8 3 3" xfId="50625" xr:uid="{00000000-0005-0000-0000-0000B1BE0000}"/>
    <cellStyle name="SAPBEXHLevel1X 3 8 3 4" xfId="51654" xr:uid="{00000000-0005-0000-0000-0000B2BE0000}"/>
    <cellStyle name="SAPBEXHLevel1X 3 8 4" xfId="49688" xr:uid="{00000000-0005-0000-0000-0000B3BE0000}"/>
    <cellStyle name="SAPBEXHLevel1X 3 8 4 2" xfId="50320" xr:uid="{00000000-0005-0000-0000-0000B4BE0000}"/>
    <cellStyle name="SAPBEXHLevel1X 3 8 4 3" xfId="51301" xr:uid="{00000000-0005-0000-0000-0000B5BE0000}"/>
    <cellStyle name="SAPBEXHLevel1X 3 8 5" xfId="49991" xr:uid="{00000000-0005-0000-0000-0000B6BE0000}"/>
    <cellStyle name="SAPBEXHLevel1X 3 8 5 2" xfId="51036" xr:uid="{00000000-0005-0000-0000-0000B7BE0000}"/>
    <cellStyle name="SAPBEXHLevel1X 3 8 5 3" xfId="51334" xr:uid="{00000000-0005-0000-0000-0000B8BE0000}"/>
    <cellStyle name="SAPBEXHLevel1X 3 8 6" xfId="50700" xr:uid="{00000000-0005-0000-0000-0000B9BE0000}"/>
    <cellStyle name="SAPBEXHLevel1X 3 8 7" xfId="50795" xr:uid="{00000000-0005-0000-0000-0000BABE0000}"/>
    <cellStyle name="SAPBEXHLevel1X 3 9" xfId="49542" xr:uid="{00000000-0005-0000-0000-0000BBBE0000}"/>
    <cellStyle name="SAPBEXHLevel1X 3 9 2" xfId="49870" xr:uid="{00000000-0005-0000-0000-0000BCBE0000}"/>
    <cellStyle name="SAPBEXHLevel1X 3 9 2 2" xfId="50139" xr:uid="{00000000-0005-0000-0000-0000BDBE0000}"/>
    <cellStyle name="SAPBEXHLevel1X 3 9 2 3" xfId="51399" xr:uid="{00000000-0005-0000-0000-0000BEBE0000}"/>
    <cellStyle name="SAPBEXHLevel1X 3 9 3" xfId="50497" xr:uid="{00000000-0005-0000-0000-0000BFBE0000}"/>
    <cellStyle name="SAPBEXHLevel1X 3 9 4" xfId="51638"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296" xr:uid="{00000000-0005-0000-0000-0000C5BE0000}"/>
    <cellStyle name="SAPBEXHLevel1X 4" xfId="46295" xr:uid="{00000000-0005-0000-0000-0000C6BE0000}"/>
    <cellStyle name="SAPBEXHLevel1X 4 2" xfId="46296" xr:uid="{00000000-0005-0000-0000-0000C7BE0000}"/>
    <cellStyle name="SAPBEXHLevel1X 4 2 2" xfId="50141" xr:uid="{00000000-0005-0000-0000-0000C8BE0000}"/>
    <cellStyle name="SAPBEXHLevel1X 4 2 3" xfId="51312" xr:uid="{00000000-0005-0000-0000-0000C9BE0000}"/>
    <cellStyle name="SAPBEXHLevel1X 4 2 4" xfId="49868" xr:uid="{00000000-0005-0000-0000-0000CABE0000}"/>
    <cellStyle name="SAPBEXHLevel1X 4 3" xfId="50499" xr:uid="{00000000-0005-0000-0000-0000CBBE0000}"/>
    <cellStyle name="SAPBEXHLevel1X 4 4" xfId="51446" xr:uid="{00000000-0005-0000-0000-0000CCBE0000}"/>
    <cellStyle name="SAPBEXHLevel1X 4 5" xfId="49540" xr:uid="{00000000-0005-0000-0000-0000CDBE0000}"/>
    <cellStyle name="SAPBEXHLevel1X 5" xfId="46297" xr:uid="{00000000-0005-0000-0000-0000CEBE0000}"/>
    <cellStyle name="SAPBEXHLevel1X 5 2" xfId="46298" xr:uid="{00000000-0005-0000-0000-0000CFBE0000}"/>
    <cellStyle name="SAPBEXHLevel1X 5 2 2" xfId="50249" xr:uid="{00000000-0005-0000-0000-0000D0BE0000}"/>
    <cellStyle name="SAPBEXHLevel1X 5 2 3" xfId="50813" xr:uid="{00000000-0005-0000-0000-0000D1BE0000}"/>
    <cellStyle name="SAPBEXHLevel1X 5 2 4" xfId="49748" xr:uid="{00000000-0005-0000-0000-0000D2BE0000}"/>
    <cellStyle name="SAPBEXHLevel1X 5 3" xfId="50618" xr:uid="{00000000-0005-0000-0000-0000D3BE0000}"/>
    <cellStyle name="SAPBEXHLevel1X 5 4" xfId="51560" xr:uid="{00000000-0005-0000-0000-0000D4BE0000}"/>
    <cellStyle name="SAPBEXHLevel1X 5 5" xfId="49420" xr:uid="{00000000-0005-0000-0000-0000D5BE0000}"/>
    <cellStyle name="SAPBEXHLevel1X 6" xfId="46299" xr:uid="{00000000-0005-0000-0000-0000D6BE0000}"/>
    <cellStyle name="SAPBEXHLevel1X 6 2" xfId="46300" xr:uid="{00000000-0005-0000-0000-0000D7BE0000}"/>
    <cellStyle name="SAPBEXHLevel1X 6 2 2" xfId="50334" xr:uid="{00000000-0005-0000-0000-0000D8BE0000}"/>
    <cellStyle name="SAPBEXHLevel1X 6 3" xfId="51515" xr:uid="{00000000-0005-0000-0000-0000D9BE0000}"/>
    <cellStyle name="SAPBEXHLevel1X 6 4" xfId="49679" xr:uid="{00000000-0005-0000-0000-0000DABE0000}"/>
    <cellStyle name="SAPBEXHLevel1X 7" xfId="46301" xr:uid="{00000000-0005-0000-0000-0000DBBE0000}"/>
    <cellStyle name="SAPBEXHLevel1X 7 2" xfId="46302" xr:uid="{00000000-0005-0000-0000-0000DCBE0000}"/>
    <cellStyle name="SAPBEXHLevel1X 7 2 2" xfId="51043" xr:uid="{00000000-0005-0000-0000-0000DDBE0000}"/>
    <cellStyle name="SAPBEXHLevel1X 7 3" xfId="51324" xr:uid="{00000000-0005-0000-0000-0000DEBE0000}"/>
    <cellStyle name="SAPBEXHLevel1X 7 4" xfId="49998" xr:uid="{00000000-0005-0000-0000-0000DFBE0000}"/>
    <cellStyle name="SAPBEXHLevel1X 8" xfId="46303" xr:uid="{00000000-0005-0000-0000-0000E0BE0000}"/>
    <cellStyle name="SAPBEXHLevel1X 8 2" xfId="46304" xr:uid="{00000000-0005-0000-0000-0000E1BE0000}"/>
    <cellStyle name="SAPBEXHLevel1X 8 3" xfId="50709" xr:uid="{00000000-0005-0000-0000-0000E2BE0000}"/>
    <cellStyle name="SAPBEXHLevel1X 9" xfId="46305" xr:uid="{00000000-0005-0000-0000-0000E3BE0000}"/>
    <cellStyle name="SAPBEXHLevel1X 9 2" xfId="46306" xr:uid="{00000000-0005-0000-0000-0000E4BE0000}"/>
    <cellStyle name="SAPBEXHLevel1X 9 3" xfId="50940"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5"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0" xr:uid="{00000000-0005-0000-0000-000000BF0000}"/>
    <cellStyle name="SAPBEXHLevel2 2 2 2 3" xfId="50914" xr:uid="{00000000-0005-0000-0000-000001BF0000}"/>
    <cellStyle name="SAPBEXHLevel2 2 2 2 4" xfId="49879" xr:uid="{00000000-0005-0000-0000-000002BF0000}"/>
    <cellStyle name="SAPBEXHLevel2 2 2 3" xfId="46331" xr:uid="{00000000-0005-0000-0000-000003BF0000}"/>
    <cellStyle name="SAPBEXHLevel2 2 2 3 2" xfId="50488" xr:uid="{00000000-0005-0000-0000-000004BF0000}"/>
    <cellStyle name="SAPBEXHLevel2 2 2 4" xfId="51244" xr:uid="{00000000-0005-0000-0000-000005BF0000}"/>
    <cellStyle name="SAPBEXHLevel2 2 2 5" xfId="49551"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58" xr:uid="{00000000-0005-0000-0000-000013BF0000}"/>
    <cellStyle name="SAPBEXHLevel2 2 3 2 3" xfId="51167" xr:uid="{00000000-0005-0000-0000-000014BF0000}"/>
    <cellStyle name="SAPBEXHLevel2 2 3 2 4" xfId="49739" xr:uid="{00000000-0005-0000-0000-000015BF0000}"/>
    <cellStyle name="SAPBEXHLevel2 2 3 3" xfId="50627" xr:uid="{00000000-0005-0000-0000-000016BF0000}"/>
    <cellStyle name="SAPBEXHLevel2 2 3 4" xfId="51463" xr:uid="{00000000-0005-0000-0000-000017BF0000}"/>
    <cellStyle name="SAPBEXHLevel2 2 3 5" xfId="49411"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07" xr:uid="{00000000-0005-0000-0000-00001CBF0000}"/>
    <cellStyle name="SAPBEXHLevel2 2 4" xfId="46347" xr:uid="{00000000-0005-0000-0000-00001DBF0000}"/>
    <cellStyle name="SAPBEXHLevel2 2 4 2" xfId="46348" xr:uid="{00000000-0005-0000-0000-00001EBF0000}"/>
    <cellStyle name="SAPBEXHLevel2 2 4 2 2" xfId="50317" xr:uid="{00000000-0005-0000-0000-00001FBF0000}"/>
    <cellStyle name="SAPBEXHLevel2 2 4 3" xfId="51377" xr:uid="{00000000-0005-0000-0000-000020BF0000}"/>
    <cellStyle name="SAPBEXHLevel2 2 4 4" xfId="49690" xr:uid="{00000000-0005-0000-0000-000021BF0000}"/>
    <cellStyle name="SAPBEXHLevel2 2 5" xfId="46349" xr:uid="{00000000-0005-0000-0000-000022BF0000}"/>
    <cellStyle name="SAPBEXHLevel2 2 5 2" xfId="46350" xr:uid="{00000000-0005-0000-0000-000023BF0000}"/>
    <cellStyle name="SAPBEXHLevel2 2 5 2 2" xfId="51035" xr:uid="{00000000-0005-0000-0000-000024BF0000}"/>
    <cellStyle name="SAPBEXHLevel2 2 5 3" xfId="51580" xr:uid="{00000000-0005-0000-0000-000025BF0000}"/>
    <cellStyle name="SAPBEXHLevel2 2 5 4" xfId="49990" xr:uid="{00000000-0005-0000-0000-000026BF0000}"/>
    <cellStyle name="SAPBEXHLevel2 2 6" xfId="46351" xr:uid="{00000000-0005-0000-0000-000027BF0000}"/>
    <cellStyle name="SAPBEXHLevel2 2 6 2" xfId="46352" xr:uid="{00000000-0005-0000-0000-000028BF0000}"/>
    <cellStyle name="SAPBEXHLevel2 2 6 3" xfId="50698" xr:uid="{00000000-0005-0000-0000-000029BF0000}"/>
    <cellStyle name="SAPBEXHLevel2 2 7" xfId="46353" xr:uid="{00000000-0005-0000-0000-00002ABF0000}"/>
    <cellStyle name="SAPBEXHLevel2 2 7 2" xfId="46354" xr:uid="{00000000-0005-0000-0000-00002BBF0000}"/>
    <cellStyle name="SAPBEXHLevel2 2 7 3" xfId="50796"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1" xr:uid="{00000000-0005-0000-0000-00003CBF0000}"/>
    <cellStyle name="SAPBEXHLevel2 3 2 3" xfId="51610" xr:uid="{00000000-0005-0000-0000-00003DBF0000}"/>
    <cellStyle name="SAPBEXHLevel2 3 2 4" xfId="49878" xr:uid="{00000000-0005-0000-0000-00003EBF0000}"/>
    <cellStyle name="SAPBEXHLevel2 3 3" xfId="46370" xr:uid="{00000000-0005-0000-0000-00003FBF0000}"/>
    <cellStyle name="SAPBEXHLevel2 3 3 2" xfId="50489" xr:uid="{00000000-0005-0000-0000-000040BF0000}"/>
    <cellStyle name="SAPBEXHLevel2 3 4" xfId="50947" xr:uid="{00000000-0005-0000-0000-000041BF0000}"/>
    <cellStyle name="SAPBEXHLevel2 3 5" xfId="49550"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06" xr:uid="{00000000-0005-0000-0000-000047BF0000}"/>
    <cellStyle name="SAPBEXHLevel2 4" xfId="46375" xr:uid="{00000000-0005-0000-0000-000048BF0000}"/>
    <cellStyle name="SAPBEXHLevel2 4 2" xfId="46376" xr:uid="{00000000-0005-0000-0000-000049BF0000}"/>
    <cellStyle name="SAPBEXHLevel2 4 2 2" xfId="50257" xr:uid="{00000000-0005-0000-0000-00004ABF0000}"/>
    <cellStyle name="SAPBEXHLevel2 4 2 3" xfId="51427" xr:uid="{00000000-0005-0000-0000-00004BBF0000}"/>
    <cellStyle name="SAPBEXHLevel2 4 2 4" xfId="49740" xr:uid="{00000000-0005-0000-0000-00004CBF0000}"/>
    <cellStyle name="SAPBEXHLevel2 4 3" xfId="50626" xr:uid="{00000000-0005-0000-0000-00004DBF0000}"/>
    <cellStyle name="SAPBEXHLevel2 4 4" xfId="51343" xr:uid="{00000000-0005-0000-0000-00004EBF0000}"/>
    <cellStyle name="SAPBEXHLevel2 4 5" xfId="49412" xr:uid="{00000000-0005-0000-0000-00004FBF0000}"/>
    <cellStyle name="SAPBEXHLevel2 5" xfId="46377" xr:uid="{00000000-0005-0000-0000-000050BF0000}"/>
    <cellStyle name="SAPBEXHLevel2 5 2" xfId="46378" xr:uid="{00000000-0005-0000-0000-000051BF0000}"/>
    <cellStyle name="SAPBEXHLevel2 5 2 2" xfId="50107" xr:uid="{00000000-0005-0000-0000-000052BF0000}"/>
    <cellStyle name="SAPBEXHLevel2 5 2 3" xfId="51275" xr:uid="{00000000-0005-0000-0000-000053BF0000}"/>
    <cellStyle name="SAPBEXHLevel2 5 2 4" xfId="49902" xr:uid="{00000000-0005-0000-0000-000054BF0000}"/>
    <cellStyle name="SAPBEXHLevel2 5 3" xfId="50465" xr:uid="{00000000-0005-0000-0000-000055BF0000}"/>
    <cellStyle name="SAPBEXHLevel2 5 4" xfId="51183" xr:uid="{00000000-0005-0000-0000-000056BF0000}"/>
    <cellStyle name="SAPBEXHLevel2 5 5" xfId="49574" xr:uid="{00000000-0005-0000-0000-000057BF0000}"/>
    <cellStyle name="SAPBEXHLevel2 6" xfId="46379" xr:uid="{00000000-0005-0000-0000-000058BF0000}"/>
    <cellStyle name="SAPBEXHLevel2 6 2" xfId="46380" xr:uid="{00000000-0005-0000-0000-000059BF0000}"/>
    <cellStyle name="SAPBEXHLevel2 6 2 2" xfId="50318" xr:uid="{00000000-0005-0000-0000-00005ABF0000}"/>
    <cellStyle name="SAPBEXHLevel2 6 3" xfId="51558" xr:uid="{00000000-0005-0000-0000-00005BBF0000}"/>
    <cellStyle name="SAPBEXHLevel2 6 4" xfId="49689" xr:uid="{00000000-0005-0000-0000-00005CBF0000}"/>
    <cellStyle name="SAPBEXHLevel2 7" xfId="46381" xr:uid="{00000000-0005-0000-0000-00005DBF0000}"/>
    <cellStyle name="SAPBEXHLevel2 7 2" xfId="46382" xr:uid="{00000000-0005-0000-0000-00005EBF0000}"/>
    <cellStyle name="SAPBEXHLevel2 7 2 2" xfId="51006" xr:uid="{00000000-0005-0000-0000-00005FBF0000}"/>
    <cellStyle name="SAPBEXHLevel2 7 3" xfId="51416" xr:uid="{00000000-0005-0000-0000-000060BF0000}"/>
    <cellStyle name="SAPBEXHLevel2 7 4" xfId="49961" xr:uid="{00000000-0005-0000-0000-000061BF0000}"/>
    <cellStyle name="SAPBEXHLevel2 8" xfId="46383" xr:uid="{00000000-0005-0000-0000-000062BF0000}"/>
    <cellStyle name="SAPBEXHLevel2 8 2" xfId="46384" xr:uid="{00000000-0005-0000-0000-000063BF0000}"/>
    <cellStyle name="SAPBEXHLevel2 8 3" xfId="50699" xr:uid="{00000000-0005-0000-0000-000064BF0000}"/>
    <cellStyle name="SAPBEXHLevel2 9" xfId="46385" xr:uid="{00000000-0005-0000-0000-000065BF0000}"/>
    <cellStyle name="SAPBEXHLevel2 9 2" xfId="46386" xr:uid="{00000000-0005-0000-0000-000066BF0000}"/>
    <cellStyle name="SAPBEXHLevel2 9 3" xfId="50840"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28" xr:uid="{00000000-0005-0000-0000-000081BF0000}"/>
    <cellStyle name="SAPBEXHLevel2X 2 2 2 3" xfId="51540" xr:uid="{00000000-0005-0000-0000-000082BF0000}"/>
    <cellStyle name="SAPBEXHLevel2X 2 2 2 4" xfId="49881" xr:uid="{00000000-0005-0000-0000-000083BF0000}"/>
    <cellStyle name="SAPBEXHLevel2X 2 2 3" xfId="46411" xr:uid="{00000000-0005-0000-0000-000084BF0000}"/>
    <cellStyle name="SAPBEXHLevel2X 2 2 3 2" xfId="50486" xr:uid="{00000000-0005-0000-0000-000085BF0000}"/>
    <cellStyle name="SAPBEXHLevel2X 2 2 4" xfId="51186" xr:uid="{00000000-0005-0000-0000-000086BF0000}"/>
    <cellStyle name="SAPBEXHLevel2X 2 2 5" xfId="49553"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0" xr:uid="{00000000-0005-0000-0000-000094BF0000}"/>
    <cellStyle name="SAPBEXHLevel2X 2 3 2 3" xfId="51264" xr:uid="{00000000-0005-0000-0000-000095BF0000}"/>
    <cellStyle name="SAPBEXHLevel2X 2 3 2 4" xfId="49737" xr:uid="{00000000-0005-0000-0000-000096BF0000}"/>
    <cellStyle name="SAPBEXHLevel2X 2 3 3" xfId="50629" xr:uid="{00000000-0005-0000-0000-000097BF0000}"/>
    <cellStyle name="SAPBEXHLevel2X 2 3 4" xfId="51482" xr:uid="{00000000-0005-0000-0000-000098BF0000}"/>
    <cellStyle name="SAPBEXHLevel2X 2 3 5" xfId="49409"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09" xr:uid="{00000000-0005-0000-0000-00009DBF0000}"/>
    <cellStyle name="SAPBEXHLevel2X 2 4" xfId="46427" xr:uid="{00000000-0005-0000-0000-00009EBF0000}"/>
    <cellStyle name="SAPBEXHLevel2X 2 4 2" xfId="46428" xr:uid="{00000000-0005-0000-0000-00009FBF0000}"/>
    <cellStyle name="SAPBEXHLevel2X 2 4 2 2" xfId="50315" xr:uid="{00000000-0005-0000-0000-0000A0BF0000}"/>
    <cellStyle name="SAPBEXHLevel2X 2 4 3" xfId="50812" xr:uid="{00000000-0005-0000-0000-0000A1BF0000}"/>
    <cellStyle name="SAPBEXHLevel2X 2 4 4" xfId="49692" xr:uid="{00000000-0005-0000-0000-0000A2BF0000}"/>
    <cellStyle name="SAPBEXHLevel2X 2 5" xfId="46429" xr:uid="{00000000-0005-0000-0000-0000A3BF0000}"/>
    <cellStyle name="SAPBEXHLevel2X 2 5 2" xfId="46430" xr:uid="{00000000-0005-0000-0000-0000A4BF0000}"/>
    <cellStyle name="SAPBEXHLevel2X 2 5 2 2" xfId="51005" xr:uid="{00000000-0005-0000-0000-0000A5BF0000}"/>
    <cellStyle name="SAPBEXHLevel2X 2 5 3" xfId="51289" xr:uid="{00000000-0005-0000-0000-0000A6BF0000}"/>
    <cellStyle name="SAPBEXHLevel2X 2 5 4" xfId="49960" xr:uid="{00000000-0005-0000-0000-0000A7BF0000}"/>
    <cellStyle name="SAPBEXHLevel2X 2 6" xfId="46431" xr:uid="{00000000-0005-0000-0000-0000A8BF0000}"/>
    <cellStyle name="SAPBEXHLevel2X 2 6 2" xfId="46432" xr:uid="{00000000-0005-0000-0000-0000A9BF0000}"/>
    <cellStyle name="SAPBEXHLevel2X 2 6 3" xfId="50696" xr:uid="{00000000-0005-0000-0000-0000AABF0000}"/>
    <cellStyle name="SAPBEXHLevel2X 2 7" xfId="46433" xr:uid="{00000000-0005-0000-0000-0000ABBF0000}"/>
    <cellStyle name="SAPBEXHLevel2X 2 7 2" xfId="46434" xr:uid="{00000000-0005-0000-0000-0000ACBF0000}"/>
    <cellStyle name="SAPBEXHLevel2X 2 7 3" xfId="50841"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08" xr:uid="{00000000-0005-0000-0000-0000BCBF0000}"/>
    <cellStyle name="SAPBEXHLevel2X 3 10 2" xfId="49736" xr:uid="{00000000-0005-0000-0000-0000BDBF0000}"/>
    <cellStyle name="SAPBEXHLevel2X 3 10 2 2" xfId="50261" xr:uid="{00000000-0005-0000-0000-0000BEBF0000}"/>
    <cellStyle name="SAPBEXHLevel2X 3 10 2 3" xfId="50643" xr:uid="{00000000-0005-0000-0000-0000BFBF0000}"/>
    <cellStyle name="SAPBEXHLevel2X 3 10 3" xfId="50630" xr:uid="{00000000-0005-0000-0000-0000C0BF0000}"/>
    <cellStyle name="SAPBEXHLevel2X 3 10 4" xfId="51225" xr:uid="{00000000-0005-0000-0000-0000C1BF0000}"/>
    <cellStyle name="SAPBEXHLevel2X 3 11" xfId="49693" xr:uid="{00000000-0005-0000-0000-0000C2BF0000}"/>
    <cellStyle name="SAPBEXHLevel2X 3 11 2" xfId="50314" xr:uid="{00000000-0005-0000-0000-0000C3BF0000}"/>
    <cellStyle name="SAPBEXHLevel2X 3 11 3" xfId="51134" xr:uid="{00000000-0005-0000-0000-0000C4BF0000}"/>
    <cellStyle name="SAPBEXHLevel2X 3 12" xfId="49988" xr:uid="{00000000-0005-0000-0000-0000C5BF0000}"/>
    <cellStyle name="SAPBEXHLevel2X 3 12 2" xfId="51033" xr:uid="{00000000-0005-0000-0000-0000C6BF0000}"/>
    <cellStyle name="SAPBEXHLevel2X 3 12 3" xfId="51550" xr:uid="{00000000-0005-0000-0000-0000C7BF0000}"/>
    <cellStyle name="SAPBEXHLevel2X 3 13" xfId="50695" xr:uid="{00000000-0005-0000-0000-0000C8BF0000}"/>
    <cellStyle name="SAPBEXHLevel2X 3 14" xfId="50656" xr:uid="{00000000-0005-0000-0000-0000C9BF0000}"/>
    <cellStyle name="SAPBEXHLevel2X 3 15" xfId="49310" xr:uid="{00000000-0005-0000-0000-0000CABF0000}"/>
    <cellStyle name="SAPBEXHLevel2X 3 2" xfId="46449" xr:uid="{00000000-0005-0000-0000-0000CBBF0000}"/>
    <cellStyle name="SAPBEXHLevel2X 3 2 2" xfId="49555" xr:uid="{00000000-0005-0000-0000-0000CCBF0000}"/>
    <cellStyle name="SAPBEXHLevel2X 3 2 2 2" xfId="49883" xr:uid="{00000000-0005-0000-0000-0000CDBF0000}"/>
    <cellStyle name="SAPBEXHLevel2X 3 2 2 2 2" xfId="50126" xr:uid="{00000000-0005-0000-0000-0000CEBF0000}"/>
    <cellStyle name="SAPBEXHLevel2X 3 2 2 2 3" xfId="51571" xr:uid="{00000000-0005-0000-0000-0000CFBF0000}"/>
    <cellStyle name="SAPBEXHLevel2X 3 2 2 3" xfId="50484" xr:uid="{00000000-0005-0000-0000-0000D0BF0000}"/>
    <cellStyle name="SAPBEXHLevel2X 3 2 2 4" xfId="51362" xr:uid="{00000000-0005-0000-0000-0000D1BF0000}"/>
    <cellStyle name="SAPBEXHLevel2X 3 2 3" xfId="49407" xr:uid="{00000000-0005-0000-0000-0000D2BF0000}"/>
    <cellStyle name="SAPBEXHLevel2X 3 2 3 2" xfId="49735" xr:uid="{00000000-0005-0000-0000-0000D3BF0000}"/>
    <cellStyle name="SAPBEXHLevel2X 3 2 3 2 2" xfId="50262" xr:uid="{00000000-0005-0000-0000-0000D4BF0000}"/>
    <cellStyle name="SAPBEXHLevel2X 3 2 3 2 3" xfId="50913" xr:uid="{00000000-0005-0000-0000-0000D5BF0000}"/>
    <cellStyle name="SAPBEXHLevel2X 3 2 3 3" xfId="50631" xr:uid="{00000000-0005-0000-0000-0000D6BF0000}"/>
    <cellStyle name="SAPBEXHLevel2X 3 2 3 4" xfId="50885" xr:uid="{00000000-0005-0000-0000-0000D7BF0000}"/>
    <cellStyle name="SAPBEXHLevel2X 3 2 4" xfId="49694" xr:uid="{00000000-0005-0000-0000-0000D8BF0000}"/>
    <cellStyle name="SAPBEXHLevel2X 3 2 4 2" xfId="50313" xr:uid="{00000000-0005-0000-0000-0000D9BF0000}"/>
    <cellStyle name="SAPBEXHLevel2X 3 2 4 3" xfId="51260" xr:uid="{00000000-0005-0000-0000-0000DABF0000}"/>
    <cellStyle name="SAPBEXHLevel2X 3 2 5" xfId="50044" xr:uid="{00000000-0005-0000-0000-0000DBBF0000}"/>
    <cellStyle name="SAPBEXHLevel2X 3 2 5 2" xfId="51088" xr:uid="{00000000-0005-0000-0000-0000DCBF0000}"/>
    <cellStyle name="SAPBEXHLevel2X 3 2 5 3" xfId="51555" xr:uid="{00000000-0005-0000-0000-0000DDBF0000}"/>
    <cellStyle name="SAPBEXHLevel2X 3 2 6" xfId="50694" xr:uid="{00000000-0005-0000-0000-0000DEBF0000}"/>
    <cellStyle name="SAPBEXHLevel2X 3 2 7" xfId="50798" xr:uid="{00000000-0005-0000-0000-0000DFBF0000}"/>
    <cellStyle name="SAPBEXHLevel2X 3 2 8" xfId="49311" xr:uid="{00000000-0005-0000-0000-0000E0BF0000}"/>
    <cellStyle name="SAPBEXHLevel2X 3 3" xfId="46450" xr:uid="{00000000-0005-0000-0000-0000E1BF0000}"/>
    <cellStyle name="SAPBEXHLevel2X 3 3 2" xfId="49556" xr:uid="{00000000-0005-0000-0000-0000E2BF0000}"/>
    <cellStyle name="SAPBEXHLevel2X 3 3 2 2" xfId="49884" xr:uid="{00000000-0005-0000-0000-0000E3BF0000}"/>
    <cellStyle name="SAPBEXHLevel2X 3 3 2 2 2" xfId="50125" xr:uid="{00000000-0005-0000-0000-0000E4BF0000}"/>
    <cellStyle name="SAPBEXHLevel2X 3 3 2 2 3" xfId="51401" xr:uid="{00000000-0005-0000-0000-0000E5BF0000}"/>
    <cellStyle name="SAPBEXHLevel2X 3 3 2 3" xfId="50483" xr:uid="{00000000-0005-0000-0000-0000E6BF0000}"/>
    <cellStyle name="SAPBEXHLevel2X 3 3 2 4" xfId="51636" xr:uid="{00000000-0005-0000-0000-0000E7BF0000}"/>
    <cellStyle name="SAPBEXHLevel2X 3 3 3" xfId="49406" xr:uid="{00000000-0005-0000-0000-0000E8BF0000}"/>
    <cellStyle name="SAPBEXHLevel2X 3 3 3 2" xfId="49734" xr:uid="{00000000-0005-0000-0000-0000E9BF0000}"/>
    <cellStyle name="SAPBEXHLevel2X 3 3 3 2 2" xfId="50263" xr:uid="{00000000-0005-0000-0000-0000EABF0000}"/>
    <cellStyle name="SAPBEXHLevel2X 3 3 3 2 3" xfId="51595" xr:uid="{00000000-0005-0000-0000-0000EBBF0000}"/>
    <cellStyle name="SAPBEXHLevel2X 3 3 3 3" xfId="50632" xr:uid="{00000000-0005-0000-0000-0000ECBF0000}"/>
    <cellStyle name="SAPBEXHLevel2X 3 3 3 4" xfId="51655" xr:uid="{00000000-0005-0000-0000-0000EDBF0000}"/>
    <cellStyle name="SAPBEXHLevel2X 3 3 4" xfId="49695" xr:uid="{00000000-0005-0000-0000-0000EEBF0000}"/>
    <cellStyle name="SAPBEXHLevel2X 3 3 4 2" xfId="50312" xr:uid="{00000000-0005-0000-0000-0000EFBF0000}"/>
    <cellStyle name="SAPBEXHLevel2X 3 3 4 3" xfId="51517" xr:uid="{00000000-0005-0000-0000-0000F0BF0000}"/>
    <cellStyle name="SAPBEXHLevel2X 3 3 5" xfId="49987" xr:uid="{00000000-0005-0000-0000-0000F1BF0000}"/>
    <cellStyle name="SAPBEXHLevel2X 3 3 5 2" xfId="51032" xr:uid="{00000000-0005-0000-0000-0000F2BF0000}"/>
    <cellStyle name="SAPBEXHLevel2X 3 3 5 3" xfId="51292" xr:uid="{00000000-0005-0000-0000-0000F3BF0000}"/>
    <cellStyle name="SAPBEXHLevel2X 3 3 6" xfId="50693" xr:uid="{00000000-0005-0000-0000-0000F4BF0000}"/>
    <cellStyle name="SAPBEXHLevel2X 3 3 7" xfId="50962" xr:uid="{00000000-0005-0000-0000-0000F5BF0000}"/>
    <cellStyle name="SAPBEXHLevel2X 3 3 8" xfId="49312" xr:uid="{00000000-0005-0000-0000-0000F6BF0000}"/>
    <cellStyle name="SAPBEXHLevel2X 3 4" xfId="49313" xr:uid="{00000000-0005-0000-0000-0000F7BF0000}"/>
    <cellStyle name="SAPBEXHLevel2X 3 4 2" xfId="49557" xr:uid="{00000000-0005-0000-0000-0000F8BF0000}"/>
    <cellStyle name="SAPBEXHLevel2X 3 4 2 2" xfId="49885" xr:uid="{00000000-0005-0000-0000-0000F9BF0000}"/>
    <cellStyle name="SAPBEXHLevel2X 3 4 2 2 2" xfId="50124" xr:uid="{00000000-0005-0000-0000-0000FABF0000}"/>
    <cellStyle name="SAPBEXHLevel2X 3 4 2 2 3" xfId="51660" xr:uid="{00000000-0005-0000-0000-0000FBBF0000}"/>
    <cellStyle name="SAPBEXHLevel2X 3 4 2 3" xfId="50482" xr:uid="{00000000-0005-0000-0000-0000FCBF0000}"/>
    <cellStyle name="SAPBEXHLevel2X 3 4 2 4" xfId="50888" xr:uid="{00000000-0005-0000-0000-0000FDBF0000}"/>
    <cellStyle name="SAPBEXHLevel2X 3 4 3" xfId="49405" xr:uid="{00000000-0005-0000-0000-0000FEBF0000}"/>
    <cellStyle name="SAPBEXHLevel2X 3 4 3 2" xfId="49733" xr:uid="{00000000-0005-0000-0000-0000FFBF0000}"/>
    <cellStyle name="SAPBEXHLevel2X 3 4 3 2 2" xfId="50264" xr:uid="{00000000-0005-0000-0000-000000C00000}"/>
    <cellStyle name="SAPBEXHLevel2X 3 4 3 2 3" xfId="51380" xr:uid="{00000000-0005-0000-0000-000001C00000}"/>
    <cellStyle name="SAPBEXHLevel2X 3 4 3 3" xfId="50633" xr:uid="{00000000-0005-0000-0000-000002C00000}"/>
    <cellStyle name="SAPBEXHLevel2X 3 4 3 4" xfId="51342" xr:uid="{00000000-0005-0000-0000-000003C00000}"/>
    <cellStyle name="SAPBEXHLevel2X 3 4 4" xfId="49696" xr:uid="{00000000-0005-0000-0000-000004C00000}"/>
    <cellStyle name="SAPBEXHLevel2X 3 4 4 2" xfId="50311" xr:uid="{00000000-0005-0000-0000-000005C00000}"/>
    <cellStyle name="SAPBEXHLevel2X 3 4 4 3" xfId="51172" xr:uid="{00000000-0005-0000-0000-000006C00000}"/>
    <cellStyle name="SAPBEXHLevel2X 3 4 5" xfId="49986" xr:uid="{00000000-0005-0000-0000-000007C00000}"/>
    <cellStyle name="SAPBEXHLevel2X 3 4 5 2" xfId="51031" xr:uid="{00000000-0005-0000-0000-000008C00000}"/>
    <cellStyle name="SAPBEXHLevel2X 3 4 5 3" xfId="51117" xr:uid="{00000000-0005-0000-0000-000009C00000}"/>
    <cellStyle name="SAPBEXHLevel2X 3 4 6" xfId="50692" xr:uid="{00000000-0005-0000-0000-00000AC00000}"/>
    <cellStyle name="SAPBEXHLevel2X 3 4 7" xfId="50842" xr:uid="{00000000-0005-0000-0000-00000BC00000}"/>
    <cellStyle name="SAPBEXHLevel2X 3 5" xfId="49314" xr:uid="{00000000-0005-0000-0000-00000CC00000}"/>
    <cellStyle name="SAPBEXHLevel2X 3 5 2" xfId="49558" xr:uid="{00000000-0005-0000-0000-00000DC00000}"/>
    <cellStyle name="SAPBEXHLevel2X 3 5 2 2" xfId="49886" xr:uid="{00000000-0005-0000-0000-00000EC00000}"/>
    <cellStyle name="SAPBEXHLevel2X 3 5 2 2 2" xfId="50123" xr:uid="{00000000-0005-0000-0000-00000FC00000}"/>
    <cellStyle name="SAPBEXHLevel2X 3 5 2 2 3" xfId="50972" xr:uid="{00000000-0005-0000-0000-000010C00000}"/>
    <cellStyle name="SAPBEXHLevel2X 3 5 2 3" xfId="50481" xr:uid="{00000000-0005-0000-0000-000011C00000}"/>
    <cellStyle name="SAPBEXHLevel2X 3 5 2 4" xfId="51245" xr:uid="{00000000-0005-0000-0000-000012C00000}"/>
    <cellStyle name="SAPBEXHLevel2X 3 5 3" xfId="49404" xr:uid="{00000000-0005-0000-0000-000013C00000}"/>
    <cellStyle name="SAPBEXHLevel2X 3 5 3 2" xfId="49732" xr:uid="{00000000-0005-0000-0000-000014C00000}"/>
    <cellStyle name="SAPBEXHLevel2X 3 5 3 2 2" xfId="50265" xr:uid="{00000000-0005-0000-0000-000015C00000}"/>
    <cellStyle name="SAPBEXHLevel2X 3 5 3 2 3" xfId="51543" xr:uid="{00000000-0005-0000-0000-000016C00000}"/>
    <cellStyle name="SAPBEXHLevel2X 3 5 3 3" xfId="50634" xr:uid="{00000000-0005-0000-0000-000017C00000}"/>
    <cellStyle name="SAPBEXHLevel2X 3 5 3 4" xfId="51475" xr:uid="{00000000-0005-0000-0000-000018C00000}"/>
    <cellStyle name="SAPBEXHLevel2X 3 5 4" xfId="49697" xr:uid="{00000000-0005-0000-0000-000019C00000}"/>
    <cellStyle name="SAPBEXHLevel2X 3 5 4 2" xfId="50310" xr:uid="{00000000-0005-0000-0000-00001AC00000}"/>
    <cellStyle name="SAPBEXHLevel2X 3 5 4 3" xfId="50865" xr:uid="{00000000-0005-0000-0000-00001BC00000}"/>
    <cellStyle name="SAPBEXHLevel2X 3 5 5" xfId="49957" xr:uid="{00000000-0005-0000-0000-00001CC00000}"/>
    <cellStyle name="SAPBEXHLevel2X 3 5 5 2" xfId="51002" xr:uid="{00000000-0005-0000-0000-00001DC00000}"/>
    <cellStyle name="SAPBEXHLevel2X 3 5 5 3" xfId="51406" xr:uid="{00000000-0005-0000-0000-00001EC00000}"/>
    <cellStyle name="SAPBEXHLevel2X 3 5 6" xfId="50691" xr:uid="{00000000-0005-0000-0000-00001FC00000}"/>
    <cellStyle name="SAPBEXHLevel2X 3 5 7" xfId="50799" xr:uid="{00000000-0005-0000-0000-000020C00000}"/>
    <cellStyle name="SAPBEXHLevel2X 3 6" xfId="49315" xr:uid="{00000000-0005-0000-0000-000021C00000}"/>
    <cellStyle name="SAPBEXHLevel2X 3 6 2" xfId="49559" xr:uid="{00000000-0005-0000-0000-000022C00000}"/>
    <cellStyle name="SAPBEXHLevel2X 3 6 2 2" xfId="49887" xr:uid="{00000000-0005-0000-0000-000023C00000}"/>
    <cellStyle name="SAPBEXHLevel2X 3 6 2 2 2" xfId="50122" xr:uid="{00000000-0005-0000-0000-000024C00000}"/>
    <cellStyle name="SAPBEXHLevel2X 3 6 2 2 3" xfId="51283" xr:uid="{00000000-0005-0000-0000-000025C00000}"/>
    <cellStyle name="SAPBEXHLevel2X 3 6 2 3" xfId="50480" xr:uid="{00000000-0005-0000-0000-000026C00000}"/>
    <cellStyle name="SAPBEXHLevel2X 3 6 2 4" xfId="51502" xr:uid="{00000000-0005-0000-0000-000027C00000}"/>
    <cellStyle name="SAPBEXHLevel2X 3 6 3" xfId="49403" xr:uid="{00000000-0005-0000-0000-000028C00000}"/>
    <cellStyle name="SAPBEXHLevel2X 3 6 3 2" xfId="49731" xr:uid="{00000000-0005-0000-0000-000029C00000}"/>
    <cellStyle name="SAPBEXHLevel2X 3 6 3 2 2" xfId="50266" xr:uid="{00000000-0005-0000-0000-00002AC00000}"/>
    <cellStyle name="SAPBEXHLevel2X 3 6 3 2 3" xfId="51285" xr:uid="{00000000-0005-0000-0000-00002BC00000}"/>
    <cellStyle name="SAPBEXHLevel2X 3 6 3 3" xfId="50635" xr:uid="{00000000-0005-0000-0000-00002CC00000}"/>
    <cellStyle name="SAPBEXHLevel2X 3 6 3 4" xfId="51219" xr:uid="{00000000-0005-0000-0000-00002DC00000}"/>
    <cellStyle name="SAPBEXHLevel2X 3 6 4" xfId="49698" xr:uid="{00000000-0005-0000-0000-00002EC00000}"/>
    <cellStyle name="SAPBEXHLevel2X 3 6 4 2" xfId="50309" xr:uid="{00000000-0005-0000-0000-00002FC00000}"/>
    <cellStyle name="SAPBEXHLevel2X 3 6 4 3" xfId="51431" xr:uid="{00000000-0005-0000-0000-000030C00000}"/>
    <cellStyle name="SAPBEXHLevel2X 3 6 5" xfId="49985" xr:uid="{00000000-0005-0000-0000-000031C00000}"/>
    <cellStyle name="SAPBEXHLevel2X 3 6 5 2" xfId="51030" xr:uid="{00000000-0005-0000-0000-000032C00000}"/>
    <cellStyle name="SAPBEXHLevel2X 3 6 5 3" xfId="51606" xr:uid="{00000000-0005-0000-0000-000033C00000}"/>
    <cellStyle name="SAPBEXHLevel2X 3 6 6" xfId="50690" xr:uid="{00000000-0005-0000-0000-000034C00000}"/>
    <cellStyle name="SAPBEXHLevel2X 3 6 7" xfId="50843" xr:uid="{00000000-0005-0000-0000-000035C00000}"/>
    <cellStyle name="SAPBEXHLevel2X 3 7" xfId="49316" xr:uid="{00000000-0005-0000-0000-000036C00000}"/>
    <cellStyle name="SAPBEXHLevel2X 3 7 2" xfId="49560" xr:uid="{00000000-0005-0000-0000-000037C00000}"/>
    <cellStyle name="SAPBEXHLevel2X 3 7 2 2" xfId="49888" xr:uid="{00000000-0005-0000-0000-000038C00000}"/>
    <cellStyle name="SAPBEXHLevel2X 3 7 2 2 2" xfId="50121" xr:uid="{00000000-0005-0000-0000-000039C00000}"/>
    <cellStyle name="SAPBEXHLevel2X 3 7 2 2 3" xfId="51541" xr:uid="{00000000-0005-0000-0000-00003AC00000}"/>
    <cellStyle name="SAPBEXHLevel2X 3 7 2 3" xfId="50479" xr:uid="{00000000-0005-0000-0000-00003BC00000}"/>
    <cellStyle name="SAPBEXHLevel2X 3 7 2 4" xfId="51185" xr:uid="{00000000-0005-0000-0000-00003CC00000}"/>
    <cellStyle name="SAPBEXHLevel2X 3 7 3" xfId="49589" xr:uid="{00000000-0005-0000-0000-00003DC00000}"/>
    <cellStyle name="SAPBEXHLevel2X 3 7 3 2" xfId="49917" xr:uid="{00000000-0005-0000-0000-00003EC00000}"/>
    <cellStyle name="SAPBEXHLevel2X 3 7 3 2 2" xfId="50092" xr:uid="{00000000-0005-0000-0000-00003FC00000}"/>
    <cellStyle name="SAPBEXHLevel2X 3 7 3 2 3" xfId="51105" xr:uid="{00000000-0005-0000-0000-000040C00000}"/>
    <cellStyle name="SAPBEXHLevel2X 3 7 3 3" xfId="50450" xr:uid="{00000000-0005-0000-0000-000041C00000}"/>
    <cellStyle name="SAPBEXHLevel2X 3 7 3 4" xfId="51439" xr:uid="{00000000-0005-0000-0000-000042C00000}"/>
    <cellStyle name="SAPBEXHLevel2X 3 7 4" xfId="49699" xr:uid="{00000000-0005-0000-0000-000043C00000}"/>
    <cellStyle name="SAPBEXHLevel2X 3 7 4 2" xfId="50282" xr:uid="{00000000-0005-0000-0000-000044C00000}"/>
    <cellStyle name="SAPBEXHLevel2X 3 7 4 3" xfId="51378" xr:uid="{00000000-0005-0000-0000-000045C00000}"/>
    <cellStyle name="SAPBEXHLevel2X 3 7 5" xfId="49984" xr:uid="{00000000-0005-0000-0000-000046C00000}"/>
    <cellStyle name="SAPBEXHLevel2X 3 7 5 2" xfId="51029" xr:uid="{00000000-0005-0000-0000-000047C00000}"/>
    <cellStyle name="SAPBEXHLevel2X 3 7 5 3" xfId="51409" xr:uid="{00000000-0005-0000-0000-000048C00000}"/>
    <cellStyle name="SAPBEXHLevel2X 3 7 6" xfId="50689" xr:uid="{00000000-0005-0000-0000-000049C00000}"/>
    <cellStyle name="SAPBEXHLevel2X 3 7 7" xfId="50800" xr:uid="{00000000-0005-0000-0000-00004AC00000}"/>
    <cellStyle name="SAPBEXHLevel2X 3 8" xfId="49317" xr:uid="{00000000-0005-0000-0000-00004BC00000}"/>
    <cellStyle name="SAPBEXHLevel2X 3 8 2" xfId="49561" xr:uid="{00000000-0005-0000-0000-00004CC00000}"/>
    <cellStyle name="SAPBEXHLevel2X 3 8 2 2" xfId="49889" xr:uid="{00000000-0005-0000-0000-00004DC00000}"/>
    <cellStyle name="SAPBEXHLevel2X 3 8 2 2 2" xfId="50120" xr:uid="{00000000-0005-0000-0000-00004EC00000}"/>
    <cellStyle name="SAPBEXHLevel2X 3 8 2 2 3" xfId="51315" xr:uid="{00000000-0005-0000-0000-00004FC00000}"/>
    <cellStyle name="SAPBEXHLevel2X 3 8 2 3" xfId="50478" xr:uid="{00000000-0005-0000-0000-000050C00000}"/>
    <cellStyle name="SAPBEXHLevel2X 3 8 2 4" xfId="51443" xr:uid="{00000000-0005-0000-0000-000051C00000}"/>
    <cellStyle name="SAPBEXHLevel2X 3 8 3" xfId="49402" xr:uid="{00000000-0005-0000-0000-000052C00000}"/>
    <cellStyle name="SAPBEXHLevel2X 3 8 3 2" xfId="49730" xr:uid="{00000000-0005-0000-0000-000053C00000}"/>
    <cellStyle name="SAPBEXHLevel2X 3 8 3 2 2" xfId="50267" xr:uid="{00000000-0005-0000-0000-000054C00000}"/>
    <cellStyle name="SAPBEXHLevel2X 3 8 3 2 3" xfId="51429" xr:uid="{00000000-0005-0000-0000-000055C00000}"/>
    <cellStyle name="SAPBEXHLevel2X 3 8 3 3" xfId="50636" xr:uid="{00000000-0005-0000-0000-000056C00000}"/>
    <cellStyle name="SAPBEXHLevel2X 3 8 3 4" xfId="51464" xr:uid="{00000000-0005-0000-0000-000057C00000}"/>
    <cellStyle name="SAPBEXHLevel2X 3 8 4" xfId="49700" xr:uid="{00000000-0005-0000-0000-000058C00000}"/>
    <cellStyle name="SAPBEXHLevel2X 3 8 4 2" xfId="50281" xr:uid="{00000000-0005-0000-0000-000059C00000}"/>
    <cellStyle name="SAPBEXHLevel2X 3 8 4 3" xfId="51598" xr:uid="{00000000-0005-0000-0000-00005AC00000}"/>
    <cellStyle name="SAPBEXHLevel2X 3 8 5" xfId="50052" xr:uid="{00000000-0005-0000-0000-00005BC00000}"/>
    <cellStyle name="SAPBEXHLevel2X 3 8 5 2" xfId="51096" xr:uid="{00000000-0005-0000-0000-00005CC00000}"/>
    <cellStyle name="SAPBEXHLevel2X 3 8 5 3" xfId="51298" xr:uid="{00000000-0005-0000-0000-00005DC00000}"/>
    <cellStyle name="SAPBEXHLevel2X 3 8 6" xfId="50688" xr:uid="{00000000-0005-0000-0000-00005EC00000}"/>
    <cellStyle name="SAPBEXHLevel2X 3 8 7" xfId="50844" xr:uid="{00000000-0005-0000-0000-00005FC00000}"/>
    <cellStyle name="SAPBEXHLevel2X 3 9" xfId="49554" xr:uid="{00000000-0005-0000-0000-000060C00000}"/>
    <cellStyle name="SAPBEXHLevel2X 3 9 2" xfId="49882" xr:uid="{00000000-0005-0000-0000-000061C00000}"/>
    <cellStyle name="SAPBEXHLevel2X 3 9 2 2" xfId="50127" xr:uid="{00000000-0005-0000-0000-000062C00000}"/>
    <cellStyle name="SAPBEXHLevel2X 3 9 2 3" xfId="51314" xr:uid="{00000000-0005-0000-0000-000063C00000}"/>
    <cellStyle name="SAPBEXHLevel2X 3 9 3" xfId="50485" xr:uid="{00000000-0005-0000-0000-000064C00000}"/>
    <cellStyle name="SAPBEXHLevel2X 3 9 4" xfId="51444"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08" xr:uid="{00000000-0005-0000-0000-00006AC00000}"/>
    <cellStyle name="SAPBEXHLevel2X 4" xfId="46455" xr:uid="{00000000-0005-0000-0000-00006BC00000}"/>
    <cellStyle name="SAPBEXHLevel2X 4 2" xfId="46456" xr:uid="{00000000-0005-0000-0000-00006CC00000}"/>
    <cellStyle name="SAPBEXHLevel2X 4 2 2" xfId="50129" xr:uid="{00000000-0005-0000-0000-00006DC00000}"/>
    <cellStyle name="SAPBEXHLevel2X 4 2 3" xfId="51282" xr:uid="{00000000-0005-0000-0000-00006EC00000}"/>
    <cellStyle name="SAPBEXHLevel2X 4 2 4" xfId="49880" xr:uid="{00000000-0005-0000-0000-00006FC00000}"/>
    <cellStyle name="SAPBEXHLevel2X 4 3" xfId="50487" xr:uid="{00000000-0005-0000-0000-000070C00000}"/>
    <cellStyle name="SAPBEXHLevel2X 4 4" xfId="51501" xr:uid="{00000000-0005-0000-0000-000071C00000}"/>
    <cellStyle name="SAPBEXHLevel2X 4 5" xfId="49552" xr:uid="{00000000-0005-0000-0000-000072C00000}"/>
    <cellStyle name="SAPBEXHLevel2X 5" xfId="46457" xr:uid="{00000000-0005-0000-0000-000073C00000}"/>
    <cellStyle name="SAPBEXHLevel2X 5 2" xfId="46458" xr:uid="{00000000-0005-0000-0000-000074C00000}"/>
    <cellStyle name="SAPBEXHLevel2X 5 2 2" xfId="50259" xr:uid="{00000000-0005-0000-0000-000075C00000}"/>
    <cellStyle name="SAPBEXHLevel2X 5 2 3" xfId="51522" xr:uid="{00000000-0005-0000-0000-000076C00000}"/>
    <cellStyle name="SAPBEXHLevel2X 5 2 4" xfId="49738" xr:uid="{00000000-0005-0000-0000-000077C00000}"/>
    <cellStyle name="SAPBEXHLevel2X 5 3" xfId="50628" xr:uid="{00000000-0005-0000-0000-000078C00000}"/>
    <cellStyle name="SAPBEXHLevel2X 5 4" xfId="51205" xr:uid="{00000000-0005-0000-0000-000079C00000}"/>
    <cellStyle name="SAPBEXHLevel2X 5 5" xfId="49410" xr:uid="{00000000-0005-0000-0000-00007AC00000}"/>
    <cellStyle name="SAPBEXHLevel2X 6" xfId="46459" xr:uid="{00000000-0005-0000-0000-00007BC00000}"/>
    <cellStyle name="SAPBEXHLevel2X 6 2" xfId="46460" xr:uid="{00000000-0005-0000-0000-00007CC00000}"/>
    <cellStyle name="SAPBEXHLevel2X 6 2 2" xfId="50316" xr:uid="{00000000-0005-0000-0000-00007DC00000}"/>
    <cellStyle name="SAPBEXHLevel2X 6 3" xfId="51624" xr:uid="{00000000-0005-0000-0000-00007EC00000}"/>
    <cellStyle name="SAPBEXHLevel2X 6 4" xfId="49691" xr:uid="{00000000-0005-0000-0000-00007FC00000}"/>
    <cellStyle name="SAPBEXHLevel2X 7" xfId="46461" xr:uid="{00000000-0005-0000-0000-000080C00000}"/>
    <cellStyle name="SAPBEXHLevel2X 7 2" xfId="46462" xr:uid="{00000000-0005-0000-0000-000081C00000}"/>
    <cellStyle name="SAPBEXHLevel2X 7 2 2" xfId="51034" xr:uid="{00000000-0005-0000-0000-000082C00000}"/>
    <cellStyle name="SAPBEXHLevel2X 7 3" xfId="51323" xr:uid="{00000000-0005-0000-0000-000083C00000}"/>
    <cellStyle name="SAPBEXHLevel2X 7 4" xfId="49989" xr:uid="{00000000-0005-0000-0000-000084C00000}"/>
    <cellStyle name="SAPBEXHLevel2X 8" xfId="46463" xr:uid="{00000000-0005-0000-0000-000085C00000}"/>
    <cellStyle name="SAPBEXHLevel2X 8 2" xfId="46464" xr:uid="{00000000-0005-0000-0000-000086C00000}"/>
    <cellStyle name="SAPBEXHLevel2X 8 3" xfId="50697" xr:uid="{00000000-0005-0000-0000-000087C00000}"/>
    <cellStyle name="SAPBEXHLevel2X 9" xfId="46465" xr:uid="{00000000-0005-0000-0000-000088C00000}"/>
    <cellStyle name="SAPBEXHLevel2X 9 2" xfId="46466" xr:uid="{00000000-0005-0000-0000-000089C00000}"/>
    <cellStyle name="SAPBEXHLevel2X 9 3" xfId="50797"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37"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18" xr:uid="{00000000-0005-0000-0000-0000A5C00000}"/>
    <cellStyle name="SAPBEXHLevel3 2 2 2 3" xfId="51402" xr:uid="{00000000-0005-0000-0000-0000A6C00000}"/>
    <cellStyle name="SAPBEXHLevel3 2 2 2 4" xfId="49891" xr:uid="{00000000-0005-0000-0000-0000A7C00000}"/>
    <cellStyle name="SAPBEXHLevel3 2 2 3" xfId="46491" xr:uid="{00000000-0005-0000-0000-0000A8C00000}"/>
    <cellStyle name="SAPBEXHLevel3 2 2 3 2" xfId="50476" xr:uid="{00000000-0005-0000-0000-0000A9C00000}"/>
    <cellStyle name="SAPBEXHLevel3 2 2 4" xfId="51635" xr:uid="{00000000-0005-0000-0000-0000AAC00000}"/>
    <cellStyle name="SAPBEXHLevel3 2 2 5" xfId="49563"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3" xr:uid="{00000000-0005-0000-0000-0000B8C00000}"/>
    <cellStyle name="SAPBEXHLevel3 2 3 2 3" xfId="51151" xr:uid="{00000000-0005-0000-0000-0000B9C00000}"/>
    <cellStyle name="SAPBEXHLevel3 2 3 2 4" xfId="49916" xr:uid="{00000000-0005-0000-0000-0000BAC00000}"/>
    <cellStyle name="SAPBEXHLevel3 2 3 3" xfId="50451" xr:uid="{00000000-0005-0000-0000-0000BBC00000}"/>
    <cellStyle name="SAPBEXHLevel3 2 3 4" xfId="51181" xr:uid="{00000000-0005-0000-0000-0000BCC00000}"/>
    <cellStyle name="SAPBEXHLevel3 2 3 5" xfId="49588"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19" xr:uid="{00000000-0005-0000-0000-0000C1C00000}"/>
    <cellStyle name="SAPBEXHLevel3 2 4" xfId="46507" xr:uid="{00000000-0005-0000-0000-0000C2C00000}"/>
    <cellStyle name="SAPBEXHLevel3 2 4 2" xfId="46508" xr:uid="{00000000-0005-0000-0000-0000C3C00000}"/>
    <cellStyle name="SAPBEXHLevel3 2 4 2 2" xfId="50279" xr:uid="{00000000-0005-0000-0000-0000C4C00000}"/>
    <cellStyle name="SAPBEXHLevel3 2 4 3" xfId="50935" xr:uid="{00000000-0005-0000-0000-0000C5C00000}"/>
    <cellStyle name="SAPBEXHLevel3 2 4 4" xfId="49702" xr:uid="{00000000-0005-0000-0000-0000C6C00000}"/>
    <cellStyle name="SAPBEXHLevel3 2 5" xfId="46509" xr:uid="{00000000-0005-0000-0000-0000C7C00000}"/>
    <cellStyle name="SAPBEXHLevel3 2 5 2" xfId="46510" xr:uid="{00000000-0005-0000-0000-0000C8C00000}"/>
    <cellStyle name="SAPBEXHLevel3 2 5 2 2" xfId="51095" xr:uid="{00000000-0005-0000-0000-0000C9C00000}"/>
    <cellStyle name="SAPBEXHLevel3 2 5 3" xfId="51131" xr:uid="{00000000-0005-0000-0000-0000CAC00000}"/>
    <cellStyle name="SAPBEXHLevel3 2 5 4" xfId="50051" xr:uid="{00000000-0005-0000-0000-0000CBC00000}"/>
    <cellStyle name="SAPBEXHLevel3 2 6" xfId="46511" xr:uid="{00000000-0005-0000-0000-0000CCC00000}"/>
    <cellStyle name="SAPBEXHLevel3 2 6 2" xfId="46512" xr:uid="{00000000-0005-0000-0000-0000CDC00000}"/>
    <cellStyle name="SAPBEXHLevel3 2 6 3" xfId="50686" xr:uid="{00000000-0005-0000-0000-0000CEC00000}"/>
    <cellStyle name="SAPBEXHLevel3 2 7" xfId="46513" xr:uid="{00000000-0005-0000-0000-0000CFC00000}"/>
    <cellStyle name="SAPBEXHLevel3 2 7 2" xfId="46514" xr:uid="{00000000-0005-0000-0000-0000D0C00000}"/>
    <cellStyle name="SAPBEXHLevel3 2 7 3" xfId="50839"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19" xr:uid="{00000000-0005-0000-0000-0000E1C00000}"/>
    <cellStyle name="SAPBEXHLevel3 3 2 3" xfId="51572" xr:uid="{00000000-0005-0000-0000-0000E2C00000}"/>
    <cellStyle name="SAPBEXHLevel3 3 2 4" xfId="49890" xr:uid="{00000000-0005-0000-0000-0000E3C00000}"/>
    <cellStyle name="SAPBEXHLevel3 3 3" xfId="46530" xr:uid="{00000000-0005-0000-0000-0000E4C00000}"/>
    <cellStyle name="SAPBEXHLevel3 3 3 2" xfId="50477" xr:uid="{00000000-0005-0000-0000-0000E5C00000}"/>
    <cellStyle name="SAPBEXHLevel3 3 4" xfId="51363" xr:uid="{00000000-0005-0000-0000-0000E6C00000}"/>
    <cellStyle name="SAPBEXHLevel3 3 5" xfId="49562"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18" xr:uid="{00000000-0005-0000-0000-0000ECC00000}"/>
    <cellStyle name="SAPBEXHLevel3 4" xfId="46535" xr:uid="{00000000-0005-0000-0000-0000EDC00000}"/>
    <cellStyle name="SAPBEXHLevel3 4 2" xfId="46536" xr:uid="{00000000-0005-0000-0000-0000EEC00000}"/>
    <cellStyle name="SAPBEXHLevel3 4 2 2" xfId="50268" xr:uid="{00000000-0005-0000-0000-0000EFC00000}"/>
    <cellStyle name="SAPBEXHLevel3 4 2 3" xfId="51170" xr:uid="{00000000-0005-0000-0000-0000F0C00000}"/>
    <cellStyle name="SAPBEXHLevel3 4 2 4" xfId="49729" xr:uid="{00000000-0005-0000-0000-0000F1C00000}"/>
    <cellStyle name="SAPBEXHLevel3 4 3" xfId="50637" xr:uid="{00000000-0005-0000-0000-0000F2C00000}"/>
    <cellStyle name="SAPBEXHLevel3 4 4" xfId="51206" xr:uid="{00000000-0005-0000-0000-0000F3C00000}"/>
    <cellStyle name="SAPBEXHLevel3 4 5" xfId="49401" xr:uid="{00000000-0005-0000-0000-0000F4C00000}"/>
    <cellStyle name="SAPBEXHLevel3 5" xfId="46537" xr:uid="{00000000-0005-0000-0000-0000F5C00000}"/>
    <cellStyle name="SAPBEXHLevel3 5 2" xfId="46538" xr:uid="{00000000-0005-0000-0000-0000F6C00000}"/>
    <cellStyle name="SAPBEXHLevel3 5 2 2" xfId="50994" xr:uid="{00000000-0005-0000-0000-0000F7C00000}"/>
    <cellStyle name="SAPBEXHLevel3 5 2 3" xfId="51112" xr:uid="{00000000-0005-0000-0000-0000F8C00000}"/>
    <cellStyle name="SAPBEXHLevel3 5 2 4" xfId="49949" xr:uid="{00000000-0005-0000-0000-0000F9C00000}"/>
    <cellStyle name="SAPBEXHLevel3 5 3" xfId="50055" xr:uid="{00000000-0005-0000-0000-0000FAC00000}"/>
    <cellStyle name="SAPBEXHLevel3 5 4" xfId="51133" xr:uid="{00000000-0005-0000-0000-0000FBC00000}"/>
    <cellStyle name="SAPBEXHLevel3 5 5" xfId="49621" xr:uid="{00000000-0005-0000-0000-0000FCC00000}"/>
    <cellStyle name="SAPBEXHLevel3 6" xfId="46539" xr:uid="{00000000-0005-0000-0000-0000FDC00000}"/>
    <cellStyle name="SAPBEXHLevel3 6 2" xfId="46540" xr:uid="{00000000-0005-0000-0000-0000FEC00000}"/>
    <cellStyle name="SAPBEXHLevel3 6 2 2" xfId="50280" xr:uid="{00000000-0005-0000-0000-0000FFC00000}"/>
    <cellStyle name="SAPBEXHLevel3 6 3" xfId="50875" xr:uid="{00000000-0005-0000-0000-000000C10000}"/>
    <cellStyle name="SAPBEXHLevel3 6 4" xfId="49701" xr:uid="{00000000-0005-0000-0000-000001C10000}"/>
    <cellStyle name="SAPBEXHLevel3 7" xfId="46541" xr:uid="{00000000-0005-0000-0000-000002C10000}"/>
    <cellStyle name="SAPBEXHLevel3 7 2" xfId="46542" xr:uid="{00000000-0005-0000-0000-000003C10000}"/>
    <cellStyle name="SAPBEXHLevel3 7 2 2" xfId="51097" xr:uid="{00000000-0005-0000-0000-000004C10000}"/>
    <cellStyle name="SAPBEXHLevel3 7 3" xfId="51670" xr:uid="{00000000-0005-0000-0000-000005C10000}"/>
    <cellStyle name="SAPBEXHLevel3 7 4" xfId="50053" xr:uid="{00000000-0005-0000-0000-000006C10000}"/>
    <cellStyle name="SAPBEXHLevel3 8" xfId="46543" xr:uid="{00000000-0005-0000-0000-000007C10000}"/>
    <cellStyle name="SAPBEXHLevel3 8 2" xfId="46544" xr:uid="{00000000-0005-0000-0000-000008C10000}"/>
    <cellStyle name="SAPBEXHLevel3 8 3" xfId="50687" xr:uid="{00000000-0005-0000-0000-000009C10000}"/>
    <cellStyle name="SAPBEXHLevel3 9" xfId="46545" xr:uid="{00000000-0005-0000-0000-00000AC10000}"/>
    <cellStyle name="SAPBEXHLevel3 9 2" xfId="46546" xr:uid="{00000000-0005-0000-0000-00000BC10000}"/>
    <cellStyle name="SAPBEXHLevel3 9 3" xfId="50845"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16" xr:uid="{00000000-0005-0000-0000-000026C10000}"/>
    <cellStyle name="SAPBEXHLevel3X 2 2 2 3" xfId="51098" xr:uid="{00000000-0005-0000-0000-000027C10000}"/>
    <cellStyle name="SAPBEXHLevel3X 2 2 2 4" xfId="49893" xr:uid="{00000000-0005-0000-0000-000028C10000}"/>
    <cellStyle name="SAPBEXHLevel3X 2 2 3" xfId="46571" xr:uid="{00000000-0005-0000-0000-000029C10000}"/>
    <cellStyle name="SAPBEXHLevel3X 2 2 3 2" xfId="50474" xr:uid="{00000000-0005-0000-0000-00002AC10000}"/>
    <cellStyle name="SAPBEXHLevel3X 2 2 4" xfId="51246" xr:uid="{00000000-0005-0000-0000-00002BC10000}"/>
    <cellStyle name="SAPBEXHLevel3X 2 2 5" xfId="49565"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5" xr:uid="{00000000-0005-0000-0000-000039C10000}"/>
    <cellStyle name="SAPBEXHLevel3X 2 3 2 3" xfId="51147" xr:uid="{00000000-0005-0000-0000-00003AC10000}"/>
    <cellStyle name="SAPBEXHLevel3X 2 3 2 4" xfId="49927" xr:uid="{00000000-0005-0000-0000-00003BC10000}"/>
    <cellStyle name="SAPBEXHLevel3X 2 3 3" xfId="50440" xr:uid="{00000000-0005-0000-0000-00003CC10000}"/>
    <cellStyle name="SAPBEXHLevel3X 2 3 4" xfId="51640" xr:uid="{00000000-0005-0000-0000-00003DC10000}"/>
    <cellStyle name="SAPBEXHLevel3X 2 3 5" xfId="49599"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1" xr:uid="{00000000-0005-0000-0000-000042C10000}"/>
    <cellStyle name="SAPBEXHLevel3X 2 4" xfId="46587" xr:uid="{00000000-0005-0000-0000-000043C10000}"/>
    <cellStyle name="SAPBEXHLevel3X 2 4 2" xfId="46588" xr:uid="{00000000-0005-0000-0000-000044C10000}"/>
    <cellStyle name="SAPBEXHLevel3X 2 4 2 2" xfId="50277" xr:uid="{00000000-0005-0000-0000-000045C10000}"/>
    <cellStyle name="SAPBEXHLevel3X 2 4 3" xfId="50853" xr:uid="{00000000-0005-0000-0000-000046C10000}"/>
    <cellStyle name="SAPBEXHLevel3X 2 4 4" xfId="49704" xr:uid="{00000000-0005-0000-0000-000047C10000}"/>
    <cellStyle name="SAPBEXHLevel3X 2 5" xfId="46589" xr:uid="{00000000-0005-0000-0000-000048C10000}"/>
    <cellStyle name="SAPBEXHLevel3X 2 5 2" xfId="46590" xr:uid="{00000000-0005-0000-0000-000049C10000}"/>
    <cellStyle name="SAPBEXHLevel3X 2 5 2 2" xfId="51028" xr:uid="{00000000-0005-0000-0000-00004AC10000}"/>
    <cellStyle name="SAPBEXHLevel3X 2 5 3" xfId="51588" xr:uid="{00000000-0005-0000-0000-00004BC10000}"/>
    <cellStyle name="SAPBEXHLevel3X 2 5 4" xfId="49983" xr:uid="{00000000-0005-0000-0000-00004CC10000}"/>
    <cellStyle name="SAPBEXHLevel3X 2 6" xfId="46591" xr:uid="{00000000-0005-0000-0000-00004DC10000}"/>
    <cellStyle name="SAPBEXHLevel3X 2 6 2" xfId="46592" xr:uid="{00000000-0005-0000-0000-00004EC10000}"/>
    <cellStyle name="SAPBEXHLevel3X 2 6 3" xfId="50684" xr:uid="{00000000-0005-0000-0000-00004FC10000}"/>
    <cellStyle name="SAPBEXHLevel3X 2 7" xfId="46593" xr:uid="{00000000-0005-0000-0000-000050C10000}"/>
    <cellStyle name="SAPBEXHLevel3X 2 7 2" xfId="46594" xr:uid="{00000000-0005-0000-0000-000051C10000}"/>
    <cellStyle name="SAPBEXHLevel3X 2 7 3" xfId="51142"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0" xr:uid="{00000000-0005-0000-0000-000061C10000}"/>
    <cellStyle name="SAPBEXHLevel3X 3 10 2" xfId="49928" xr:uid="{00000000-0005-0000-0000-000062C10000}"/>
    <cellStyle name="SAPBEXHLevel3X 3 10 2 2" xfId="50084" xr:uid="{00000000-0005-0000-0000-000063C10000}"/>
    <cellStyle name="SAPBEXHLevel3X 3 10 2 3" xfId="51109" xr:uid="{00000000-0005-0000-0000-000064C10000}"/>
    <cellStyle name="SAPBEXHLevel3X 3 10 3" xfId="50439" xr:uid="{00000000-0005-0000-0000-000065C10000}"/>
    <cellStyle name="SAPBEXHLevel3X 3 10 4" xfId="50874" xr:uid="{00000000-0005-0000-0000-000066C10000}"/>
    <cellStyle name="SAPBEXHLevel3X 3 11" xfId="49705" xr:uid="{00000000-0005-0000-0000-000067C10000}"/>
    <cellStyle name="SAPBEXHLevel3X 3 11 2" xfId="50276" xr:uid="{00000000-0005-0000-0000-000068C10000}"/>
    <cellStyle name="SAPBEXHLevel3X 3 11 3" xfId="51518" xr:uid="{00000000-0005-0000-0000-000069C10000}"/>
    <cellStyle name="SAPBEXHLevel3X 3 12" xfId="49982" xr:uid="{00000000-0005-0000-0000-00006AC10000}"/>
    <cellStyle name="SAPBEXHLevel3X 3 12 2" xfId="51027" xr:uid="{00000000-0005-0000-0000-00006BC10000}"/>
    <cellStyle name="SAPBEXHLevel3X 3 12 3" xfId="51333" xr:uid="{00000000-0005-0000-0000-00006CC10000}"/>
    <cellStyle name="SAPBEXHLevel3X 3 13" xfId="50683" xr:uid="{00000000-0005-0000-0000-00006DC10000}"/>
    <cellStyle name="SAPBEXHLevel3X 3 14" xfId="50838" xr:uid="{00000000-0005-0000-0000-00006EC10000}"/>
    <cellStyle name="SAPBEXHLevel3X 3 15" xfId="49322" xr:uid="{00000000-0005-0000-0000-00006FC10000}"/>
    <cellStyle name="SAPBEXHLevel3X 3 2" xfId="46609" xr:uid="{00000000-0005-0000-0000-000070C10000}"/>
    <cellStyle name="SAPBEXHLevel3X 3 2 2" xfId="49567" xr:uid="{00000000-0005-0000-0000-000071C10000}"/>
    <cellStyle name="SAPBEXHLevel3X 3 2 2 2" xfId="49895" xr:uid="{00000000-0005-0000-0000-000072C10000}"/>
    <cellStyle name="SAPBEXHLevel3X 3 2 2 2 2" xfId="50114" xr:uid="{00000000-0005-0000-0000-000073C10000}"/>
    <cellStyle name="SAPBEXHLevel3X 3 2 2 2 3" xfId="51542" xr:uid="{00000000-0005-0000-0000-000074C10000}"/>
    <cellStyle name="SAPBEXHLevel3X 3 2 2 3" xfId="50472" xr:uid="{00000000-0005-0000-0000-000075C10000}"/>
    <cellStyle name="SAPBEXHLevel3X 3 2 2 4" xfId="51184" xr:uid="{00000000-0005-0000-0000-000076C10000}"/>
    <cellStyle name="SAPBEXHLevel3X 3 2 3" xfId="49601" xr:uid="{00000000-0005-0000-0000-000077C10000}"/>
    <cellStyle name="SAPBEXHLevel3X 3 2 3 2" xfId="49929" xr:uid="{00000000-0005-0000-0000-000078C10000}"/>
    <cellStyle name="SAPBEXHLevel3X 3 2 3 2 2" xfId="50083" xr:uid="{00000000-0005-0000-0000-000079C10000}"/>
    <cellStyle name="SAPBEXHLevel3X 3 2 3 2 3" xfId="51110" xr:uid="{00000000-0005-0000-0000-00007AC10000}"/>
    <cellStyle name="SAPBEXHLevel3X 3 2 3 3" xfId="50438" xr:uid="{00000000-0005-0000-0000-00007BC10000}"/>
    <cellStyle name="SAPBEXHLevel3X 3 2 3 4" xfId="50948" xr:uid="{00000000-0005-0000-0000-00007CC10000}"/>
    <cellStyle name="SAPBEXHLevel3X 3 2 4" xfId="49706" xr:uid="{00000000-0005-0000-0000-00007DC10000}"/>
    <cellStyle name="SAPBEXHLevel3X 3 2 4 2" xfId="50275" xr:uid="{00000000-0005-0000-0000-00007EC10000}"/>
    <cellStyle name="SAPBEXHLevel3X 3 2 4 3" xfId="51171" xr:uid="{00000000-0005-0000-0000-00007FC10000}"/>
    <cellStyle name="SAPBEXHLevel3X 3 2 5" xfId="49981" xr:uid="{00000000-0005-0000-0000-000080C10000}"/>
    <cellStyle name="SAPBEXHLevel3X 3 2 5 2" xfId="51026" xr:uid="{00000000-0005-0000-0000-000081C10000}"/>
    <cellStyle name="SAPBEXHLevel3X 3 2 5 3" xfId="51579" xr:uid="{00000000-0005-0000-0000-000082C10000}"/>
    <cellStyle name="SAPBEXHLevel3X 3 2 6" xfId="50682" xr:uid="{00000000-0005-0000-0000-000083C10000}"/>
    <cellStyle name="SAPBEXHLevel3X 3 2 7" xfId="51143" xr:uid="{00000000-0005-0000-0000-000084C10000}"/>
    <cellStyle name="SAPBEXHLevel3X 3 2 8" xfId="49323" xr:uid="{00000000-0005-0000-0000-000085C10000}"/>
    <cellStyle name="SAPBEXHLevel3X 3 3" xfId="46610" xr:uid="{00000000-0005-0000-0000-000086C10000}"/>
    <cellStyle name="SAPBEXHLevel3X 3 3 2" xfId="49568" xr:uid="{00000000-0005-0000-0000-000087C10000}"/>
    <cellStyle name="SAPBEXHLevel3X 3 3 2 2" xfId="49896" xr:uid="{00000000-0005-0000-0000-000088C10000}"/>
    <cellStyle name="SAPBEXHLevel3X 3 3 2 2 2" xfId="50113" xr:uid="{00000000-0005-0000-0000-000089C10000}"/>
    <cellStyle name="SAPBEXHLevel3X 3 3 2 2 3" xfId="51316" xr:uid="{00000000-0005-0000-0000-00008AC10000}"/>
    <cellStyle name="SAPBEXHLevel3X 3 3 2 3" xfId="50471" xr:uid="{00000000-0005-0000-0000-00008BC10000}"/>
    <cellStyle name="SAPBEXHLevel3X 3 3 2 4" xfId="51442" xr:uid="{00000000-0005-0000-0000-00008CC10000}"/>
    <cellStyle name="SAPBEXHLevel3X 3 3 3" xfId="49602" xr:uid="{00000000-0005-0000-0000-00008DC10000}"/>
    <cellStyle name="SAPBEXHLevel3X 3 3 3 2" xfId="49930" xr:uid="{00000000-0005-0000-0000-00008EC10000}"/>
    <cellStyle name="SAPBEXHLevel3X 3 3 3 2 2" xfId="50082" xr:uid="{00000000-0005-0000-0000-00008FC10000}"/>
    <cellStyle name="SAPBEXHLevel3X 3 3 3 2 3" xfId="51286" xr:uid="{00000000-0005-0000-0000-000090C10000}"/>
    <cellStyle name="SAPBEXHLevel3X 3 3 3 3" xfId="50437" xr:uid="{00000000-0005-0000-0000-000091C10000}"/>
    <cellStyle name="SAPBEXHLevel3X 3 3 3 4" xfId="51251" xr:uid="{00000000-0005-0000-0000-000092C10000}"/>
    <cellStyle name="SAPBEXHLevel3X 3 3 4" xfId="49707" xr:uid="{00000000-0005-0000-0000-000093C10000}"/>
    <cellStyle name="SAPBEXHLevel3X 3 3 4 2" xfId="50274" xr:uid="{00000000-0005-0000-0000-000094C10000}"/>
    <cellStyle name="SAPBEXHLevel3X 3 3 4 3" xfId="51430" xr:uid="{00000000-0005-0000-0000-000095C10000}"/>
    <cellStyle name="SAPBEXHLevel3X 3 3 5" xfId="49980" xr:uid="{00000000-0005-0000-0000-000096C10000}"/>
    <cellStyle name="SAPBEXHLevel3X 3 3 5 2" xfId="51025" xr:uid="{00000000-0005-0000-0000-000097C10000}"/>
    <cellStyle name="SAPBEXHLevel3X 3 3 5 3" xfId="51322" xr:uid="{00000000-0005-0000-0000-000098C10000}"/>
    <cellStyle name="SAPBEXHLevel3X 3 3 6" xfId="50681" xr:uid="{00000000-0005-0000-0000-000099C10000}"/>
    <cellStyle name="SAPBEXHLevel3X 3 3 7" xfId="50801" xr:uid="{00000000-0005-0000-0000-00009AC10000}"/>
    <cellStyle name="SAPBEXHLevel3X 3 3 8" xfId="49324" xr:uid="{00000000-0005-0000-0000-00009BC10000}"/>
    <cellStyle name="SAPBEXHLevel3X 3 4" xfId="49325" xr:uid="{00000000-0005-0000-0000-00009CC10000}"/>
    <cellStyle name="SAPBEXHLevel3X 3 4 2" xfId="49569" xr:uid="{00000000-0005-0000-0000-00009DC10000}"/>
    <cellStyle name="SAPBEXHLevel3X 3 4 2 2" xfId="49897" xr:uid="{00000000-0005-0000-0000-00009EC10000}"/>
    <cellStyle name="SAPBEXHLevel3X 3 4 2 2 2" xfId="50112" xr:uid="{00000000-0005-0000-0000-00009FC10000}"/>
    <cellStyle name="SAPBEXHLevel3X 3 4 2 2 3" xfId="51573" xr:uid="{00000000-0005-0000-0000-0000A0C10000}"/>
    <cellStyle name="SAPBEXHLevel3X 3 4 2 3" xfId="50470" xr:uid="{00000000-0005-0000-0000-0000A1C10000}"/>
    <cellStyle name="SAPBEXHLevel3X 3 4 2 4" xfId="51364" xr:uid="{00000000-0005-0000-0000-0000A2C10000}"/>
    <cellStyle name="SAPBEXHLevel3X 3 4 3" xfId="49603" xr:uid="{00000000-0005-0000-0000-0000A3C10000}"/>
    <cellStyle name="SAPBEXHLevel3X 3 4 3 2" xfId="49931" xr:uid="{00000000-0005-0000-0000-0000A4C10000}"/>
    <cellStyle name="SAPBEXHLevel3X 3 4 3 2 2" xfId="50081" xr:uid="{00000000-0005-0000-0000-0000A5C10000}"/>
    <cellStyle name="SAPBEXHLevel3X 3 4 3 2 3" xfId="51544" xr:uid="{00000000-0005-0000-0000-0000A6C10000}"/>
    <cellStyle name="SAPBEXHLevel3X 3 4 3 3" xfId="50060" xr:uid="{00000000-0005-0000-0000-0000A7C10000}"/>
    <cellStyle name="SAPBEXHLevel3X 3 4 3 4" xfId="51508" xr:uid="{00000000-0005-0000-0000-0000A8C10000}"/>
    <cellStyle name="SAPBEXHLevel3X 3 4 4" xfId="49708" xr:uid="{00000000-0005-0000-0000-0000A9C10000}"/>
    <cellStyle name="SAPBEXHLevel3X 3 4 4 2" xfId="50273" xr:uid="{00000000-0005-0000-0000-0000AAC10000}"/>
    <cellStyle name="SAPBEXHLevel3X 3 4 4 3" xfId="51379" xr:uid="{00000000-0005-0000-0000-0000ABC10000}"/>
    <cellStyle name="SAPBEXHLevel3X 3 4 5" xfId="49979" xr:uid="{00000000-0005-0000-0000-0000ACC10000}"/>
    <cellStyle name="SAPBEXHLevel3X 3 4 5 2" xfId="51024" xr:uid="{00000000-0005-0000-0000-0000ADC10000}"/>
    <cellStyle name="SAPBEXHLevel3X 3 4 5 3" xfId="51549" xr:uid="{00000000-0005-0000-0000-0000AEC10000}"/>
    <cellStyle name="SAPBEXHLevel3X 3 4 6" xfId="50680" xr:uid="{00000000-0005-0000-0000-0000AFC10000}"/>
    <cellStyle name="SAPBEXHLevel3X 3 4 7" xfId="50870" xr:uid="{00000000-0005-0000-0000-0000B0C10000}"/>
    <cellStyle name="SAPBEXHLevel3X 3 5" xfId="49326" xr:uid="{00000000-0005-0000-0000-0000B1C10000}"/>
    <cellStyle name="SAPBEXHLevel3X 3 5 2" xfId="49570" xr:uid="{00000000-0005-0000-0000-0000B2C10000}"/>
    <cellStyle name="SAPBEXHLevel3X 3 5 2 2" xfId="49898" xr:uid="{00000000-0005-0000-0000-0000B3C10000}"/>
    <cellStyle name="SAPBEXHLevel3X 3 5 2 2 2" xfId="50111" xr:uid="{00000000-0005-0000-0000-0000B4C10000}"/>
    <cellStyle name="SAPBEXHLevel3X 3 5 2 2 3" xfId="51403" xr:uid="{00000000-0005-0000-0000-0000B5C10000}"/>
    <cellStyle name="SAPBEXHLevel3X 3 5 2 3" xfId="50469" xr:uid="{00000000-0005-0000-0000-0000B6C10000}"/>
    <cellStyle name="SAPBEXHLevel3X 3 5 2 4" xfId="51596" xr:uid="{00000000-0005-0000-0000-0000B7C10000}"/>
    <cellStyle name="SAPBEXHLevel3X 3 5 3" xfId="49604" xr:uid="{00000000-0005-0000-0000-0000B8C10000}"/>
    <cellStyle name="SAPBEXHLevel3X 3 5 3 2" xfId="49932" xr:uid="{00000000-0005-0000-0000-0000B9C10000}"/>
    <cellStyle name="SAPBEXHLevel3X 3 5 3 2 2" xfId="50080" xr:uid="{00000000-0005-0000-0000-0000BAC10000}"/>
    <cellStyle name="SAPBEXHLevel3X 3 5 3 2 3" xfId="51317" xr:uid="{00000000-0005-0000-0000-0000BBC10000}"/>
    <cellStyle name="SAPBEXHLevel3X 3 5 3 3" xfId="50821" xr:uid="{00000000-0005-0000-0000-0000BCC10000}"/>
    <cellStyle name="SAPBEXHLevel3X 3 5 3 4" xfId="51179" xr:uid="{00000000-0005-0000-0000-0000BDC10000}"/>
    <cellStyle name="SAPBEXHLevel3X 3 5 4" xfId="49709" xr:uid="{00000000-0005-0000-0000-0000BEC10000}"/>
    <cellStyle name="SAPBEXHLevel3X 3 5 4 2" xfId="50272" xr:uid="{00000000-0005-0000-0000-0000BFC10000}"/>
    <cellStyle name="SAPBEXHLevel3X 3 5 4 3" xfId="51623" xr:uid="{00000000-0005-0000-0000-0000C0C10000}"/>
    <cellStyle name="SAPBEXHLevel3X 3 5 5" xfId="49978" xr:uid="{00000000-0005-0000-0000-0000C1C10000}"/>
    <cellStyle name="SAPBEXHLevel3X 3 5 5 2" xfId="51023" xr:uid="{00000000-0005-0000-0000-0000C2C10000}"/>
    <cellStyle name="SAPBEXHLevel3X 3 5 5 3" xfId="51291" xr:uid="{00000000-0005-0000-0000-0000C3C10000}"/>
    <cellStyle name="SAPBEXHLevel3X 3 5 6" xfId="50679" xr:uid="{00000000-0005-0000-0000-0000C4C10000}"/>
    <cellStyle name="SAPBEXHLevel3X 3 5 7" xfId="50944" xr:uid="{00000000-0005-0000-0000-0000C5C10000}"/>
    <cellStyle name="SAPBEXHLevel3X 3 6" xfId="49327" xr:uid="{00000000-0005-0000-0000-0000C6C10000}"/>
    <cellStyle name="SAPBEXHLevel3X 3 6 2" xfId="49571" xr:uid="{00000000-0005-0000-0000-0000C7C10000}"/>
    <cellStyle name="SAPBEXHLevel3X 3 6 2 2" xfId="49899" xr:uid="{00000000-0005-0000-0000-0000C8C10000}"/>
    <cellStyle name="SAPBEXHLevel3X 3 6 2 2 2" xfId="50110" xr:uid="{00000000-0005-0000-0000-0000C9C10000}"/>
    <cellStyle name="SAPBEXHLevel3X 3 6 2 2 3" xfId="51597" xr:uid="{00000000-0005-0000-0000-0000CAC10000}"/>
    <cellStyle name="SAPBEXHLevel3X 3 6 2 3" xfId="50468" xr:uid="{00000000-0005-0000-0000-0000CBC10000}"/>
    <cellStyle name="SAPBEXHLevel3X 3 6 2 4" xfId="50911" xr:uid="{00000000-0005-0000-0000-0000CCC10000}"/>
    <cellStyle name="SAPBEXHLevel3X 3 6 3" xfId="49605" xr:uid="{00000000-0005-0000-0000-0000CDC10000}"/>
    <cellStyle name="SAPBEXHLevel3X 3 6 3 2" xfId="49933" xr:uid="{00000000-0005-0000-0000-0000CEC10000}"/>
    <cellStyle name="SAPBEXHLevel3X 3 6 3 2 2" xfId="50079" xr:uid="{00000000-0005-0000-0000-0000CFC10000}"/>
    <cellStyle name="SAPBEXHLevel3X 3 6 3 2 3" xfId="51574" xr:uid="{00000000-0005-0000-0000-0000D0C10000}"/>
    <cellStyle name="SAPBEXHLevel3X 3 6 3 3" xfId="50062" xr:uid="{00000000-0005-0000-0000-0000D1C10000}"/>
    <cellStyle name="SAPBEXHLevel3X 3 6 3 4" xfId="51437" xr:uid="{00000000-0005-0000-0000-0000D2C10000}"/>
    <cellStyle name="SAPBEXHLevel3X 3 6 4" xfId="49710" xr:uid="{00000000-0005-0000-0000-0000D3C10000}"/>
    <cellStyle name="SAPBEXHLevel3X 3 6 4 2" xfId="50271" xr:uid="{00000000-0005-0000-0000-0000D4C10000}"/>
    <cellStyle name="SAPBEXHLevel3X 3 6 4 3" xfId="51254" xr:uid="{00000000-0005-0000-0000-0000D5C10000}"/>
    <cellStyle name="SAPBEXHLevel3X 3 6 5" xfId="50045" xr:uid="{00000000-0005-0000-0000-0000D6C10000}"/>
    <cellStyle name="SAPBEXHLevel3X 3 6 5 2" xfId="51089" xr:uid="{00000000-0005-0000-0000-0000D7C10000}"/>
    <cellStyle name="SAPBEXHLevel3X 3 6 5 3" xfId="51328" xr:uid="{00000000-0005-0000-0000-0000D8C10000}"/>
    <cellStyle name="SAPBEXHLevel3X 3 6 6" xfId="50678" xr:uid="{00000000-0005-0000-0000-0000D9C10000}"/>
    <cellStyle name="SAPBEXHLevel3X 3 6 7" xfId="50884" xr:uid="{00000000-0005-0000-0000-0000DAC10000}"/>
    <cellStyle name="SAPBEXHLevel3X 3 7" xfId="49328" xr:uid="{00000000-0005-0000-0000-0000DBC10000}"/>
    <cellStyle name="SAPBEXHLevel3X 3 7 2" xfId="49572" xr:uid="{00000000-0005-0000-0000-0000DCC10000}"/>
    <cellStyle name="SAPBEXHLevel3X 3 7 2 2" xfId="49900" xr:uid="{00000000-0005-0000-0000-0000DDC10000}"/>
    <cellStyle name="SAPBEXHLevel3X 3 7 2 2 2" xfId="50109" xr:uid="{00000000-0005-0000-0000-0000DEC10000}"/>
    <cellStyle name="SAPBEXHLevel3X 3 7 2 2 3" xfId="51277" xr:uid="{00000000-0005-0000-0000-0000DFC10000}"/>
    <cellStyle name="SAPBEXHLevel3X 3 7 2 3" xfId="50467" xr:uid="{00000000-0005-0000-0000-0000E0C10000}"/>
    <cellStyle name="SAPBEXHLevel3X 3 7 2 4" xfId="51247" xr:uid="{00000000-0005-0000-0000-0000E1C10000}"/>
    <cellStyle name="SAPBEXHLevel3X 3 7 3" xfId="49606" xr:uid="{00000000-0005-0000-0000-0000E2C10000}"/>
    <cellStyle name="SAPBEXHLevel3X 3 7 3 2" xfId="49934" xr:uid="{00000000-0005-0000-0000-0000E3C10000}"/>
    <cellStyle name="SAPBEXHLevel3X 3 7 3 2 2" xfId="50078" xr:uid="{00000000-0005-0000-0000-0000E4C10000}"/>
    <cellStyle name="SAPBEXHLevel3X 3 7 3 2 3" xfId="51404" xr:uid="{00000000-0005-0000-0000-0000E5C10000}"/>
    <cellStyle name="SAPBEXHLevel3X 3 7 3 3" xfId="50830" xr:uid="{00000000-0005-0000-0000-0000E6C10000}"/>
    <cellStyle name="SAPBEXHLevel3X 3 7 3 4" xfId="51369" xr:uid="{00000000-0005-0000-0000-0000E7C10000}"/>
    <cellStyle name="SAPBEXHLevel3X 3 7 4" xfId="49711" xr:uid="{00000000-0005-0000-0000-0000E8C10000}"/>
    <cellStyle name="SAPBEXHLevel3X 3 7 4 2" xfId="50270" xr:uid="{00000000-0005-0000-0000-0000E9C10000}"/>
    <cellStyle name="SAPBEXHLevel3X 3 7 4 3" xfId="51511" xr:uid="{00000000-0005-0000-0000-0000EAC10000}"/>
    <cellStyle name="SAPBEXHLevel3X 3 7 5" xfId="49977" xr:uid="{00000000-0005-0000-0000-0000EBC10000}"/>
    <cellStyle name="SAPBEXHLevel3X 3 7 5 2" xfId="51022" xr:uid="{00000000-0005-0000-0000-0000ECC10000}"/>
    <cellStyle name="SAPBEXHLevel3X 3 7 5 3" xfId="51116" xr:uid="{00000000-0005-0000-0000-0000EDC10000}"/>
    <cellStyle name="SAPBEXHLevel3X 3 7 6" xfId="50677" xr:uid="{00000000-0005-0000-0000-0000EEC10000}"/>
    <cellStyle name="SAPBEXHLevel3X 3 7 7" xfId="50955" xr:uid="{00000000-0005-0000-0000-0000EFC10000}"/>
    <cellStyle name="SAPBEXHLevel3X 3 8" xfId="49329" xr:uid="{00000000-0005-0000-0000-0000F0C10000}"/>
    <cellStyle name="SAPBEXHLevel3X 3 8 2" xfId="49573" xr:uid="{00000000-0005-0000-0000-0000F1C10000}"/>
    <cellStyle name="SAPBEXHLevel3X 3 8 2 2" xfId="49901" xr:uid="{00000000-0005-0000-0000-0000F2C10000}"/>
    <cellStyle name="SAPBEXHLevel3X 3 8 2 2 2" xfId="50108" xr:uid="{00000000-0005-0000-0000-0000F3C10000}"/>
    <cellStyle name="SAPBEXHLevel3X 3 8 2 2 3" xfId="51535" xr:uid="{00000000-0005-0000-0000-0000F4C10000}"/>
    <cellStyle name="SAPBEXHLevel3X 3 8 2 3" xfId="50466" xr:uid="{00000000-0005-0000-0000-0000F5C10000}"/>
    <cellStyle name="SAPBEXHLevel3X 3 8 2 4" xfId="51504" xr:uid="{00000000-0005-0000-0000-0000F6C10000}"/>
    <cellStyle name="SAPBEXHLevel3X 3 8 3" xfId="49607" xr:uid="{00000000-0005-0000-0000-0000F7C10000}"/>
    <cellStyle name="SAPBEXHLevel3X 3 8 3 2" xfId="49935" xr:uid="{00000000-0005-0000-0000-0000F8C10000}"/>
    <cellStyle name="SAPBEXHLevel3X 3 8 3 2 2" xfId="50077" xr:uid="{00000000-0005-0000-0000-0000F9C10000}"/>
    <cellStyle name="SAPBEXHLevel3X 3 8 3 2 3" xfId="51663" xr:uid="{00000000-0005-0000-0000-0000FAC10000}"/>
    <cellStyle name="SAPBEXHLevel3X 3 8 3 3" xfId="50820" xr:uid="{00000000-0005-0000-0000-0000FBC10000}"/>
    <cellStyle name="SAPBEXHLevel3X 3 8 3 4" xfId="51631" xr:uid="{00000000-0005-0000-0000-0000FCC10000}"/>
    <cellStyle name="SAPBEXHLevel3X 3 8 4" xfId="49712" xr:uid="{00000000-0005-0000-0000-0000FDC10000}"/>
    <cellStyle name="SAPBEXHLevel3X 3 8 4 2" xfId="50988" xr:uid="{00000000-0005-0000-0000-0000FEC10000}"/>
    <cellStyle name="SAPBEXHLevel3X 3 8 4 3" xfId="51252" xr:uid="{00000000-0005-0000-0000-0000FFC10000}"/>
    <cellStyle name="SAPBEXHLevel3X 3 8 5" xfId="49964" xr:uid="{00000000-0005-0000-0000-000000C20000}"/>
    <cellStyle name="SAPBEXHLevel3X 3 8 5 2" xfId="51009" xr:uid="{00000000-0005-0000-0000-000001C20000}"/>
    <cellStyle name="SAPBEXHLevel3X 3 8 5 3" xfId="51320" xr:uid="{00000000-0005-0000-0000-000002C20000}"/>
    <cellStyle name="SAPBEXHLevel3X 3 8 6" xfId="50676" xr:uid="{00000000-0005-0000-0000-000003C20000}"/>
    <cellStyle name="SAPBEXHLevel3X 3 8 7" xfId="50641" xr:uid="{00000000-0005-0000-0000-000004C20000}"/>
    <cellStyle name="SAPBEXHLevel3X 3 9" xfId="49566" xr:uid="{00000000-0005-0000-0000-000005C20000}"/>
    <cellStyle name="SAPBEXHLevel3X 3 9 2" xfId="49894" xr:uid="{00000000-0005-0000-0000-000006C20000}"/>
    <cellStyle name="SAPBEXHLevel3X 3 9 2 2" xfId="50115" xr:uid="{00000000-0005-0000-0000-000007C20000}"/>
    <cellStyle name="SAPBEXHLevel3X 3 9 2 3" xfId="51284" xr:uid="{00000000-0005-0000-0000-000008C20000}"/>
    <cellStyle name="SAPBEXHLevel3X 3 9 3" xfId="50473" xr:uid="{00000000-0005-0000-0000-000009C20000}"/>
    <cellStyle name="SAPBEXHLevel3X 3 9 4" xfId="51503"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0" xr:uid="{00000000-0005-0000-0000-00000FC20000}"/>
    <cellStyle name="SAPBEXHLevel3X 4" xfId="46615" xr:uid="{00000000-0005-0000-0000-000010C20000}"/>
    <cellStyle name="SAPBEXHLevel3X 4 2" xfId="46616" xr:uid="{00000000-0005-0000-0000-000011C20000}"/>
    <cellStyle name="SAPBEXHLevel3X 4 2 2" xfId="50117" xr:uid="{00000000-0005-0000-0000-000012C20000}"/>
    <cellStyle name="SAPBEXHLevel3X 4 2 3" xfId="51609" xr:uid="{00000000-0005-0000-0000-000013C20000}"/>
    <cellStyle name="SAPBEXHLevel3X 4 2 4" xfId="49892" xr:uid="{00000000-0005-0000-0000-000014C20000}"/>
    <cellStyle name="SAPBEXHLevel3X 4 3" xfId="50475" xr:uid="{00000000-0005-0000-0000-000015C20000}"/>
    <cellStyle name="SAPBEXHLevel3X 4 4" xfId="50959" xr:uid="{00000000-0005-0000-0000-000016C20000}"/>
    <cellStyle name="SAPBEXHLevel3X 4 5" xfId="49564" xr:uid="{00000000-0005-0000-0000-000017C20000}"/>
    <cellStyle name="SAPBEXHLevel3X 5" xfId="46617" xr:uid="{00000000-0005-0000-0000-000018C20000}"/>
    <cellStyle name="SAPBEXHLevel3X 5 2" xfId="46618" xr:uid="{00000000-0005-0000-0000-000019C20000}"/>
    <cellStyle name="SAPBEXHLevel3X 5 2 2" xfId="50856" xr:uid="{00000000-0005-0000-0000-00001AC20000}"/>
    <cellStyle name="SAPBEXHLevel3X 5 2 3" xfId="51519" xr:uid="{00000000-0005-0000-0000-00001BC20000}"/>
    <cellStyle name="SAPBEXHLevel3X 5 2 4" xfId="49728" xr:uid="{00000000-0005-0000-0000-00001CC20000}"/>
    <cellStyle name="SAPBEXHLevel3X 5 3" xfId="50638" xr:uid="{00000000-0005-0000-0000-00001DC20000}"/>
    <cellStyle name="SAPBEXHLevel3X 5 4" xfId="51481" xr:uid="{00000000-0005-0000-0000-00001EC20000}"/>
    <cellStyle name="SAPBEXHLevel3X 5 5" xfId="49400" xr:uid="{00000000-0005-0000-0000-00001FC20000}"/>
    <cellStyle name="SAPBEXHLevel3X 6" xfId="46619" xr:uid="{00000000-0005-0000-0000-000020C20000}"/>
    <cellStyle name="SAPBEXHLevel3X 6 2" xfId="46620" xr:uid="{00000000-0005-0000-0000-000021C20000}"/>
    <cellStyle name="SAPBEXHLevel3X 6 2 2" xfId="50278" xr:uid="{00000000-0005-0000-0000-000022C20000}"/>
    <cellStyle name="SAPBEXHLevel3X 6 3" xfId="51261" xr:uid="{00000000-0005-0000-0000-000023C20000}"/>
    <cellStyle name="SAPBEXHLevel3X 6 4" xfId="49703" xr:uid="{00000000-0005-0000-0000-000024C20000}"/>
    <cellStyle name="SAPBEXHLevel3X 7" xfId="46621" xr:uid="{00000000-0005-0000-0000-000025C20000}"/>
    <cellStyle name="SAPBEXHLevel3X 7 2" xfId="46622" xr:uid="{00000000-0005-0000-0000-000026C20000}"/>
    <cellStyle name="SAPBEXHLevel3X 7 2 2" xfId="51094" xr:uid="{00000000-0005-0000-0000-000027C20000}"/>
    <cellStyle name="SAPBEXHLevel3X 7 3" xfId="50984" xr:uid="{00000000-0005-0000-0000-000028C20000}"/>
    <cellStyle name="SAPBEXHLevel3X 7 4" xfId="50050" xr:uid="{00000000-0005-0000-0000-000029C20000}"/>
    <cellStyle name="SAPBEXHLevel3X 8" xfId="46623" xr:uid="{00000000-0005-0000-0000-00002AC20000}"/>
    <cellStyle name="SAPBEXHLevel3X 8 2" xfId="46624" xr:uid="{00000000-0005-0000-0000-00002BC20000}"/>
    <cellStyle name="SAPBEXHLevel3X 8 3" xfId="50685" xr:uid="{00000000-0005-0000-0000-00002CC20000}"/>
    <cellStyle name="SAPBEXHLevel3X 9" xfId="46625" xr:uid="{00000000-0005-0000-0000-00002DC20000}"/>
    <cellStyle name="SAPBEXHLevel3X 9 2" xfId="46626" xr:uid="{00000000-0005-0000-0000-00002EC20000}"/>
    <cellStyle name="SAPBEXHLevel3X 9 3" xfId="50660"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0"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1"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3"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88"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89" xr:uid="{00000000-0005-0000-0000-000047C30000}"/>
    <cellStyle name="SAPBEXinputData 3 3 3" xfId="46900" xr:uid="{00000000-0005-0000-0000-000048C30000}"/>
    <cellStyle name="SAPBEXinputData 3 3 4" xfId="49334" xr:uid="{00000000-0005-0000-0000-000049C30000}"/>
    <cellStyle name="SAPBEXinputData 3 30" xfId="46901" xr:uid="{00000000-0005-0000-0000-00004AC30000}"/>
    <cellStyle name="SAPBEXinputData 3 31" xfId="49332" xr:uid="{00000000-0005-0000-0000-00004BC30000}"/>
    <cellStyle name="SAPBEXinputData 3 4" xfId="46902" xr:uid="{00000000-0005-0000-0000-00004CC30000}"/>
    <cellStyle name="SAPBEXinputData 3 4 2" xfId="46903" xr:uid="{00000000-0005-0000-0000-00004DC30000}"/>
    <cellStyle name="SAPBEXinputData 3 4 2 2" xfId="49390" xr:uid="{00000000-0005-0000-0000-00004EC30000}"/>
    <cellStyle name="SAPBEXinputData 3 4 3" xfId="49335" xr:uid="{00000000-0005-0000-0000-00004FC30000}"/>
    <cellStyle name="SAPBEXinputData 3 5" xfId="46904" xr:uid="{00000000-0005-0000-0000-000050C30000}"/>
    <cellStyle name="SAPBEXinputData 3 5 2" xfId="46905" xr:uid="{00000000-0005-0000-0000-000051C30000}"/>
    <cellStyle name="SAPBEXinputData 3 5 2 2" xfId="49391" xr:uid="{00000000-0005-0000-0000-000052C30000}"/>
    <cellStyle name="SAPBEXinputData 3 5 3" xfId="49336" xr:uid="{00000000-0005-0000-0000-000053C30000}"/>
    <cellStyle name="SAPBEXinputData 3 6" xfId="46906" xr:uid="{00000000-0005-0000-0000-000054C30000}"/>
    <cellStyle name="SAPBEXinputData 3 6 2" xfId="46907" xr:uid="{00000000-0005-0000-0000-000055C30000}"/>
    <cellStyle name="SAPBEXinputData 3 6 2 2" xfId="49392" xr:uid="{00000000-0005-0000-0000-000056C30000}"/>
    <cellStyle name="SAPBEXinputData 3 6 3" xfId="49337" xr:uid="{00000000-0005-0000-0000-000057C30000}"/>
    <cellStyle name="SAPBEXinputData 3 7" xfId="46908" xr:uid="{00000000-0005-0000-0000-000058C30000}"/>
    <cellStyle name="SAPBEXinputData 3 7 2" xfId="46909" xr:uid="{00000000-0005-0000-0000-000059C30000}"/>
    <cellStyle name="SAPBEXinputData 3 7 2 2" xfId="49393" xr:uid="{00000000-0005-0000-0000-00005AC30000}"/>
    <cellStyle name="SAPBEXinputData 3 7 3" xfId="49338" xr:uid="{00000000-0005-0000-0000-00005BC30000}"/>
    <cellStyle name="SAPBEXinputData 3 8" xfId="46910" xr:uid="{00000000-0005-0000-0000-00005CC30000}"/>
    <cellStyle name="SAPBEXinputData 3 8 2" xfId="46911" xr:uid="{00000000-0005-0000-0000-00005DC30000}"/>
    <cellStyle name="SAPBEXinputData 3 8 2 2" xfId="49394" xr:uid="{00000000-0005-0000-0000-00005EC30000}"/>
    <cellStyle name="SAPBEXinputData 3 8 3" xfId="49339" xr:uid="{00000000-0005-0000-0000-00005FC30000}"/>
    <cellStyle name="SAPBEXinputData 3 9" xfId="46912" xr:uid="{00000000-0005-0000-0000-000060C30000}"/>
    <cellStyle name="SAPBEXinputData 3 9 2" xfId="46913" xr:uid="{00000000-0005-0000-0000-000061C30000}"/>
    <cellStyle name="SAPBEXinputData 3 9 3" xfId="49387"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86"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06" xr:uid="{00000000-0005-0000-0000-000002C40000}"/>
    <cellStyle name="SAPBEXItemHeader 2 2 3" xfId="51533" xr:uid="{00000000-0005-0000-0000-000003C40000}"/>
    <cellStyle name="SAPBEXItemHeader 2 2 4" xfId="49903" xr:uid="{00000000-0005-0000-0000-000004C40000}"/>
    <cellStyle name="SAPBEXItemHeader 2 3" xfId="47072" xr:uid="{00000000-0005-0000-0000-000005C40000}"/>
    <cellStyle name="SAPBEXItemHeader 2 3 2" xfId="50464" xr:uid="{00000000-0005-0000-0000-000006C40000}"/>
    <cellStyle name="SAPBEXItemHeader 2 4" xfId="51441" xr:uid="{00000000-0005-0000-0000-000007C40000}"/>
    <cellStyle name="SAPBEXItemHeader 2 5" xfId="49575"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36" xr:uid="{00000000-0005-0000-0000-000014C40000}"/>
    <cellStyle name="SAPBEXItemHeader 3 2 2" xfId="50076" xr:uid="{00000000-0005-0000-0000-000015C40000}"/>
    <cellStyle name="SAPBEXItemHeader 3 2 3" xfId="50787" xr:uid="{00000000-0005-0000-0000-000016C40000}"/>
    <cellStyle name="SAPBEXItemHeader 3 3" xfId="50064" xr:uid="{00000000-0005-0000-0000-000017C40000}"/>
    <cellStyle name="SAPBEXItemHeader 3 4" xfId="51250" xr:uid="{00000000-0005-0000-0000-000018C40000}"/>
    <cellStyle name="SAPBEXItemHeader 3 5" xfId="49608"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0" xr:uid="{00000000-0005-0000-0000-00001DC40000}"/>
    <cellStyle name="SAPBEXItemHeader 4" xfId="47087" xr:uid="{00000000-0005-0000-0000-00001EC40000}"/>
    <cellStyle name="SAPBEXItemHeader 4 2" xfId="50899" xr:uid="{00000000-0005-0000-0000-00001FC40000}"/>
    <cellStyle name="SAPBEXItemHeader 4 3" xfId="51509" xr:uid="{00000000-0005-0000-0000-000020C40000}"/>
    <cellStyle name="SAPBEXItemHeader 4 4" xfId="49713" xr:uid="{00000000-0005-0000-0000-000021C40000}"/>
    <cellStyle name="SAPBEXItemHeader 5" xfId="47088" xr:uid="{00000000-0005-0000-0000-000022C40000}"/>
    <cellStyle name="SAPBEXItemHeader 5 2" xfId="51092" xr:uid="{00000000-0005-0000-0000-000023C40000}"/>
    <cellStyle name="SAPBEXItemHeader 5 3" xfId="51415" xr:uid="{00000000-0005-0000-0000-000024C40000}"/>
    <cellStyle name="SAPBEXItemHeader 5 4" xfId="50048" xr:uid="{00000000-0005-0000-0000-000025C40000}"/>
    <cellStyle name="SAPBEXItemHeader 6" xfId="47089" xr:uid="{00000000-0005-0000-0000-000026C40000}"/>
    <cellStyle name="SAPBEXItemHeader 6 2" xfId="50674" xr:uid="{00000000-0005-0000-0000-000027C40000}"/>
    <cellStyle name="SAPBEXItemHeader 7" xfId="47090" xr:uid="{00000000-0005-0000-0000-000028C40000}"/>
    <cellStyle name="SAPBEXItemHeader 7 2" xfId="50908"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5" xr:uid="{00000000-0005-0000-0000-000039C40000}"/>
    <cellStyle name="SAPBEXresData 2 2 3" xfId="51158" xr:uid="{00000000-0005-0000-0000-00003AC40000}"/>
    <cellStyle name="SAPBEXresData 2 2 4" xfId="49904" xr:uid="{00000000-0005-0000-0000-00003BC40000}"/>
    <cellStyle name="SAPBEXresData 2 3" xfId="47105" xr:uid="{00000000-0005-0000-0000-00003CC40000}"/>
    <cellStyle name="SAPBEXresData 2 3 2" xfId="50463" xr:uid="{00000000-0005-0000-0000-00003DC40000}"/>
    <cellStyle name="SAPBEXresData 2 4" xfId="51365" xr:uid="{00000000-0005-0000-0000-00003EC40000}"/>
    <cellStyle name="SAPBEXresData 2 5" xfId="49576"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37" xr:uid="{00000000-0005-0000-0000-00004BC40000}"/>
    <cellStyle name="SAPBEXresData 3 2 2" xfId="50075" xr:uid="{00000000-0005-0000-0000-00004CC40000}"/>
    <cellStyle name="SAPBEXresData 3 2 3" xfId="50864" xr:uid="{00000000-0005-0000-0000-00004DC40000}"/>
    <cellStyle name="SAPBEXresData 3 3" xfId="50436" xr:uid="{00000000-0005-0000-0000-00004EC40000}"/>
    <cellStyle name="SAPBEXresData 3 4" xfId="51507" xr:uid="{00000000-0005-0000-0000-00004FC40000}"/>
    <cellStyle name="SAPBEXresData 3 5" xfId="49609"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1" xr:uid="{00000000-0005-0000-0000-000054C40000}"/>
    <cellStyle name="SAPBEXresData 4" xfId="47120" xr:uid="{00000000-0005-0000-0000-000055C40000}"/>
    <cellStyle name="SAPBEXresData 4 2" xfId="50963" xr:uid="{00000000-0005-0000-0000-000056C40000}"/>
    <cellStyle name="SAPBEXresData 4 3" xfId="51178" xr:uid="{00000000-0005-0000-0000-000057C40000}"/>
    <cellStyle name="SAPBEXresData 4 4" xfId="49714" xr:uid="{00000000-0005-0000-0000-000058C40000}"/>
    <cellStyle name="SAPBEXresData 5" xfId="47121" xr:uid="{00000000-0005-0000-0000-000059C40000}"/>
    <cellStyle name="SAPBEXresData 5 2" xfId="51004" xr:uid="{00000000-0005-0000-0000-00005AC40000}"/>
    <cellStyle name="SAPBEXresData 5 3" xfId="51114" xr:uid="{00000000-0005-0000-0000-00005BC40000}"/>
    <cellStyle name="SAPBEXresData 5 4" xfId="49959" xr:uid="{00000000-0005-0000-0000-00005CC40000}"/>
    <cellStyle name="SAPBEXresData 6" xfId="47122" xr:uid="{00000000-0005-0000-0000-00005DC40000}"/>
    <cellStyle name="SAPBEXresData 6 2" xfId="50673" xr:uid="{00000000-0005-0000-0000-00005EC40000}"/>
    <cellStyle name="SAPBEXresData 7" xfId="47123" xr:uid="{00000000-0005-0000-0000-00005FC40000}"/>
    <cellStyle name="SAPBEXresData 7 2" xfId="51144"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2"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4" xr:uid="{00000000-0005-0000-0000-000095C40000}"/>
    <cellStyle name="SAPBEXresItem 2 2 3" xfId="51418" xr:uid="{00000000-0005-0000-0000-000096C40000}"/>
    <cellStyle name="SAPBEXresItem 2 2 4" xfId="49905" xr:uid="{00000000-0005-0000-0000-000097C40000}"/>
    <cellStyle name="SAPBEXresItem 2 3" xfId="47173" xr:uid="{00000000-0005-0000-0000-000098C40000}"/>
    <cellStyle name="SAPBEXresItem 2 3 2" xfId="50462" xr:uid="{00000000-0005-0000-0000-000099C40000}"/>
    <cellStyle name="SAPBEXresItem 2 4" xfId="51634" xr:uid="{00000000-0005-0000-0000-00009AC40000}"/>
    <cellStyle name="SAPBEXresItem 2 5" xfId="49577"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38" xr:uid="{00000000-0005-0000-0000-0000A7C40000}"/>
    <cellStyle name="SAPBEXresItem 3 2 2" xfId="50824" xr:uid="{00000000-0005-0000-0000-0000A8C40000}"/>
    <cellStyle name="SAPBEXresItem 3 2 3" xfId="50985" xr:uid="{00000000-0005-0000-0000-0000A9C40000}"/>
    <cellStyle name="SAPBEXresItem 3 3" xfId="50435" xr:uid="{00000000-0005-0000-0000-0000AAC40000}"/>
    <cellStyle name="SAPBEXresItem 3 4" xfId="51180" xr:uid="{00000000-0005-0000-0000-0000ABC40000}"/>
    <cellStyle name="SAPBEXresItem 3 5" xfId="49610"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3" xr:uid="{00000000-0005-0000-0000-0000B0C40000}"/>
    <cellStyle name="SAPBEXresItem 4" xfId="47188" xr:uid="{00000000-0005-0000-0000-0000B1C40000}"/>
    <cellStyle name="SAPBEXresItem 4 2" xfId="50892" xr:uid="{00000000-0005-0000-0000-0000B2C40000}"/>
    <cellStyle name="SAPBEXresItem 4 3" xfId="50920" xr:uid="{00000000-0005-0000-0000-0000B3C40000}"/>
    <cellStyle name="SAPBEXresItem 4 4" xfId="49715" xr:uid="{00000000-0005-0000-0000-0000B4C40000}"/>
    <cellStyle name="SAPBEXresItem 5" xfId="47189" xr:uid="{00000000-0005-0000-0000-0000B5C40000}"/>
    <cellStyle name="SAPBEXresItem 5 2" xfId="51003" xr:uid="{00000000-0005-0000-0000-0000B6C40000}"/>
    <cellStyle name="SAPBEXresItem 5 3" xfId="51592" xr:uid="{00000000-0005-0000-0000-0000B7C40000}"/>
    <cellStyle name="SAPBEXresItem 5 4" xfId="49958" xr:uid="{00000000-0005-0000-0000-0000B8C40000}"/>
    <cellStyle name="SAPBEXresItem 6" xfId="47190" xr:uid="{00000000-0005-0000-0000-0000B9C40000}"/>
    <cellStyle name="SAPBEXresItem 6 2" xfId="50672" xr:uid="{00000000-0005-0000-0000-0000BAC40000}"/>
    <cellStyle name="SAPBEXresItem 7" xfId="47191" xr:uid="{00000000-0005-0000-0000-0000BBC40000}"/>
    <cellStyle name="SAPBEXresItem 7 2" xfId="50639"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3" xr:uid="{00000000-0005-0000-0000-0000CDC40000}"/>
    <cellStyle name="SAPBEXresItemX 2 2 3" xfId="51394" xr:uid="{00000000-0005-0000-0000-0000CEC40000}"/>
    <cellStyle name="SAPBEXresItemX 2 2 4" xfId="49906" xr:uid="{00000000-0005-0000-0000-0000CFC40000}"/>
    <cellStyle name="SAPBEXresItemX 2 3" xfId="47207" xr:uid="{00000000-0005-0000-0000-0000D0C40000}"/>
    <cellStyle name="SAPBEXresItemX 2 3 2" xfId="50461" xr:uid="{00000000-0005-0000-0000-0000D1C40000}"/>
    <cellStyle name="SAPBEXresItemX 2 4" xfId="50975" xr:uid="{00000000-0005-0000-0000-0000D2C40000}"/>
    <cellStyle name="SAPBEXresItemX 2 5" xfId="49578"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39" xr:uid="{00000000-0005-0000-0000-0000DFC40000}"/>
    <cellStyle name="SAPBEXresItemX 3 2 2" xfId="50074" xr:uid="{00000000-0005-0000-0000-0000E0C40000}"/>
    <cellStyle name="SAPBEXresItemX 3 2 3" xfId="50934" xr:uid="{00000000-0005-0000-0000-0000E1C40000}"/>
    <cellStyle name="SAPBEXresItemX 3 3" xfId="50434" xr:uid="{00000000-0005-0000-0000-0000E2C40000}"/>
    <cellStyle name="SAPBEXresItemX 3 4" xfId="51438" xr:uid="{00000000-0005-0000-0000-0000E3C40000}"/>
    <cellStyle name="SAPBEXresItemX 3 5" xfId="49611"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4" xr:uid="{00000000-0005-0000-0000-0000E8C40000}"/>
    <cellStyle name="SAPBEXresItemX 4" xfId="47222" xr:uid="{00000000-0005-0000-0000-0000E9C40000}"/>
    <cellStyle name="SAPBEXresItemX 4 2" xfId="50950" xr:uid="{00000000-0005-0000-0000-0000EAC40000}"/>
    <cellStyle name="SAPBEXresItemX 4 3" xfId="51436" xr:uid="{00000000-0005-0000-0000-0000EBC40000}"/>
    <cellStyle name="SAPBEXresItemX 4 4" xfId="49716" xr:uid="{00000000-0005-0000-0000-0000ECC40000}"/>
    <cellStyle name="SAPBEXresItemX 5" xfId="47223" xr:uid="{00000000-0005-0000-0000-0000EDC40000}"/>
    <cellStyle name="SAPBEXresItemX 5 2" xfId="51021" xr:uid="{00000000-0005-0000-0000-0000EEC40000}"/>
    <cellStyle name="SAPBEXresItemX 5 3" xfId="51607" xr:uid="{00000000-0005-0000-0000-0000EFC40000}"/>
    <cellStyle name="SAPBEXresItemX 5 4" xfId="49976" xr:uid="{00000000-0005-0000-0000-0000F0C40000}"/>
    <cellStyle name="SAPBEXresItemX 6" xfId="47224" xr:uid="{00000000-0005-0000-0000-0000F1C40000}"/>
    <cellStyle name="SAPBEXresItemX 6 2" xfId="50671" xr:uid="{00000000-0005-0000-0000-0000F2C40000}"/>
    <cellStyle name="SAPBEXresItemX 7" xfId="47225" xr:uid="{00000000-0005-0000-0000-0000F3C40000}"/>
    <cellStyle name="SAPBEXresItemX 7 2" xfId="51157"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2" xr:uid="{00000000-0005-0000-0000-000004C50000}"/>
    <cellStyle name="SAPBEXstdData 2 2 3" xfId="51665" xr:uid="{00000000-0005-0000-0000-000005C50000}"/>
    <cellStyle name="SAPBEXstdData 2 2 4" xfId="49907" xr:uid="{00000000-0005-0000-0000-000006C50000}"/>
    <cellStyle name="SAPBEXstdData 2 3" xfId="47240" xr:uid="{00000000-0005-0000-0000-000007C50000}"/>
    <cellStyle name="SAPBEXstdData 2 3 2" xfId="50460" xr:uid="{00000000-0005-0000-0000-000008C50000}"/>
    <cellStyle name="SAPBEXstdData 2 4" xfId="51248" xr:uid="{00000000-0005-0000-0000-000009C50000}"/>
    <cellStyle name="SAPBEXstdData 2 5" xfId="49579"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0" xr:uid="{00000000-0005-0000-0000-000016C50000}"/>
    <cellStyle name="SAPBEXstdData 3 2 2" xfId="50073" xr:uid="{00000000-0005-0000-0000-000017C50000}"/>
    <cellStyle name="SAPBEXstdData 3 2 3" xfId="50930" xr:uid="{00000000-0005-0000-0000-000018C50000}"/>
    <cellStyle name="SAPBEXstdData 3 3" xfId="50433" xr:uid="{00000000-0005-0000-0000-000019C50000}"/>
    <cellStyle name="SAPBEXstdData 3 4" xfId="51305" xr:uid="{00000000-0005-0000-0000-00001AC50000}"/>
    <cellStyle name="SAPBEXstdData 3 5" xfId="49612"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5" xr:uid="{00000000-0005-0000-0000-00001FC50000}"/>
    <cellStyle name="SAPBEXstdData 4" xfId="47255" xr:uid="{00000000-0005-0000-0000-000020C50000}"/>
    <cellStyle name="SAPBEXstdData 4 2" xfId="49953" xr:uid="{00000000-0005-0000-0000-000021C50000}"/>
    <cellStyle name="SAPBEXstdData 4 2 2" xfId="50998" xr:uid="{00000000-0005-0000-0000-000022C50000}"/>
    <cellStyle name="SAPBEXstdData 4 2 3" xfId="51288" xr:uid="{00000000-0005-0000-0000-000023C50000}"/>
    <cellStyle name="SAPBEXstdData 4 3" xfId="50425" xr:uid="{00000000-0005-0000-0000-000024C50000}"/>
    <cellStyle name="SAPBEXstdData 4 4" xfId="51510" xr:uid="{00000000-0005-0000-0000-000025C50000}"/>
    <cellStyle name="SAPBEXstdData 4 5" xfId="49625" xr:uid="{00000000-0005-0000-0000-000026C50000}"/>
    <cellStyle name="SAPBEXstdData 5" xfId="47256" xr:uid="{00000000-0005-0000-0000-000027C50000}"/>
    <cellStyle name="SAPBEXstdData 5 2" xfId="50877" xr:uid="{00000000-0005-0000-0000-000028C50000}"/>
    <cellStyle name="SAPBEXstdData 5 3" xfId="51370" xr:uid="{00000000-0005-0000-0000-000029C50000}"/>
    <cellStyle name="SAPBEXstdData 5 4" xfId="49717" xr:uid="{00000000-0005-0000-0000-00002AC50000}"/>
    <cellStyle name="SAPBEXstdData 6" xfId="47257" xr:uid="{00000000-0005-0000-0000-00002BC50000}"/>
    <cellStyle name="SAPBEXstdData 6 2" xfId="51020" xr:uid="{00000000-0005-0000-0000-00002CC50000}"/>
    <cellStyle name="SAPBEXstdData 6 3" xfId="51408" xr:uid="{00000000-0005-0000-0000-00002DC50000}"/>
    <cellStyle name="SAPBEXstdData 6 4" xfId="49975" xr:uid="{00000000-0005-0000-0000-00002EC50000}"/>
    <cellStyle name="SAPBEXstdData 7" xfId="47258" xr:uid="{00000000-0005-0000-0000-00002FC50000}"/>
    <cellStyle name="SAPBEXstdData 7 2" xfId="50670" xr:uid="{00000000-0005-0000-0000-000030C50000}"/>
    <cellStyle name="SAPBEXstdData 8" xfId="47259" xr:uid="{00000000-0005-0000-0000-000031C50000}"/>
    <cellStyle name="SAPBEXstdData 8 2" xfId="50915" xr:uid="{00000000-0005-0000-0000-000032C50000}"/>
    <cellStyle name="SAPBEXstdData 9" xfId="47260" xr:uid="{00000000-0005-0000-0000-000033C50000}"/>
    <cellStyle name="SAPBEXstdData 9 2" xfId="50868"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1" xr:uid="{00000000-0005-0000-0000-000043C50000}"/>
    <cellStyle name="SAPBEXstdDataEmph 2 2 3" xfId="51099" xr:uid="{00000000-0005-0000-0000-000044C50000}"/>
    <cellStyle name="SAPBEXstdDataEmph 2 2 4" xfId="49908" xr:uid="{00000000-0005-0000-0000-000045C50000}"/>
    <cellStyle name="SAPBEXstdDataEmph 2 3" xfId="47274" xr:uid="{00000000-0005-0000-0000-000046C50000}"/>
    <cellStyle name="SAPBEXstdDataEmph 2 3 2" xfId="50459" xr:uid="{00000000-0005-0000-0000-000047C50000}"/>
    <cellStyle name="SAPBEXstdDataEmph 2 4" xfId="51505" xr:uid="{00000000-0005-0000-0000-000048C50000}"/>
    <cellStyle name="SAPBEXstdDataEmph 2 5" xfId="49580"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1" xr:uid="{00000000-0005-0000-0000-000055C50000}"/>
    <cellStyle name="SAPBEXstdDataEmph 3 2 2" xfId="50072" xr:uid="{00000000-0005-0000-0000-000056C50000}"/>
    <cellStyle name="SAPBEXstdDataEmph 3 2 3" xfId="50854" xr:uid="{00000000-0005-0000-0000-000057C50000}"/>
    <cellStyle name="SAPBEXstdDataEmph 3 3" xfId="50432" xr:uid="{00000000-0005-0000-0000-000058C50000}"/>
    <cellStyle name="SAPBEXstdDataEmph 3 4" xfId="51562" xr:uid="{00000000-0005-0000-0000-000059C50000}"/>
    <cellStyle name="SAPBEXstdDataEmph 3 5" xfId="49613"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46" xr:uid="{00000000-0005-0000-0000-00005EC50000}"/>
    <cellStyle name="SAPBEXstdDataEmph 4" xfId="47289" xr:uid="{00000000-0005-0000-0000-00005FC50000}"/>
    <cellStyle name="SAPBEXstdDataEmph 4 2" xfId="49954" xr:uid="{00000000-0005-0000-0000-000060C50000}"/>
    <cellStyle name="SAPBEXstdDataEmph 4 2 2" xfId="50999" xr:uid="{00000000-0005-0000-0000-000061C50000}"/>
    <cellStyle name="SAPBEXstdDataEmph 4 2 3" xfId="51546" xr:uid="{00000000-0005-0000-0000-000062C50000}"/>
    <cellStyle name="SAPBEXstdDataEmph 4 3" xfId="50986" xr:uid="{00000000-0005-0000-0000-000063C50000}"/>
    <cellStyle name="SAPBEXstdDataEmph 4 4" xfId="51177" xr:uid="{00000000-0005-0000-0000-000064C50000}"/>
    <cellStyle name="SAPBEXstdDataEmph 4 5" xfId="49626" xr:uid="{00000000-0005-0000-0000-000065C50000}"/>
    <cellStyle name="SAPBEXstdDataEmph 5" xfId="47290" xr:uid="{00000000-0005-0000-0000-000066C50000}"/>
    <cellStyle name="SAPBEXstdDataEmph 5 2" xfId="50922" xr:uid="{00000000-0005-0000-0000-000067C50000}"/>
    <cellStyle name="SAPBEXstdDataEmph 5 3" xfId="51630" xr:uid="{00000000-0005-0000-0000-000068C50000}"/>
    <cellStyle name="SAPBEXstdDataEmph 5 4" xfId="49718" xr:uid="{00000000-0005-0000-0000-000069C50000}"/>
    <cellStyle name="SAPBEXstdDataEmph 6" xfId="47291" xr:uid="{00000000-0005-0000-0000-00006AC50000}"/>
    <cellStyle name="SAPBEXstdDataEmph 6 2" xfId="51019" xr:uid="{00000000-0005-0000-0000-00006BC50000}"/>
    <cellStyle name="SAPBEXstdDataEmph 6 3" xfId="51587" xr:uid="{00000000-0005-0000-0000-00006CC50000}"/>
    <cellStyle name="SAPBEXstdDataEmph 6 4" xfId="49974" xr:uid="{00000000-0005-0000-0000-00006DC50000}"/>
    <cellStyle name="SAPBEXstdDataEmph 7" xfId="47292" xr:uid="{00000000-0005-0000-0000-00006EC50000}"/>
    <cellStyle name="SAPBEXstdDataEmph 7 2" xfId="50669" xr:uid="{00000000-0005-0000-0000-00006FC50000}"/>
    <cellStyle name="SAPBEXstdDataEmph 8" xfId="47293" xr:uid="{00000000-0005-0000-0000-000070C50000}"/>
    <cellStyle name="SAPBEXstdDataEmph 8 2" xfId="50969" xr:uid="{00000000-0005-0000-0000-000071C50000}"/>
    <cellStyle name="SAPBEXstdDataEmph 9" xfId="47294" xr:uid="{00000000-0005-0000-0000-000072C50000}"/>
    <cellStyle name="SAPBEXstdDataEmph 9 2" xfId="51674"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0" xr:uid="{00000000-0005-0000-0000-000082C50000}"/>
    <cellStyle name="SAPBEXstdItem 2 2 3" xfId="51100" xr:uid="{00000000-0005-0000-0000-000083C50000}"/>
    <cellStyle name="SAPBEXstdItem 2 2 4" xfId="49909" xr:uid="{00000000-0005-0000-0000-000084C50000}"/>
    <cellStyle name="SAPBEXstdItem 2 3" xfId="47308" xr:uid="{00000000-0005-0000-0000-000085C50000}"/>
    <cellStyle name="SAPBEXstdItem 2 3 2" xfId="50458" xr:uid="{00000000-0005-0000-0000-000086C50000}"/>
    <cellStyle name="SAPBEXstdItem 2 4" xfId="51182" xr:uid="{00000000-0005-0000-0000-000087C50000}"/>
    <cellStyle name="SAPBEXstdItem 2 5" xfId="49581"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2" xr:uid="{00000000-0005-0000-0000-000094C50000}"/>
    <cellStyle name="SAPBEXstdItem 3 2 2" xfId="50823" xr:uid="{00000000-0005-0000-0000-000095C50000}"/>
    <cellStyle name="SAPBEXstdItem 3 2 3" xfId="51111" xr:uid="{00000000-0005-0000-0000-000096C50000}"/>
    <cellStyle name="SAPBEXstdItem 3 3" xfId="50431" xr:uid="{00000000-0005-0000-0000-000097C50000}"/>
    <cellStyle name="SAPBEXstdItem 3 4" xfId="51368" xr:uid="{00000000-0005-0000-0000-000098C50000}"/>
    <cellStyle name="SAPBEXstdItem 3 5" xfId="49614"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47" xr:uid="{00000000-0005-0000-0000-00009DC50000}"/>
    <cellStyle name="SAPBEXstdItem 4" xfId="47323" xr:uid="{00000000-0005-0000-0000-00009EC50000}"/>
    <cellStyle name="SAPBEXstdItem 4 2" xfId="49955" xr:uid="{00000000-0005-0000-0000-00009FC50000}"/>
    <cellStyle name="SAPBEXstdItem 4 2 2" xfId="51000" xr:uid="{00000000-0005-0000-0000-0000A0C50000}"/>
    <cellStyle name="SAPBEXstdItem 4 2 3" xfId="51319" xr:uid="{00000000-0005-0000-0000-0000A1C50000}"/>
    <cellStyle name="SAPBEXstdItem 4 3" xfId="50901" xr:uid="{00000000-0005-0000-0000-0000A2C50000}"/>
    <cellStyle name="SAPBEXstdItem 4 4" xfId="51435" xr:uid="{00000000-0005-0000-0000-0000A3C50000}"/>
    <cellStyle name="SAPBEXstdItem 4 5" xfId="49627" xr:uid="{00000000-0005-0000-0000-0000A4C50000}"/>
    <cellStyle name="SAPBEXstdItem 5" xfId="47324" xr:uid="{00000000-0005-0000-0000-0000A5C50000}"/>
    <cellStyle name="SAPBEXstdItem 5 2" xfId="50857" xr:uid="{00000000-0005-0000-0000-0000A6C50000}"/>
    <cellStyle name="SAPBEXstdItem 5 3" xfId="50889" xr:uid="{00000000-0005-0000-0000-0000A7C50000}"/>
    <cellStyle name="SAPBEXstdItem 5 4" xfId="49719" xr:uid="{00000000-0005-0000-0000-0000A8C50000}"/>
    <cellStyle name="SAPBEXstdItem 6" xfId="47325" xr:uid="{00000000-0005-0000-0000-0000A9C50000}"/>
    <cellStyle name="SAPBEXstdItem 6 2" xfId="51018" xr:uid="{00000000-0005-0000-0000-0000AAC50000}"/>
    <cellStyle name="SAPBEXstdItem 6 3" xfId="51332" xr:uid="{00000000-0005-0000-0000-0000ABC50000}"/>
    <cellStyle name="SAPBEXstdItem 6 4" xfId="49973" xr:uid="{00000000-0005-0000-0000-0000ACC50000}"/>
    <cellStyle name="SAPBEXstdItem 7" xfId="47326" xr:uid="{00000000-0005-0000-0000-0000ADC50000}"/>
    <cellStyle name="SAPBEXstdItem 7 2" xfId="50668" xr:uid="{00000000-0005-0000-0000-0000AEC50000}"/>
    <cellStyle name="SAPBEXstdItem 8" xfId="47327" xr:uid="{00000000-0005-0000-0000-0000AFC50000}"/>
    <cellStyle name="SAPBEXstdItem 8 2" xfId="50802" xr:uid="{00000000-0005-0000-0000-0000B0C50000}"/>
    <cellStyle name="SAPBEXstdItem 9" xfId="47328" xr:uid="{00000000-0005-0000-0000-0000B1C50000}"/>
    <cellStyle name="SAPBEXstdItem 9 2" xfId="50880"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099" xr:uid="{00000000-0005-0000-0000-0000C1C50000}"/>
    <cellStyle name="SAPBEXstdItemX 2 2 3" xfId="51101" xr:uid="{00000000-0005-0000-0000-0000C2C50000}"/>
    <cellStyle name="SAPBEXstdItemX 2 2 4" xfId="49910" xr:uid="{00000000-0005-0000-0000-0000C3C50000}"/>
    <cellStyle name="SAPBEXstdItemX 2 3" xfId="47342" xr:uid="{00000000-0005-0000-0000-0000C4C50000}"/>
    <cellStyle name="SAPBEXstdItemX 2 3 2" xfId="50457" xr:uid="{00000000-0005-0000-0000-0000C5C50000}"/>
    <cellStyle name="SAPBEXstdItemX 2 4" xfId="51440" xr:uid="{00000000-0005-0000-0000-0000C6C50000}"/>
    <cellStyle name="SAPBEXstdItemX 2 5" xfId="49582"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3" xr:uid="{00000000-0005-0000-0000-0000D3C50000}"/>
    <cellStyle name="SAPBEXstdItemX 3 2 2" xfId="50071" xr:uid="{00000000-0005-0000-0000-0000D4C50000}"/>
    <cellStyle name="SAPBEXstdItemX 3 2 3" xfId="51287" xr:uid="{00000000-0005-0000-0000-0000D5C50000}"/>
    <cellStyle name="SAPBEXstdItemX 3 3" xfId="50054" xr:uid="{00000000-0005-0000-0000-0000D6C50000}"/>
    <cellStyle name="SAPBEXstdItemX 3 4" xfId="51632" xr:uid="{00000000-0005-0000-0000-0000D7C50000}"/>
    <cellStyle name="SAPBEXstdItemX 3 5" xfId="49615"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48" xr:uid="{00000000-0005-0000-0000-0000DCC50000}"/>
    <cellStyle name="SAPBEXstdItemX 4" xfId="47357" xr:uid="{00000000-0005-0000-0000-0000DDC50000}"/>
    <cellStyle name="SAPBEXstdItemX 4 2" xfId="50269" xr:uid="{00000000-0005-0000-0000-0000DEC50000}"/>
    <cellStyle name="SAPBEXstdItemX 4 3" xfId="50642" xr:uid="{00000000-0005-0000-0000-0000DFC50000}"/>
    <cellStyle name="SAPBEXstdItemX 4 4" xfId="49720" xr:uid="{00000000-0005-0000-0000-0000E0C50000}"/>
    <cellStyle name="SAPBEXstdItemX 5" xfId="47358" xr:uid="{00000000-0005-0000-0000-0000E1C50000}"/>
    <cellStyle name="SAPBEXstdItemX 5 2" xfId="51017" xr:uid="{00000000-0005-0000-0000-0000E2C50000}"/>
    <cellStyle name="SAPBEXstdItemX 5 3" xfId="51578" xr:uid="{00000000-0005-0000-0000-0000E3C50000}"/>
    <cellStyle name="SAPBEXstdItemX 5 4" xfId="49972" xr:uid="{00000000-0005-0000-0000-0000E4C50000}"/>
    <cellStyle name="SAPBEXstdItemX 6" xfId="47359" xr:uid="{00000000-0005-0000-0000-0000E5C50000}"/>
    <cellStyle name="SAPBEXstdItemX 6 2" xfId="50667" xr:uid="{00000000-0005-0000-0000-0000E6C50000}"/>
    <cellStyle name="SAPBEXstdItemX 7" xfId="47360" xr:uid="{00000000-0005-0000-0000-0000E7C50000}"/>
    <cellStyle name="SAPBEXstdItemX 7 2" xfId="50803"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098" xr:uid="{00000000-0005-0000-0000-0000EEC50000}"/>
    <cellStyle name="SAPBEXtitle 2 2 3" xfId="51102" xr:uid="{00000000-0005-0000-0000-0000EFC50000}"/>
    <cellStyle name="SAPBEXtitle 2 2 4" xfId="49911" xr:uid="{00000000-0005-0000-0000-0000F0C50000}"/>
    <cellStyle name="SAPBEXtitle 2 3" xfId="50456" xr:uid="{00000000-0005-0000-0000-0000F1C50000}"/>
    <cellStyle name="SAPBEXtitle 2 4" xfId="51366" xr:uid="{00000000-0005-0000-0000-0000F2C50000}"/>
    <cellStyle name="SAPBEXtitle 2 5" xfId="49583" xr:uid="{00000000-0005-0000-0000-0000F3C50000}"/>
    <cellStyle name="SAPBEXtitle 3" xfId="49616" xr:uid="{00000000-0005-0000-0000-0000F4C50000}"/>
    <cellStyle name="SAPBEXtitle 3 2" xfId="49944" xr:uid="{00000000-0005-0000-0000-0000F5C50000}"/>
    <cellStyle name="SAPBEXtitle 3 2 2" xfId="50070" xr:uid="{00000000-0005-0000-0000-0000F6C50000}"/>
    <cellStyle name="SAPBEXtitle 3 2 3" xfId="51545" xr:uid="{00000000-0005-0000-0000-0000F7C50000}"/>
    <cellStyle name="SAPBEXtitle 3 3" xfId="50430" xr:uid="{00000000-0005-0000-0000-0000F8C50000}"/>
    <cellStyle name="SAPBEXtitle 3 4" xfId="51137" xr:uid="{00000000-0005-0000-0000-0000F9C50000}"/>
    <cellStyle name="SAPBEXtitle 4" xfId="49721" xr:uid="{00000000-0005-0000-0000-0000FAC50000}"/>
    <cellStyle name="SAPBEXtitle 4 2" xfId="50971" xr:uid="{00000000-0005-0000-0000-0000FBC50000}"/>
    <cellStyle name="SAPBEXtitle 4 3" xfId="51262" xr:uid="{00000000-0005-0000-0000-0000FCC50000}"/>
    <cellStyle name="SAPBEXtitle 5" xfId="49971" xr:uid="{00000000-0005-0000-0000-0000FDC50000}"/>
    <cellStyle name="SAPBEXtitle 5 2" xfId="51016" xr:uid="{00000000-0005-0000-0000-0000FEC50000}"/>
    <cellStyle name="SAPBEXtitle 5 3" xfId="51321" xr:uid="{00000000-0005-0000-0000-0000FFC50000}"/>
    <cellStyle name="SAPBEXtitle 6" xfId="50666" xr:uid="{00000000-0005-0000-0000-000000C60000}"/>
    <cellStyle name="SAPBEXtitle 7" xfId="50871" xr:uid="{00000000-0005-0000-0000-000001C60000}"/>
    <cellStyle name="SAPBEXtitle 8" xfId="49349"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0"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097" xr:uid="{00000000-0005-0000-0000-0000ECC60000}"/>
    <cellStyle name="SAPBEXundefined 2 2 3" xfId="47596" xr:uid="{00000000-0005-0000-0000-0000EDC60000}"/>
    <cellStyle name="SAPBEXundefined 2 2 3 2" xfId="51149" xr:uid="{00000000-0005-0000-0000-0000EEC60000}"/>
    <cellStyle name="SAPBEXundefined 2 2 4" xfId="49912" xr:uid="{00000000-0005-0000-0000-0000EFC60000}"/>
    <cellStyle name="SAPBEXundefined 2 3" xfId="47597" xr:uid="{00000000-0005-0000-0000-0000F0C60000}"/>
    <cellStyle name="SAPBEXundefined 2 3 2" xfId="47598" xr:uid="{00000000-0005-0000-0000-0000F1C60000}"/>
    <cellStyle name="SAPBEXundefined 2 3 3" xfId="50455" xr:uid="{00000000-0005-0000-0000-0000F2C60000}"/>
    <cellStyle name="SAPBEXundefined 2 4" xfId="47599" xr:uid="{00000000-0005-0000-0000-0000F3C60000}"/>
    <cellStyle name="SAPBEXundefined 2 4 2" xfId="51633" xr:uid="{00000000-0005-0000-0000-0000F4C60000}"/>
    <cellStyle name="SAPBEXundefined 2 5" xfId="49584"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0" xr:uid="{00000000-0005-0000-0000-000002C70000}"/>
    <cellStyle name="SAPBEXundefined 3 2 3" xfId="51318" xr:uid="{00000000-0005-0000-0000-000003C70000}"/>
    <cellStyle name="SAPBEXundefined 3 2 4" xfId="49945" xr:uid="{00000000-0005-0000-0000-000004C70000}"/>
    <cellStyle name="SAPBEXundefined 3 3" xfId="47612" xr:uid="{00000000-0005-0000-0000-000005C70000}"/>
    <cellStyle name="SAPBEXundefined 3 3 2" xfId="50429" xr:uid="{00000000-0005-0000-0000-000006C70000}"/>
    <cellStyle name="SAPBEXundefined 3 4" xfId="50936" xr:uid="{00000000-0005-0000-0000-000007C70000}"/>
    <cellStyle name="SAPBEXundefined 3 5" xfId="49617"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1" xr:uid="{00000000-0005-0000-0000-00000CC70000}"/>
    <cellStyle name="SAPBEXundefined 4" xfId="47616" xr:uid="{00000000-0005-0000-0000-00000DC70000}"/>
    <cellStyle name="SAPBEXundefined 4 2" xfId="47617" xr:uid="{00000000-0005-0000-0000-00000EC70000}"/>
    <cellStyle name="SAPBEXundefined 4 2 2" xfId="51001" xr:uid="{00000000-0005-0000-0000-00000FC70000}"/>
    <cellStyle name="SAPBEXundefined 4 2 3" xfId="51576" xr:uid="{00000000-0005-0000-0000-000010C70000}"/>
    <cellStyle name="SAPBEXundefined 4 2 4" xfId="49956" xr:uid="{00000000-0005-0000-0000-000011C70000}"/>
    <cellStyle name="SAPBEXundefined 4 3" xfId="50926" xr:uid="{00000000-0005-0000-0000-000012C70000}"/>
    <cellStyle name="SAPBEXundefined 4 4" xfId="50819" xr:uid="{00000000-0005-0000-0000-000013C70000}"/>
    <cellStyle name="SAPBEXundefined 4 5" xfId="49628" xr:uid="{00000000-0005-0000-0000-000014C70000}"/>
    <cellStyle name="SAPBEXundefined 5" xfId="47618" xr:uid="{00000000-0005-0000-0000-000015C70000}"/>
    <cellStyle name="SAPBEXundefined 5 2" xfId="50898" xr:uid="{00000000-0005-0000-0000-000016C70000}"/>
    <cellStyle name="SAPBEXundefined 5 3" xfId="51520" xr:uid="{00000000-0005-0000-0000-000017C70000}"/>
    <cellStyle name="SAPBEXundefined 5 4" xfId="49722" xr:uid="{00000000-0005-0000-0000-000018C70000}"/>
    <cellStyle name="SAPBEXundefined 6" xfId="47619" xr:uid="{00000000-0005-0000-0000-000019C70000}"/>
    <cellStyle name="SAPBEXundefined 6 2" xfId="51015" xr:uid="{00000000-0005-0000-0000-00001AC70000}"/>
    <cellStyle name="SAPBEXundefined 6 3" xfId="51548" xr:uid="{00000000-0005-0000-0000-00001BC70000}"/>
    <cellStyle name="SAPBEXundefined 6 4" xfId="49970" xr:uid="{00000000-0005-0000-0000-00001CC70000}"/>
    <cellStyle name="SAPBEXundefined 7" xfId="47620" xr:uid="{00000000-0005-0000-0000-00001DC70000}"/>
    <cellStyle name="SAPBEXundefined 7 2" xfId="50665" xr:uid="{00000000-0005-0000-0000-00001EC70000}"/>
    <cellStyle name="SAPBEXundefined 8" xfId="47621" xr:uid="{00000000-0005-0000-0000-00001FC70000}"/>
    <cellStyle name="SAPBEXundefined 8 2" xfId="51145" xr:uid="{00000000-0005-0000-0000-000020C70000}"/>
    <cellStyle name="SAPBEXundefined 9" xfId="47622" xr:uid="{00000000-0005-0000-0000-000021C70000}"/>
    <cellStyle name="SAPBEXundefined 9 2" xfId="51683"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2"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3"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5" xr:uid="{00000000-0005-0000-0000-0000DCC70000}"/>
    <cellStyle name="Sub-total 2 2" xfId="49913" xr:uid="{00000000-0005-0000-0000-0000DDC70000}"/>
    <cellStyle name="Sub-total 2 2 2" xfId="50096" xr:uid="{00000000-0005-0000-0000-0000DEC70000}"/>
    <cellStyle name="Sub-total 2 2 3" xfId="51103" xr:uid="{00000000-0005-0000-0000-0000DFC70000}"/>
    <cellStyle name="Sub-total 2 3" xfId="50454" xr:uid="{00000000-0005-0000-0000-0000E0C70000}"/>
    <cellStyle name="Sub-total 2 4" xfId="50808" xr:uid="{00000000-0005-0000-0000-0000E1C70000}"/>
    <cellStyle name="Sub-total 3" xfId="49618" xr:uid="{00000000-0005-0000-0000-0000E2C70000}"/>
    <cellStyle name="Sub-total 3 2" xfId="49946" xr:uid="{00000000-0005-0000-0000-0000E3C70000}"/>
    <cellStyle name="Sub-total 3 2 2" xfId="50991" xr:uid="{00000000-0005-0000-0000-0000E4C70000}"/>
    <cellStyle name="Sub-total 3 2 3" xfId="51575" xr:uid="{00000000-0005-0000-0000-0000E5C70000}"/>
    <cellStyle name="Sub-total 3 3" xfId="50428" xr:uid="{00000000-0005-0000-0000-0000E6C70000}"/>
    <cellStyle name="Sub-total 3 4" xfId="51135" xr:uid="{00000000-0005-0000-0000-0000E7C70000}"/>
    <cellStyle name="Sub-total 4" xfId="49723" xr:uid="{00000000-0005-0000-0000-0000E8C70000}"/>
    <cellStyle name="Sub-total 4 2" xfId="50964" xr:uid="{00000000-0005-0000-0000-0000E9C70000}"/>
    <cellStyle name="Sub-total 4 3" xfId="51169" xr:uid="{00000000-0005-0000-0000-0000EAC70000}"/>
    <cellStyle name="Sub-total 5" xfId="49969" xr:uid="{00000000-0005-0000-0000-0000EBC70000}"/>
    <cellStyle name="Sub-total 5 2" xfId="51014" xr:uid="{00000000-0005-0000-0000-0000ECC70000}"/>
    <cellStyle name="Sub-total 5 3" xfId="51290" xr:uid="{00000000-0005-0000-0000-0000EDC70000}"/>
    <cellStyle name="Sub-total 6" xfId="50661" xr:uid="{00000000-0005-0000-0000-0000EEC70000}"/>
    <cellStyle name="Sub-total 7" xfId="50956" xr:uid="{00000000-0005-0000-0000-0000EFC70000}"/>
    <cellStyle name="Sub-total 8" xfId="49354"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5"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56"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57"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597" xr:uid="{00000000-0005-0000-0000-000050C80000}"/>
    <cellStyle name="Total 1 2 2 2" xfId="47897" xr:uid="{00000000-0005-0000-0000-000051C80000}"/>
    <cellStyle name="Total 1 2 2 2 2" xfId="47898" xr:uid="{00000000-0005-0000-0000-000052C80000}"/>
    <cellStyle name="Total 1 2 2 2 2 2" xfId="50086" xr:uid="{00000000-0005-0000-0000-000053C80000}"/>
    <cellStyle name="Total 1 2 2 2 3" xfId="47899" xr:uid="{00000000-0005-0000-0000-000054C80000}"/>
    <cellStyle name="Total 1 2 2 2 3 2" xfId="51155" xr:uid="{00000000-0005-0000-0000-000055C80000}"/>
    <cellStyle name="Total 1 2 2 2 4" xfId="49925"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2"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48"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0997" xr:uid="{00000000-0005-0000-0000-000070C80000}"/>
    <cellStyle name="Total 1 2 3 2 3" xfId="51113" xr:uid="{00000000-0005-0000-0000-000071C80000}"/>
    <cellStyle name="Total 1 2 3 2 4" xfId="49952" xr:uid="{00000000-0005-0000-0000-000072C80000}"/>
    <cellStyle name="Total 1 2 3 3" xfId="47923" xr:uid="{00000000-0005-0000-0000-000073C80000}"/>
    <cellStyle name="Total 1 2 3 3 2" xfId="50056" xr:uid="{00000000-0005-0000-0000-000074C80000}"/>
    <cellStyle name="Total 1 2 3 4" xfId="51253" xr:uid="{00000000-0005-0000-0000-000075C80000}"/>
    <cellStyle name="Total 1 2 3 5" xfId="49624" xr:uid="{00000000-0005-0000-0000-000076C80000}"/>
    <cellStyle name="Total 1 2 30" xfId="47924" xr:uid="{00000000-0005-0000-0000-000077C80000}"/>
    <cellStyle name="Total 1 2 31" xfId="49395" xr:uid="{00000000-0005-0000-0000-000078C80000}"/>
    <cellStyle name="Total 1 2 4" xfId="47925" xr:uid="{00000000-0005-0000-0000-000079C80000}"/>
    <cellStyle name="Total 1 2 4 2" xfId="47926" xr:uid="{00000000-0005-0000-0000-00007AC80000}"/>
    <cellStyle name="Total 1 2 4 2 2" xfId="50878" xr:uid="{00000000-0005-0000-0000-00007BC80000}"/>
    <cellStyle name="Total 1 2 4 3" xfId="47927" xr:uid="{00000000-0005-0000-0000-00007CC80000}"/>
    <cellStyle name="Total 1 2 4 3 2" xfId="51622" xr:uid="{00000000-0005-0000-0000-00007DC80000}"/>
    <cellStyle name="Total 1 2 4 4" xfId="49726"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0" xr:uid="{00000000-0005-0000-0000-000082C80000}"/>
    <cellStyle name="Total 1 2 6" xfId="47931" xr:uid="{00000000-0005-0000-0000-000083C80000}"/>
    <cellStyle name="Total 1 2 6 2" xfId="51218"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58"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5" xr:uid="{00000000-0005-0000-0000-00005BC90000}"/>
    <cellStyle name="Total 2 2 2 3" xfId="51150" xr:uid="{00000000-0005-0000-0000-00005CC90000}"/>
    <cellStyle name="Total 2 2 2 4" xfId="49914" xr:uid="{00000000-0005-0000-0000-00005DC90000}"/>
    <cellStyle name="Total 2 2 3" xfId="48145" xr:uid="{00000000-0005-0000-0000-00005EC90000}"/>
    <cellStyle name="Total 2 2 3 2" xfId="50453" xr:uid="{00000000-0005-0000-0000-00005FC90000}"/>
    <cellStyle name="Total 2 2 4" xfId="51249" xr:uid="{00000000-0005-0000-0000-000060C90000}"/>
    <cellStyle name="Total 2 2 5" xfId="49586"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2" xr:uid="{00000000-0005-0000-0000-00006EC90000}"/>
    <cellStyle name="Total 2 3 2 3" xfId="51405" xr:uid="{00000000-0005-0000-0000-00006FC90000}"/>
    <cellStyle name="Total 2 3 2 4" xfId="49947" xr:uid="{00000000-0005-0000-0000-000070C90000}"/>
    <cellStyle name="Total 2 3 3" xfId="48158" xr:uid="{00000000-0005-0000-0000-000071C90000}"/>
    <cellStyle name="Total 2 3 3 2" xfId="50427" xr:uid="{00000000-0005-0000-0000-000072C90000}"/>
    <cellStyle name="Total 2 3 4" xfId="50788" xr:uid="{00000000-0005-0000-0000-000073C90000}"/>
    <cellStyle name="Total 2 3 5" xfId="49619"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3" xr:uid="{00000000-0005-0000-0000-000080C90000}"/>
    <cellStyle name="Total 2 4 3" xfId="51428" xr:uid="{00000000-0005-0000-0000-000081C90000}"/>
    <cellStyle name="Total 2 4 4" xfId="49724"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59" xr:uid="{00000000-0005-0000-0000-00008CC90000}"/>
    <cellStyle name="Total 2 5" xfId="48179" xr:uid="{00000000-0005-0000-0000-00008DC90000}"/>
    <cellStyle name="Total 2 5 2" xfId="51013" xr:uid="{00000000-0005-0000-0000-00008EC90000}"/>
    <cellStyle name="Total 2 5 3" xfId="51115" xr:uid="{00000000-0005-0000-0000-00008FC90000}"/>
    <cellStyle name="Total 2 5 4" xfId="49968" xr:uid="{00000000-0005-0000-0000-000090C90000}"/>
    <cellStyle name="Total 2 6" xfId="48180" xr:uid="{00000000-0005-0000-0000-000091C90000}"/>
    <cellStyle name="Total 2 6 2" xfId="50658" xr:uid="{00000000-0005-0000-0000-000092C90000}"/>
    <cellStyle name="Total 2 7" xfId="48181" xr:uid="{00000000-0005-0000-0000-000093C90000}"/>
    <cellStyle name="Total 2 7 2" xfId="50804"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5" xr:uid="{00000000-0005-0000-0000-000099C90000}"/>
    <cellStyle name="Total 3 2 2 2" xfId="50094" xr:uid="{00000000-0005-0000-0000-00009AC90000}"/>
    <cellStyle name="Total 3 2 2 3" xfId="51104" xr:uid="{00000000-0005-0000-0000-00009BC90000}"/>
    <cellStyle name="Total 3 2 3" xfId="50452" xr:uid="{00000000-0005-0000-0000-00009CC90000}"/>
    <cellStyle name="Total 3 2 4" xfId="51506" xr:uid="{00000000-0005-0000-0000-00009DC90000}"/>
    <cellStyle name="Total 3 2 5" xfId="49587" xr:uid="{00000000-0005-0000-0000-00009EC90000}"/>
    <cellStyle name="Total 3 3" xfId="48186" xr:uid="{00000000-0005-0000-0000-00009FC90000}"/>
    <cellStyle name="Total 3 3 2" xfId="49948" xr:uid="{00000000-0005-0000-0000-0000A0C90000}"/>
    <cellStyle name="Total 3 3 2 2" xfId="50993" xr:uid="{00000000-0005-0000-0000-0000A1C90000}"/>
    <cellStyle name="Total 3 3 2 3" xfId="51593" xr:uid="{00000000-0005-0000-0000-0000A2C90000}"/>
    <cellStyle name="Total 3 3 3" xfId="50426" xr:uid="{00000000-0005-0000-0000-0000A3C90000}"/>
    <cellStyle name="Total 3 3 4" xfId="50852" xr:uid="{00000000-0005-0000-0000-0000A4C90000}"/>
    <cellStyle name="Total 3 3 5" xfId="49620" xr:uid="{00000000-0005-0000-0000-0000A5C90000}"/>
    <cellStyle name="Total 3 4" xfId="49725" xr:uid="{00000000-0005-0000-0000-0000A6C90000}"/>
    <cellStyle name="Total 3 4 2" xfId="50951" xr:uid="{00000000-0005-0000-0000-0000A7C90000}"/>
    <cellStyle name="Total 3 4 3" xfId="51381" xr:uid="{00000000-0005-0000-0000-0000A8C90000}"/>
    <cellStyle name="Total 3 5" xfId="49967" xr:uid="{00000000-0005-0000-0000-0000A9C90000}"/>
    <cellStyle name="Total 3 5 2" xfId="51012" xr:uid="{00000000-0005-0000-0000-0000AAC90000}"/>
    <cellStyle name="Total 3 5 3" xfId="51608" xr:uid="{00000000-0005-0000-0000-0000ABC90000}"/>
    <cellStyle name="Total 3 6" xfId="50657" xr:uid="{00000000-0005-0000-0000-0000ACC90000}"/>
    <cellStyle name="Total 3 7" xfId="51146" xr:uid="{00000000-0005-0000-0000-0000ADC90000}"/>
    <cellStyle name="Total 3 8" xfId="49360"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1"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2" xr:uid="{00000000-0005-0000-0000-0000DEC90000}"/>
    <cellStyle name="Yellow" xfId="48233" xr:uid="{00000000-0005-0000-0000-0000DFC90000}"/>
    <cellStyle name="Yellow 2" xfId="49364" xr:uid="{00000000-0005-0000-0000-0000E0C90000}"/>
    <cellStyle name="Yellow 2 2" xfId="49365" xr:uid="{00000000-0005-0000-0000-0000E1C90000}"/>
    <cellStyle name="Yellow 2 3" xfId="49366" xr:uid="{00000000-0005-0000-0000-0000E2C90000}"/>
    <cellStyle name="Yellow 2 4" xfId="49367" xr:uid="{00000000-0005-0000-0000-0000E3C90000}"/>
    <cellStyle name="Yellow 2 5" xfId="49368" xr:uid="{00000000-0005-0000-0000-0000E4C90000}"/>
    <cellStyle name="Yellow 2 6" xfId="49369" xr:uid="{00000000-0005-0000-0000-0000E5C90000}"/>
    <cellStyle name="Yellow 2 7" xfId="49370" xr:uid="{00000000-0005-0000-0000-0000E6C90000}"/>
    <cellStyle name="Yellow 2 8" xfId="49371" xr:uid="{00000000-0005-0000-0000-0000E7C90000}"/>
    <cellStyle name="Yellow 3" xfId="49363" xr:uid="{00000000-0005-0000-0000-0000E8C90000}"/>
  </cellStyles>
  <dxfs count="87">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86552/Forecomp_May_2020.pdf" TargetMode="External"/><Relationship Id="rId1" Type="http://schemas.openxmlformats.org/officeDocument/2006/relationships/hyperlink" Target="https://www.gov.uk/government/statistics/forecasts-for-the-uk-economy-august-2018"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C10" sqref="C10"/>
    </sheetView>
  </sheetViews>
  <sheetFormatPr defaultRowHeight="12.75"/>
  <cols>
    <col min="1" max="1" width="8.375" customWidth="1"/>
    <col min="2" max="2" width="27.125" customWidth="1"/>
    <col min="3" max="6" width="14.125" customWidth="1"/>
    <col min="7" max="7" width="14.125" style="171" customWidth="1"/>
    <col min="8" max="11" width="14.125" customWidth="1"/>
  </cols>
  <sheetData>
    <row r="1" spans="1:11" s="18" customFormat="1" ht="20.25">
      <c r="A1" s="720" t="s">
        <v>0</v>
      </c>
      <c r="B1" s="721"/>
      <c r="C1" s="721"/>
      <c r="D1" s="722"/>
      <c r="E1" s="723"/>
      <c r="F1" s="721"/>
      <c r="G1" s="724"/>
      <c r="H1" s="721"/>
      <c r="I1" s="721"/>
      <c r="J1" s="721"/>
      <c r="K1" s="721"/>
    </row>
    <row r="2" spans="1:11" s="18" customFormat="1" ht="20.25">
      <c r="A2" s="720" t="str">
        <f>'RFPR cover'!C5</f>
        <v>NGET (SO)</v>
      </c>
      <c r="B2" s="721"/>
      <c r="C2" s="721"/>
      <c r="D2" s="723"/>
      <c r="E2" s="723"/>
      <c r="F2" s="721"/>
      <c r="G2" s="724"/>
      <c r="H2" s="721"/>
      <c r="I2" s="721"/>
      <c r="J2" s="721"/>
      <c r="K2" s="721"/>
    </row>
    <row r="3" spans="1:11" s="18" customFormat="1" ht="20.25">
      <c r="A3" s="720">
        <f>'RFPR cover'!C7</f>
        <v>2020</v>
      </c>
      <c r="B3" s="721"/>
      <c r="C3" s="721"/>
      <c r="D3" s="723"/>
      <c r="E3" s="723"/>
      <c r="F3" s="721"/>
      <c r="G3" s="724"/>
      <c r="H3" s="721"/>
      <c r="I3" s="721"/>
      <c r="J3" s="721"/>
      <c r="K3" s="721"/>
    </row>
    <row r="4" spans="1:11" ht="14.25">
      <c r="A4" s="17"/>
      <c r="B4" s="17"/>
      <c r="C4" s="17"/>
      <c r="D4" s="17"/>
      <c r="E4" s="17"/>
      <c r="H4" s="4"/>
      <c r="I4" s="4"/>
      <c r="J4" s="4"/>
    </row>
    <row r="5" spans="1:11" ht="13.5" customHeight="1">
      <c r="A5" s="17"/>
      <c r="B5" s="837" t="s">
        <v>1</v>
      </c>
      <c r="C5" s="838" t="s">
        <v>2</v>
      </c>
      <c r="D5" s="282"/>
      <c r="E5" s="10"/>
      <c r="F5" s="839"/>
      <c r="G5" s="448" t="s">
        <v>3</v>
      </c>
      <c r="H5" s="4"/>
      <c r="I5" s="4"/>
      <c r="J5" s="4"/>
    </row>
    <row r="6" spans="1:11" ht="13.5" customHeight="1">
      <c r="A6" s="17"/>
      <c r="B6" s="837" t="s">
        <v>4</v>
      </c>
      <c r="C6" s="840" t="str">
        <f>INDEX(Data!$A$73:$A$100,MATCH($C$5,Data!$B$73:$B$100,0),0)&amp;"1"</f>
        <v>ET1</v>
      </c>
      <c r="D6" s="10"/>
      <c r="E6" s="10"/>
      <c r="F6" s="841"/>
      <c r="G6" s="448" t="s">
        <v>5</v>
      </c>
      <c r="H6" s="4"/>
      <c r="I6" s="4"/>
      <c r="J6" s="4"/>
    </row>
    <row r="7" spans="1:11" ht="25.5">
      <c r="A7" s="17"/>
      <c r="B7" s="842" t="s">
        <v>6</v>
      </c>
      <c r="C7" s="843">
        <v>2020</v>
      </c>
      <c r="D7" s="9"/>
      <c r="E7" s="10"/>
      <c r="F7" s="844"/>
      <c r="G7" s="449" t="s">
        <v>7</v>
      </c>
      <c r="H7" s="4"/>
      <c r="I7" s="4"/>
      <c r="J7" s="4"/>
    </row>
    <row r="8" spans="1:11" ht="14.25">
      <c r="A8" s="17"/>
      <c r="B8" s="837" t="s">
        <v>8</v>
      </c>
      <c r="C8" s="845">
        <v>1</v>
      </c>
      <c r="D8" s="10"/>
      <c r="E8" s="9"/>
      <c r="F8" s="846"/>
      <c r="G8" s="448" t="s">
        <v>9</v>
      </c>
      <c r="H8" s="4"/>
      <c r="I8" s="4"/>
      <c r="J8" s="4"/>
    </row>
    <row r="9" spans="1:11" ht="14.25">
      <c r="A9" s="17"/>
      <c r="B9" s="837" t="s">
        <v>10</v>
      </c>
      <c r="C9" s="847">
        <v>44071</v>
      </c>
      <c r="D9" s="9"/>
      <c r="E9" s="9"/>
      <c r="F9" s="848"/>
      <c r="G9" s="448" t="s">
        <v>11</v>
      </c>
      <c r="H9" s="4"/>
      <c r="I9" s="4"/>
      <c r="J9" s="4"/>
    </row>
    <row r="10" spans="1:11" ht="14.25">
      <c r="A10" s="17"/>
      <c r="B10" s="837" t="s">
        <v>12</v>
      </c>
      <c r="C10" s="849">
        <f>SUMIF(Data!$B$72:$B$100,C5,Data!$C$72:$C$100)</f>
        <v>7.0000000000000007E-2</v>
      </c>
      <c r="D10" s="9"/>
      <c r="E10" s="9"/>
      <c r="F10" s="850"/>
      <c r="G10" s="448" t="s">
        <v>13</v>
      </c>
      <c r="H10" s="4"/>
      <c r="I10" s="4"/>
      <c r="J10" s="4"/>
    </row>
    <row r="11" spans="1:11" ht="14.25">
      <c r="A11" s="17"/>
      <c r="B11" s="837" t="s">
        <v>14</v>
      </c>
      <c r="C11" s="851">
        <f>SUMIF(Data!$B$72:$B$100,C5,Data!$D$72:$D$100)</f>
        <v>0.46889999999999998</v>
      </c>
      <c r="D11" s="10"/>
      <c r="E11" s="10"/>
      <c r="F11" s="852"/>
      <c r="G11" s="448" t="s">
        <v>15</v>
      </c>
      <c r="H11" s="4"/>
      <c r="I11" s="4"/>
      <c r="J11" s="4"/>
    </row>
    <row r="12" spans="1:11">
      <c r="A12" s="17"/>
      <c r="B12" s="837" t="s">
        <v>16</v>
      </c>
      <c r="C12" s="849">
        <f>SUMIF(Data!$B$72:$B$100,C5,Data!$E$72:$E$100)</f>
        <v>0.6</v>
      </c>
      <c r="D12" s="9"/>
      <c r="E12" s="9"/>
      <c r="F12" s="9"/>
      <c r="G12" s="450"/>
    </row>
    <row r="13" spans="1:11">
      <c r="A13" s="17"/>
      <c r="B13" s="837" t="s">
        <v>17</v>
      </c>
      <c r="C13" s="840">
        <f>INDEX(Data!$G$73:$G$100,MATCH($C$5,Data!$B$73:$B$100,0),0)</f>
        <v>2014</v>
      </c>
      <c r="D13" s="9"/>
      <c r="E13" s="9"/>
      <c r="F13" s="853" t="s">
        <v>18</v>
      </c>
    </row>
    <row r="14" spans="1:11">
      <c r="A14" s="17"/>
      <c r="B14" s="854" t="s">
        <v>19</v>
      </c>
      <c r="C14" s="840" t="str">
        <f>INDEX(Data!$H$73:$H$100,MATCH($C$5,Data!$B$73:$B$100,0),0)</f>
        <v>£m 09/10</v>
      </c>
      <c r="D14" s="9"/>
      <c r="E14" s="9"/>
      <c r="F14" s="855">
        <v>0.1</v>
      </c>
      <c r="G14" s="450"/>
    </row>
    <row r="15" spans="1:11">
      <c r="A15" s="17"/>
      <c r="B15" s="9"/>
      <c r="C15" s="9"/>
      <c r="D15" s="9"/>
      <c r="E15" s="9"/>
      <c r="F15" s="9"/>
      <c r="G15" s="450"/>
    </row>
    <row r="85" spans="1:1">
      <c r="A85" s="162"/>
    </row>
  </sheetData>
  <sheetProtection algorithmName="SHA-512" hashValue="b0OjALpGYBFwDiDZiYlMd5Czf2kKHylfA7X71gVVAtsRfN+fbgb5r3ZmYFMWXsRJNQ+W/hUFB4KFBmlFZr/Cjg==" saltValue="N/nGMOX8pKp/3eW+irVFSg==" spinCount="100000" sheet="1" formatCells="0" formatColumns="0" formatRows="0" insertColumns="0" insertRows="0" insertHyperlinks="0" deleteColumns="0" deleteRows="0" sort="0" autoFilter="0" pivotTables="0"/>
  <pageMargins left="0.70866141732283472" right="0.70866141732283472" top="0.74803149606299213" bottom="0.74803149606299213" header="0.31496062992125984" footer="0.31496062992125984"/>
  <pageSetup scale="4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Data!$B$73:$B$100</xm:f>
          </x14:formula1>
          <xm:sqref>C5</xm:sqref>
        </x14:dataValidation>
        <x14:dataValidation type="list" allowBlank="1" showInputMessage="1" showErrorMessage="1" xr:uid="{00000000-0002-0000-0000-000001000000}">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FFCC"/>
    <pageSetUpPr fitToPage="1"/>
  </sheetPr>
  <dimension ref="A1:L28"/>
  <sheetViews>
    <sheetView showGridLines="0" topLeftCell="B1" zoomScale="80" zoomScaleNormal="80" workbookViewId="0">
      <pane ySplit="6" topLeftCell="A7" activePane="bottomLeft" state="frozen"/>
      <selection activeCell="B75" sqref="A1:XFD1048576"/>
      <selection pane="bottomLeft" activeCell="J28" sqref="J28"/>
    </sheetView>
  </sheetViews>
  <sheetFormatPr defaultRowHeight="12.75"/>
  <cols>
    <col min="1" max="1" width="8.375" customWidth="1"/>
    <col min="2" max="2" width="79.625" customWidth="1"/>
    <col min="3" max="3" width="14.125" style="98" customWidth="1"/>
    <col min="4" max="11" width="11.125" customWidth="1"/>
    <col min="12" max="12" width="5" customWidth="1"/>
  </cols>
  <sheetData>
    <row r="1" spans="1:12" s="18" customFormat="1" ht="20.25">
      <c r="A1" s="856" t="s">
        <v>203</v>
      </c>
      <c r="B1" s="732"/>
      <c r="C1" s="231"/>
      <c r="D1" s="211"/>
      <c r="E1" s="211"/>
      <c r="F1" s="211"/>
      <c r="G1" s="211"/>
      <c r="H1" s="211"/>
      <c r="I1" s="212"/>
      <c r="J1" s="212"/>
      <c r="K1" s="213"/>
      <c r="L1" s="876"/>
    </row>
    <row r="2" spans="1:12" s="18" customFormat="1" ht="20.25">
      <c r="A2" s="725" t="str">
        <f>'RFPR cover'!C5</f>
        <v>NGET (SO)</v>
      </c>
      <c r="B2" s="720"/>
      <c r="C2" s="97"/>
      <c r="D2" s="16"/>
      <c r="E2" s="16"/>
      <c r="F2" s="16"/>
      <c r="G2" s="16"/>
      <c r="H2" s="16"/>
      <c r="I2" s="15"/>
      <c r="J2" s="15"/>
      <c r="K2" s="15"/>
      <c r="L2" s="93"/>
    </row>
    <row r="3" spans="1:12" s="23" customFormat="1" ht="23.25">
      <c r="A3" s="728">
        <f>'RFPR cover'!C7</f>
        <v>2020</v>
      </c>
      <c r="B3" s="734" t="str">
        <f>'R1 - RoRE'!B3</f>
        <v>Not required to be completed for System Operator</v>
      </c>
      <c r="C3" s="233"/>
      <c r="D3" s="232"/>
      <c r="E3" s="232"/>
      <c r="F3" s="232"/>
      <c r="G3" s="232"/>
      <c r="H3" s="232"/>
      <c r="I3" s="210"/>
      <c r="J3" s="210"/>
      <c r="K3" s="210"/>
      <c r="L3" s="215"/>
    </row>
    <row r="4" spans="1:12" s="2" customFormat="1" ht="12.75" customHeight="1">
      <c r="C4" s="98"/>
    </row>
    <row r="5" spans="1:12" s="2" customFormat="1">
      <c r="B5" s="3"/>
      <c r="C5" s="98"/>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row>
    <row r="6" spans="1:12" s="2" customFormat="1">
      <c r="C6" s="98"/>
      <c r="D6" s="90">
        <f>'RFPR cover'!$C$13</f>
        <v>2014</v>
      </c>
      <c r="E6" s="91">
        <f>D6+1</f>
        <v>2015</v>
      </c>
      <c r="F6" s="91">
        <f t="shared" ref="F6:K6" si="0">E6+1</f>
        <v>2016</v>
      </c>
      <c r="G6" s="91">
        <f t="shared" si="0"/>
        <v>2017</v>
      </c>
      <c r="H6" s="91">
        <f t="shared" si="0"/>
        <v>2018</v>
      </c>
      <c r="I6" s="91">
        <f t="shared" si="0"/>
        <v>2019</v>
      </c>
      <c r="J6" s="91">
        <f t="shared" si="0"/>
        <v>2020</v>
      </c>
      <c r="K6" s="91">
        <f t="shared" si="0"/>
        <v>2021</v>
      </c>
    </row>
    <row r="7" spans="1:12" s="2" customFormat="1">
      <c r="C7" s="98"/>
    </row>
    <row r="8" spans="1:12" s="2" customFormat="1">
      <c r="B8" s="34" t="s">
        <v>308</v>
      </c>
      <c r="C8" s="99"/>
      <c r="D8" s="40"/>
      <c r="E8" s="40"/>
      <c r="F8" s="40"/>
      <c r="G8" s="40"/>
      <c r="H8" s="40"/>
      <c r="I8" s="40"/>
      <c r="J8" s="40"/>
      <c r="K8" s="40"/>
    </row>
    <row r="9" spans="1:12" s="2" customFormat="1">
      <c r="B9" s="183" t="s">
        <v>370</v>
      </c>
      <c r="C9" s="112" t="s">
        <v>297</v>
      </c>
      <c r="D9" s="492">
        <v>1.1012071068894389</v>
      </c>
      <c r="E9" s="492">
        <v>3.1034358804309723</v>
      </c>
      <c r="F9" s="492">
        <v>2.0735882645238095</v>
      </c>
      <c r="G9" s="492">
        <v>1.4602330799999996</v>
      </c>
      <c r="H9" s="492">
        <v>1.67</v>
      </c>
      <c r="I9" s="492">
        <v>3.3679999999999999</v>
      </c>
      <c r="J9" s="492">
        <v>2.9086006638378374</v>
      </c>
      <c r="K9" s="492">
        <v>1.4426582310000002</v>
      </c>
    </row>
    <row r="10" spans="1:12" s="2" customFormat="1">
      <c r="B10" s="183" t="s">
        <v>371</v>
      </c>
      <c r="C10" s="112" t="s">
        <v>297</v>
      </c>
      <c r="D10" s="760">
        <v>0</v>
      </c>
      <c r="E10" s="760">
        <v>0</v>
      </c>
      <c r="F10" s="760">
        <v>0</v>
      </c>
      <c r="G10" s="760">
        <v>0</v>
      </c>
      <c r="H10" s="760">
        <v>0</v>
      </c>
      <c r="I10" s="760">
        <v>0</v>
      </c>
      <c r="J10" s="760">
        <v>0</v>
      </c>
      <c r="K10" s="760">
        <v>0</v>
      </c>
    </row>
    <row r="11" spans="1:12" s="2" customFormat="1">
      <c r="B11" s="183" t="s">
        <v>372</v>
      </c>
      <c r="C11" s="112" t="s">
        <v>297</v>
      </c>
      <c r="D11" s="492">
        <v>0.1101207106889439</v>
      </c>
      <c r="E11" s="492">
        <v>0.31034358804309725</v>
      </c>
      <c r="F11" s="492">
        <v>0.20735882645238096</v>
      </c>
      <c r="G11" s="492">
        <v>0.14602330799999996</v>
      </c>
      <c r="H11" s="492">
        <v>0.16700000000000001</v>
      </c>
      <c r="I11" s="492">
        <v>0.33679999999999999</v>
      </c>
      <c r="J11" s="492">
        <v>0.29086006638378376</v>
      </c>
      <c r="K11" s="492">
        <v>0.14426582310000002</v>
      </c>
    </row>
    <row r="12" spans="1:12" s="5" customFormat="1">
      <c r="B12" s="34" t="s">
        <v>373</v>
      </c>
      <c r="C12" s="112" t="s">
        <v>297</v>
      </c>
      <c r="D12" s="508">
        <f>D9-D10-D11</f>
        <v>0.99108639620049499</v>
      </c>
      <c r="E12" s="509">
        <f t="shared" ref="E12:K12" si="1">E9-E10-E11</f>
        <v>2.7930922923878749</v>
      </c>
      <c r="F12" s="509">
        <f t="shared" si="1"/>
        <v>1.8662294380714286</v>
      </c>
      <c r="G12" s="509">
        <f t="shared" si="1"/>
        <v>1.3142097719999997</v>
      </c>
      <c r="H12" s="509">
        <f t="shared" si="1"/>
        <v>1.5029999999999999</v>
      </c>
      <c r="I12" s="509">
        <f t="shared" si="1"/>
        <v>3.0312000000000001</v>
      </c>
      <c r="J12" s="509">
        <f t="shared" si="1"/>
        <v>2.6177405974540537</v>
      </c>
      <c r="K12" s="509">
        <f t="shared" si="1"/>
        <v>1.2983924079000002</v>
      </c>
      <c r="L12" s="2"/>
    </row>
    <row r="13" spans="1:12" s="5" customFormat="1">
      <c r="B13" s="34"/>
      <c r="C13" s="98"/>
      <c r="D13" s="35"/>
      <c r="E13" s="35"/>
      <c r="F13" s="35"/>
      <c r="G13" s="35"/>
      <c r="H13" s="35"/>
      <c r="I13" s="35"/>
      <c r="J13" s="35"/>
      <c r="K13" s="35"/>
      <c r="L13" s="2"/>
    </row>
    <row r="14" spans="1:12" s="2" customFormat="1">
      <c r="B14" s="34" t="s">
        <v>374</v>
      </c>
      <c r="C14" s="99"/>
      <c r="D14" s="40"/>
      <c r="E14" s="40"/>
      <c r="F14" s="40"/>
      <c r="G14" s="40"/>
      <c r="H14" s="40"/>
      <c r="I14" s="40"/>
      <c r="J14" s="40"/>
      <c r="K14" s="40"/>
    </row>
    <row r="15" spans="1:12" s="2" customFormat="1" ht="13.15" customHeight="1">
      <c r="B15" s="183" t="s">
        <v>375</v>
      </c>
      <c r="C15" s="112" t="s">
        <v>297</v>
      </c>
      <c r="D15" s="760">
        <v>0</v>
      </c>
      <c r="E15" s="760">
        <v>0</v>
      </c>
      <c r="F15" s="760">
        <v>0</v>
      </c>
      <c r="G15" s="760">
        <v>0</v>
      </c>
      <c r="H15" s="760">
        <v>0</v>
      </c>
      <c r="I15" s="760">
        <v>0</v>
      </c>
      <c r="J15" s="760">
        <v>0</v>
      </c>
      <c r="K15" s="760">
        <v>0</v>
      </c>
    </row>
    <row r="16" spans="1:12" s="2" customFormat="1">
      <c r="B16" s="183" t="s">
        <v>376</v>
      </c>
      <c r="C16" s="112" t="s">
        <v>297</v>
      </c>
      <c r="D16" s="760">
        <v>0</v>
      </c>
      <c r="E16" s="760">
        <v>0</v>
      </c>
      <c r="F16" s="760">
        <v>0</v>
      </c>
      <c r="G16" s="760">
        <v>0</v>
      </c>
      <c r="H16" s="760">
        <v>0</v>
      </c>
      <c r="I16" s="760">
        <v>0</v>
      </c>
      <c r="J16" s="760">
        <v>0</v>
      </c>
      <c r="K16" s="760">
        <v>0</v>
      </c>
    </row>
    <row r="17" spans="2:12" s="5" customFormat="1">
      <c r="B17" s="34" t="s">
        <v>309</v>
      </c>
      <c r="C17" s="112" t="s">
        <v>297</v>
      </c>
      <c r="D17" s="764">
        <f>D15-D16</f>
        <v>0</v>
      </c>
      <c r="E17" s="764">
        <f t="shared" ref="E17:K17" si="2">E15-E16</f>
        <v>0</v>
      </c>
      <c r="F17" s="764">
        <f t="shared" si="2"/>
        <v>0</v>
      </c>
      <c r="G17" s="764">
        <f t="shared" si="2"/>
        <v>0</v>
      </c>
      <c r="H17" s="764">
        <f t="shared" si="2"/>
        <v>0</v>
      </c>
      <c r="I17" s="764">
        <f t="shared" si="2"/>
        <v>0</v>
      </c>
      <c r="J17" s="764">
        <f t="shared" si="2"/>
        <v>0</v>
      </c>
      <c r="K17" s="764">
        <f t="shared" si="2"/>
        <v>0</v>
      </c>
      <c r="L17" s="2"/>
    </row>
    <row r="18" spans="2:12" s="5" customFormat="1">
      <c r="B18" s="34"/>
      <c r="C18" s="98"/>
      <c r="D18" s="35"/>
      <c r="E18" s="35"/>
      <c r="F18" s="35"/>
      <c r="G18" s="35"/>
      <c r="H18" s="35"/>
      <c r="I18" s="35"/>
      <c r="J18" s="35"/>
      <c r="K18" s="35"/>
      <c r="L18" s="2"/>
    </row>
    <row r="19" spans="2:12" s="2" customFormat="1">
      <c r="B19" s="34" t="s">
        <v>377</v>
      </c>
      <c r="C19" s="99"/>
      <c r="D19" s="40"/>
      <c r="E19" s="40"/>
      <c r="F19" s="40"/>
      <c r="G19" s="40"/>
      <c r="H19" s="40"/>
      <c r="I19" s="40"/>
      <c r="J19" s="40"/>
      <c r="K19" s="40"/>
    </row>
    <row r="20" spans="2:12" s="2" customFormat="1">
      <c r="B20" s="183" t="s">
        <v>378</v>
      </c>
      <c r="C20" s="112" t="s">
        <v>297</v>
      </c>
      <c r="D20" s="760">
        <v>0</v>
      </c>
      <c r="E20" s="760">
        <v>0</v>
      </c>
      <c r="F20" s="760">
        <v>0.53885612034590613</v>
      </c>
      <c r="G20" s="760">
        <v>1.963307751084302</v>
      </c>
      <c r="H20" s="760">
        <v>2.6854281902377255</v>
      </c>
      <c r="I20" s="760">
        <v>4.7335046932508735</v>
      </c>
      <c r="J20" s="760">
        <v>4.1886552517241302</v>
      </c>
      <c r="K20" s="760">
        <v>8.1125815134775987</v>
      </c>
    </row>
    <row r="21" spans="2:12" s="2" customFormat="1">
      <c r="B21" s="183" t="s">
        <v>372</v>
      </c>
      <c r="C21" s="112" t="s">
        <v>297</v>
      </c>
      <c r="D21" s="760">
        <v>0</v>
      </c>
      <c r="E21" s="760">
        <v>0</v>
      </c>
      <c r="F21" s="760">
        <v>7.1842722256491243E-2</v>
      </c>
      <c r="G21" s="760">
        <v>0.26024439733367477</v>
      </c>
      <c r="H21" s="760">
        <v>0.36900940186698078</v>
      </c>
      <c r="I21" s="760">
        <v>0.67043730674912749</v>
      </c>
      <c r="J21" s="760">
        <v>0.68703780654764468</v>
      </c>
      <c r="K21" s="760">
        <v>1.3963016744168477</v>
      </c>
    </row>
    <row r="22" spans="2:12" s="2" customFormat="1">
      <c r="B22" s="21"/>
      <c r="C22" s="100"/>
      <c r="D22" s="21"/>
      <c r="E22" s="21"/>
      <c r="F22" s="21"/>
      <c r="G22" s="21"/>
      <c r="H22" s="21"/>
      <c r="I22" s="21"/>
      <c r="J22" s="21"/>
      <c r="K22" s="21"/>
    </row>
    <row r="23" spans="2:12" s="2" customFormat="1">
      <c r="B23" s="183" t="s">
        <v>379</v>
      </c>
      <c r="C23" s="112" t="s">
        <v>297</v>
      </c>
      <c r="D23" s="760">
        <v>0</v>
      </c>
      <c r="E23" s="760">
        <v>0</v>
      </c>
      <c r="F23" s="760">
        <v>0</v>
      </c>
      <c r="G23" s="760">
        <v>0</v>
      </c>
      <c r="H23" s="760">
        <v>0</v>
      </c>
      <c r="I23" s="760">
        <v>0</v>
      </c>
      <c r="J23" s="760">
        <v>0</v>
      </c>
      <c r="K23" s="760">
        <v>0</v>
      </c>
    </row>
    <row r="24" spans="2:12" s="2" customFormat="1">
      <c r="B24" s="21"/>
      <c r="C24" s="100"/>
      <c r="D24" s="21"/>
      <c r="E24" s="21"/>
      <c r="F24" s="21"/>
      <c r="G24" s="21"/>
      <c r="H24" s="21"/>
      <c r="I24" s="21"/>
      <c r="J24" s="21"/>
      <c r="K24" s="21"/>
    </row>
    <row r="25" spans="2:12" s="2" customFormat="1" hidden="1">
      <c r="B25" s="60"/>
      <c r="C25" s="110"/>
      <c r="D25" s="60"/>
      <c r="E25" s="60"/>
      <c r="F25" s="60"/>
      <c r="G25" s="60"/>
      <c r="H25" s="60"/>
      <c r="I25" s="60"/>
      <c r="J25" s="60"/>
      <c r="K25" s="60"/>
      <c r="L25" s="60"/>
    </row>
    <row r="26" spans="2:12" s="2" customFormat="1" hidden="1">
      <c r="B26" s="21"/>
      <c r="C26" s="100"/>
      <c r="D26" s="21"/>
      <c r="E26" s="21"/>
      <c r="F26" s="21"/>
      <c r="G26" s="21"/>
      <c r="H26" s="21"/>
      <c r="I26" s="21"/>
      <c r="J26" s="21"/>
      <c r="K26" s="21"/>
    </row>
    <row r="27" spans="2:12" s="2" customFormat="1">
      <c r="B27" s="34" t="s">
        <v>380</v>
      </c>
      <c r="C27" s="100"/>
      <c r="D27" s="21"/>
      <c r="E27" s="21"/>
      <c r="F27" s="21"/>
      <c r="G27" s="21"/>
      <c r="H27" s="21"/>
      <c r="I27" s="21"/>
      <c r="J27" s="21"/>
      <c r="K27" s="21"/>
    </row>
    <row r="28" spans="2:12" s="2" customFormat="1">
      <c r="B28" s="183" t="s">
        <v>381</v>
      </c>
      <c r="C28" s="114" t="str">
        <f>'RFPR cover'!$C$14</f>
        <v>£m 09/10</v>
      </c>
      <c r="D28" s="563">
        <f>(SUM(D10,D11,D21)-D23)/Data!C34</f>
        <v>9.4387368295858531E-2</v>
      </c>
      <c r="E28" s="563">
        <f>(SUM(E10,E11,E21)-E23)/Data!D34</f>
        <v>0.26089019999179858</v>
      </c>
      <c r="F28" s="563">
        <f>(SUM(F10,F11,F21)-F23)/Data!E34</f>
        <v>0.23220824089559627</v>
      </c>
      <c r="G28" s="563">
        <f>(SUM(G10,G11,G21)-G23)/Data!F34</f>
        <v>0.33079928441889184</v>
      </c>
      <c r="H28" s="563">
        <f>(SUM(H10,H11,H21)-H23)/Data!G34</f>
        <v>0.42069761743067802</v>
      </c>
      <c r="I28" s="563">
        <f>(SUM(I10,I11,I21)-I23)/Data!H34</f>
        <v>0.7671106074143299</v>
      </c>
      <c r="J28" s="563">
        <f>(SUM(J10,J11,J21)-J23)/Data!I34</f>
        <v>0.72597246904712853</v>
      </c>
      <c r="K28" s="563">
        <f>(SUM(K10,K11,K21)-K23)/Data!J34</f>
        <v>1.1245698296239062</v>
      </c>
      <c r="L28" s="21"/>
    </row>
  </sheetData>
  <sheetProtection algorithmName="SHA-512" hashValue="g+TvdIoDDdNLQekvRI2z+pdwoXmNmwRJlMeJuGSnRLRBJa4wjJoKz3QASQVkJbuoBf06VYKH3xlQmKGX0CNbJg==" saltValue="pSwuHtk3pAMeQf9ujxu/PA==" spinCount="100000" sheet="1" formatCells="0" formatColumns="0" formatRows="0" insertColumns="0" insertRows="0" insertHyperlinks="0" deleteColumns="0" deleteRows="0" sort="0" autoFilter="0" pivotTables="0"/>
  <conditionalFormatting sqref="D6:K6">
    <cfRule type="expression" dxfId="53" priority="24">
      <formula>AND(D$5="Actuals",E$5="Forecast")</formula>
    </cfRule>
  </conditionalFormatting>
  <conditionalFormatting sqref="D5:K5">
    <cfRule type="expression" dxfId="52"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customProperties>
    <customPr name="EpmWorksheetKeyString_GU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
    <tabColor rgb="FFFFFFCC"/>
    <pageSetUpPr fitToPage="1"/>
  </sheetPr>
  <dimension ref="A1:O91"/>
  <sheetViews>
    <sheetView showGridLines="0" topLeftCell="C1" zoomScale="70" zoomScaleNormal="70" workbookViewId="0">
      <pane ySplit="6" topLeftCell="A13" activePane="bottomLeft" state="frozen"/>
      <selection activeCell="B75" sqref="A1:XFD1048576"/>
      <selection pane="bottomLeft" activeCell="K65" sqref="K65"/>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18" customFormat="1" ht="20.25">
      <c r="A1" s="856" t="s">
        <v>204</v>
      </c>
      <c r="B1" s="732"/>
      <c r="C1" s="211"/>
      <c r="D1" s="211"/>
      <c r="E1" s="211"/>
      <c r="F1" s="211"/>
      <c r="G1" s="211"/>
      <c r="H1" s="211"/>
      <c r="I1" s="212"/>
      <c r="J1" s="212"/>
      <c r="K1" s="213"/>
      <c r="L1" s="213"/>
      <c r="M1" s="213"/>
      <c r="N1" s="876"/>
    </row>
    <row r="2" spans="1:14" s="18" customFormat="1" ht="20.25">
      <c r="A2" s="725" t="str">
        <f>'RFPR cover'!C5</f>
        <v>NGET (SO)</v>
      </c>
      <c r="B2" s="720"/>
      <c r="C2" s="16"/>
      <c r="D2" s="16"/>
      <c r="E2" s="16"/>
      <c r="F2" s="16"/>
      <c r="G2" s="16"/>
      <c r="H2" s="16"/>
      <c r="I2" s="15"/>
      <c r="J2" s="15"/>
      <c r="K2" s="15"/>
      <c r="L2" s="15"/>
      <c r="M2" s="15"/>
      <c r="N2" s="93"/>
    </row>
    <row r="3" spans="1:14" s="18" customFormat="1" ht="23.25">
      <c r="A3" s="728">
        <f>'RFPR cover'!C7</f>
        <v>2020</v>
      </c>
      <c r="B3" s="734" t="str">
        <f>'R1 - RoRE'!B3</f>
        <v>Not required to be completed for System Operator</v>
      </c>
      <c r="C3" s="214"/>
      <c r="D3" s="214"/>
      <c r="E3" s="214"/>
      <c r="F3" s="214"/>
      <c r="G3" s="214"/>
      <c r="H3" s="214"/>
      <c r="I3" s="210"/>
      <c r="J3" s="210"/>
      <c r="K3" s="210"/>
      <c r="L3" s="210"/>
      <c r="M3" s="210"/>
      <c r="N3" s="215"/>
    </row>
    <row r="4" spans="1:14" s="18" customFormat="1" ht="12.75" customHeight="1">
      <c r="A4" s="25"/>
      <c r="B4" s="25"/>
      <c r="C4" s="25"/>
      <c r="D4" s="25"/>
      <c r="E4" s="25"/>
      <c r="F4" s="25"/>
      <c r="G4" s="25"/>
      <c r="H4" s="25"/>
      <c r="I4" s="888"/>
      <c r="J4" s="888"/>
      <c r="K4" s="888"/>
      <c r="L4" s="20"/>
    </row>
    <row r="5" spans="1:14" s="2" customFormat="1">
      <c r="B5" s="3"/>
      <c r="C5" s="3"/>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row>
    <row r="6" spans="1:14" s="2" customFormat="1" ht="25.5">
      <c r="D6" s="90">
        <f>'RFPR cover'!$C$13</f>
        <v>2014</v>
      </c>
      <c r="E6" s="91">
        <f>D6+1</f>
        <v>2015</v>
      </c>
      <c r="F6" s="91">
        <f t="shared" ref="F6:K6" si="0">E6+1</f>
        <v>2016</v>
      </c>
      <c r="G6" s="91">
        <f t="shared" si="0"/>
        <v>2017</v>
      </c>
      <c r="H6" s="91">
        <f t="shared" si="0"/>
        <v>2018</v>
      </c>
      <c r="I6" s="91">
        <f t="shared" si="0"/>
        <v>2019</v>
      </c>
      <c r="J6" s="91">
        <f t="shared" si="0"/>
        <v>2020</v>
      </c>
      <c r="K6" s="154">
        <f t="shared" si="0"/>
        <v>2021</v>
      </c>
      <c r="L6" s="74" t="str">
        <f>"Cumulative to "&amp;'RFPR cover'!$C$7</f>
        <v>Cumulative to 2020</v>
      </c>
      <c r="M6" s="234" t="s">
        <v>247</v>
      </c>
    </row>
    <row r="7" spans="1:14" s="2" customFormat="1"/>
    <row r="8" spans="1:14">
      <c r="B8" s="390" t="e">
        <f>#REF!</f>
        <v>#REF!</v>
      </c>
      <c r="C8" s="112" t="s">
        <v>297</v>
      </c>
      <c r="D8" s="798">
        <v>0</v>
      </c>
      <c r="E8" s="799">
        <v>0</v>
      </c>
      <c r="F8" s="799">
        <v>0</v>
      </c>
      <c r="G8" s="799">
        <v>0</v>
      </c>
      <c r="H8" s="799">
        <v>0</v>
      </c>
      <c r="I8" s="799">
        <v>0</v>
      </c>
      <c r="J8" s="309">
        <v>0.2065416300000007</v>
      </c>
      <c r="K8" s="310">
        <v>2.8080647975000006</v>
      </c>
      <c r="L8" s="21"/>
      <c r="M8" s="21"/>
    </row>
    <row r="9" spans="1:14">
      <c r="B9" s="6"/>
      <c r="C9" s="112"/>
      <c r="D9" s="187"/>
      <c r="E9" s="187"/>
      <c r="F9" s="187"/>
      <c r="G9" s="187"/>
      <c r="H9" s="187"/>
      <c r="I9" s="187"/>
      <c r="J9" s="187"/>
      <c r="K9" s="187"/>
      <c r="L9" s="21"/>
      <c r="M9" s="21"/>
    </row>
    <row r="10" spans="1:14">
      <c r="B10" s="6" t="s">
        <v>382</v>
      </c>
      <c r="C10" s="8"/>
      <c r="D10" s="188"/>
      <c r="E10" s="188"/>
      <c r="F10" s="188"/>
      <c r="G10" s="188"/>
      <c r="H10" s="188"/>
      <c r="I10" s="188"/>
      <c r="J10" s="188"/>
      <c r="K10" s="188"/>
      <c r="L10" s="21"/>
      <c r="M10" s="21"/>
    </row>
    <row r="11" spans="1:14">
      <c r="B11" s="301" t="e">
        <f>#REF!</f>
        <v>#REF!</v>
      </c>
      <c r="C11" s="112" t="s">
        <v>297</v>
      </c>
      <c r="D11" s="783">
        <v>0</v>
      </c>
      <c r="E11" s="784">
        <v>0</v>
      </c>
      <c r="F11" s="784">
        <v>0</v>
      </c>
      <c r="G11" s="784">
        <v>0</v>
      </c>
      <c r="H11" s="784">
        <v>0</v>
      </c>
      <c r="I11" s="784">
        <v>0</v>
      </c>
      <c r="J11" s="792">
        <v>0</v>
      </c>
      <c r="K11" s="793">
        <v>0</v>
      </c>
      <c r="L11" s="21"/>
      <c r="M11" s="21"/>
    </row>
    <row r="12" spans="1:14">
      <c r="B12" s="301" t="e">
        <f>#REF!</f>
        <v>#REF!</v>
      </c>
      <c r="C12" s="112" t="s">
        <v>297</v>
      </c>
      <c r="D12" s="785">
        <v>0</v>
      </c>
      <c r="E12" s="786">
        <v>0</v>
      </c>
      <c r="F12" s="786">
        <v>0</v>
      </c>
      <c r="G12" s="786">
        <v>0</v>
      </c>
      <c r="H12" s="786">
        <v>0</v>
      </c>
      <c r="I12" s="786">
        <v>0</v>
      </c>
      <c r="J12" s="794">
        <v>0</v>
      </c>
      <c r="K12" s="795">
        <v>0</v>
      </c>
      <c r="L12" s="21"/>
      <c r="M12" s="21"/>
    </row>
    <row r="13" spans="1:14">
      <c r="B13" s="301" t="e">
        <f>#REF!</f>
        <v>#REF!</v>
      </c>
      <c r="C13" s="112" t="s">
        <v>297</v>
      </c>
      <c r="D13" s="785">
        <v>0</v>
      </c>
      <c r="E13" s="786">
        <v>0</v>
      </c>
      <c r="F13" s="786">
        <v>0</v>
      </c>
      <c r="G13" s="786">
        <v>0</v>
      </c>
      <c r="H13" s="786">
        <v>0</v>
      </c>
      <c r="I13" s="786">
        <v>0</v>
      </c>
      <c r="J13" s="794">
        <v>0</v>
      </c>
      <c r="K13" s="795">
        <v>0</v>
      </c>
      <c r="L13" s="21"/>
      <c r="M13" s="21"/>
    </row>
    <row r="14" spans="1:14">
      <c r="B14" s="301" t="e">
        <f>#REF!</f>
        <v>#REF!</v>
      </c>
      <c r="C14" s="112" t="s">
        <v>297</v>
      </c>
      <c r="D14" s="785">
        <v>0</v>
      </c>
      <c r="E14" s="786">
        <v>0</v>
      </c>
      <c r="F14" s="786">
        <v>0</v>
      </c>
      <c r="G14" s="786">
        <v>0</v>
      </c>
      <c r="H14" s="786">
        <v>0</v>
      </c>
      <c r="I14" s="786">
        <v>0</v>
      </c>
      <c r="J14" s="794">
        <v>0</v>
      </c>
      <c r="K14" s="795">
        <v>0</v>
      </c>
      <c r="L14" s="21"/>
      <c r="M14" s="21"/>
    </row>
    <row r="15" spans="1:14">
      <c r="B15" s="301" t="e">
        <f>#REF!</f>
        <v>#REF!</v>
      </c>
      <c r="C15" s="112" t="s">
        <v>297</v>
      </c>
      <c r="D15" s="785">
        <v>0</v>
      </c>
      <c r="E15" s="786">
        <v>0</v>
      </c>
      <c r="F15" s="786">
        <v>0</v>
      </c>
      <c r="G15" s="786">
        <v>0</v>
      </c>
      <c r="H15" s="786">
        <v>0</v>
      </c>
      <c r="I15" s="786">
        <v>0</v>
      </c>
      <c r="J15" s="794">
        <v>0</v>
      </c>
      <c r="K15" s="795">
        <v>0</v>
      </c>
      <c r="L15" s="21"/>
      <c r="M15" s="21"/>
    </row>
    <row r="16" spans="1:14">
      <c r="B16" s="301" t="e">
        <f>#REF!</f>
        <v>#REF!</v>
      </c>
      <c r="C16" s="112" t="s">
        <v>297</v>
      </c>
      <c r="D16" s="785">
        <v>0</v>
      </c>
      <c r="E16" s="786">
        <v>0</v>
      </c>
      <c r="F16" s="786">
        <v>0</v>
      </c>
      <c r="G16" s="786">
        <v>0</v>
      </c>
      <c r="H16" s="786">
        <v>0</v>
      </c>
      <c r="I16" s="786">
        <v>0</v>
      </c>
      <c r="J16" s="794">
        <v>0</v>
      </c>
      <c r="K16" s="795">
        <v>0</v>
      </c>
      <c r="L16" s="21"/>
    </row>
    <row r="17" spans="2:12">
      <c r="B17" s="301" t="e">
        <f>#REF!</f>
        <v>#REF!</v>
      </c>
      <c r="C17" s="112" t="s">
        <v>297</v>
      </c>
      <c r="D17" s="785">
        <v>0</v>
      </c>
      <c r="E17" s="786">
        <v>0</v>
      </c>
      <c r="F17" s="786">
        <v>0</v>
      </c>
      <c r="G17" s="786">
        <v>0</v>
      </c>
      <c r="H17" s="786">
        <v>0</v>
      </c>
      <c r="I17" s="786">
        <v>0</v>
      </c>
      <c r="J17" s="794">
        <v>0</v>
      </c>
      <c r="K17" s="795">
        <v>0</v>
      </c>
      <c r="L17" s="21"/>
    </row>
    <row r="18" spans="2:12" ht="12.75" customHeight="1">
      <c r="B18" s="301" t="e">
        <f>#REF!</f>
        <v>#REF!</v>
      </c>
      <c r="C18" s="112" t="s">
        <v>297</v>
      </c>
      <c r="D18" s="785">
        <v>0</v>
      </c>
      <c r="E18" s="786">
        <v>0</v>
      </c>
      <c r="F18" s="786">
        <v>0</v>
      </c>
      <c r="G18" s="786">
        <v>0</v>
      </c>
      <c r="H18" s="786">
        <v>0</v>
      </c>
      <c r="I18" s="786">
        <v>0</v>
      </c>
      <c r="J18" s="794">
        <v>0</v>
      </c>
      <c r="K18" s="795">
        <v>0</v>
      </c>
      <c r="L18" s="21"/>
    </row>
    <row r="19" spans="2:12">
      <c r="B19" s="301" t="e">
        <f>#REF!</f>
        <v>#REF!</v>
      </c>
      <c r="C19" s="112" t="s">
        <v>297</v>
      </c>
      <c r="D19" s="785">
        <v>0</v>
      </c>
      <c r="E19" s="786">
        <v>0</v>
      </c>
      <c r="F19" s="786">
        <v>0</v>
      </c>
      <c r="G19" s="786">
        <v>0</v>
      </c>
      <c r="H19" s="786">
        <v>0</v>
      </c>
      <c r="I19" s="786">
        <v>0</v>
      </c>
      <c r="J19" s="794">
        <v>0.73341422000000001</v>
      </c>
      <c r="K19" s="795">
        <v>0.73341422000000001</v>
      </c>
      <c r="L19" s="21"/>
    </row>
    <row r="20" spans="2:12">
      <c r="B20" s="301" t="e">
        <f>#REF!</f>
        <v>#REF!</v>
      </c>
      <c r="C20" s="112" t="s">
        <v>297</v>
      </c>
      <c r="D20" s="785">
        <v>0</v>
      </c>
      <c r="E20" s="786">
        <v>0</v>
      </c>
      <c r="F20" s="786">
        <v>0</v>
      </c>
      <c r="G20" s="786">
        <v>0</v>
      </c>
      <c r="H20" s="786">
        <v>0</v>
      </c>
      <c r="I20" s="786">
        <v>0</v>
      </c>
      <c r="J20" s="794">
        <v>-1.35845E-3</v>
      </c>
      <c r="K20" s="795">
        <v>-1.35845E-3</v>
      </c>
      <c r="L20" s="21"/>
    </row>
    <row r="21" spans="2:12">
      <c r="B21" s="301" t="e">
        <f>#REF!</f>
        <v>#REF!</v>
      </c>
      <c r="C21" s="112" t="s">
        <v>297</v>
      </c>
      <c r="D21" s="785">
        <v>0</v>
      </c>
      <c r="E21" s="786">
        <v>0</v>
      </c>
      <c r="F21" s="786">
        <v>0</v>
      </c>
      <c r="G21" s="786">
        <v>0</v>
      </c>
      <c r="H21" s="786">
        <v>0</v>
      </c>
      <c r="I21" s="786">
        <v>0</v>
      </c>
      <c r="J21" s="794">
        <v>3.3400162219443805</v>
      </c>
      <c r="K21" s="795">
        <v>0</v>
      </c>
      <c r="L21" s="21"/>
    </row>
    <row r="22" spans="2:12">
      <c r="B22" s="301" t="e">
        <f>#REF!</f>
        <v>#REF!</v>
      </c>
      <c r="C22" s="112" t="s">
        <v>297</v>
      </c>
      <c r="D22" s="785">
        <v>0</v>
      </c>
      <c r="E22" s="786">
        <v>0</v>
      </c>
      <c r="F22" s="786">
        <v>0</v>
      </c>
      <c r="G22" s="786">
        <v>0</v>
      </c>
      <c r="H22" s="786">
        <v>0</v>
      </c>
      <c r="I22" s="786">
        <v>0</v>
      </c>
      <c r="J22" s="498">
        <v>-2.2860819800000001</v>
      </c>
      <c r="K22" s="948">
        <v>-2.2860819800000001</v>
      </c>
      <c r="L22" s="21"/>
    </row>
    <row r="23" spans="2:12">
      <c r="B23" s="301" t="e">
        <f>#REF!</f>
        <v>#REF!</v>
      </c>
      <c r="C23" s="112" t="s">
        <v>297</v>
      </c>
      <c r="D23" s="785">
        <v>0</v>
      </c>
      <c r="E23" s="786">
        <v>0</v>
      </c>
      <c r="F23" s="786">
        <v>0</v>
      </c>
      <c r="G23" s="786">
        <v>0</v>
      </c>
      <c r="H23" s="786">
        <v>0</v>
      </c>
      <c r="I23" s="786">
        <v>0</v>
      </c>
      <c r="J23" s="498">
        <v>-0.41524007000000002</v>
      </c>
      <c r="K23" s="795">
        <v>0</v>
      </c>
      <c r="L23" s="21"/>
    </row>
    <row r="24" spans="2:12">
      <c r="B24" s="301" t="e">
        <f>#REF!</f>
        <v>#REF!</v>
      </c>
      <c r="C24" s="112" t="s">
        <v>297</v>
      </c>
      <c r="D24" s="785">
        <v>2.8530000000000002</v>
      </c>
      <c r="E24" s="786">
        <v>2.4700000000000002</v>
      </c>
      <c r="F24" s="786">
        <v>2.2999999999999998</v>
      </c>
      <c r="G24" s="786">
        <v>2.5150000000000001</v>
      </c>
      <c r="H24" s="786">
        <v>3.43</v>
      </c>
      <c r="I24" s="786">
        <v>2.1377354855302975</v>
      </c>
      <c r="J24" s="794">
        <v>0</v>
      </c>
      <c r="K24" s="795">
        <v>0</v>
      </c>
      <c r="L24" s="21"/>
    </row>
    <row r="25" spans="2:12">
      <c r="B25" s="301" t="e">
        <f>#REF!</f>
        <v>#REF!</v>
      </c>
      <c r="C25" s="112" t="s">
        <v>297</v>
      </c>
      <c r="D25" s="785">
        <v>0</v>
      </c>
      <c r="E25" s="786">
        <v>0</v>
      </c>
      <c r="F25" s="786">
        <v>0</v>
      </c>
      <c r="G25" s="786">
        <v>0</v>
      </c>
      <c r="H25" s="786">
        <v>0</v>
      </c>
      <c r="I25" s="786">
        <v>0</v>
      </c>
      <c r="J25" s="794">
        <v>0</v>
      </c>
      <c r="K25" s="795">
        <v>0</v>
      </c>
      <c r="L25" s="21"/>
    </row>
    <row r="26" spans="2:12">
      <c r="B26" s="301" t="e">
        <f>#REF!</f>
        <v>#REF!</v>
      </c>
      <c r="C26" s="112" t="s">
        <v>297</v>
      </c>
      <c r="D26" s="785">
        <v>0</v>
      </c>
      <c r="E26" s="786">
        <v>0</v>
      </c>
      <c r="F26" s="786">
        <v>0</v>
      </c>
      <c r="G26" s="786">
        <v>0</v>
      </c>
      <c r="H26" s="786">
        <v>0</v>
      </c>
      <c r="I26" s="786">
        <v>0</v>
      </c>
      <c r="J26" s="794">
        <v>0</v>
      </c>
      <c r="K26" s="795">
        <v>0</v>
      </c>
      <c r="L26" s="21"/>
    </row>
    <row r="27" spans="2:12">
      <c r="B27" s="301" t="e">
        <f>#REF!</f>
        <v>#REF!</v>
      </c>
      <c r="C27" s="112" t="s">
        <v>297</v>
      </c>
      <c r="D27" s="787">
        <v>0</v>
      </c>
      <c r="E27" s="788">
        <v>0</v>
      </c>
      <c r="F27" s="788">
        <v>0</v>
      </c>
      <c r="G27" s="788">
        <v>0</v>
      </c>
      <c r="H27" s="788">
        <v>0</v>
      </c>
      <c r="I27" s="788">
        <v>0</v>
      </c>
      <c r="J27" s="796">
        <v>0</v>
      </c>
      <c r="K27" s="797">
        <v>0</v>
      </c>
      <c r="L27" s="21"/>
    </row>
    <row r="28" spans="2:12">
      <c r="B28" s="956" t="s">
        <v>383</v>
      </c>
      <c r="C28" s="112" t="s">
        <v>297</v>
      </c>
      <c r="D28" s="789">
        <f>SUM(D8,D11:D27)</f>
        <v>2.8530000000000002</v>
      </c>
      <c r="E28" s="790">
        <f t="shared" ref="E28:K28" si="1">SUM(E8,E11:E27)</f>
        <v>2.4700000000000002</v>
      </c>
      <c r="F28" s="790">
        <f t="shared" si="1"/>
        <v>2.2999999999999998</v>
      </c>
      <c r="G28" s="790">
        <f t="shared" si="1"/>
        <v>2.5150000000000001</v>
      </c>
      <c r="H28" s="790">
        <f t="shared" si="1"/>
        <v>3.43</v>
      </c>
      <c r="I28" s="790">
        <f t="shared" si="1"/>
        <v>2.1377354855302975</v>
      </c>
      <c r="J28" s="105">
        <f t="shared" si="1"/>
        <v>1.5772915719443812</v>
      </c>
      <c r="K28" s="106">
        <f t="shared" si="1"/>
        <v>1.2540385875000002</v>
      </c>
      <c r="L28" s="21"/>
    </row>
    <row r="29" spans="2:12">
      <c r="B29" s="302" t="s">
        <v>384</v>
      </c>
      <c r="C29" s="112" t="s">
        <v>297</v>
      </c>
      <c r="D29" s="311"/>
      <c r="E29" s="312"/>
      <c r="F29" s="312"/>
      <c r="G29" s="312"/>
      <c r="H29" s="312"/>
      <c r="I29" s="312"/>
      <c r="J29" s="564"/>
      <c r="K29" s="565">
        <v>0.2004156063856877</v>
      </c>
      <c r="L29" s="21"/>
    </row>
    <row r="30" spans="2:12">
      <c r="B30" s="956" t="s">
        <v>385</v>
      </c>
      <c r="C30" s="112" t="s">
        <v>297</v>
      </c>
      <c r="D30" s="789">
        <f>SUM(D28:D29)</f>
        <v>2.8530000000000002</v>
      </c>
      <c r="E30" s="790">
        <f t="shared" ref="E30:K30" si="2">SUM(E28:E29)</f>
        <v>2.4700000000000002</v>
      </c>
      <c r="F30" s="790">
        <f t="shared" si="2"/>
        <v>2.2999999999999998</v>
      </c>
      <c r="G30" s="790">
        <f t="shared" si="2"/>
        <v>2.5150000000000001</v>
      </c>
      <c r="H30" s="790">
        <f t="shared" si="2"/>
        <v>3.43</v>
      </c>
      <c r="I30" s="790">
        <f t="shared" si="2"/>
        <v>2.1377354855302975</v>
      </c>
      <c r="J30" s="105">
        <f t="shared" si="2"/>
        <v>1.5772915719443812</v>
      </c>
      <c r="K30" s="106">
        <f t="shared" si="2"/>
        <v>1.4544541938856879</v>
      </c>
    </row>
    <row r="31" spans="2:12">
      <c r="B31" s="171" t="s">
        <v>386</v>
      </c>
      <c r="C31" s="112" t="s">
        <v>297</v>
      </c>
      <c r="D31" s="791">
        <f>D30</f>
        <v>2.8530000000000002</v>
      </c>
      <c r="E31" s="791">
        <f t="shared" ref="E31:I31" si="3">E30</f>
        <v>2.4700000000000002</v>
      </c>
      <c r="F31" s="791">
        <f t="shared" si="3"/>
        <v>2.2999999999999998</v>
      </c>
      <c r="G31" s="791">
        <f t="shared" si="3"/>
        <v>2.5150000000000001</v>
      </c>
      <c r="H31" s="791">
        <f t="shared" si="3"/>
        <v>3.43</v>
      </c>
      <c r="I31" s="791">
        <f t="shared" si="3"/>
        <v>2.1377354855302975</v>
      </c>
      <c r="J31" s="484">
        <v>-1.4465276255618997E-2</v>
      </c>
      <c r="K31" s="484">
        <v>0.20041560638568767</v>
      </c>
    </row>
    <row r="32" spans="2:12">
      <c r="B32" s="171" t="s">
        <v>387</v>
      </c>
      <c r="C32" s="112" t="s">
        <v>297</v>
      </c>
      <c r="D32" s="791">
        <v>0</v>
      </c>
      <c r="E32" s="791">
        <v>0</v>
      </c>
      <c r="F32" s="791">
        <v>0</v>
      </c>
      <c r="G32" s="791">
        <v>0</v>
      </c>
      <c r="H32" s="791">
        <v>0</v>
      </c>
      <c r="I32" s="791">
        <v>0</v>
      </c>
      <c r="J32" s="484">
        <v>1.5917568482000002</v>
      </c>
      <c r="K32" s="484">
        <v>1.2540385875000002</v>
      </c>
    </row>
    <row r="33" spans="2:14">
      <c r="B33" s="171"/>
      <c r="D33" s="184" t="str">
        <f>IF(ABS(D30-SUM(D31:D32))&lt;'RFPR cover'!$F$14,"OK","ERROR")</f>
        <v>OK</v>
      </c>
      <c r="E33" s="185" t="str">
        <f>IF(ABS(E30-SUM(E31:E32))&lt;'RFPR cover'!$F$14,"OK","ERROR")</f>
        <v>OK</v>
      </c>
      <c r="F33" s="185" t="str">
        <f>IF(ABS(F30-SUM(F31:F32))&lt;'RFPR cover'!$F$14,"OK","ERROR")</f>
        <v>OK</v>
      </c>
      <c r="G33" s="185" t="str">
        <f>IF(ABS(G30-SUM(G31:G32))&lt;'RFPR cover'!$F$14,"OK","ERROR")</f>
        <v>OK</v>
      </c>
      <c r="H33" s="185" t="str">
        <f>IF(ABS(H30-SUM(H31:H32))&lt;'RFPR cover'!$F$14,"OK","ERROR")</f>
        <v>OK</v>
      </c>
      <c r="I33" s="185" t="str">
        <f>IF(ABS(I30-SUM(I31:I32))&lt;'RFPR cover'!$F$14,"OK","ERROR")</f>
        <v>OK</v>
      </c>
      <c r="J33" s="185" t="str">
        <f>IF(ABS(J30-SUM(J31:J32))&lt;'RFPR cover'!$F$14,"OK","ERROR")</f>
        <v>OK</v>
      </c>
      <c r="K33" s="186" t="str">
        <f>IF(ABS(K30-SUM(K31:K32))&lt;'RFPR cover'!$F$14,"OK","ERROR")</f>
        <v>OK</v>
      </c>
    </row>
    <row r="34" spans="2:14">
      <c r="D34" s="12"/>
      <c r="E34" s="12"/>
      <c r="F34" s="12"/>
      <c r="G34" s="12"/>
      <c r="H34" s="12"/>
      <c r="I34" s="12"/>
      <c r="J34" s="12"/>
      <c r="K34" s="12"/>
    </row>
    <row r="35" spans="2:14">
      <c r="B35" s="171" t="s">
        <v>388</v>
      </c>
      <c r="C35" s="112" t="s">
        <v>297</v>
      </c>
      <c r="D35" s="781">
        <v>0</v>
      </c>
      <c r="E35" s="781">
        <v>0</v>
      </c>
      <c r="F35" s="781">
        <v>0</v>
      </c>
      <c r="G35" s="781">
        <v>0</v>
      </c>
      <c r="H35" s="781">
        <v>0</v>
      </c>
      <c r="I35" s="781">
        <v>0</v>
      </c>
      <c r="J35" s="781">
        <v>0</v>
      </c>
      <c r="K35" s="782">
        <v>0</v>
      </c>
    </row>
    <row r="36" spans="2:14">
      <c r="D36" s="12"/>
      <c r="E36" s="12"/>
      <c r="F36" s="12"/>
      <c r="G36" s="12"/>
      <c r="H36" s="12"/>
      <c r="I36" s="12"/>
      <c r="J36" s="12"/>
      <c r="K36" s="12"/>
    </row>
    <row r="37" spans="2:14">
      <c r="B37" s="171" t="s">
        <v>389</v>
      </c>
      <c r="C37" s="112" t="s">
        <v>297</v>
      </c>
      <c r="D37" s="778">
        <v>0.93321082251966947</v>
      </c>
      <c r="E37" s="778">
        <v>1.3491946784887054</v>
      </c>
      <c r="F37" s="778">
        <v>0.8102393763125052</v>
      </c>
      <c r="G37" s="778">
        <v>1.7558762956139049</v>
      </c>
      <c r="H37" s="778">
        <v>3.413077979712603</v>
      </c>
      <c r="I37" s="778">
        <v>2.9827432328068051</v>
      </c>
      <c r="J37" s="702">
        <v>2.2389985314277028</v>
      </c>
      <c r="K37" s="702">
        <v>1.9126180132218884</v>
      </c>
      <c r="N37" s="270"/>
    </row>
    <row r="38" spans="2:14" s="18" customFormat="1">
      <c r="B38" s="170"/>
      <c r="C38" s="657"/>
      <c r="D38" s="779"/>
      <c r="E38" s="779"/>
      <c r="F38" s="779"/>
      <c r="G38" s="779"/>
      <c r="H38" s="779"/>
      <c r="I38" s="779"/>
      <c r="J38" s="659"/>
      <c r="K38" s="659"/>
      <c r="L38"/>
      <c r="M38"/>
      <c r="N38" s="658"/>
    </row>
    <row r="39" spans="2:14">
      <c r="B39" s="171" t="s">
        <v>390</v>
      </c>
      <c r="C39" s="112" t="s">
        <v>297</v>
      </c>
      <c r="D39" s="780">
        <f>D30-D37</f>
        <v>1.9197891774803306</v>
      </c>
      <c r="E39" s="780">
        <f t="shared" ref="E39:J39" si="4">E30-E37</f>
        <v>1.1208053215112947</v>
      </c>
      <c r="F39" s="780">
        <f t="shared" si="4"/>
        <v>1.4897606236874945</v>
      </c>
      <c r="G39" s="780">
        <f t="shared" si="4"/>
        <v>0.75912370438609522</v>
      </c>
      <c r="H39" s="780">
        <f t="shared" si="4"/>
        <v>1.6922020287397199E-2</v>
      </c>
      <c r="I39" s="780">
        <f t="shared" si="4"/>
        <v>-0.84500774727650763</v>
      </c>
      <c r="J39" s="75">
        <f t="shared" si="4"/>
        <v>-0.66170695948332159</v>
      </c>
      <c r="K39" s="75">
        <f>K30-K37</f>
        <v>-0.45816381933620054</v>
      </c>
    </row>
    <row r="40" spans="2:14">
      <c r="B40" s="171"/>
      <c r="C40" s="112"/>
      <c r="D40" s="112"/>
      <c r="E40" s="112"/>
      <c r="F40" s="112"/>
      <c r="G40" s="112"/>
      <c r="H40" s="112"/>
      <c r="I40" s="112"/>
      <c r="J40" s="112"/>
      <c r="K40" s="112"/>
      <c r="L40" s="112"/>
      <c r="N40" s="270"/>
    </row>
    <row r="41" spans="2:14">
      <c r="B41" s="684" t="s">
        <v>45</v>
      </c>
      <c r="C41" s="112" t="s">
        <v>296</v>
      </c>
      <c r="D41" s="409">
        <f>Data!C34</f>
        <v>1.1666890673736021</v>
      </c>
      <c r="E41" s="409">
        <f>Data!D34</f>
        <v>1.1895563269638081</v>
      </c>
      <c r="F41" s="409">
        <f>Data!E34</f>
        <v>1.2023757108362261</v>
      </c>
      <c r="G41" s="409">
        <f>Data!F34</f>
        <v>1.2281396135646323</v>
      </c>
      <c r="H41" s="409">
        <f>Data!G34</f>
        <v>1.2740965949380583</v>
      </c>
      <c r="I41" s="409">
        <f>Data!H34</f>
        <v>1.3130274787154661</v>
      </c>
      <c r="J41" s="409">
        <f>Data!I34</f>
        <v>1.3470178479563604</v>
      </c>
      <c r="K41" s="409">
        <f>Data!J34</f>
        <v>1.3699171513716184</v>
      </c>
      <c r="L41" s="112"/>
      <c r="N41" s="270"/>
    </row>
    <row r="42" spans="2:14">
      <c r="L42" s="114"/>
      <c r="M42" s="114"/>
      <c r="N42" s="114"/>
    </row>
    <row r="43" spans="2:14">
      <c r="B43" s="668" t="s">
        <v>391</v>
      </c>
      <c r="C43" s="115" t="str">
        <f>'RFPR cover'!$C$14</f>
        <v>£m 09/10</v>
      </c>
      <c r="D43" s="776">
        <f t="shared" ref="D43:J43" si="5">D39/D41</f>
        <v>1.6455019860622107</v>
      </c>
      <c r="E43" s="777">
        <f t="shared" si="5"/>
        <v>0.9422044976819286</v>
      </c>
      <c r="F43" s="777">
        <f t="shared" si="5"/>
        <v>1.2390142367824435</v>
      </c>
      <c r="G43" s="777">
        <f t="shared" si="5"/>
        <v>0.61810863846559372</v>
      </c>
      <c r="H43" s="777">
        <f t="shared" si="5"/>
        <v>1.3281583480112734E-2</v>
      </c>
      <c r="I43" s="777">
        <f t="shared" si="5"/>
        <v>-0.64355678839499852</v>
      </c>
      <c r="J43" s="108">
        <f t="shared" si="5"/>
        <v>-0.49123844980022791</v>
      </c>
      <c r="K43" s="109">
        <f>K39/K41</f>
        <v>-0.33444637062720745</v>
      </c>
      <c r="L43" s="570">
        <f>SUM(D43:INDEX(D43:K43,0,MATCH('RFPR cover'!$C$7,$D$6:$K$6,0)))</f>
        <v>3.3233157042770629</v>
      </c>
      <c r="M43" s="571">
        <f>SUM(D43:K43)</f>
        <v>2.9888693336498555</v>
      </c>
    </row>
    <row r="44" spans="2:14">
      <c r="B44" s="171"/>
      <c r="C44" s="49"/>
      <c r="D44" s="645"/>
      <c r="E44" s="645"/>
      <c r="F44" s="645"/>
      <c r="G44" s="645"/>
      <c r="H44" s="645"/>
      <c r="I44" s="645"/>
      <c r="J44" s="645"/>
      <c r="K44" s="645"/>
      <c r="L44" s="663"/>
      <c r="M44" s="663"/>
    </row>
    <row r="45" spans="2:14">
      <c r="B45" s="668" t="s">
        <v>392</v>
      </c>
      <c r="C45" s="112"/>
      <c r="D45" s="645"/>
      <c r="E45" s="645"/>
      <c r="F45" s="645"/>
      <c r="G45" s="645"/>
      <c r="H45" s="645"/>
      <c r="I45" s="645"/>
      <c r="J45" s="645"/>
      <c r="K45" s="645"/>
      <c r="L45" s="663"/>
      <c r="M45" s="663"/>
    </row>
    <row r="46" spans="2:14">
      <c r="B46" s="301" t="e">
        <f>#REF!</f>
        <v>#REF!</v>
      </c>
      <c r="C46" s="112" t="s">
        <v>297</v>
      </c>
      <c r="D46" s="772">
        <v>0</v>
      </c>
      <c r="E46" s="772">
        <v>0</v>
      </c>
      <c r="F46" s="772">
        <v>0</v>
      </c>
      <c r="G46" s="772">
        <v>0</v>
      </c>
      <c r="H46" s="772">
        <v>0</v>
      </c>
      <c r="I46" s="772">
        <v>0</v>
      </c>
      <c r="J46" s="772">
        <v>0</v>
      </c>
      <c r="K46" s="772">
        <v>0</v>
      </c>
      <c r="L46" s="773">
        <f>SUM(D46:INDEX(D46:K46,0,MATCH('RFPR cover'!$C$7,$D$6:$K$6,0)))</f>
        <v>0</v>
      </c>
      <c r="M46" s="773">
        <f>SUM(D46:K46)</f>
        <v>0</v>
      </c>
    </row>
    <row r="47" spans="2:14">
      <c r="B47" s="301" t="s">
        <v>393</v>
      </c>
      <c r="C47" s="112" t="s">
        <v>297</v>
      </c>
      <c r="D47" s="311"/>
      <c r="E47" s="312"/>
      <c r="F47" s="312"/>
      <c r="G47" s="312"/>
      <c r="H47" s="312"/>
      <c r="I47" s="312"/>
      <c r="J47" s="312"/>
      <c r="K47" s="312">
        <v>0</v>
      </c>
      <c r="L47" s="773">
        <f>SUM(D47:INDEX(D47:K47,0,MATCH('RFPR cover'!$C$7,$D$6:$K$6,0)))</f>
        <v>0</v>
      </c>
      <c r="M47" s="773">
        <f>SUM(D47:K47)</f>
        <v>0</v>
      </c>
    </row>
    <row r="48" spans="2:14">
      <c r="B48" s="301" t="e">
        <f>#REF!</f>
        <v>#REF!</v>
      </c>
      <c r="C48" s="112" t="s">
        <v>297</v>
      </c>
      <c r="D48" s="772">
        <v>0</v>
      </c>
      <c r="E48" s="772">
        <v>0</v>
      </c>
      <c r="F48" s="772">
        <v>0</v>
      </c>
      <c r="G48" s="772">
        <v>0</v>
      </c>
      <c r="H48" s="772">
        <v>0</v>
      </c>
      <c r="I48" s="772">
        <v>0</v>
      </c>
      <c r="J48" s="772">
        <v>0</v>
      </c>
      <c r="K48" s="772">
        <v>0</v>
      </c>
      <c r="L48" s="773">
        <f>SUM(D48:INDEX(D48:K48,0,MATCH('RFPR cover'!$C$7,$D$6:$K$6,0)))</f>
        <v>0</v>
      </c>
      <c r="M48" s="773">
        <f t="shared" ref="M48:M55" si="6">SUM(D48:K48)</f>
        <v>0</v>
      </c>
    </row>
    <row r="49" spans="1:14">
      <c r="B49" s="301" t="e">
        <f>#REF!</f>
        <v>#REF!</v>
      </c>
      <c r="C49" s="112" t="s">
        <v>297</v>
      </c>
      <c r="D49" s="772">
        <v>0</v>
      </c>
      <c r="E49" s="772">
        <v>0</v>
      </c>
      <c r="F49" s="772">
        <v>0</v>
      </c>
      <c r="G49" s="772">
        <v>0</v>
      </c>
      <c r="H49" s="772">
        <v>0</v>
      </c>
      <c r="I49" s="772">
        <v>0</v>
      </c>
      <c r="J49" s="772">
        <v>0</v>
      </c>
      <c r="K49" s="772">
        <v>0</v>
      </c>
      <c r="L49" s="773">
        <f>SUM(D49:INDEX(D49:K49,0,MATCH('RFPR cover'!$C$7,$D$6:$K$6,0)))</f>
        <v>0</v>
      </c>
      <c r="M49" s="773">
        <f t="shared" si="6"/>
        <v>0</v>
      </c>
    </row>
    <row r="50" spans="1:14">
      <c r="B50" s="301" t="e">
        <f>#REF!</f>
        <v>#REF!</v>
      </c>
      <c r="C50" s="112" t="s">
        <v>297</v>
      </c>
      <c r="D50" s="772">
        <v>0</v>
      </c>
      <c r="E50" s="772">
        <v>0</v>
      </c>
      <c r="F50" s="772">
        <v>0</v>
      </c>
      <c r="G50" s="772">
        <v>0</v>
      </c>
      <c r="H50" s="772">
        <v>0</v>
      </c>
      <c r="I50" s="772">
        <v>0</v>
      </c>
      <c r="J50" s="772">
        <v>0</v>
      </c>
      <c r="K50" s="772">
        <v>0</v>
      </c>
      <c r="L50" s="773">
        <f>SUM(D50:INDEX(D50:K50,0,MATCH('RFPR cover'!$C$7,$D$6:$K$6,0)))</f>
        <v>0</v>
      </c>
      <c r="M50" s="773">
        <f t="shared" si="6"/>
        <v>0</v>
      </c>
    </row>
    <row r="51" spans="1:14">
      <c r="B51" s="301" t="e">
        <f>#REF!</f>
        <v>#REF!</v>
      </c>
      <c r="C51" s="112" t="s">
        <v>297</v>
      </c>
      <c r="D51" s="772">
        <v>0</v>
      </c>
      <c r="E51" s="772">
        <v>0</v>
      </c>
      <c r="F51" s="772">
        <v>0</v>
      </c>
      <c r="G51" s="772">
        <v>0</v>
      </c>
      <c r="H51" s="772">
        <v>0</v>
      </c>
      <c r="I51" s="772">
        <v>0</v>
      </c>
      <c r="J51" s="772">
        <v>0</v>
      </c>
      <c r="K51" s="772">
        <v>0</v>
      </c>
      <c r="L51" s="773">
        <f>SUM(D51:INDEX(D51:K51,0,MATCH('RFPR cover'!$C$7,$D$6:$K$6,0)))</f>
        <v>0</v>
      </c>
      <c r="M51" s="773">
        <f t="shared" si="6"/>
        <v>0</v>
      </c>
    </row>
    <row r="52" spans="1:14">
      <c r="B52" s="301" t="e">
        <f>#REF!</f>
        <v>#REF!</v>
      </c>
      <c r="C52" s="112" t="s">
        <v>297</v>
      </c>
      <c r="D52" s="772">
        <v>0</v>
      </c>
      <c r="E52" s="772">
        <v>0</v>
      </c>
      <c r="F52" s="772">
        <v>0</v>
      </c>
      <c r="G52" s="772">
        <v>0</v>
      </c>
      <c r="H52" s="772">
        <v>0</v>
      </c>
      <c r="I52" s="772">
        <v>0</v>
      </c>
      <c r="J52" s="772">
        <v>0</v>
      </c>
      <c r="K52" s="772">
        <v>0</v>
      </c>
      <c r="L52" s="773">
        <f>SUM(D52:INDEX(D52:K52,0,MATCH('RFPR cover'!$C$7,$D$6:$K$6,0)))</f>
        <v>0</v>
      </c>
      <c r="M52" s="773">
        <f t="shared" si="6"/>
        <v>0</v>
      </c>
    </row>
    <row r="53" spans="1:14">
      <c r="B53" s="301" t="e">
        <f>#REF!</f>
        <v>#REF!</v>
      </c>
      <c r="C53" s="112" t="s">
        <v>297</v>
      </c>
      <c r="D53" s="772">
        <v>0</v>
      </c>
      <c r="E53" s="772">
        <v>0</v>
      </c>
      <c r="F53" s="772">
        <v>0</v>
      </c>
      <c r="G53" s="772">
        <v>0</v>
      </c>
      <c r="H53" s="772">
        <v>0</v>
      </c>
      <c r="I53" s="772">
        <v>0</v>
      </c>
      <c r="J53" s="772">
        <v>0</v>
      </c>
      <c r="K53" s="772">
        <v>0</v>
      </c>
      <c r="L53" s="773">
        <f>SUM(D53:INDEX(D53:K53,0,MATCH('RFPR cover'!$C$7,$D$6:$K$6,0)))</f>
        <v>0</v>
      </c>
      <c r="M53" s="773">
        <f t="shared" si="6"/>
        <v>0</v>
      </c>
    </row>
    <row r="54" spans="1:14" s="692" customFormat="1">
      <c r="B54" s="691"/>
      <c r="C54" s="693"/>
      <c r="D54" s="889"/>
      <c r="E54" s="889"/>
      <c r="F54" s="889"/>
      <c r="G54" s="889"/>
      <c r="H54" s="889"/>
      <c r="I54" s="889"/>
      <c r="J54" s="889"/>
      <c r="K54" s="889"/>
      <c r="L54" s="890"/>
      <c r="M54" s="890"/>
    </row>
    <row r="55" spans="1:14">
      <c r="B55" s="688" t="s">
        <v>394</v>
      </c>
      <c r="C55" s="193" t="s">
        <v>297</v>
      </c>
      <c r="D55" s="774">
        <f>SUM(D46:D53)</f>
        <v>0</v>
      </c>
      <c r="E55" s="774">
        <f t="shared" ref="E55:K55" si="7">SUM(E46:E53)</f>
        <v>0</v>
      </c>
      <c r="F55" s="774">
        <f t="shared" si="7"/>
        <v>0</v>
      </c>
      <c r="G55" s="774">
        <f t="shared" si="7"/>
        <v>0</v>
      </c>
      <c r="H55" s="774">
        <f t="shared" si="7"/>
        <v>0</v>
      </c>
      <c r="I55" s="774">
        <f t="shared" si="7"/>
        <v>0</v>
      </c>
      <c r="J55" s="774">
        <f t="shared" si="7"/>
        <v>0</v>
      </c>
      <c r="K55" s="774">
        <f t="shared" si="7"/>
        <v>0</v>
      </c>
      <c r="L55" s="773">
        <f>SUM(D55:INDEX(D55:K55,0,MATCH('RFPR cover'!$C$7,$D$6:$K$6,0)))</f>
        <v>0</v>
      </c>
      <c r="M55" s="775">
        <f t="shared" si="6"/>
        <v>0</v>
      </c>
    </row>
    <row r="56" spans="1:14">
      <c r="B56" s="688" t="s">
        <v>394</v>
      </c>
      <c r="C56" s="115" t="str">
        <f>'RFPR cover'!$C$14</f>
        <v>£m 09/10</v>
      </c>
      <c r="D56" s="774">
        <f>D55/D41</f>
        <v>0</v>
      </c>
      <c r="E56" s="774">
        <f t="shared" ref="E56:K56" si="8">E55/E41</f>
        <v>0</v>
      </c>
      <c r="F56" s="774">
        <f t="shared" si="8"/>
        <v>0</v>
      </c>
      <c r="G56" s="774">
        <f t="shared" si="8"/>
        <v>0</v>
      </c>
      <c r="H56" s="774">
        <f t="shared" si="8"/>
        <v>0</v>
      </c>
      <c r="I56" s="774">
        <f t="shared" si="8"/>
        <v>0</v>
      </c>
      <c r="J56" s="774">
        <f t="shared" si="8"/>
        <v>0</v>
      </c>
      <c r="K56" s="774">
        <f t="shared" si="8"/>
        <v>0</v>
      </c>
      <c r="L56" s="773">
        <f>SUM(D56:INDEX(D56:K56,0,MATCH('RFPR cover'!$C$7,$D$6:$K$6,0)))</f>
        <v>0</v>
      </c>
      <c r="M56" s="775">
        <f>SUM(D56:K56)</f>
        <v>0</v>
      </c>
    </row>
    <row r="57" spans="1:14">
      <c r="B57" s="171"/>
      <c r="C57" s="49"/>
      <c r="D57" s="645"/>
      <c r="E57" s="645"/>
      <c r="F57" s="645"/>
      <c r="G57" s="645"/>
      <c r="H57" s="645"/>
      <c r="I57" s="645"/>
      <c r="J57" s="645"/>
      <c r="K57" s="645"/>
      <c r="L57" s="663"/>
      <c r="M57" s="663"/>
    </row>
    <row r="58" spans="1:14" s="2" customFormat="1">
      <c r="A58" s="1"/>
    </row>
    <row r="59" spans="1:14" s="2" customFormat="1">
      <c r="A59" s="1"/>
      <c r="B59" s="664" t="s">
        <v>395</v>
      </c>
      <c r="C59" s="60"/>
      <c r="D59" s="60"/>
      <c r="E59" s="60"/>
      <c r="F59" s="60"/>
      <c r="G59" s="60"/>
      <c r="H59" s="60"/>
      <c r="I59" s="60"/>
      <c r="J59" s="60"/>
      <c r="K59" s="60"/>
      <c r="L59" s="60"/>
      <c r="M59" s="60"/>
      <c r="N59" s="60"/>
    </row>
    <row r="60" spans="1:14" s="2" customFormat="1">
      <c r="A60" s="1"/>
      <c r="B60" s="300" t="s">
        <v>396</v>
      </c>
    </row>
    <row r="61" spans="1:14" s="2" customFormat="1">
      <c r="A61" s="1"/>
    </row>
    <row r="62" spans="1:14" s="18" customFormat="1">
      <c r="B62" s="171" t="s">
        <v>16</v>
      </c>
      <c r="C62" s="114" t="s">
        <v>250</v>
      </c>
      <c r="D62" s="709">
        <f>'RFPR cover'!$C$12</f>
        <v>0.6</v>
      </c>
      <c r="E62" s="710">
        <f>'RFPR cover'!$C$12</f>
        <v>0.6</v>
      </c>
      <c r="F62" s="710">
        <f>'RFPR cover'!$C$12</f>
        <v>0.6</v>
      </c>
      <c r="G62" s="710">
        <f>'RFPR cover'!$C$12</f>
        <v>0.6</v>
      </c>
      <c r="H62" s="710">
        <f>'RFPR cover'!$C$12</f>
        <v>0.6</v>
      </c>
      <c r="I62" s="710">
        <f>'RFPR cover'!$C$12</f>
        <v>0.6</v>
      </c>
      <c r="J62" s="710">
        <f>'RFPR cover'!$C$12</f>
        <v>0.6</v>
      </c>
      <c r="K62" s="711">
        <f>'RFPR cover'!$C$12</f>
        <v>0.6</v>
      </c>
      <c r="N62" s="658"/>
    </row>
    <row r="63" spans="1:14" s="18" customFormat="1">
      <c r="B63" s="171" t="s">
        <v>397</v>
      </c>
      <c r="C63" s="114" t="s">
        <v>250</v>
      </c>
      <c r="D63" s="710">
        <f>'R8 - Net Debt'!D64</f>
        <v>0.32992372119830399</v>
      </c>
      <c r="E63" s="710">
        <f>'R8 - Net Debt'!E64</f>
        <v>0.58289270137218796</v>
      </c>
      <c r="F63" s="710">
        <f>'R8 - Net Debt'!F64</f>
        <v>0.56655980370496906</v>
      </c>
      <c r="G63" s="710">
        <f>'R8 - Net Debt'!G64</f>
        <v>0.54748860168369962</v>
      </c>
      <c r="H63" s="710">
        <f>'R8 - Net Debt'!H64</f>
        <v>0.53952792451240028</v>
      </c>
      <c r="I63" s="710">
        <f>'R8 - Net Debt'!I64</f>
        <v>0.51361527072526059</v>
      </c>
      <c r="J63" s="710">
        <f>'R8 - Net Debt'!J64</f>
        <v>0.37002397990243763</v>
      </c>
      <c r="K63" s="711">
        <f>'R8 - Net Debt'!K64</f>
        <v>0.4245168988336574</v>
      </c>
      <c r="N63" s="658"/>
    </row>
    <row r="64" spans="1:14" s="18" customFormat="1">
      <c r="B64" s="171"/>
      <c r="C64" s="114"/>
      <c r="D64" s="114"/>
      <c r="E64" s="114"/>
      <c r="F64" s="114"/>
      <c r="G64" s="114"/>
      <c r="H64" s="114"/>
      <c r="I64" s="114"/>
      <c r="J64" s="114"/>
      <c r="K64" s="114"/>
      <c r="N64" s="658"/>
    </row>
    <row r="65" spans="2:15">
      <c r="B65" s="171" t="s">
        <v>391</v>
      </c>
      <c r="C65" s="112" t="s">
        <v>297</v>
      </c>
      <c r="D65" s="800">
        <f>D39</f>
        <v>1.9197891774803306</v>
      </c>
      <c r="E65" s="801">
        <f t="shared" ref="E65:K65" si="9">E39</f>
        <v>1.1208053215112947</v>
      </c>
      <c r="F65" s="801">
        <f t="shared" si="9"/>
        <v>1.4897606236874945</v>
      </c>
      <c r="G65" s="801">
        <f t="shared" si="9"/>
        <v>0.75912370438609522</v>
      </c>
      <c r="H65" s="801">
        <f t="shared" si="9"/>
        <v>1.6922020287397199E-2</v>
      </c>
      <c r="I65" s="801">
        <f t="shared" si="9"/>
        <v>-0.84500774727650763</v>
      </c>
      <c r="J65" s="69">
        <f t="shared" si="9"/>
        <v>-0.66170695948332159</v>
      </c>
      <c r="K65" s="70">
        <f t="shared" si="9"/>
        <v>-0.45816381933620054</v>
      </c>
      <c r="L65" s="18"/>
      <c r="M65" s="18"/>
    </row>
    <row r="66" spans="2:15" s="18" customFormat="1">
      <c r="B66" s="171" t="s">
        <v>398</v>
      </c>
      <c r="C66" s="112" t="s">
        <v>297</v>
      </c>
      <c r="D66" s="815">
        <f>((D62-D63)/D63)*D65</f>
        <v>1.5715436139434578</v>
      </c>
      <c r="E66" s="68">
        <f t="shared" ref="E66:K66" si="10">((E62-E63)/E63)*E65</f>
        <v>3.2894478338118101E-2</v>
      </c>
      <c r="F66" s="68">
        <f t="shared" si="10"/>
        <v>8.793050153388525E-2</v>
      </c>
      <c r="G66" s="68">
        <f t="shared" si="10"/>
        <v>7.2810003879119151E-2</v>
      </c>
      <c r="H66" s="68">
        <f t="shared" si="10"/>
        <v>1.8966760416469558E-3</v>
      </c>
      <c r="I66" s="68">
        <f t="shared" si="10"/>
        <v>-0.14212148595282884</v>
      </c>
      <c r="J66" s="68">
        <f>((J62-J63)/J63)*J65</f>
        <v>-0.41126181349910601</v>
      </c>
      <c r="K66" s="68">
        <f t="shared" si="10"/>
        <v>-0.18939177234222729</v>
      </c>
      <c r="N66" s="658"/>
    </row>
    <row r="67" spans="2:15">
      <c r="B67" s="171" t="s">
        <v>399</v>
      </c>
      <c r="C67" s="112" t="s">
        <v>297</v>
      </c>
      <c r="D67" s="75">
        <f>SUM(D65:D66)</f>
        <v>3.4913327914237886</v>
      </c>
      <c r="E67" s="76">
        <f t="shared" ref="E67:K67" si="11">SUM(E65:E66)</f>
        <v>1.153699799849413</v>
      </c>
      <c r="F67" s="76">
        <f t="shared" si="11"/>
        <v>1.5776911252213797</v>
      </c>
      <c r="G67" s="76">
        <f t="shared" si="11"/>
        <v>0.8319337082652144</v>
      </c>
      <c r="H67" s="76">
        <f t="shared" si="11"/>
        <v>1.8818696329044156E-2</v>
      </c>
      <c r="I67" s="76">
        <f t="shared" si="11"/>
        <v>-0.98712923322933643</v>
      </c>
      <c r="J67" s="76">
        <f>SUM(J65:J66)</f>
        <v>-1.0729687729824275</v>
      </c>
      <c r="K67" s="77">
        <f t="shared" si="11"/>
        <v>-0.6475555916784278</v>
      </c>
      <c r="L67" s="18"/>
      <c r="M67" s="18"/>
    </row>
    <row r="68" spans="2:15">
      <c r="B68" s="171"/>
      <c r="C68" s="112"/>
      <c r="D68" s="112"/>
      <c r="E68" s="112"/>
      <c r="F68" s="112"/>
      <c r="G68" s="112"/>
      <c r="H68" s="112"/>
      <c r="I68" s="112"/>
      <c r="J68" s="112"/>
      <c r="K68" s="112"/>
      <c r="L68" s="112"/>
      <c r="M68" s="112"/>
      <c r="N68" s="112"/>
      <c r="O68" s="112"/>
    </row>
    <row r="69" spans="2:15">
      <c r="B69" s="668" t="s">
        <v>399</v>
      </c>
      <c r="C69" s="115" t="str">
        <f>'RFPR cover'!$C$14</f>
        <v>£m 09/10</v>
      </c>
      <c r="D69" s="774">
        <f>D67/D41</f>
        <v>2.9925135060049204</v>
      </c>
      <c r="E69" s="108">
        <f t="shared" ref="E69:K69" si="12">E67/E41</f>
        <v>0.96985722634428384</v>
      </c>
      <c r="F69" s="108">
        <f t="shared" si="12"/>
        <v>1.3121448736885495</v>
      </c>
      <c r="G69" s="108">
        <f t="shared" si="12"/>
        <v>0.67739343237252636</v>
      </c>
      <c r="H69" s="108">
        <f t="shared" si="12"/>
        <v>1.4770227315425051E-2</v>
      </c>
      <c r="I69" s="108">
        <f t="shared" si="12"/>
        <v>-0.75179632508151639</v>
      </c>
      <c r="J69" s="108">
        <f>J67/J41</f>
        <v>-0.7965512666445298</v>
      </c>
      <c r="K69" s="109">
        <f t="shared" si="12"/>
        <v>-0.47269690070678216</v>
      </c>
      <c r="L69" s="570">
        <f>SUM(D69:INDEX(D69:K69,0,MATCH('RFPR cover'!$C$7,$D$6:$K$6,0)))</f>
        <v>4.4183316739996599</v>
      </c>
      <c r="M69" s="571">
        <f>SUM(D69:K69)</f>
        <v>3.9456347732928778</v>
      </c>
    </row>
    <row r="70" spans="2:15">
      <c r="B70" s="303" t="s">
        <v>400</v>
      </c>
      <c r="C70" s="118" t="str">
        <f>'RFPR cover'!$C$14</f>
        <v>£m 09/10</v>
      </c>
      <c r="D70" s="68">
        <f>D56*((D62-D63)/D63)+D56</f>
        <v>0</v>
      </c>
      <c r="E70" s="68">
        <f t="shared" ref="E70:K70" si="13">E56*((E62-E63)/E63)+E56</f>
        <v>0</v>
      </c>
      <c r="F70" s="68">
        <f t="shared" si="13"/>
        <v>0</v>
      </c>
      <c r="G70" s="68">
        <f t="shared" si="13"/>
        <v>0</v>
      </c>
      <c r="H70" s="68">
        <f t="shared" si="13"/>
        <v>0</v>
      </c>
      <c r="I70" s="68">
        <f t="shared" si="13"/>
        <v>0</v>
      </c>
      <c r="J70" s="800">
        <f t="shared" si="13"/>
        <v>0</v>
      </c>
      <c r="K70" s="800">
        <f t="shared" si="13"/>
        <v>0</v>
      </c>
      <c r="L70" s="566">
        <f>SUM(D70:INDEX(D70:K70,0,MATCH('RFPR cover'!$C$7,$D$6:$K$6,0)))</f>
        <v>0</v>
      </c>
      <c r="M70" s="567">
        <f>SUM(D70:K70)</f>
        <v>0</v>
      </c>
      <c r="N70" s="114"/>
    </row>
    <row r="72" spans="2:15">
      <c r="B72" s="660" t="s">
        <v>401</v>
      </c>
      <c r="C72" s="661"/>
      <c r="D72" s="661"/>
      <c r="E72" s="661"/>
      <c r="F72" s="661"/>
      <c r="G72" s="661"/>
      <c r="H72" s="661"/>
      <c r="I72" s="661"/>
      <c r="J72" s="661"/>
      <c r="K72" s="661"/>
      <c r="L72" s="661"/>
      <c r="M72" s="661"/>
      <c r="N72" s="661"/>
      <c r="O72" s="114"/>
    </row>
    <row r="73" spans="2:15" s="18" customFormat="1">
      <c r="B73" s="662"/>
      <c r="C73" s="49"/>
      <c r="D73" s="49"/>
      <c r="E73" s="49"/>
      <c r="F73" s="49"/>
      <c r="G73" s="49"/>
      <c r="H73" s="49"/>
      <c r="I73" s="49"/>
      <c r="J73" s="49"/>
      <c r="K73" s="49"/>
      <c r="L73" s="49"/>
      <c r="M73" s="49"/>
      <c r="N73" s="49"/>
      <c r="O73" s="49"/>
    </row>
    <row r="74" spans="2:15">
      <c r="B74" s="300" t="s">
        <v>402</v>
      </c>
      <c r="C74" s="299"/>
      <c r="D74" s="299"/>
      <c r="E74" s="299"/>
      <c r="F74" s="299"/>
      <c r="G74" s="299"/>
      <c r="H74" s="299"/>
      <c r="I74" s="299"/>
      <c r="J74" s="299"/>
      <c r="K74" s="299"/>
      <c r="L74" s="299"/>
      <c r="M74" s="299"/>
      <c r="N74" s="299"/>
      <c r="O74" s="114"/>
    </row>
    <row r="75" spans="2:15">
      <c r="B75" s="300" t="s">
        <v>403</v>
      </c>
      <c r="C75" s="299"/>
      <c r="D75" s="299"/>
      <c r="E75" s="299"/>
      <c r="F75" s="299"/>
      <c r="G75" s="299"/>
      <c r="H75" s="299"/>
      <c r="I75" s="299"/>
      <c r="J75" s="299"/>
      <c r="K75" s="299"/>
      <c r="L75" s="299"/>
      <c r="M75" s="299"/>
      <c r="N75" s="299"/>
      <c r="O75" s="114"/>
    </row>
    <row r="76" spans="2:15">
      <c r="B76" s="300" t="s">
        <v>404</v>
      </c>
      <c r="C76" s="299"/>
      <c r="D76" s="299"/>
      <c r="E76" s="299"/>
      <c r="F76" s="299"/>
      <c r="G76" s="299"/>
      <c r="H76" s="299"/>
      <c r="I76" s="299"/>
      <c r="J76" s="299"/>
      <c r="K76" s="299"/>
      <c r="L76" s="299"/>
      <c r="M76" s="299"/>
      <c r="N76" s="299"/>
      <c r="O76" s="114"/>
    </row>
    <row r="77" spans="2:15">
      <c r="B77" s="300" t="s">
        <v>405</v>
      </c>
      <c r="C77" s="299"/>
      <c r="D77" s="299"/>
      <c r="E77" s="299"/>
      <c r="F77" s="299"/>
      <c r="G77" s="299"/>
      <c r="H77" s="299"/>
      <c r="I77" s="299"/>
      <c r="J77" s="299"/>
      <c r="K77" s="299"/>
      <c r="L77" s="299"/>
      <c r="M77" s="299"/>
      <c r="N77" s="299"/>
      <c r="O77" s="114"/>
    </row>
    <row r="78" spans="2:15" s="18" customFormat="1">
      <c r="B78" s="304"/>
      <c r="C78" s="304"/>
      <c r="D78" s="304"/>
      <c r="E78" s="304"/>
      <c r="F78" s="304"/>
      <c r="G78" s="304"/>
      <c r="H78" s="304"/>
      <c r="I78" s="304"/>
      <c r="J78" s="304"/>
      <c r="K78" s="304"/>
      <c r="L78" s="304"/>
      <c r="M78" s="304"/>
      <c r="N78" s="304"/>
      <c r="O78" s="49"/>
    </row>
    <row r="79" spans="2:15">
      <c r="B79" s="303" t="s">
        <v>406</v>
      </c>
      <c r="C79" s="114" t="str">
        <f>'RFPR cover'!$C$14</f>
        <v>£m 09/10</v>
      </c>
      <c r="D79" s="771">
        <v>1.4445061486812585</v>
      </c>
      <c r="E79" s="771">
        <v>1.6127162157908965</v>
      </c>
      <c r="F79" s="771">
        <v>1.6839285853196426</v>
      </c>
      <c r="G79" s="771">
        <v>1.7198909619153515</v>
      </c>
      <c r="H79" s="771">
        <v>1.7398394928909957</v>
      </c>
      <c r="I79" s="771">
        <v>1.6309292725951894</v>
      </c>
      <c r="J79" s="495">
        <v>1.4280110538849371</v>
      </c>
      <c r="K79" s="495">
        <v>0.99793184540454749</v>
      </c>
      <c r="L79" s="717"/>
      <c r="M79" s="717"/>
      <c r="O79" s="49"/>
    </row>
    <row r="80" spans="2:15">
      <c r="B80" s="303" t="s">
        <v>407</v>
      </c>
      <c r="C80" s="114" t="str">
        <f>'RFPR cover'!$C$14</f>
        <v>£m 09/10</v>
      </c>
      <c r="D80" s="568">
        <f>'R9 - RAV'!D49</f>
        <v>1.4322330828492358</v>
      </c>
      <c r="E80" s="569">
        <f>'R9 - RAV'!E49</f>
        <v>1.5849612493309351</v>
      </c>
      <c r="F80" s="569">
        <f>'R9 - RAV'!F49</f>
        <v>1.6516662811535039</v>
      </c>
      <c r="G80" s="569">
        <f>'R9 - RAV'!G49</f>
        <v>1.6979493662048737</v>
      </c>
      <c r="H80" s="569">
        <f>'R9 - RAV'!H49</f>
        <v>1.7325476963333073</v>
      </c>
      <c r="I80" s="569">
        <f>'R9 - RAV'!I49</f>
        <v>1.6275631244225874</v>
      </c>
      <c r="J80" s="569">
        <f>'R9 - RAV'!J49</f>
        <v>1.4459496806279752</v>
      </c>
      <c r="K80" s="718">
        <f>'R9 - RAV'!K49</f>
        <v>1.0399762440478713</v>
      </c>
      <c r="L80" s="939">
        <f>SUM(D80:INDEX(D80:K80,0,MATCH('RFPR cover'!$C$7,$D$6:$K$6,0)))</f>
        <v>11.17287048092242</v>
      </c>
      <c r="M80" s="939">
        <f>SUM(D80:K80)</f>
        <v>12.212846724970291</v>
      </c>
      <c r="O80" s="49"/>
    </row>
    <row r="81" spans="2:15" s="18" customFormat="1">
      <c r="B81" s="665"/>
      <c r="C81" s="49"/>
      <c r="D81" s="666"/>
      <c r="E81" s="666"/>
      <c r="F81" s="666"/>
      <c r="G81" s="666"/>
      <c r="H81" s="666"/>
      <c r="I81" s="666"/>
      <c r="J81" s="666"/>
      <c r="K81" s="666"/>
      <c r="L81" s="663"/>
      <c r="M81" s="663"/>
      <c r="O81" s="49"/>
    </row>
    <row r="82" spans="2:15" s="18" customFormat="1">
      <c r="B82" s="665"/>
      <c r="C82" s="49"/>
      <c r="D82" s="666"/>
      <c r="E82" s="667"/>
      <c r="F82" s="667"/>
      <c r="G82" s="667"/>
      <c r="H82" s="667"/>
      <c r="I82" s="667"/>
      <c r="J82" s="667"/>
      <c r="K82" s="667"/>
      <c r="L82" s="663"/>
      <c r="M82" s="663"/>
      <c r="O82" s="49"/>
    </row>
    <row r="83" spans="2:15">
      <c r="B83" s="669" t="s">
        <v>408</v>
      </c>
      <c r="C83" s="661"/>
      <c r="D83" s="661"/>
      <c r="E83" s="661"/>
      <c r="F83" s="661"/>
      <c r="G83" s="661"/>
      <c r="H83" s="661"/>
      <c r="I83" s="661"/>
      <c r="J83" s="661"/>
      <c r="K83" s="661"/>
      <c r="L83" s="661"/>
      <c r="M83" s="661"/>
      <c r="N83" s="661"/>
    </row>
    <row r="84" spans="2:15">
      <c r="B84" s="303"/>
      <c r="C84" s="114"/>
      <c r="D84" s="114"/>
      <c r="E84" s="114"/>
      <c r="F84" s="114"/>
      <c r="G84" s="114"/>
      <c r="H84" s="114"/>
      <c r="I84" s="114"/>
      <c r="J84" s="114"/>
      <c r="K84" s="114"/>
      <c r="L84" s="114"/>
      <c r="M84" s="114"/>
      <c r="N84" s="114"/>
    </row>
    <row r="85" spans="2:15">
      <c r="B85" s="685" t="s">
        <v>409</v>
      </c>
      <c r="C85" s="114"/>
      <c r="D85" s="114"/>
      <c r="E85" s="114"/>
      <c r="F85" s="114"/>
      <c r="G85" s="114"/>
      <c r="H85" s="114"/>
      <c r="I85" s="114"/>
      <c r="J85" s="114"/>
      <c r="K85" s="114"/>
      <c r="L85" s="114"/>
      <c r="M85" s="114"/>
      <c r="N85" s="114"/>
    </row>
    <row r="86" spans="2:15">
      <c r="B86" s="171" t="s">
        <v>410</v>
      </c>
      <c r="C86" s="114" t="str">
        <f>'RFPR cover'!$C$14</f>
        <v>£m 09/10</v>
      </c>
      <c r="D86" s="107">
        <f>D80-D43-D56</f>
        <v>-0.21326890321297487</v>
      </c>
      <c r="E86" s="107">
        <f t="shared" ref="E86:K86" si="14">E80-E43-E56</f>
        <v>0.64275675164900647</v>
      </c>
      <c r="F86" s="107">
        <f t="shared" si="14"/>
        <v>0.4126520443710604</v>
      </c>
      <c r="G86" s="107">
        <f t="shared" si="14"/>
        <v>1.0798407277392799</v>
      </c>
      <c r="H86" s="107">
        <f t="shared" si="14"/>
        <v>1.7192661128531945</v>
      </c>
      <c r="I86" s="107">
        <f t="shared" si="14"/>
        <v>2.2711199128175861</v>
      </c>
      <c r="J86" s="107">
        <f t="shared" si="14"/>
        <v>1.9371881304282033</v>
      </c>
      <c r="K86" s="107">
        <f t="shared" si="14"/>
        <v>1.3744226146750786</v>
      </c>
      <c r="L86" s="570">
        <f>SUM(D86:INDEX(D86:K86,0,MATCH('RFPR cover'!$C$7,$D$6:$K$6,0)))</f>
        <v>7.8495547766453564</v>
      </c>
      <c r="M86" s="571">
        <f>SUM(D86:K86)</f>
        <v>9.2239773913204353</v>
      </c>
    </row>
    <row r="87" spans="2:15">
      <c r="B87" s="171"/>
    </row>
    <row r="88" spans="2:15">
      <c r="B88" s="171" t="s">
        <v>411</v>
      </c>
      <c r="C88" s="114" t="str">
        <f>'RFPR cover'!$C$14</f>
        <v>£m 09/10</v>
      </c>
      <c r="D88" s="107">
        <f>D80-D69-D70</f>
        <v>-1.5602804231556846</v>
      </c>
      <c r="E88" s="107">
        <f t="shared" ref="E88:K88" si="15">E80-E69-E70</f>
        <v>0.61510402298665123</v>
      </c>
      <c r="F88" s="107">
        <f t="shared" si="15"/>
        <v>0.33952140746495441</v>
      </c>
      <c r="G88" s="107">
        <f t="shared" si="15"/>
        <v>1.0205559338323473</v>
      </c>
      <c r="H88" s="107">
        <f t="shared" si="15"/>
        <v>1.7177774690178822</v>
      </c>
      <c r="I88" s="107">
        <f t="shared" si="15"/>
        <v>2.3793594495041037</v>
      </c>
      <c r="J88" s="107">
        <f t="shared" si="15"/>
        <v>2.242500947272505</v>
      </c>
      <c r="K88" s="107">
        <f t="shared" si="15"/>
        <v>1.5126731447546535</v>
      </c>
      <c r="L88" s="570">
        <f>SUM(D88:INDEX(D88:K88,0,MATCH('RFPR cover'!$C$7,$D$6:$K$6,0)))</f>
        <v>6.7545388069227599</v>
      </c>
      <c r="M88" s="571">
        <f>SUM(D88:K88)</f>
        <v>8.2672119516774139</v>
      </c>
    </row>
    <row r="89" spans="2:15">
      <c r="B89" s="171"/>
    </row>
    <row r="90" spans="2:15">
      <c r="B90" s="171" t="s">
        <v>412</v>
      </c>
      <c r="C90" s="114" t="str">
        <f>'RFPR cover'!$C$14</f>
        <v>£m 09/10</v>
      </c>
      <c r="D90" s="107">
        <f t="shared" ref="D90:K90" si="16">D86-D88</f>
        <v>1.3470115199427097</v>
      </c>
      <c r="E90" s="107">
        <f t="shared" si="16"/>
        <v>2.7652728662355242E-2</v>
      </c>
      <c r="F90" s="107">
        <f t="shared" si="16"/>
        <v>7.3130636906105995E-2</v>
      </c>
      <c r="G90" s="107">
        <f t="shared" si="16"/>
        <v>5.9284793906932531E-2</v>
      </c>
      <c r="H90" s="107">
        <f t="shared" si="16"/>
        <v>1.488643835312331E-3</v>
      </c>
      <c r="I90" s="107">
        <f t="shared" si="16"/>
        <v>-0.10823953668651765</v>
      </c>
      <c r="J90" s="107">
        <f t="shared" si="16"/>
        <v>-0.30531281684430178</v>
      </c>
      <c r="K90" s="107">
        <f t="shared" si="16"/>
        <v>-0.13825053007957488</v>
      </c>
      <c r="L90" s="570">
        <f>SUM(D90:INDEX(D90:K90,0,MATCH('RFPR cover'!$C$7,$D$6:$K$6,0)))</f>
        <v>1.0950159697225965</v>
      </c>
      <c r="M90" s="571">
        <f>SUM(D90:K90)</f>
        <v>0.95676543964302163</v>
      </c>
    </row>
    <row r="91" spans="2:15">
      <c r="B91" s="158"/>
    </row>
  </sheetData>
  <sheetProtection algorithmName="SHA-512" hashValue="59tEfp50K5BvxtRKfbgIhESyuUDZW3U/fcosl9VtoKMzRMYnNKqdjjo9uZlxRgFSV2sFw/tt4T2lkBcnc9TXTQ==" saltValue="SQZUYSjkVXutR2g0I98/rw==" spinCount="100000" sheet="1" formatCells="0" formatColumns="0" formatRows="0" insertColumns="0" insertRows="0" insertHyperlinks="0" deleteColumns="0" deleteRows="0" sort="0" autoFilter="0" pivotTables="0"/>
  <conditionalFormatting sqref="D6:K6">
    <cfRule type="expression" dxfId="51" priority="25">
      <formula>AND(D$5="Actuals",E$5="Forecast")</formula>
    </cfRule>
  </conditionalFormatting>
  <conditionalFormatting sqref="D5:K5">
    <cfRule type="expression" dxfId="50" priority="18">
      <formula>AND(D$5="Actuals",E$5="Forecast")</formula>
    </cfRule>
  </conditionalFormatting>
  <conditionalFormatting sqref="D29:G29 I29:K29">
    <cfRule type="expression" dxfId="49" priority="16">
      <formula>D$5="Forecast"</formula>
    </cfRule>
    <cfRule type="expression" dxfId="48" priority="17">
      <formula>D$5="Actuals"</formula>
    </cfRule>
  </conditionalFormatting>
  <conditionalFormatting sqref="D47:G47">
    <cfRule type="expression" dxfId="47" priority="10">
      <formula>D$5="Forecast"</formula>
    </cfRule>
    <cfRule type="expression" dxfId="46" priority="11">
      <formula>D$5="Actuals"</formula>
    </cfRule>
  </conditionalFormatting>
  <conditionalFormatting sqref="I47:K47">
    <cfRule type="expression" dxfId="45" priority="8">
      <formula>I$5="Forecast"</formula>
    </cfRule>
    <cfRule type="expression" dxfId="44" priority="9">
      <formula>I$5="Actuals"</formula>
    </cfRule>
  </conditionalFormatting>
  <conditionalFormatting sqref="H47">
    <cfRule type="expression" dxfId="43" priority="6">
      <formula>H$5="Forecast"</formula>
    </cfRule>
    <cfRule type="expression" dxfId="42" priority="7">
      <formula>H$5="Actuals"</formula>
    </cfRule>
  </conditionalFormatting>
  <conditionalFormatting sqref="H29">
    <cfRule type="expression" dxfId="41" priority="4">
      <formula>H$5="Forecast"</formula>
    </cfRule>
    <cfRule type="expression" dxfId="40" priority="5">
      <formula>H$5="Actuals"</formula>
    </cfRule>
  </conditionalFormatting>
  <conditionalFormatting sqref="J22">
    <cfRule type="expression" dxfId="39" priority="2">
      <formula>J$5="Forecast"</formula>
    </cfRule>
  </conditionalFormatting>
  <conditionalFormatting sqref="J23">
    <cfRule type="expression" dxfId="38" priority="1">
      <formula>J$5="Forecast"</formula>
    </cfRule>
  </conditionalFormatting>
  <pageMargins left="0.70866141732283472" right="0.70866141732283472" top="0.74803149606299213" bottom="0.74803149606299213" header="0.31496062992125984" footer="0.31496062992125984"/>
  <pageSetup paperSize="8" scale="61" orientation="landscape"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15"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FFFFCC"/>
    <pageSetUpPr fitToPage="1"/>
  </sheetPr>
  <dimension ref="A1:M66"/>
  <sheetViews>
    <sheetView showGridLines="0" topLeftCell="C1" zoomScale="80" zoomScaleNormal="80" workbookViewId="0">
      <pane ySplit="6" topLeftCell="A31" activePane="bottomLeft" state="frozen"/>
      <selection activeCell="B3" sqref="B3"/>
      <selection pane="bottomLeft" activeCell="D65" sqref="D65"/>
    </sheetView>
  </sheetViews>
  <sheetFormatPr defaultRowHeight="12.75"/>
  <cols>
    <col min="1" max="1" width="8.375" customWidth="1"/>
    <col min="2" max="2" width="85.75" bestFit="1" customWidth="1"/>
    <col min="3" max="3" width="14.125" customWidth="1"/>
    <col min="4" max="11" width="11.125" customWidth="1"/>
    <col min="12" max="12" width="18.5" customWidth="1"/>
    <col min="13" max="13" width="19.625" bestFit="1" customWidth="1"/>
  </cols>
  <sheetData>
    <row r="1" spans="1:13" s="18" customFormat="1" ht="20.25">
      <c r="A1" s="856" t="s">
        <v>205</v>
      </c>
      <c r="B1" s="732"/>
      <c r="C1" s="211"/>
      <c r="D1" s="211"/>
      <c r="E1" s="211"/>
      <c r="F1" s="211"/>
      <c r="G1" s="211"/>
      <c r="H1" s="211"/>
      <c r="I1" s="212"/>
      <c r="J1" s="212"/>
      <c r="K1" s="213"/>
      <c r="L1" s="876"/>
    </row>
    <row r="2" spans="1:13" s="18" customFormat="1" ht="20.25">
      <c r="A2" s="725" t="str">
        <f>'RFPR cover'!C5</f>
        <v>NGET (SO)</v>
      </c>
      <c r="B2" s="720"/>
      <c r="C2" s="16"/>
      <c r="D2" s="16"/>
      <c r="E2" s="16"/>
      <c r="F2" s="16"/>
      <c r="G2" s="16"/>
      <c r="H2" s="16"/>
      <c r="I2" s="15"/>
      <c r="J2" s="15"/>
      <c r="K2" s="15"/>
      <c r="L2" s="93"/>
    </row>
    <row r="3" spans="1:13" s="18" customFormat="1" ht="23.25">
      <c r="A3" s="728">
        <f>'RFPR cover'!C7</f>
        <v>2020</v>
      </c>
      <c r="B3" s="734" t="str">
        <f>'R1 - RoRE'!B3</f>
        <v>Not required to be completed for System Operator</v>
      </c>
      <c r="C3" s="214"/>
      <c r="D3" s="214"/>
      <c r="E3" s="214"/>
      <c r="F3" s="214"/>
      <c r="G3" s="214"/>
      <c r="H3" s="214"/>
      <c r="I3" s="210"/>
      <c r="J3" s="210"/>
      <c r="K3" s="210"/>
      <c r="L3" s="215"/>
    </row>
    <row r="4" spans="1:13" s="18" customFormat="1" ht="12.75" customHeight="1">
      <c r="A4" s="25"/>
      <c r="B4" s="25"/>
      <c r="C4" s="25"/>
      <c r="D4" s="25"/>
      <c r="E4" s="25"/>
      <c r="F4" s="25"/>
      <c r="G4" s="25"/>
      <c r="H4" s="25"/>
      <c r="I4" s="888"/>
      <c r="J4" s="888"/>
      <c r="K4" s="888"/>
      <c r="L4" s="20"/>
    </row>
    <row r="5" spans="1:13" s="2" customFormat="1">
      <c r="B5" s="3"/>
      <c r="C5" s="3"/>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row>
    <row r="6" spans="1:13" s="2" customFormat="1">
      <c r="D6" s="90">
        <f>'RFPR cover'!$C$13</f>
        <v>2014</v>
      </c>
      <c r="E6" s="91">
        <f>D6+1</f>
        <v>2015</v>
      </c>
      <c r="F6" s="91">
        <f t="shared" ref="F6:K6" si="0">E6+1</f>
        <v>2016</v>
      </c>
      <c r="G6" s="91">
        <f t="shared" si="0"/>
        <v>2017</v>
      </c>
      <c r="H6" s="91">
        <f t="shared" si="0"/>
        <v>2018</v>
      </c>
      <c r="I6" s="91">
        <f t="shared" si="0"/>
        <v>2019</v>
      </c>
      <c r="J6" s="91">
        <f t="shared" si="0"/>
        <v>2020</v>
      </c>
      <c r="K6" s="154">
        <f t="shared" si="0"/>
        <v>2021</v>
      </c>
    </row>
    <row r="7" spans="1:13" s="2" customFormat="1"/>
    <row r="8" spans="1:13" s="2" customFormat="1">
      <c r="B8" s="171" t="s">
        <v>416</v>
      </c>
      <c r="C8" s="112" t="s">
        <v>297</v>
      </c>
      <c r="D8" s="940">
        <v>0</v>
      </c>
      <c r="E8" s="802">
        <f>D10</f>
        <v>0</v>
      </c>
      <c r="F8" s="802">
        <f t="shared" ref="F8:K8" si="1">E10</f>
        <v>0</v>
      </c>
      <c r="G8" s="802">
        <f t="shared" si="1"/>
        <v>0</v>
      </c>
      <c r="H8" s="802">
        <f t="shared" si="1"/>
        <v>0</v>
      </c>
      <c r="I8" s="802">
        <f t="shared" si="1"/>
        <v>0</v>
      </c>
      <c r="J8" s="802">
        <f t="shared" si="1"/>
        <v>0</v>
      </c>
      <c r="K8" s="102">
        <f t="shared" si="1"/>
        <v>-18.577000000000002</v>
      </c>
    </row>
    <row r="9" spans="1:13" s="2" customFormat="1">
      <c r="B9" s="171"/>
      <c r="D9" s="803"/>
      <c r="E9" s="803"/>
      <c r="F9" s="803"/>
      <c r="G9" s="803"/>
      <c r="H9" s="803"/>
      <c r="I9" s="803"/>
      <c r="J9" s="803"/>
      <c r="K9" s="803"/>
    </row>
    <row r="10" spans="1:13">
      <c r="B10" s="171" t="s">
        <v>417</v>
      </c>
      <c r="C10" s="112" t="s">
        <v>297</v>
      </c>
      <c r="D10" s="804">
        <v>0</v>
      </c>
      <c r="E10" s="805">
        <v>0</v>
      </c>
      <c r="F10" s="805">
        <v>0</v>
      </c>
      <c r="G10" s="805">
        <v>0</v>
      </c>
      <c r="H10" s="805">
        <v>0</v>
      </c>
      <c r="I10" s="805">
        <v>0</v>
      </c>
      <c r="J10" s="498">
        <v>-18.577000000000002</v>
      </c>
      <c r="K10" s="949">
        <v>-18.577000000000002</v>
      </c>
    </row>
    <row r="11" spans="1:13">
      <c r="B11" s="171" t="s">
        <v>418</v>
      </c>
      <c r="C11" s="112" t="s">
        <v>297</v>
      </c>
      <c r="D11" s="806">
        <v>0</v>
      </c>
      <c r="E11" s="807">
        <v>0</v>
      </c>
      <c r="F11" s="807">
        <v>0</v>
      </c>
      <c r="G11" s="807">
        <v>0</v>
      </c>
      <c r="H11" s="807">
        <v>0</v>
      </c>
      <c r="I11" s="807">
        <v>0</v>
      </c>
      <c r="J11" s="807">
        <v>0.14299999999999999</v>
      </c>
      <c r="K11" s="808">
        <v>0.14299999999999999</v>
      </c>
      <c r="M11" s="769"/>
    </row>
    <row r="12" spans="1:13">
      <c r="B12" s="171" t="s">
        <v>419</v>
      </c>
      <c r="C12" s="112" t="s">
        <v>297</v>
      </c>
      <c r="D12" s="806">
        <v>0</v>
      </c>
      <c r="E12" s="807">
        <v>0</v>
      </c>
      <c r="F12" s="807">
        <v>0</v>
      </c>
      <c r="G12" s="807">
        <v>0</v>
      </c>
      <c r="H12" s="807">
        <v>0</v>
      </c>
      <c r="I12" s="807">
        <v>0</v>
      </c>
      <c r="J12" s="807">
        <v>121.008</v>
      </c>
      <c r="K12" s="808">
        <v>121.008</v>
      </c>
      <c r="L12" s="768"/>
      <c r="M12" s="767"/>
    </row>
    <row r="13" spans="1:13">
      <c r="B13" s="171" t="s">
        <v>420</v>
      </c>
      <c r="C13" s="112" t="s">
        <v>297</v>
      </c>
      <c r="D13" s="806">
        <v>0</v>
      </c>
      <c r="E13" s="807">
        <v>0</v>
      </c>
      <c r="F13" s="807">
        <v>0</v>
      </c>
      <c r="G13" s="807">
        <v>0</v>
      </c>
      <c r="H13" s="807">
        <v>0</v>
      </c>
      <c r="I13" s="807">
        <v>0</v>
      </c>
      <c r="J13" s="498">
        <v>-346.32100000000003</v>
      </c>
      <c r="K13" s="808">
        <v>0</v>
      </c>
      <c r="L13" s="768"/>
    </row>
    <row r="14" spans="1:13">
      <c r="B14" s="171" t="s">
        <v>421</v>
      </c>
      <c r="C14" s="112" t="s">
        <v>297</v>
      </c>
      <c r="D14" s="806">
        <v>0</v>
      </c>
      <c r="E14" s="807">
        <v>0</v>
      </c>
      <c r="F14" s="807">
        <v>0</v>
      </c>
      <c r="G14" s="807">
        <v>0</v>
      </c>
      <c r="H14" s="807">
        <v>0</v>
      </c>
      <c r="I14" s="807">
        <v>0</v>
      </c>
      <c r="J14" s="807">
        <v>0</v>
      </c>
      <c r="K14" s="808">
        <v>0</v>
      </c>
      <c r="L14" s="768"/>
    </row>
    <row r="15" spans="1:13">
      <c r="B15" s="171" t="s">
        <v>422</v>
      </c>
      <c r="C15" s="112" t="s">
        <v>297</v>
      </c>
      <c r="D15" s="806">
        <v>0</v>
      </c>
      <c r="E15" s="807">
        <v>0</v>
      </c>
      <c r="F15" s="807">
        <v>0</v>
      </c>
      <c r="G15" s="807">
        <v>0</v>
      </c>
      <c r="H15" s="807">
        <v>0</v>
      </c>
      <c r="I15" s="807">
        <v>0</v>
      </c>
      <c r="J15" s="807">
        <v>0</v>
      </c>
      <c r="K15" s="808">
        <v>0</v>
      </c>
      <c r="L15" s="768"/>
    </row>
    <row r="16" spans="1:13">
      <c r="B16" s="171" t="s">
        <v>423</v>
      </c>
      <c r="C16" s="112" t="s">
        <v>297</v>
      </c>
      <c r="D16" s="806">
        <v>0</v>
      </c>
      <c r="E16" s="807">
        <v>0</v>
      </c>
      <c r="F16" s="807">
        <v>0</v>
      </c>
      <c r="G16" s="807">
        <v>0</v>
      </c>
      <c r="H16" s="807">
        <v>0</v>
      </c>
      <c r="I16" s="807">
        <v>0</v>
      </c>
      <c r="J16" s="807">
        <v>0</v>
      </c>
      <c r="K16" s="808">
        <v>0</v>
      </c>
      <c r="L16" s="768"/>
    </row>
    <row r="17" spans="2:13">
      <c r="B17" s="171" t="s">
        <v>424</v>
      </c>
      <c r="C17" s="112" t="s">
        <v>297</v>
      </c>
      <c r="D17" s="806">
        <v>0</v>
      </c>
      <c r="E17" s="807">
        <v>0</v>
      </c>
      <c r="F17" s="807">
        <v>0</v>
      </c>
      <c r="G17" s="807">
        <v>0</v>
      </c>
      <c r="H17" s="807">
        <v>0</v>
      </c>
      <c r="I17" s="807">
        <v>0</v>
      </c>
      <c r="J17" s="807">
        <v>0</v>
      </c>
      <c r="K17" s="808">
        <v>0</v>
      </c>
      <c r="L17" s="768"/>
    </row>
    <row r="18" spans="2:13">
      <c r="B18" s="171" t="s">
        <v>425</v>
      </c>
      <c r="C18" s="112" t="s">
        <v>297</v>
      </c>
      <c r="D18" s="806">
        <v>0</v>
      </c>
      <c r="E18" s="807">
        <v>0</v>
      </c>
      <c r="F18" s="807">
        <v>0</v>
      </c>
      <c r="G18" s="807">
        <v>0</v>
      </c>
      <c r="H18" s="807">
        <v>0</v>
      </c>
      <c r="I18" s="807">
        <v>0</v>
      </c>
      <c r="J18" s="807">
        <v>0</v>
      </c>
      <c r="K18" s="808">
        <v>0</v>
      </c>
      <c r="L18" s="768"/>
    </row>
    <row r="19" spans="2:13">
      <c r="B19" s="171" t="s">
        <v>426</v>
      </c>
      <c r="C19" s="112" t="s">
        <v>297</v>
      </c>
      <c r="D19" s="806">
        <v>0</v>
      </c>
      <c r="E19" s="807">
        <v>0</v>
      </c>
      <c r="F19" s="807">
        <v>0</v>
      </c>
      <c r="G19" s="807">
        <v>0</v>
      </c>
      <c r="H19" s="807">
        <v>0</v>
      </c>
      <c r="I19" s="807">
        <v>0</v>
      </c>
      <c r="J19" s="807">
        <v>0</v>
      </c>
      <c r="K19" s="808">
        <v>0</v>
      </c>
      <c r="L19" s="768"/>
    </row>
    <row r="20" spans="2:13">
      <c r="B20" s="171" t="s">
        <v>427</v>
      </c>
      <c r="C20" s="112" t="s">
        <v>297</v>
      </c>
      <c r="D20" s="806">
        <v>0</v>
      </c>
      <c r="E20" s="807">
        <v>0</v>
      </c>
      <c r="F20" s="807">
        <v>0</v>
      </c>
      <c r="G20" s="807">
        <v>0</v>
      </c>
      <c r="H20" s="807">
        <v>0</v>
      </c>
      <c r="I20" s="807">
        <v>0</v>
      </c>
      <c r="J20" s="807">
        <v>0</v>
      </c>
      <c r="K20" s="808">
        <v>0</v>
      </c>
      <c r="L20" s="768"/>
    </row>
    <row r="21" spans="2:13">
      <c r="B21" s="171" t="s">
        <v>428</v>
      </c>
      <c r="C21" s="112" t="s">
        <v>297</v>
      </c>
      <c r="D21" s="806">
        <v>0</v>
      </c>
      <c r="E21" s="807">
        <v>0</v>
      </c>
      <c r="F21" s="807">
        <v>0</v>
      </c>
      <c r="G21" s="807">
        <v>0</v>
      </c>
      <c r="H21" s="807">
        <v>0</v>
      </c>
      <c r="I21" s="807">
        <v>0</v>
      </c>
      <c r="J21" s="807">
        <v>0.214</v>
      </c>
      <c r="K21" s="808">
        <v>0</v>
      </c>
      <c r="L21" s="768"/>
    </row>
    <row r="22" spans="2:13">
      <c r="B22" s="171" t="s">
        <v>429</v>
      </c>
      <c r="C22" s="112" t="s">
        <v>297</v>
      </c>
      <c r="D22" s="806">
        <v>0</v>
      </c>
      <c r="E22" s="807">
        <v>0</v>
      </c>
      <c r="F22" s="807">
        <v>0</v>
      </c>
      <c r="G22" s="807">
        <v>0</v>
      </c>
      <c r="H22" s="807">
        <v>0</v>
      </c>
      <c r="I22" s="807">
        <v>0</v>
      </c>
      <c r="J22" s="807">
        <v>0</v>
      </c>
      <c r="K22" s="808">
        <v>0</v>
      </c>
      <c r="L22" s="768"/>
    </row>
    <row r="23" spans="2:13">
      <c r="B23" s="6" t="s">
        <v>430</v>
      </c>
      <c r="C23" s="193" t="s">
        <v>297</v>
      </c>
      <c r="D23" s="802">
        <f>SUM(D10:D22)</f>
        <v>0</v>
      </c>
      <c r="E23" s="802">
        <f t="shared" ref="E23:K23" si="2">SUM(E10:E22)</f>
        <v>0</v>
      </c>
      <c r="F23" s="802">
        <f t="shared" si="2"/>
        <v>0</v>
      </c>
      <c r="G23" s="802">
        <f t="shared" si="2"/>
        <v>0</v>
      </c>
      <c r="H23" s="802">
        <f t="shared" si="2"/>
        <v>0</v>
      </c>
      <c r="I23" s="802">
        <f t="shared" si="2"/>
        <v>0</v>
      </c>
      <c r="J23" s="102">
        <f t="shared" si="2"/>
        <v>-243.53300000000002</v>
      </c>
      <c r="K23" s="941">
        <f t="shared" si="2"/>
        <v>102.574</v>
      </c>
      <c r="L23" s="768"/>
      <c r="M23" s="271"/>
    </row>
    <row r="24" spans="2:13">
      <c r="B24" s="6"/>
      <c r="C24" s="112"/>
      <c r="D24" s="187"/>
      <c r="E24" s="187"/>
      <c r="F24" s="187"/>
      <c r="G24" s="187"/>
      <c r="H24" s="187"/>
      <c r="I24" s="187"/>
      <c r="J24" s="187"/>
      <c r="K24" s="187"/>
      <c r="L24" s="768"/>
      <c r="M24" s="2"/>
    </row>
    <row r="25" spans="2:13">
      <c r="B25" s="6" t="s">
        <v>431</v>
      </c>
      <c r="C25" s="8"/>
      <c r="D25" s="188"/>
      <c r="E25" s="188"/>
      <c r="F25" s="188"/>
      <c r="G25" s="188"/>
      <c r="H25" s="188"/>
      <c r="I25" s="188"/>
      <c r="J25" s="188"/>
      <c r="K25" s="188"/>
      <c r="L25" s="768"/>
      <c r="M25" s="2"/>
    </row>
    <row r="26" spans="2:13">
      <c r="B26" s="301" t="e">
        <f>#REF!</f>
        <v>#REF!</v>
      </c>
      <c r="C26" s="112" t="s">
        <v>297</v>
      </c>
      <c r="D26" s="785">
        <v>0</v>
      </c>
      <c r="E26" s="785">
        <v>0</v>
      </c>
      <c r="F26" s="785">
        <v>0</v>
      </c>
      <c r="G26" s="785">
        <v>0</v>
      </c>
      <c r="H26" s="785">
        <v>0</v>
      </c>
      <c r="I26" s="785">
        <v>0</v>
      </c>
      <c r="J26" s="785">
        <v>0</v>
      </c>
      <c r="K26" s="785">
        <v>0</v>
      </c>
      <c r="L26" s="768"/>
      <c r="M26" s="2"/>
    </row>
    <row r="27" spans="2:13">
      <c r="B27" s="301" t="e">
        <f>#REF!</f>
        <v>#REF!</v>
      </c>
      <c r="C27" s="112" t="s">
        <v>297</v>
      </c>
      <c r="D27" s="785">
        <v>0</v>
      </c>
      <c r="E27" s="786">
        <v>0</v>
      </c>
      <c r="F27" s="786">
        <v>0</v>
      </c>
      <c r="G27" s="786">
        <v>0</v>
      </c>
      <c r="H27" s="786">
        <v>0</v>
      </c>
      <c r="I27" s="786">
        <v>0</v>
      </c>
      <c r="J27" s="786">
        <v>0</v>
      </c>
      <c r="K27" s="809">
        <v>0</v>
      </c>
      <c r="L27" s="768"/>
      <c r="M27" s="21"/>
    </row>
    <row r="28" spans="2:13">
      <c r="B28" s="301" t="e">
        <f>#REF!</f>
        <v>#REF!</v>
      </c>
      <c r="C28" s="112" t="s">
        <v>297</v>
      </c>
      <c r="D28" s="785">
        <v>0</v>
      </c>
      <c r="E28" s="786">
        <v>0</v>
      </c>
      <c r="F28" s="786">
        <v>0</v>
      </c>
      <c r="G28" s="786">
        <v>0</v>
      </c>
      <c r="H28" s="786">
        <v>0</v>
      </c>
      <c r="I28" s="786">
        <v>0</v>
      </c>
      <c r="J28" s="786">
        <v>0</v>
      </c>
      <c r="K28" s="809">
        <v>0</v>
      </c>
      <c r="L28" s="768"/>
      <c r="M28" s="21"/>
    </row>
    <row r="29" spans="2:13">
      <c r="B29" s="301" t="e">
        <f>#REF!</f>
        <v>#REF!</v>
      </c>
      <c r="C29" s="112" t="s">
        <v>297</v>
      </c>
      <c r="D29" s="785">
        <v>0</v>
      </c>
      <c r="E29" s="786">
        <v>0</v>
      </c>
      <c r="F29" s="786">
        <v>0</v>
      </c>
      <c r="G29" s="786">
        <v>0</v>
      </c>
      <c r="H29" s="786">
        <v>0</v>
      </c>
      <c r="I29" s="786">
        <v>0</v>
      </c>
      <c r="J29" s="786">
        <v>0</v>
      </c>
      <c r="K29" s="809">
        <v>0</v>
      </c>
      <c r="L29" s="768"/>
      <c r="M29" s="21"/>
    </row>
    <row r="30" spans="2:13">
      <c r="B30" s="301" t="s">
        <v>607</v>
      </c>
      <c r="C30" s="112" t="s">
        <v>297</v>
      </c>
      <c r="D30" s="785">
        <v>0</v>
      </c>
      <c r="E30" s="786">
        <v>0</v>
      </c>
      <c r="F30" s="786">
        <v>0</v>
      </c>
      <c r="G30" s="786">
        <v>0</v>
      </c>
      <c r="H30" s="786">
        <v>0</v>
      </c>
      <c r="I30" s="786">
        <v>0</v>
      </c>
      <c r="J30" s="786">
        <v>300</v>
      </c>
      <c r="K30" s="809">
        <v>18.577000000000002</v>
      </c>
      <c r="L30" s="768"/>
    </row>
    <row r="31" spans="2:13">
      <c r="B31" s="301" t="s">
        <v>608</v>
      </c>
      <c r="C31" s="112" t="s">
        <v>297</v>
      </c>
      <c r="D31" s="785">
        <v>0</v>
      </c>
      <c r="E31" s="786">
        <v>0</v>
      </c>
      <c r="F31" s="786">
        <v>0</v>
      </c>
      <c r="G31" s="786">
        <v>0</v>
      </c>
      <c r="H31" s="786">
        <v>0</v>
      </c>
      <c r="I31" s="786">
        <v>0</v>
      </c>
      <c r="J31" s="498">
        <v>-0.14299999999999999</v>
      </c>
      <c r="K31" s="948">
        <v>-0.14299999999999999</v>
      </c>
      <c r="L31" s="768"/>
    </row>
    <row r="32" spans="2:13" ht="12.75" customHeight="1">
      <c r="B32" s="301" t="s">
        <v>609</v>
      </c>
      <c r="C32" s="112" t="s">
        <v>297</v>
      </c>
      <c r="D32" s="785">
        <v>0</v>
      </c>
      <c r="E32" s="786">
        <v>0</v>
      </c>
      <c r="F32" s="786">
        <v>0</v>
      </c>
      <c r="G32" s="786">
        <v>0</v>
      </c>
      <c r="H32" s="786">
        <v>0</v>
      </c>
      <c r="I32" s="786">
        <v>0</v>
      </c>
      <c r="J32" s="498">
        <v>-1.222</v>
      </c>
      <c r="K32" s="948">
        <v>-1.222</v>
      </c>
      <c r="L32" s="768"/>
    </row>
    <row r="33" spans="2:13">
      <c r="B33" s="301" t="s">
        <v>610</v>
      </c>
      <c r="C33" s="112" t="s">
        <v>297</v>
      </c>
      <c r="D33" s="785">
        <v>64.701999999999998</v>
      </c>
      <c r="E33" s="786">
        <v>72.97</v>
      </c>
      <c r="F33" s="786">
        <v>77.400000000000006</v>
      </c>
      <c r="G33" s="786">
        <v>86.49</v>
      </c>
      <c r="H33" s="786">
        <v>95.93</v>
      </c>
      <c r="I33" s="786">
        <v>99.303327772490036</v>
      </c>
      <c r="J33" s="786">
        <v>0</v>
      </c>
      <c r="K33" s="809">
        <v>0</v>
      </c>
      <c r="L33" s="768"/>
    </row>
    <row r="34" spans="2:13">
      <c r="B34" s="301" t="e">
        <f>#REF!</f>
        <v>#REF!</v>
      </c>
      <c r="C34" s="112" t="s">
        <v>297</v>
      </c>
      <c r="D34" s="785">
        <v>0</v>
      </c>
      <c r="E34" s="786">
        <v>0</v>
      </c>
      <c r="F34" s="786">
        <v>0</v>
      </c>
      <c r="G34" s="786">
        <v>0</v>
      </c>
      <c r="H34" s="786">
        <v>0</v>
      </c>
      <c r="I34" s="786">
        <v>0</v>
      </c>
      <c r="J34" s="786">
        <v>0</v>
      </c>
      <c r="K34" s="809">
        <v>0</v>
      </c>
      <c r="L34" s="768"/>
    </row>
    <row r="35" spans="2:13">
      <c r="B35" s="301" t="e">
        <f>#REF!</f>
        <v>#REF!</v>
      </c>
      <c r="C35" s="112" t="s">
        <v>297</v>
      </c>
      <c r="D35" s="785">
        <v>0</v>
      </c>
      <c r="E35" s="786">
        <v>0</v>
      </c>
      <c r="F35" s="786">
        <v>0</v>
      </c>
      <c r="G35" s="786">
        <v>0</v>
      </c>
      <c r="H35" s="786">
        <v>0</v>
      </c>
      <c r="I35" s="786">
        <v>0</v>
      </c>
      <c r="J35" s="786">
        <v>0</v>
      </c>
      <c r="K35" s="809">
        <v>0</v>
      </c>
      <c r="L35" s="768"/>
    </row>
    <row r="36" spans="2:13">
      <c r="B36" s="301" t="e">
        <f>#REF!</f>
        <v>#REF!</v>
      </c>
      <c r="C36" s="112" t="s">
        <v>297</v>
      </c>
      <c r="D36" s="785">
        <v>0</v>
      </c>
      <c r="E36" s="786">
        <v>0</v>
      </c>
      <c r="F36" s="786">
        <v>0</v>
      </c>
      <c r="G36" s="786">
        <v>0</v>
      </c>
      <c r="H36" s="786">
        <v>0</v>
      </c>
      <c r="I36" s="786">
        <v>0</v>
      </c>
      <c r="J36" s="786">
        <v>0</v>
      </c>
      <c r="K36" s="809">
        <v>0</v>
      </c>
      <c r="L36" s="768"/>
    </row>
    <row r="37" spans="2:13">
      <c r="B37" s="301" t="e">
        <f>#REF!</f>
        <v>#REF!</v>
      </c>
      <c r="C37" s="112" t="s">
        <v>297</v>
      </c>
      <c r="D37" s="785">
        <v>0</v>
      </c>
      <c r="E37" s="786">
        <v>0</v>
      </c>
      <c r="F37" s="786">
        <v>0</v>
      </c>
      <c r="G37" s="786">
        <v>0</v>
      </c>
      <c r="H37" s="786">
        <v>0</v>
      </c>
      <c r="I37" s="786">
        <v>0</v>
      </c>
      <c r="J37" s="786">
        <v>0</v>
      </c>
      <c r="K37" s="809">
        <v>0</v>
      </c>
      <c r="L37" s="768"/>
    </row>
    <row r="38" spans="2:13">
      <c r="B38" s="301" t="e">
        <f>#REF!</f>
        <v>#REF!</v>
      </c>
      <c r="C38" s="112" t="s">
        <v>297</v>
      </c>
      <c r="D38" s="785">
        <v>0</v>
      </c>
      <c r="E38" s="786">
        <v>0</v>
      </c>
      <c r="F38" s="786">
        <v>0</v>
      </c>
      <c r="G38" s="786">
        <v>0</v>
      </c>
      <c r="H38" s="786">
        <v>0</v>
      </c>
      <c r="I38" s="786">
        <v>0</v>
      </c>
      <c r="J38" s="786">
        <v>0</v>
      </c>
      <c r="K38" s="809">
        <v>0</v>
      </c>
      <c r="L38" s="768"/>
    </row>
    <row r="39" spans="2:13">
      <c r="B39" s="301" t="e">
        <f>#REF!</f>
        <v>#REF!</v>
      </c>
      <c r="C39" s="112" t="s">
        <v>297</v>
      </c>
      <c r="D39" s="785">
        <v>0</v>
      </c>
      <c r="E39" s="786">
        <v>0</v>
      </c>
      <c r="F39" s="786">
        <v>0</v>
      </c>
      <c r="G39" s="786">
        <v>0</v>
      </c>
      <c r="H39" s="786">
        <v>0</v>
      </c>
      <c r="I39" s="786">
        <v>0</v>
      </c>
      <c r="J39" s="786">
        <v>0</v>
      </c>
      <c r="K39" s="809">
        <v>0</v>
      </c>
      <c r="L39" s="768"/>
    </row>
    <row r="40" spans="2:13">
      <c r="B40" s="301" t="e">
        <f>#REF!</f>
        <v>#REF!</v>
      </c>
      <c r="C40" s="112" t="s">
        <v>297</v>
      </c>
      <c r="D40" s="785">
        <v>0</v>
      </c>
      <c r="E40" s="786">
        <v>0</v>
      </c>
      <c r="F40" s="786">
        <v>0</v>
      </c>
      <c r="G40" s="786">
        <v>0</v>
      </c>
      <c r="H40" s="786">
        <v>0</v>
      </c>
      <c r="I40" s="786">
        <v>0</v>
      </c>
      <c r="J40" s="786">
        <v>0</v>
      </c>
      <c r="K40" s="809">
        <v>0</v>
      </c>
      <c r="L40" s="768"/>
    </row>
    <row r="41" spans="2:13">
      <c r="B41" s="301" t="e">
        <f>#REF!</f>
        <v>#REF!</v>
      </c>
      <c r="C41" s="112" t="s">
        <v>297</v>
      </c>
      <c r="D41" s="787">
        <v>0</v>
      </c>
      <c r="E41" s="788">
        <v>0</v>
      </c>
      <c r="F41" s="788">
        <v>0</v>
      </c>
      <c r="G41" s="788">
        <v>0</v>
      </c>
      <c r="H41" s="788">
        <v>0</v>
      </c>
      <c r="I41" s="788">
        <v>0</v>
      </c>
      <c r="J41" s="788">
        <v>0</v>
      </c>
      <c r="K41" s="810">
        <v>0</v>
      </c>
      <c r="L41" s="768"/>
    </row>
    <row r="42" spans="2:13">
      <c r="B42" s="956" t="s">
        <v>432</v>
      </c>
      <c r="C42" s="112" t="s">
        <v>297</v>
      </c>
      <c r="D42" s="811">
        <f>SUM(D23,D26:D41)</f>
        <v>64.701999999999998</v>
      </c>
      <c r="E42" s="811">
        <f t="shared" ref="E42:K42" si="3">SUM(E23,E26:E41)</f>
        <v>72.97</v>
      </c>
      <c r="F42" s="811">
        <f t="shared" si="3"/>
        <v>77.400000000000006</v>
      </c>
      <c r="G42" s="811">
        <f t="shared" si="3"/>
        <v>86.49</v>
      </c>
      <c r="H42" s="811">
        <f t="shared" si="3"/>
        <v>95.93</v>
      </c>
      <c r="I42" s="811">
        <f t="shared" si="3"/>
        <v>99.303327772490036</v>
      </c>
      <c r="J42" s="811">
        <f>SUM(J23,J26:J41)</f>
        <v>55.101999999999983</v>
      </c>
      <c r="K42" s="811">
        <f t="shared" si="3"/>
        <v>119.786</v>
      </c>
      <c r="L42" s="768"/>
    </row>
    <row r="43" spans="2:13">
      <c r="B43" s="302" t="s">
        <v>433</v>
      </c>
      <c r="C43" s="112" t="s">
        <v>297</v>
      </c>
      <c r="D43" s="812"/>
      <c r="E43" s="813"/>
      <c r="F43" s="813"/>
      <c r="G43" s="813"/>
      <c r="H43" s="813"/>
      <c r="I43" s="813"/>
      <c r="J43" s="813"/>
      <c r="K43" s="814">
        <v>12.97188390845875</v>
      </c>
      <c r="L43" s="768"/>
    </row>
    <row r="44" spans="2:13">
      <c r="B44" s="956" t="s">
        <v>434</v>
      </c>
      <c r="C44" s="112" t="s">
        <v>297</v>
      </c>
      <c r="D44" s="815">
        <f>SUM(D42:D43)</f>
        <v>64.701999999999998</v>
      </c>
      <c r="E44" s="816">
        <f t="shared" ref="E44:K44" si="4">SUM(E42:E43)</f>
        <v>72.97</v>
      </c>
      <c r="F44" s="816">
        <f t="shared" si="4"/>
        <v>77.400000000000006</v>
      </c>
      <c r="G44" s="816">
        <f t="shared" si="4"/>
        <v>86.49</v>
      </c>
      <c r="H44" s="816">
        <f t="shared" si="4"/>
        <v>95.93</v>
      </c>
      <c r="I44" s="816">
        <f t="shared" si="4"/>
        <v>99.303327772490036</v>
      </c>
      <c r="J44" s="816">
        <f t="shared" si="4"/>
        <v>55.101999999999983</v>
      </c>
      <c r="K44" s="817">
        <f t="shared" si="4"/>
        <v>132.75788390845875</v>
      </c>
      <c r="L44" s="768"/>
      <c r="M44" s="770"/>
    </row>
    <row r="45" spans="2:13">
      <c r="D45" s="184" t="e">
        <f>IF(ABS(D42-#REF!)&lt;'RFPR cover'!$F$14,"OK","Error")</f>
        <v>#REF!</v>
      </c>
      <c r="E45" s="185" t="e">
        <f>IF(ABS(E42-#REF!)&lt;'RFPR cover'!$F$14,"OK","Error")</f>
        <v>#REF!</v>
      </c>
      <c r="F45" s="185" t="e">
        <f>IF(ABS(F42-#REF!)&lt;'RFPR cover'!$F$14,"OK","Error")</f>
        <v>#REF!</v>
      </c>
      <c r="G45" s="185" t="e">
        <f>IF(ABS(G42-#REF!)&lt;'RFPR cover'!$F$14,"OK","Error")</f>
        <v>#REF!</v>
      </c>
      <c r="H45" s="185" t="e">
        <f>IF(ABS(H42-#REF!)&lt;'RFPR cover'!$F$14,"OK","Error")</f>
        <v>#REF!</v>
      </c>
      <c r="I45" s="185" t="e">
        <f>IF(ABS(I42-#REF!)&lt;'RFPR cover'!$F$14,"OK","Error")</f>
        <v>#REF!</v>
      </c>
      <c r="J45" s="185" t="e">
        <f>IF(ABS(J42-#REF!)&lt;'RFPR cover'!$F$14,"OK","Error")</f>
        <v>#REF!</v>
      </c>
      <c r="K45" s="186" t="e">
        <f>IF(ABS(K42-#REF!)&lt;'RFPR cover'!$F$14,"OK","Error")</f>
        <v>#REF!</v>
      </c>
    </row>
    <row r="47" spans="2:13">
      <c r="B47" s="955" t="s">
        <v>435</v>
      </c>
      <c r="C47" s="112" t="s">
        <v>297</v>
      </c>
      <c r="D47" s="818">
        <v>0</v>
      </c>
      <c r="E47" s="801">
        <f>D48</f>
        <v>64.701999999999998</v>
      </c>
      <c r="F47" s="801">
        <f t="shared" ref="F47:K47" si="5">E48</f>
        <v>72.97</v>
      </c>
      <c r="G47" s="801">
        <f t="shared" si="5"/>
        <v>77.400000000000006</v>
      </c>
      <c r="H47" s="801">
        <f t="shared" si="5"/>
        <v>86.49</v>
      </c>
      <c r="I47" s="801">
        <f t="shared" si="5"/>
        <v>95.93</v>
      </c>
      <c r="J47" s="801">
        <f t="shared" si="5"/>
        <v>99.303327772490036</v>
      </c>
      <c r="K47" s="819">
        <f t="shared" si="5"/>
        <v>55.101999999999983</v>
      </c>
      <c r="L47" s="953"/>
    </row>
    <row r="48" spans="2:13">
      <c r="B48" s="955" t="s">
        <v>436</v>
      </c>
      <c r="C48" s="112" t="s">
        <v>297</v>
      </c>
      <c r="D48" s="820">
        <f>D44</f>
        <v>64.701999999999998</v>
      </c>
      <c r="E48" s="821">
        <f>E44</f>
        <v>72.97</v>
      </c>
      <c r="F48" s="821">
        <f t="shared" ref="F48:K48" si="6">F44</f>
        <v>77.400000000000006</v>
      </c>
      <c r="G48" s="821">
        <f t="shared" si="6"/>
        <v>86.49</v>
      </c>
      <c r="H48" s="821">
        <f t="shared" si="6"/>
        <v>95.93</v>
      </c>
      <c r="I48" s="821">
        <f t="shared" si="6"/>
        <v>99.303327772490036</v>
      </c>
      <c r="J48" s="821">
        <f t="shared" si="6"/>
        <v>55.101999999999983</v>
      </c>
      <c r="K48" s="822">
        <f t="shared" si="6"/>
        <v>132.75788390845875</v>
      </c>
      <c r="L48" s="953"/>
    </row>
    <row r="49" spans="2:13">
      <c r="D49" s="12"/>
      <c r="E49" s="12"/>
      <c r="F49" s="12"/>
      <c r="G49" s="12"/>
      <c r="H49" s="12"/>
      <c r="I49" s="12"/>
      <c r="J49" s="12"/>
      <c r="K49" s="12"/>
    </row>
    <row r="50" spans="2:13">
      <c r="B50" s="6" t="s">
        <v>437</v>
      </c>
    </row>
    <row r="51" spans="2:13">
      <c r="B51" t="s">
        <v>414</v>
      </c>
      <c r="C51" s="953" t="s">
        <v>250</v>
      </c>
      <c r="D51" s="891">
        <v>0</v>
      </c>
      <c r="E51" s="892">
        <v>0</v>
      </c>
      <c r="F51" s="892">
        <v>0</v>
      </c>
      <c r="G51" s="892">
        <v>0</v>
      </c>
      <c r="H51" s="892">
        <v>0</v>
      </c>
      <c r="I51" s="892">
        <v>0</v>
      </c>
      <c r="J51" s="892">
        <v>0</v>
      </c>
      <c r="K51" s="893">
        <v>0</v>
      </c>
    </row>
    <row r="52" spans="2:13">
      <c r="B52" t="s">
        <v>415</v>
      </c>
      <c r="C52" s="953" t="s">
        <v>250</v>
      </c>
      <c r="D52" s="392">
        <f>1-D51</f>
        <v>1</v>
      </c>
      <c r="E52" s="393">
        <f t="shared" ref="E52:K52" si="7">1-E51</f>
        <v>1</v>
      </c>
      <c r="F52" s="393">
        <f t="shared" si="7"/>
        <v>1</v>
      </c>
      <c r="G52" s="393">
        <f t="shared" si="7"/>
        <v>1</v>
      </c>
      <c r="H52" s="393">
        <f t="shared" si="7"/>
        <v>1</v>
      </c>
      <c r="I52" s="393">
        <f t="shared" si="7"/>
        <v>1</v>
      </c>
      <c r="J52" s="393">
        <f t="shared" si="7"/>
        <v>1</v>
      </c>
      <c r="K52" s="394">
        <f t="shared" si="7"/>
        <v>1</v>
      </c>
    </row>
    <row r="53" spans="2:13">
      <c r="C53" s="953"/>
      <c r="D53" s="953"/>
      <c r="E53" s="953"/>
      <c r="F53" s="953"/>
      <c r="G53" s="953"/>
      <c r="H53" s="953"/>
      <c r="I53" s="953"/>
      <c r="J53" s="953"/>
      <c r="K53" s="953"/>
      <c r="L53" s="953"/>
    </row>
    <row r="54" spans="2:13">
      <c r="B54" s="158" t="s">
        <v>438</v>
      </c>
      <c r="C54" s="220" t="s">
        <v>297</v>
      </c>
      <c r="D54" s="823">
        <f>AVERAGE(D47:D48)*D52</f>
        <v>32.350999999999999</v>
      </c>
      <c r="E54" s="824">
        <f t="shared" ref="E54:K54" si="8">AVERAGE(E47:E48)*E52</f>
        <v>68.835999999999999</v>
      </c>
      <c r="F54" s="824">
        <f t="shared" si="8"/>
        <v>75.185000000000002</v>
      </c>
      <c r="G54" s="824">
        <f t="shared" si="8"/>
        <v>81.944999999999993</v>
      </c>
      <c r="H54" s="824">
        <f t="shared" si="8"/>
        <v>91.210000000000008</v>
      </c>
      <c r="I54" s="824">
        <f t="shared" si="8"/>
        <v>97.616663886245021</v>
      </c>
      <c r="J54" s="824">
        <f t="shared" si="8"/>
        <v>77.202663886245006</v>
      </c>
      <c r="K54" s="825">
        <f t="shared" si="8"/>
        <v>93.929941954229363</v>
      </c>
    </row>
    <row r="55" spans="2:13">
      <c r="B55" s="158" t="s">
        <v>439</v>
      </c>
      <c r="C55" s="112" t="s">
        <v>297</v>
      </c>
      <c r="D55" s="826">
        <f>D56-D54</f>
        <v>65.704998769955381</v>
      </c>
      <c r="E55" s="827">
        <f t="shared" ref="E55:K55" si="9">E56-E54</f>
        <v>49.257775814919526</v>
      </c>
      <c r="F55" s="827">
        <f t="shared" si="9"/>
        <v>57.519437392723887</v>
      </c>
      <c r="G55" s="827">
        <f t="shared" si="9"/>
        <v>67.72934892341749</v>
      </c>
      <c r="H55" s="827">
        <f t="shared" si="9"/>
        <v>77.845197805435703</v>
      </c>
      <c r="I55" s="827">
        <f t="shared" si="9"/>
        <v>92.441283083290159</v>
      </c>
      <c r="J55" s="827">
        <f t="shared" si="9"/>
        <v>131.43966223164782</v>
      </c>
      <c r="K55" s="828">
        <f t="shared" si="9"/>
        <v>127.3331978932019</v>
      </c>
    </row>
    <row r="56" spans="2:13">
      <c r="B56" s="158" t="s">
        <v>440</v>
      </c>
      <c r="C56" s="112" t="s">
        <v>297</v>
      </c>
      <c r="D56" s="829">
        <f>IF(D6='RFPR cover'!$C$13,AVERAGE(('R9 - RAV'!D16*'R9 - RAV'!D36),'R9 - RAV'!D38),AVERAGE('R9 - RAV'!C38:D38))</f>
        <v>98.05599876995538</v>
      </c>
      <c r="E56" s="829">
        <f>IF(E6='RFPR cover'!$C$13,AVERAGE(('R9 - RAV'!E16*'R9 - RAV'!E36),'R9 - RAV'!E38),AVERAGE('R9 - RAV'!D38:E38))</f>
        <v>118.09377581491952</v>
      </c>
      <c r="F56" s="829">
        <f>IF(F6='RFPR cover'!$C$13,AVERAGE(('R9 - RAV'!F16*'R9 - RAV'!F36),'R9 - RAV'!F38),AVERAGE('R9 - RAV'!E38:F38))</f>
        <v>132.70443739272389</v>
      </c>
      <c r="G56" s="829">
        <f>IF(G6='RFPR cover'!$C$13,AVERAGE(('R9 - RAV'!G16*'R9 - RAV'!G36),'R9 - RAV'!G38),AVERAGE('R9 - RAV'!F38:G38))</f>
        <v>149.67434892341748</v>
      </c>
      <c r="H56" s="829">
        <f>IF(H6='RFPR cover'!$C$13,AVERAGE(('R9 - RAV'!H16*'R9 - RAV'!H36),'R9 - RAV'!H38),AVERAGE('R9 - RAV'!G38:H38))</f>
        <v>169.05519780543571</v>
      </c>
      <c r="I56" s="829">
        <f>IF(I6='RFPR cover'!$C$13,AVERAGE(('R9 - RAV'!I16*'R9 - RAV'!I36),'R9 - RAV'!I38),AVERAGE('R9 - RAV'!H38:I38))</f>
        <v>190.05794696953518</v>
      </c>
      <c r="J56" s="829">
        <f>IF(J6='RFPR cover'!$C$13,AVERAGE(('R9 - RAV'!J16*'R9 - RAV'!J36),'R9 - RAV'!J38),AVERAGE('R9 - RAV'!I38:J38))</f>
        <v>208.64232611789282</v>
      </c>
      <c r="K56" s="829">
        <f>IF(K6='RFPR cover'!$C$13,AVERAGE(('R9 - RAV'!K16*'R9 - RAV'!K36),'R9 - RAV'!K38),AVERAGE('R9 - RAV'!J38:K38))</f>
        <v>221.26313984743126</v>
      </c>
    </row>
    <row r="57" spans="2:13">
      <c r="B57" s="158" t="s">
        <v>441</v>
      </c>
      <c r="C57" s="112" t="s">
        <v>250</v>
      </c>
      <c r="D57" s="189">
        <f>D54/D56</f>
        <v>0.32992372119830399</v>
      </c>
      <c r="E57" s="190">
        <f t="shared" ref="E57:K57" si="10">E54/E56</f>
        <v>0.58289270137218796</v>
      </c>
      <c r="F57" s="190">
        <f t="shared" si="10"/>
        <v>0.56655980370496906</v>
      </c>
      <c r="G57" s="190">
        <f t="shared" si="10"/>
        <v>0.54748860168369962</v>
      </c>
      <c r="H57" s="190">
        <f t="shared" si="10"/>
        <v>0.53952792451240028</v>
      </c>
      <c r="I57" s="190">
        <f t="shared" si="10"/>
        <v>0.51361527072526059</v>
      </c>
      <c r="J57" s="190">
        <f t="shared" si="10"/>
        <v>0.37002397990243763</v>
      </c>
      <c r="K57" s="191">
        <f t="shared" si="10"/>
        <v>0.4245168988336574</v>
      </c>
    </row>
    <row r="58" spans="2:13">
      <c r="B58" s="158" t="s">
        <v>16</v>
      </c>
      <c r="C58" s="112" t="s">
        <v>250</v>
      </c>
      <c r="D58" s="697">
        <f>'RFPR cover'!$C$12</f>
        <v>0.6</v>
      </c>
      <c r="E58" s="698">
        <f>'RFPR cover'!$C$12</f>
        <v>0.6</v>
      </c>
      <c r="F58" s="698">
        <f>'RFPR cover'!$C$12</f>
        <v>0.6</v>
      </c>
      <c r="G58" s="698">
        <f>'RFPR cover'!$C$12</f>
        <v>0.6</v>
      </c>
      <c r="H58" s="698">
        <f>'RFPR cover'!$C$12</f>
        <v>0.6</v>
      </c>
      <c r="I58" s="698">
        <f>'RFPR cover'!$C$12</f>
        <v>0.6</v>
      </c>
      <c r="J58" s="698">
        <f>'RFPR cover'!$C$12</f>
        <v>0.6</v>
      </c>
      <c r="K58" s="699">
        <f>'RFPR cover'!$C$12</f>
        <v>0.6</v>
      </c>
    </row>
    <row r="59" spans="2:13">
      <c r="B59" s="158" t="s">
        <v>442</v>
      </c>
      <c r="C59" s="112" t="s">
        <v>250</v>
      </c>
      <c r="D59" s="194">
        <f t="shared" ref="D59:K59" si="11">IF(ISBLANK(D23),"n/a",D57-D58)</f>
        <v>-0.27007627880169599</v>
      </c>
      <c r="E59" s="195">
        <f t="shared" si="11"/>
        <v>-1.7107298627812018E-2</v>
      </c>
      <c r="F59" s="195">
        <f t="shared" si="11"/>
        <v>-3.3440196295030922E-2</v>
      </c>
      <c r="G59" s="195">
        <f t="shared" si="11"/>
        <v>-5.2511398316300362E-2</v>
      </c>
      <c r="H59" s="195">
        <f t="shared" si="11"/>
        <v>-6.0472075487599697E-2</v>
      </c>
      <c r="I59" s="195">
        <f t="shared" si="11"/>
        <v>-8.6384729274739391E-2</v>
      </c>
      <c r="J59" s="195">
        <f t="shared" si="11"/>
        <v>-0.22997602009756235</v>
      </c>
      <c r="K59" s="196">
        <f t="shared" si="11"/>
        <v>-0.17548310116634258</v>
      </c>
    </row>
    <row r="61" spans="2:13">
      <c r="B61" s="158" t="s">
        <v>443</v>
      </c>
      <c r="C61" s="114" t="str">
        <f>'RFPR cover'!$C$14</f>
        <v>£m 09/10</v>
      </c>
      <c r="D61" s="830">
        <f t="shared" ref="D61:K61" si="12">D63*D57</f>
        <v>26.970757324026181</v>
      </c>
      <c r="E61" s="831">
        <f t="shared" si="12"/>
        <v>56.609212266712419</v>
      </c>
      <c r="F61" s="831">
        <f t="shared" si="12"/>
        <v>61.161289152708854</v>
      </c>
      <c r="G61" s="831">
        <f t="shared" si="12"/>
        <v>65.098594133979717</v>
      </c>
      <c r="H61" s="831">
        <f t="shared" si="12"/>
        <v>70.177016720829556</v>
      </c>
      <c r="I61" s="831">
        <f t="shared" si="12"/>
        <v>72.944264814376822</v>
      </c>
      <c r="J61" s="831">
        <f t="shared" si="12"/>
        <v>56.438402485719628</v>
      </c>
      <c r="K61" s="832">
        <f t="shared" si="12"/>
        <v>67.505732413436874</v>
      </c>
      <c r="M61" s="270"/>
    </row>
    <row r="62" spans="2:13">
      <c r="B62" s="158" t="s">
        <v>444</v>
      </c>
      <c r="C62" s="114" t="str">
        <f>'RFPR cover'!$C$14</f>
        <v>£m 09/10</v>
      </c>
      <c r="D62" s="833">
        <f>D63*(1-D57)</f>
        <v>54.777706308921076</v>
      </c>
      <c r="E62" s="834">
        <f t="shared" ref="E62:K62" si="13">E63*(1-E57)</f>
        <v>40.508511344251744</v>
      </c>
      <c r="F62" s="834">
        <f t="shared" si="13"/>
        <v>46.790755367128007</v>
      </c>
      <c r="G62" s="834">
        <f t="shared" si="13"/>
        <v>53.805423107257937</v>
      </c>
      <c r="H62" s="834">
        <f t="shared" si="13"/>
        <v>59.894131652541866</v>
      </c>
      <c r="I62" s="834">
        <f t="shared" si="13"/>
        <v>69.076950231224203</v>
      </c>
      <c r="J62" s="834">
        <f t="shared" si="13"/>
        <v>96.08793513326512</v>
      </c>
      <c r="K62" s="835">
        <f t="shared" si="13"/>
        <v>91.512041905809497</v>
      </c>
      <c r="M62" s="270"/>
    </row>
    <row r="63" spans="2:13">
      <c r="B63" s="158" t="s">
        <v>445</v>
      </c>
      <c r="C63" s="114" t="str">
        <f>'RFPR cover'!$C$14</f>
        <v>£m 09/10</v>
      </c>
      <c r="D63" s="836">
        <f>'R9 - RAV'!D47</f>
        <v>81.748463632947249</v>
      </c>
      <c r="E63" s="836">
        <f>'R9 - RAV'!E47</f>
        <v>97.117723610964163</v>
      </c>
      <c r="F63" s="836">
        <f>'R9 - RAV'!F47</f>
        <v>107.95204451983686</v>
      </c>
      <c r="G63" s="836">
        <f>'R9 - RAV'!G47</f>
        <v>118.90401724123765</v>
      </c>
      <c r="H63" s="836">
        <f>'R9 - RAV'!H47</f>
        <v>130.07114837337141</v>
      </c>
      <c r="I63" s="836">
        <f>'R9 - RAV'!I47</f>
        <v>142.02121504560102</v>
      </c>
      <c r="J63" s="836">
        <f>'R9 - RAV'!J47</f>
        <v>152.52633761898474</v>
      </c>
      <c r="K63" s="836">
        <f>'R9 - RAV'!K47</f>
        <v>159.01777431924637</v>
      </c>
    </row>
    <row r="64" spans="2:13">
      <c r="B64" s="158" t="s">
        <v>441</v>
      </c>
      <c r="C64" s="112" t="s">
        <v>250</v>
      </c>
      <c r="D64" s="189">
        <f>D61/D63</f>
        <v>0.32992372119830399</v>
      </c>
      <c r="E64" s="190">
        <f t="shared" ref="E64:K64" si="14">E61/E63</f>
        <v>0.58289270137218796</v>
      </c>
      <c r="F64" s="190">
        <f t="shared" si="14"/>
        <v>0.56655980370496906</v>
      </c>
      <c r="G64" s="190">
        <f t="shared" si="14"/>
        <v>0.54748860168369962</v>
      </c>
      <c r="H64" s="190">
        <f t="shared" si="14"/>
        <v>0.53952792451240028</v>
      </c>
      <c r="I64" s="190">
        <f t="shared" si="14"/>
        <v>0.51361527072526059</v>
      </c>
      <c r="J64" s="190">
        <f t="shared" si="14"/>
        <v>0.37002397990243763</v>
      </c>
      <c r="K64" s="191">
        <f t="shared" si="14"/>
        <v>0.4245168988336574</v>
      </c>
    </row>
    <row r="65" spans="2:11">
      <c r="B65" s="158" t="s">
        <v>16</v>
      </c>
      <c r="C65" s="112" t="s">
        <v>250</v>
      </c>
      <c r="D65" s="697">
        <f>'RFPR cover'!$C$12</f>
        <v>0.6</v>
      </c>
      <c r="E65" s="698">
        <f>'RFPR cover'!$C$12</f>
        <v>0.6</v>
      </c>
      <c r="F65" s="698">
        <f>'RFPR cover'!$C$12</f>
        <v>0.6</v>
      </c>
      <c r="G65" s="698">
        <f>'RFPR cover'!$C$12</f>
        <v>0.6</v>
      </c>
      <c r="H65" s="698">
        <f>'RFPR cover'!$C$12</f>
        <v>0.6</v>
      </c>
      <c r="I65" s="698">
        <f>'RFPR cover'!$C$12</f>
        <v>0.6</v>
      </c>
      <c r="J65" s="698">
        <f>'RFPR cover'!$C$12</f>
        <v>0.6</v>
      </c>
      <c r="K65" s="699">
        <f>'RFPR cover'!$C$12</f>
        <v>0.6</v>
      </c>
    </row>
    <row r="66" spans="2:11">
      <c r="B66" s="158" t="s">
        <v>442</v>
      </c>
      <c r="C66" s="112" t="s">
        <v>250</v>
      </c>
      <c r="D66" s="194">
        <f t="shared" ref="D66:K66" si="15">IF(ISBLANK(D23),"n/a",D64-D65)</f>
        <v>-0.27007627880169599</v>
      </c>
      <c r="E66" s="195">
        <f t="shared" si="15"/>
        <v>-1.7107298627812018E-2</v>
      </c>
      <c r="F66" s="195">
        <f t="shared" si="15"/>
        <v>-3.3440196295030922E-2</v>
      </c>
      <c r="G66" s="195">
        <f t="shared" si="15"/>
        <v>-5.2511398316300362E-2</v>
      </c>
      <c r="H66" s="195">
        <f t="shared" si="15"/>
        <v>-6.0472075487599697E-2</v>
      </c>
      <c r="I66" s="195">
        <f t="shared" si="15"/>
        <v>-8.6384729274739391E-2</v>
      </c>
      <c r="J66" s="195">
        <f t="shared" si="15"/>
        <v>-0.22997602009756235</v>
      </c>
      <c r="K66" s="196">
        <f t="shared" si="15"/>
        <v>-0.17548310116634258</v>
      </c>
    </row>
  </sheetData>
  <sheetProtection algorithmName="SHA-512" hashValue="b744s8QLHa0GYTkx3itV4l06sEE8v+OfurkOVM6Ptir+PKUwdUNai21WizqswVARFgts6Sd1u4xH5qjmm1MbVA==" saltValue="0rJrHedErEfpJ5fHPpvo0Q==" spinCount="100000" sheet="1" formatCells="0" formatColumns="0" formatRows="0" insertColumns="0" insertRows="0" insertHyperlinks="0" deleteColumns="0" deleteRows="0" sort="0" autoFilter="0" pivotTables="0"/>
  <conditionalFormatting sqref="D6:K6">
    <cfRule type="expression" dxfId="36" priority="22">
      <formula>AND(D$5="Actuals",E$5="Forecast")</formula>
    </cfRule>
  </conditionalFormatting>
  <conditionalFormatting sqref="D5:K5">
    <cfRule type="expression" dxfId="35" priority="11">
      <formula>AND(D$5="Actuals",E$5="Forecast")</formula>
    </cfRule>
  </conditionalFormatting>
  <conditionalFormatting sqref="J13">
    <cfRule type="expression" dxfId="34" priority="4">
      <formula>J$5="Forecast"</formula>
    </cfRule>
  </conditionalFormatting>
  <conditionalFormatting sqref="J10">
    <cfRule type="expression" dxfId="33" priority="3">
      <formula>J$5="Forecast"</formula>
    </cfRule>
  </conditionalFormatting>
  <conditionalFormatting sqref="J31:J32">
    <cfRule type="expression" dxfId="32" priority="1">
      <formula>J$5="Forecast"</formula>
    </cfRule>
  </conditionalFormatting>
  <pageMargins left="0.70866141732283472" right="0.70866141732283472" top="0.74803149606299213" bottom="0.74803149606299213" header="0.31496062992125984" footer="0.31496062992125984"/>
  <pageSetup paperSize="8" scale="83" orientation="landscape"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9" id="{D124567E-9F0B-499E-895A-A9A6A77C130B}">
            <xm:f>'R7 - Financing'!D$5="Forecast"</xm:f>
            <x14:dxf>
              <fill>
                <patternFill>
                  <bgColor theme="7" tint="0.79998168889431442"/>
                </patternFill>
              </fill>
            </x14:dxf>
          </x14:cfRule>
          <x14:cfRule type="expression" priority="10"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FFCC"/>
    <pageSetUpPr fitToPage="1"/>
  </sheetPr>
  <dimension ref="A1:N63"/>
  <sheetViews>
    <sheetView showGridLines="0" topLeftCell="C1" zoomScale="80" zoomScaleNormal="80" workbookViewId="0">
      <pane ySplit="6" topLeftCell="A22" activePane="bottomLeft" state="frozen"/>
      <selection activeCell="B75" sqref="A1:XFD1048576"/>
      <selection pane="bottomLeft" activeCell="K29" sqref="K29"/>
    </sheetView>
  </sheetViews>
  <sheetFormatPr defaultRowHeight="12.75"/>
  <cols>
    <col min="1" max="1" width="8.375" customWidth="1"/>
    <col min="2" max="2" width="74.5" customWidth="1"/>
    <col min="3" max="3" width="14.125" style="157" customWidth="1"/>
    <col min="4" max="11" width="11.125" customWidth="1"/>
    <col min="12" max="12" width="5" customWidth="1"/>
    <col min="14" max="14" width="9" style="171"/>
  </cols>
  <sheetData>
    <row r="1" spans="1:14" s="18" customFormat="1" ht="20.25">
      <c r="A1" s="856" t="s">
        <v>446</v>
      </c>
      <c r="B1" s="732"/>
      <c r="C1" s="894"/>
      <c r="D1" s="211"/>
      <c r="E1" s="211"/>
      <c r="F1" s="211"/>
      <c r="G1" s="211"/>
      <c r="H1" s="211"/>
      <c r="I1" s="212"/>
      <c r="J1" s="212"/>
      <c r="K1" s="213"/>
      <c r="L1" s="876"/>
      <c r="N1" s="170"/>
    </row>
    <row r="2" spans="1:14" s="18" customFormat="1" ht="20.25">
      <c r="A2" s="725" t="str">
        <f>'RFPR cover'!C5</f>
        <v>NGET (SO)</v>
      </c>
      <c r="B2" s="720"/>
      <c r="C2" s="179"/>
      <c r="D2" s="16"/>
      <c r="E2" s="16"/>
      <c r="F2" s="16"/>
      <c r="G2" s="16"/>
      <c r="H2" s="16"/>
      <c r="I2" s="15"/>
      <c r="J2" s="15"/>
      <c r="K2" s="15"/>
      <c r="L2" s="93"/>
      <c r="N2" s="170"/>
    </row>
    <row r="3" spans="1:14" s="18" customFormat="1" ht="20.25">
      <c r="A3" s="728">
        <f>'RFPR cover'!C7</f>
        <v>2020</v>
      </c>
      <c r="B3" s="735"/>
      <c r="C3" s="321"/>
      <c r="D3" s="214"/>
      <c r="E3" s="214"/>
      <c r="F3" s="214"/>
      <c r="G3" s="214"/>
      <c r="H3" s="214"/>
      <c r="I3" s="210"/>
      <c r="J3" s="210"/>
      <c r="K3" s="210"/>
      <c r="L3" s="215"/>
      <c r="N3" s="170"/>
    </row>
    <row r="4" spans="1:14" s="2" customFormat="1" ht="12.75" customHeight="1">
      <c r="C4" s="1"/>
      <c r="N4" s="94"/>
    </row>
    <row r="5" spans="1:14" s="2" customFormat="1">
      <c r="B5" s="24"/>
      <c r="C5" s="180"/>
      <c r="D5" s="314" t="str">
        <f>IF(D6&lt;='RFPR cover'!$C$7-1,"Actuals","Forecast")</f>
        <v>Actuals</v>
      </c>
      <c r="E5" s="314" t="str">
        <f>IF(E6&lt;='RFPR cover'!$C$7-1,"Actuals","Forecast")</f>
        <v>Actuals</v>
      </c>
      <c r="F5" s="314" t="str">
        <f>IF(F6&lt;='RFPR cover'!$C$7-1,"Actuals","Forecast")</f>
        <v>Actuals</v>
      </c>
      <c r="G5" s="314" t="str">
        <f>IF(G6&lt;='RFPR cover'!$C$7-1,"Actuals","Forecast")</f>
        <v>Actuals</v>
      </c>
      <c r="H5" s="314" t="str">
        <f>IF(H6&lt;='RFPR cover'!$C$7-1,"Actuals","Forecast")</f>
        <v>Actuals</v>
      </c>
      <c r="I5" s="314" t="str">
        <f>IF(I6&lt;='RFPR cover'!$C$7-1,"Actuals","Forecast")</f>
        <v>Actuals</v>
      </c>
      <c r="J5" s="314" t="str">
        <f>IF(J6&lt;='RFPR cover'!$C$7-1,"Actuals","Forecast")</f>
        <v>Forecast</v>
      </c>
      <c r="K5" s="314" t="str">
        <f>IF(K6&lt;='RFPR cover'!$C$7-1,"Actuals","Forecast")</f>
        <v>Forecast</v>
      </c>
      <c r="N5" s="94"/>
    </row>
    <row r="6" spans="1:14" s="2" customFormat="1">
      <c r="C6" s="1"/>
      <c r="D6" s="90">
        <f>'RFPR cover'!$C$13</f>
        <v>2014</v>
      </c>
      <c r="E6" s="91">
        <f>D6+1</f>
        <v>2015</v>
      </c>
      <c r="F6" s="91">
        <f t="shared" ref="F6:K6" si="0">E6+1</f>
        <v>2016</v>
      </c>
      <c r="G6" s="91">
        <f t="shared" si="0"/>
        <v>2017</v>
      </c>
      <c r="H6" s="91">
        <f t="shared" si="0"/>
        <v>2018</v>
      </c>
      <c r="I6" s="91">
        <f t="shared" si="0"/>
        <v>2019</v>
      </c>
      <c r="J6" s="91">
        <f t="shared" si="0"/>
        <v>2020</v>
      </c>
      <c r="K6" s="154">
        <f t="shared" si="0"/>
        <v>2021</v>
      </c>
      <c r="N6" s="94"/>
    </row>
    <row r="7" spans="1:14" s="2" customFormat="1">
      <c r="A7" s="21"/>
      <c r="B7" s="21"/>
      <c r="C7" s="268"/>
      <c r="D7" s="347"/>
      <c r="E7" s="347"/>
      <c r="F7" s="347"/>
      <c r="G7" s="347"/>
      <c r="H7" s="347"/>
      <c r="I7" s="347"/>
      <c r="J7" s="347"/>
      <c r="K7" s="347"/>
      <c r="L7" s="21"/>
      <c r="M7" s="21"/>
      <c r="N7" s="183"/>
    </row>
    <row r="8" spans="1:14" s="2" customFormat="1">
      <c r="B8" s="5" t="s">
        <v>447</v>
      </c>
      <c r="N8" s="94"/>
    </row>
    <row r="9" spans="1:14" s="2" customFormat="1">
      <c r="B9" s="300" t="s">
        <v>448</v>
      </c>
      <c r="C9" s="300"/>
      <c r="D9" s="300"/>
      <c r="E9" s="300"/>
      <c r="F9" s="300"/>
      <c r="G9" s="300"/>
      <c r="H9" s="300"/>
      <c r="I9" s="300"/>
      <c r="J9" s="300"/>
      <c r="K9" s="300"/>
      <c r="L9" s="300"/>
      <c r="N9" s="94"/>
    </row>
    <row r="10" spans="1:14" s="21" customFormat="1">
      <c r="B10" s="346"/>
      <c r="C10" s="346"/>
      <c r="D10" s="346"/>
      <c r="E10" s="346"/>
      <c r="F10" s="346"/>
      <c r="G10" s="346"/>
      <c r="H10" s="346"/>
      <c r="I10" s="346"/>
      <c r="J10" s="346"/>
      <c r="K10" s="346"/>
      <c r="L10" s="346"/>
      <c r="N10" s="183"/>
    </row>
    <row r="11" spans="1:14" s="2" customFormat="1">
      <c r="B11" s="158" t="s">
        <v>449</v>
      </c>
      <c r="C11" s="168" t="str">
        <f>'RFPR cover'!$C$14</f>
        <v>£m 09/10</v>
      </c>
      <c r="D11" s="575">
        <v>94.867572674081416</v>
      </c>
      <c r="E11" s="575">
        <v>107.32395023965394</v>
      </c>
      <c r="F11" s="575">
        <v>117.68156233117602</v>
      </c>
      <c r="G11" s="575">
        <v>128.4084006791667</v>
      </c>
      <c r="H11" s="575">
        <v>138.31724479594911</v>
      </c>
      <c r="I11" s="575">
        <v>152.08614270900932</v>
      </c>
      <c r="J11" s="575">
        <v>154.77335393325794</v>
      </c>
      <c r="K11" s="575">
        <v>155.5995546496612</v>
      </c>
      <c r="N11" s="94"/>
    </row>
    <row r="12" spans="1:14" s="2" customFormat="1">
      <c r="N12" s="94"/>
    </row>
    <row r="13" spans="1:14" s="2" customFormat="1">
      <c r="B13" s="5" t="s">
        <v>450</v>
      </c>
      <c r="C13" s="1"/>
      <c r="D13" s="1"/>
      <c r="E13" s="1"/>
      <c r="F13" s="1"/>
      <c r="G13" s="1"/>
      <c r="H13" s="1"/>
      <c r="I13" s="1"/>
      <c r="J13" s="1"/>
      <c r="K13" s="1"/>
      <c r="N13" s="94"/>
    </row>
    <row r="14" spans="1:14" s="2" customFormat="1">
      <c r="B14" s="300" t="s">
        <v>451</v>
      </c>
      <c r="C14" s="269"/>
      <c r="D14" s="269"/>
      <c r="E14" s="269"/>
      <c r="F14" s="269"/>
      <c r="G14" s="269"/>
      <c r="H14" s="269"/>
      <c r="I14" s="269"/>
      <c r="J14" s="269"/>
      <c r="K14" s="269"/>
      <c r="L14" s="245"/>
      <c r="N14" s="94"/>
    </row>
    <row r="15" spans="1:14" s="21" customFormat="1">
      <c r="B15" s="346"/>
      <c r="C15" s="268"/>
      <c r="D15" s="268"/>
      <c r="E15" s="268"/>
      <c r="F15" s="268"/>
      <c r="G15" s="268"/>
      <c r="H15" s="268"/>
      <c r="I15" s="268"/>
      <c r="J15" s="268"/>
      <c r="K15" s="268"/>
      <c r="N15" s="183"/>
    </row>
    <row r="16" spans="1:14" s="2" customFormat="1">
      <c r="B16" s="316" t="s">
        <v>452</v>
      </c>
      <c r="C16" s="168" t="str">
        <f>'RFPR cover'!$C$14</f>
        <v>£m 09/10</v>
      </c>
      <c r="D16" s="575">
        <v>74.160747515587701</v>
      </c>
      <c r="E16" s="576">
        <f>D29</f>
        <v>93.402762652540744</v>
      </c>
      <c r="F16" s="576">
        <f t="shared" ref="F16:K16" si="1">E29</f>
        <v>105.30158914950282</v>
      </c>
      <c r="G16" s="576">
        <f t="shared" si="1"/>
        <v>115.3915881354153</v>
      </c>
      <c r="H16" s="576">
        <f t="shared" si="1"/>
        <v>127.59221369861372</v>
      </c>
      <c r="I16" s="576">
        <f t="shared" si="1"/>
        <v>138.02705247967782</v>
      </c>
      <c r="J16" s="576">
        <f t="shared" si="1"/>
        <v>151.77714441207496</v>
      </c>
      <c r="K16" s="483">
        <f t="shared" si="1"/>
        <v>159.02029772124905</v>
      </c>
      <c r="N16" s="94"/>
    </row>
    <row r="17" spans="2:14" s="2" customFormat="1">
      <c r="B17" s="316" t="s">
        <v>453</v>
      </c>
      <c r="C17" s="168" t="str">
        <f>'RFPR cover'!$C$14</f>
        <v>£m 09/10</v>
      </c>
      <c r="D17" s="763">
        <v>0</v>
      </c>
      <c r="E17" s="763">
        <v>0</v>
      </c>
      <c r="F17" s="763">
        <v>0</v>
      </c>
      <c r="G17" s="763">
        <v>0</v>
      </c>
      <c r="H17" s="763">
        <v>0</v>
      </c>
      <c r="I17" s="763">
        <v>0</v>
      </c>
      <c r="J17" s="763">
        <v>0</v>
      </c>
      <c r="K17" s="763">
        <v>0</v>
      </c>
      <c r="N17" s="94"/>
    </row>
    <row r="18" spans="2:14" s="2" customFormat="1">
      <c r="B18" s="5" t="s">
        <v>454</v>
      </c>
      <c r="C18" s="168" t="str">
        <f>'RFPR cover'!$C$14</f>
        <v>£m 09/10</v>
      </c>
      <c r="D18" s="577">
        <f>SUM(D16:D17)</f>
        <v>74.160747515587701</v>
      </c>
      <c r="E18" s="578">
        <f t="shared" ref="E18:K18" si="2">SUM(E16:E17)</f>
        <v>93.402762652540744</v>
      </c>
      <c r="F18" s="578">
        <f t="shared" si="2"/>
        <v>105.30158914950282</v>
      </c>
      <c r="G18" s="578">
        <f t="shared" si="2"/>
        <v>115.3915881354153</v>
      </c>
      <c r="H18" s="578">
        <f t="shared" si="2"/>
        <v>127.59221369861372</v>
      </c>
      <c r="I18" s="578">
        <f t="shared" si="2"/>
        <v>138.02705247967782</v>
      </c>
      <c r="J18" s="578">
        <f t="shared" si="2"/>
        <v>151.77714441207496</v>
      </c>
      <c r="K18" s="579">
        <f t="shared" si="2"/>
        <v>159.02029772124905</v>
      </c>
      <c r="N18" s="94"/>
    </row>
    <row r="19" spans="2:14" s="2" customFormat="1">
      <c r="B19" s="318" t="s">
        <v>455</v>
      </c>
      <c r="C19" s="168" t="str">
        <f>'RFPR cover'!$C$14</f>
        <v>£m 09/10</v>
      </c>
      <c r="D19" s="575">
        <v>36.353870131882168</v>
      </c>
      <c r="E19" s="575">
        <v>31.837657449556602</v>
      </c>
      <c r="F19" s="575">
        <v>32.881938063757588</v>
      </c>
      <c r="G19" s="575">
        <v>36.119761566707382</v>
      </c>
      <c r="H19" s="575">
        <v>38.995844161041546</v>
      </c>
      <c r="I19" s="575">
        <v>45.915866731316534</v>
      </c>
      <c r="J19" s="575">
        <v>41.989536562075592</v>
      </c>
      <c r="K19" s="575">
        <v>42.423913211623876</v>
      </c>
      <c r="N19" s="94"/>
    </row>
    <row r="20" spans="2:14" s="2" customFormat="1">
      <c r="B20" s="318" t="s">
        <v>456</v>
      </c>
      <c r="C20" s="168" t="str">
        <f>'RFPR cover'!$C$14</f>
        <v>£m 09/10</v>
      </c>
      <c r="D20" s="575">
        <v>-1.4665336415649222</v>
      </c>
      <c r="E20" s="575">
        <v>-0.76865103865216611</v>
      </c>
      <c r="F20" s="575">
        <v>-0.58820485680153212</v>
      </c>
      <c r="G20" s="575">
        <v>1.0688002723420098</v>
      </c>
      <c r="H20" s="575">
        <v>0.27384099330628686</v>
      </c>
      <c r="I20" s="763">
        <v>-0.22885978383153116</v>
      </c>
      <c r="J20" s="575">
        <v>0.86915205262472739</v>
      </c>
      <c r="K20" s="575">
        <v>0.67114370301812443</v>
      </c>
      <c r="N20" s="94"/>
    </row>
    <row r="21" spans="2:14" s="2" customFormat="1">
      <c r="B21" s="317" t="s">
        <v>457</v>
      </c>
      <c r="C21" s="168" t="str">
        <f>'RFPR cover'!$C$14</f>
        <v>£m 09/10</v>
      </c>
      <c r="D21" s="577">
        <f t="shared" ref="D21:K21" si="3">SUM(D19:D20)</f>
        <v>34.887336490317246</v>
      </c>
      <c r="E21" s="578">
        <f t="shared" si="3"/>
        <v>31.069006410904436</v>
      </c>
      <c r="F21" s="578">
        <f t="shared" si="3"/>
        <v>32.293733206956055</v>
      </c>
      <c r="G21" s="578">
        <f t="shared" si="3"/>
        <v>37.188561839049392</v>
      </c>
      <c r="H21" s="578">
        <f t="shared" si="3"/>
        <v>39.269685154347833</v>
      </c>
      <c r="I21" s="578">
        <f t="shared" si="3"/>
        <v>45.687006947485003</v>
      </c>
      <c r="J21" s="578">
        <f t="shared" si="3"/>
        <v>42.85868861470032</v>
      </c>
      <c r="K21" s="579">
        <f t="shared" si="3"/>
        <v>43.095056914642001</v>
      </c>
      <c r="N21" s="94"/>
    </row>
    <row r="22" spans="2:14" s="2" customFormat="1">
      <c r="B22" s="318" t="s">
        <v>458</v>
      </c>
      <c r="C22" s="168" t="str">
        <f>'RFPR cover'!$C$14</f>
        <v>£m 09/10</v>
      </c>
      <c r="D22" s="575">
        <v>-15.645321353364194</v>
      </c>
      <c r="E22" s="575">
        <v>-19.37968471988021</v>
      </c>
      <c r="F22" s="575">
        <v>-22.523046318217425</v>
      </c>
      <c r="G22" s="575">
        <v>-25.391277638282205</v>
      </c>
      <c r="H22" s="575">
        <v>-29.085501982523269</v>
      </c>
      <c r="I22" s="575">
        <v>-32.14845048242649</v>
      </c>
      <c r="J22" s="575">
        <v>-35.859765027697932</v>
      </c>
      <c r="K22" s="575">
        <v>-37.72778209519106</v>
      </c>
      <c r="N22" s="94"/>
    </row>
    <row r="23" spans="2:14" s="2" customFormat="1">
      <c r="B23" s="318" t="s">
        <v>459</v>
      </c>
      <c r="C23" s="168" t="str">
        <f>'RFPR cover'!$C$14</f>
        <v>£m 09/10</v>
      </c>
      <c r="D23" s="575">
        <v>0</v>
      </c>
      <c r="E23" s="575">
        <v>0.20950480593784704</v>
      </c>
      <c r="F23" s="575">
        <v>0.31931209717387077</v>
      </c>
      <c r="G23" s="575">
        <v>0.40334136243123453</v>
      </c>
      <c r="H23" s="575">
        <v>0.2506556092395158</v>
      </c>
      <c r="I23" s="575">
        <v>0.21153546733862072</v>
      </c>
      <c r="J23" s="575">
        <v>0.24422972217169558</v>
      </c>
      <c r="K23" s="575">
        <v>0.12006514322530393</v>
      </c>
      <c r="N23" s="94"/>
    </row>
    <row r="24" spans="2:14" s="2" customFormat="1">
      <c r="B24" s="317" t="s">
        <v>460</v>
      </c>
      <c r="C24" s="168" t="str">
        <f>'RFPR cover'!$C$14</f>
        <v>£m 09/10</v>
      </c>
      <c r="D24" s="577">
        <f t="shared" ref="D24:K24" si="4">SUM(D22:D23)</f>
        <v>-15.645321353364194</v>
      </c>
      <c r="E24" s="578">
        <f t="shared" si="4"/>
        <v>-19.170179913942363</v>
      </c>
      <c r="F24" s="578">
        <f t="shared" si="4"/>
        <v>-22.203734221043554</v>
      </c>
      <c r="G24" s="578">
        <f t="shared" si="4"/>
        <v>-24.98793627585097</v>
      </c>
      <c r="H24" s="578">
        <f t="shared" si="4"/>
        <v>-28.834846373283753</v>
      </c>
      <c r="I24" s="578">
        <f t="shared" si="4"/>
        <v>-31.93691501508787</v>
      </c>
      <c r="J24" s="578">
        <f t="shared" si="4"/>
        <v>-35.615535305526237</v>
      </c>
      <c r="K24" s="579">
        <f t="shared" si="4"/>
        <v>-37.607716951965756</v>
      </c>
      <c r="N24" s="94"/>
    </row>
    <row r="25" spans="2:14" s="2" customFormat="1">
      <c r="B25" s="319" t="s">
        <v>461</v>
      </c>
      <c r="C25" s="168" t="str">
        <f>'RFPR cover'!$C$14</f>
        <v>£m 09/10</v>
      </c>
      <c r="D25" s="580"/>
      <c r="E25" s="581"/>
      <c r="F25" s="581"/>
      <c r="G25" s="581"/>
      <c r="H25" s="581"/>
      <c r="I25" s="581"/>
      <c r="J25" s="581"/>
      <c r="K25" s="582"/>
      <c r="N25" s="94"/>
    </row>
    <row r="26" spans="2:14" s="2" customFormat="1">
      <c r="B26" s="319" t="s">
        <v>461</v>
      </c>
      <c r="C26" s="168" t="str">
        <f>'RFPR cover'!$C$14</f>
        <v>£m 09/10</v>
      </c>
      <c r="D26" s="580"/>
      <c r="E26" s="581"/>
      <c r="F26" s="581"/>
      <c r="G26" s="581"/>
      <c r="H26" s="581"/>
      <c r="I26" s="581"/>
      <c r="J26" s="581"/>
      <c r="K26" s="582"/>
      <c r="N26" s="94"/>
    </row>
    <row r="27" spans="2:14" s="2" customFormat="1">
      <c r="B27" s="319" t="s">
        <v>461</v>
      </c>
      <c r="C27" s="168" t="str">
        <f>'RFPR cover'!$C$14</f>
        <v>£m 09/10</v>
      </c>
      <c r="D27" s="580"/>
      <c r="E27" s="581"/>
      <c r="F27" s="581"/>
      <c r="G27" s="581"/>
      <c r="H27" s="581"/>
      <c r="I27" s="581"/>
      <c r="J27" s="581"/>
      <c r="K27" s="582"/>
      <c r="N27" s="94"/>
    </row>
    <row r="28" spans="2:14" s="2" customFormat="1">
      <c r="B28" s="317" t="s">
        <v>462</v>
      </c>
      <c r="C28" s="168" t="str">
        <f>'RFPR cover'!$C$14</f>
        <v>£m 09/10</v>
      </c>
      <c r="D28" s="895">
        <f>SUM(D25:D27)</f>
        <v>0</v>
      </c>
      <c r="E28" s="896">
        <f t="shared" ref="E28:K28" si="5">SUM(E25:E27)</f>
        <v>0</v>
      </c>
      <c r="F28" s="896">
        <f t="shared" si="5"/>
        <v>0</v>
      </c>
      <c r="G28" s="896">
        <f t="shared" si="5"/>
        <v>0</v>
      </c>
      <c r="H28" s="896">
        <f t="shared" si="5"/>
        <v>0</v>
      </c>
      <c r="I28" s="896">
        <f t="shared" si="5"/>
        <v>0</v>
      </c>
      <c r="J28" s="896">
        <f t="shared" si="5"/>
        <v>0</v>
      </c>
      <c r="K28" s="897">
        <f t="shared" si="5"/>
        <v>0</v>
      </c>
      <c r="N28" s="94"/>
    </row>
    <row r="29" spans="2:14" s="2" customFormat="1">
      <c r="B29" s="5" t="s">
        <v>463</v>
      </c>
      <c r="C29" s="168" t="str">
        <f>'RFPR cover'!$C$14</f>
        <v>£m 09/10</v>
      </c>
      <c r="D29" s="583">
        <f>D18+D21+D24+D28</f>
        <v>93.402762652540744</v>
      </c>
      <c r="E29" s="584">
        <f t="shared" ref="E29:K29" si="6">E18+E21+E24+E28</f>
        <v>105.30158914950282</v>
      </c>
      <c r="F29" s="584">
        <f t="shared" si="6"/>
        <v>115.3915881354153</v>
      </c>
      <c r="G29" s="584">
        <f t="shared" si="6"/>
        <v>127.59221369861372</v>
      </c>
      <c r="H29" s="584">
        <f t="shared" si="6"/>
        <v>138.02705247967782</v>
      </c>
      <c r="I29" s="584">
        <f t="shared" si="6"/>
        <v>151.77714441207496</v>
      </c>
      <c r="J29" s="584">
        <f t="shared" si="6"/>
        <v>159.02029772124905</v>
      </c>
      <c r="K29" s="585">
        <f t="shared" si="6"/>
        <v>164.50763768392528</v>
      </c>
      <c r="N29" s="94"/>
    </row>
    <row r="30" spans="2:14" s="2" customFormat="1">
      <c r="B30" s="5"/>
      <c r="C30" s="168"/>
      <c r="D30" s="168"/>
      <c r="E30" s="168"/>
      <c r="F30" s="168"/>
      <c r="G30" s="168"/>
      <c r="H30" s="168"/>
      <c r="I30" s="168"/>
      <c r="J30" s="168"/>
      <c r="K30" s="168"/>
      <c r="L30" s="168"/>
      <c r="N30" s="94"/>
    </row>
    <row r="31" spans="2:14" s="2" customFormat="1">
      <c r="B31" s="5" t="s">
        <v>464</v>
      </c>
      <c r="C31" s="168" t="str">
        <f>'RFPR cover'!$C$14</f>
        <v>£m 09/10</v>
      </c>
      <c r="D31" s="583">
        <f t="shared" ref="D31:K31" si="7">(D20+D23+D28)</f>
        <v>-1.4665336415649222</v>
      </c>
      <c r="E31" s="583">
        <f t="shared" si="7"/>
        <v>-0.55914623271431907</v>
      </c>
      <c r="F31" s="583">
        <f t="shared" si="7"/>
        <v>-0.26889275962766135</v>
      </c>
      <c r="G31" s="583">
        <f t="shared" si="7"/>
        <v>1.4721416347732443</v>
      </c>
      <c r="H31" s="583">
        <f t="shared" si="7"/>
        <v>0.52449660254580266</v>
      </c>
      <c r="I31" s="583">
        <f t="shared" si="7"/>
        <v>-1.7324316492910441E-2</v>
      </c>
      <c r="J31" s="583">
        <f t="shared" si="7"/>
        <v>1.113381774796423</v>
      </c>
      <c r="K31" s="583">
        <f t="shared" si="7"/>
        <v>0.79120884624342835</v>
      </c>
      <c r="L31" s="168"/>
      <c r="N31" s="94"/>
    </row>
    <row r="32" spans="2:14" s="2" customFormat="1">
      <c r="B32" s="5" t="s">
        <v>465</v>
      </c>
      <c r="C32" s="168"/>
      <c r="D32" s="419" t="str">
        <f>IF(D5="Actuals",IF(ABS((D29-SUM($D$31:D31))-D11)&lt;'RFPR cover'!$F$14,"TRUE","FALSE"),"NA")</f>
        <v>TRUE</v>
      </c>
      <c r="E32" s="419" t="str">
        <f>IF(E5="Actuals",IF(ABS((E29-SUM($D$31:E31))-E11)&lt;'RFPR cover'!$F$14,"TRUE","FALSE"),"NA")</f>
        <v>TRUE</v>
      </c>
      <c r="F32" s="419" t="str">
        <f>IF(F5="Actuals",IF(ABS((F29-SUM($D$31:F31))-F11)&lt;'RFPR cover'!$F$14,"TRUE","FALSE"),"NA")</f>
        <v>TRUE</v>
      </c>
      <c r="G32" s="419" t="str">
        <f>IF(G5="Actuals",IF(ABS((G29-SUM($D$31:G31))-G11)&lt;'RFPR cover'!$F$14,"TRUE","FALSE"),"NA")</f>
        <v>TRUE</v>
      </c>
      <c r="H32" s="419" t="str">
        <f>IF(H5="Actuals",IF(ABS((H29-SUM($D$31:H31))-H11)&lt;'RFPR cover'!$F$14,"TRUE","FALSE"),"NA")</f>
        <v>TRUE</v>
      </c>
      <c r="I32" s="419" t="str">
        <f>IF(I5="Actuals",IF(ABS((I29-SUM($D$31:I31))-I11)&lt;'RFPR cover'!$F$14,"TRUE","FALSE"),"NA")</f>
        <v>TRUE</v>
      </c>
      <c r="J32" s="419" t="str">
        <f>IF(J5="Actuals",IF(ABS((J29-SUM($D$31:J31))-J11)&lt;'RFPR cover'!$F$14,"TRUE","FALSE"),"NA")</f>
        <v>NA</v>
      </c>
      <c r="K32" s="419" t="str">
        <f>IF(K5="Actuals",IF(ABS((K29-SUM($D$31:K31))-K11)&lt;'RFPR cover'!$F$14,"TRUE","FALSE"),"NA")</f>
        <v>NA</v>
      </c>
      <c r="L32" s="168"/>
      <c r="N32" s="94"/>
    </row>
    <row r="33" spans="2:14" s="21" customFormat="1">
      <c r="B33" s="34"/>
      <c r="C33" s="388"/>
      <c r="D33" s="389"/>
      <c r="E33" s="389"/>
      <c r="F33" s="389"/>
      <c r="G33" s="389"/>
      <c r="H33" s="389"/>
      <c r="I33" s="389"/>
      <c r="J33" s="389"/>
      <c r="K33" s="389"/>
      <c r="N33" s="183"/>
    </row>
    <row r="34" spans="2:14" s="21" customFormat="1">
      <c r="B34" s="34" t="s">
        <v>31</v>
      </c>
      <c r="C34" s="221" t="s">
        <v>296</v>
      </c>
      <c r="D34" s="85">
        <f>Data!C$35</f>
        <v>1.1829890576408812</v>
      </c>
      <c r="E34" s="85">
        <f>Data!D$35</f>
        <v>1.1936487043894572</v>
      </c>
      <c r="F34" s="85">
        <f>Data!E$35</f>
        <v>1.2107968317676012</v>
      </c>
      <c r="G34" s="85">
        <f>Data!F$35</f>
        <v>1.2511181042513455</v>
      </c>
      <c r="H34" s="85">
        <f>Data!G$35</f>
        <v>1.2930614968924812</v>
      </c>
      <c r="I34" s="85">
        <f>Data!H$35</f>
        <v>1.3285164089040491</v>
      </c>
      <c r="J34" s="85">
        <f>Data!I$35</f>
        <v>1.3560924515797135</v>
      </c>
      <c r="K34" s="85">
        <f>Data!J$35</f>
        <v>1.3791460232565684</v>
      </c>
      <c r="N34" s="183"/>
    </row>
    <row r="35" spans="2:14" s="18" customFormat="1">
      <c r="B35" s="23" t="s">
        <v>45</v>
      </c>
      <c r="C35" s="221" t="s">
        <v>296</v>
      </c>
      <c r="D35" s="85">
        <f>Data!C$34</f>
        <v>1.1666890673736021</v>
      </c>
      <c r="E35" s="86">
        <f>Data!D$34</f>
        <v>1.1895563269638081</v>
      </c>
      <c r="F35" s="86">
        <f>Data!E$34</f>
        <v>1.2023757108362261</v>
      </c>
      <c r="G35" s="86">
        <f>Data!F$34</f>
        <v>1.2281396135646323</v>
      </c>
      <c r="H35" s="86">
        <f>Data!G$34</f>
        <v>1.2740965949380583</v>
      </c>
      <c r="I35" s="86">
        <f>Data!H$34</f>
        <v>1.3130274787154661</v>
      </c>
      <c r="J35" s="86">
        <f>Data!I$34</f>
        <v>1.3470178479563604</v>
      </c>
      <c r="K35" s="87">
        <f>Data!J$34</f>
        <v>1.3699171513716184</v>
      </c>
      <c r="L35" s="192"/>
      <c r="N35" s="170"/>
    </row>
    <row r="36" spans="2:14" s="18" customFormat="1">
      <c r="B36" s="130" t="s">
        <v>466</v>
      </c>
      <c r="C36" s="221" t="s">
        <v>296</v>
      </c>
      <c r="D36" s="942">
        <f>INDEX(Data!$F$14:$F$30,MATCH($D$6-1,Data!$C$14:$C$30,0),0)/IF('RFPR cover'!$C$6="ED1",Data!$E$17,Data!$E$14)</f>
        <v>1.1544860891609932</v>
      </c>
      <c r="E36" s="695"/>
      <c r="F36" s="695"/>
      <c r="G36" s="695"/>
      <c r="H36" s="695"/>
      <c r="I36" s="695"/>
      <c r="J36" s="695"/>
      <c r="K36" s="695"/>
      <c r="L36" s="192"/>
      <c r="N36" s="170"/>
    </row>
    <row r="37" spans="2:14" s="21" customFormat="1">
      <c r="B37" s="34"/>
      <c r="C37" s="388"/>
      <c r="D37" s="389"/>
      <c r="E37" s="389"/>
      <c r="F37" s="389"/>
      <c r="G37" s="389"/>
      <c r="H37" s="389"/>
      <c r="I37" s="389"/>
      <c r="J37" s="389"/>
      <c r="K37" s="389"/>
      <c r="N37" s="183"/>
    </row>
    <row r="38" spans="2:14" s="2" customFormat="1">
      <c r="B38" s="5" t="s">
        <v>463</v>
      </c>
      <c r="C38" s="220" t="s">
        <v>297</v>
      </c>
      <c r="D38" s="583">
        <f t="shared" ref="D38:K38" si="8">D29*D34</f>
        <v>110.49444617138407</v>
      </c>
      <c r="E38" s="583">
        <f t="shared" si="8"/>
        <v>125.69310545845497</v>
      </c>
      <c r="F38" s="583">
        <f t="shared" si="8"/>
        <v>139.71576932699278</v>
      </c>
      <c r="G38" s="583">
        <f t="shared" si="8"/>
        <v>159.63292851984215</v>
      </c>
      <c r="H38" s="583">
        <f t="shared" si="8"/>
        <v>178.47746709102927</v>
      </c>
      <c r="I38" s="583">
        <f t="shared" si="8"/>
        <v>201.63842684804109</v>
      </c>
      <c r="J38" s="583">
        <f t="shared" si="8"/>
        <v>215.64622538774455</v>
      </c>
      <c r="K38" s="583">
        <f t="shared" si="8"/>
        <v>226.88005430711794</v>
      </c>
      <c r="N38" s="94"/>
    </row>
    <row r="39" spans="2:14" s="2" customFormat="1">
      <c r="B39" s="5"/>
      <c r="C39" s="168"/>
      <c r="D39" s="168"/>
      <c r="E39" s="168"/>
      <c r="F39" s="168"/>
      <c r="G39" s="168"/>
      <c r="H39" s="168"/>
      <c r="I39" s="168"/>
      <c r="J39" s="168"/>
      <c r="K39" s="168"/>
      <c r="N39" s="94"/>
    </row>
    <row r="40" spans="2:14" s="2" customFormat="1">
      <c r="B40" s="410" t="s">
        <v>467</v>
      </c>
      <c r="C40" s="168" t="s">
        <v>468</v>
      </c>
      <c r="D40" s="329">
        <f>INDEX(Data!$K$73:$T$100,MATCH('RFPR cover'!$C$5,Data!$B$73:$B$100,0),MATCH('R9 - RAV'!D$6,Data!$K$72:$T$72,0))</f>
        <v>2.92E-2</v>
      </c>
      <c r="E40" s="330">
        <f>INDEX(Data!$K$73:$T$100,MATCH('RFPR cover'!$C$5,Data!$B$73:$B$100,0),MATCH('R9 - RAV'!E$6,Data!$K$72:$T$72,0))</f>
        <v>2.7199999999999998E-2</v>
      </c>
      <c r="F40" s="330">
        <f>INDEX(Data!$K$73:$T$100,MATCH('RFPR cover'!$C$5,Data!$B$73:$B$100,0),MATCH('R9 - RAV'!F$6,Data!$K$72:$T$72,0))</f>
        <v>2.5499999999999998E-2</v>
      </c>
      <c r="G40" s="330">
        <f>INDEX(Data!$K$73:$T$100,MATCH('RFPR cover'!$C$5,Data!$B$73:$B$100,0),MATCH('R9 - RAV'!G$6,Data!$K$72:$T$72,0))</f>
        <v>2.3800000000000002E-2</v>
      </c>
      <c r="H40" s="330">
        <f>INDEX(Data!$K$73:$T$100,MATCH('RFPR cover'!$C$5,Data!$B$73:$B$100,0),MATCH('R9 - RAV'!H$6,Data!$K$72:$T$72,0))</f>
        <v>2.2200000000000001E-2</v>
      </c>
      <c r="I40" s="330">
        <f>INDEX(Data!$K$73:$T$100,MATCH('RFPR cover'!$C$5,Data!$B$73:$B$100,0),MATCH('R9 - RAV'!I$6,Data!$K$72:$T$72,0))</f>
        <v>1.9099999999999999E-2</v>
      </c>
      <c r="J40" s="330">
        <f>INDEX(Data!$K$73:$T$100,MATCH('RFPR cover'!$C$5,Data!$B$73:$B$100,0),MATCH('R9 - RAV'!J$6,Data!$K$72:$T$72,0))</f>
        <v>1.5800000000000002E-2</v>
      </c>
      <c r="K40" s="331">
        <f>INDEX(Data!$K$73:$T$100,MATCH('RFPR cover'!$C$5,Data!$B$73:$B$100,0),MATCH('R9 - RAV'!K$6,Data!$K$72:$T$72,0))</f>
        <v>1.09E-2</v>
      </c>
      <c r="N40" s="94"/>
    </row>
    <row r="41" spans="2:14" s="2" customFormat="1">
      <c r="B41" s="410" t="s">
        <v>469</v>
      </c>
      <c r="C41" s="168" t="s">
        <v>468</v>
      </c>
      <c r="D41" s="332">
        <f>'RFPR cover'!$C$10</f>
        <v>7.0000000000000007E-2</v>
      </c>
      <c r="E41" s="333">
        <f>'RFPR cover'!$C$10</f>
        <v>7.0000000000000007E-2</v>
      </c>
      <c r="F41" s="333">
        <f>'RFPR cover'!$C$10</f>
        <v>7.0000000000000007E-2</v>
      </c>
      <c r="G41" s="333">
        <f>'RFPR cover'!$C$10</f>
        <v>7.0000000000000007E-2</v>
      </c>
      <c r="H41" s="333">
        <f>'RFPR cover'!$C$10</f>
        <v>7.0000000000000007E-2</v>
      </c>
      <c r="I41" s="333">
        <f>'RFPR cover'!$C$10</f>
        <v>7.0000000000000007E-2</v>
      </c>
      <c r="J41" s="333">
        <f>'RFPR cover'!$C$10</f>
        <v>7.0000000000000007E-2</v>
      </c>
      <c r="K41" s="334">
        <f>'RFPR cover'!$C$10</f>
        <v>7.0000000000000007E-2</v>
      </c>
      <c r="N41" s="94"/>
    </row>
    <row r="42" spans="2:14" s="2" customFormat="1">
      <c r="B42" s="410" t="s">
        <v>470</v>
      </c>
      <c r="C42" s="168" t="s">
        <v>250</v>
      </c>
      <c r="D42" s="335">
        <f>'RFPR cover'!$C$12</f>
        <v>0.6</v>
      </c>
      <c r="E42" s="336">
        <f>'RFPR cover'!$C$12</f>
        <v>0.6</v>
      </c>
      <c r="F42" s="336">
        <f>'RFPR cover'!$C$12</f>
        <v>0.6</v>
      </c>
      <c r="G42" s="336">
        <f>'RFPR cover'!$C$12</f>
        <v>0.6</v>
      </c>
      <c r="H42" s="336">
        <f>'RFPR cover'!$C$12</f>
        <v>0.6</v>
      </c>
      <c r="I42" s="336">
        <f>'RFPR cover'!$C$12</f>
        <v>0.6</v>
      </c>
      <c r="J42" s="336">
        <f>'RFPR cover'!$C$12</f>
        <v>0.6</v>
      </c>
      <c r="K42" s="337">
        <f>'RFPR cover'!$C$12</f>
        <v>0.6</v>
      </c>
      <c r="N42" s="94"/>
    </row>
    <row r="43" spans="2:14">
      <c r="B43" s="158" t="s">
        <v>471</v>
      </c>
      <c r="C43" s="320" t="s">
        <v>468</v>
      </c>
      <c r="D43" s="326">
        <f t="shared" ref="D43:K43" si="9">D40*D42+D41*(1-D42)</f>
        <v>4.5520000000000005E-2</v>
      </c>
      <c r="E43" s="327">
        <f t="shared" si="9"/>
        <v>4.4319999999999998E-2</v>
      </c>
      <c r="F43" s="327">
        <f t="shared" si="9"/>
        <v>4.3300000000000005E-2</v>
      </c>
      <c r="G43" s="327">
        <f t="shared" si="9"/>
        <v>4.2280000000000005E-2</v>
      </c>
      <c r="H43" s="327">
        <f t="shared" si="9"/>
        <v>4.1320000000000003E-2</v>
      </c>
      <c r="I43" s="327">
        <f t="shared" si="9"/>
        <v>3.9460000000000002E-2</v>
      </c>
      <c r="J43" s="327">
        <f t="shared" si="9"/>
        <v>3.7480000000000006E-2</v>
      </c>
      <c r="K43" s="328">
        <f t="shared" si="9"/>
        <v>3.4540000000000001E-2</v>
      </c>
      <c r="L43" s="169"/>
    </row>
    <row r="44" spans="2:14">
      <c r="C44" s="181"/>
      <c r="D44" s="176"/>
      <c r="E44" s="176"/>
      <c r="F44" s="176"/>
      <c r="G44" s="176"/>
      <c r="H44" s="176"/>
      <c r="I44" s="176"/>
      <c r="J44" s="176"/>
      <c r="K44" s="176"/>
    </row>
    <row r="45" spans="2:14">
      <c r="B45" s="303" t="s">
        <v>472</v>
      </c>
      <c r="C45" s="320" t="str">
        <f>'RFPR cover'!$C$14</f>
        <v>£m 09/10</v>
      </c>
      <c r="D45" s="68">
        <f t="shared" ref="D45:K45" si="10">D47*D42</f>
        <v>49.049078179768351</v>
      </c>
      <c r="E45" s="69">
        <f t="shared" si="10"/>
        <v>58.270634166578496</v>
      </c>
      <c r="F45" s="69">
        <f t="shared" si="10"/>
        <v>64.771226711902116</v>
      </c>
      <c r="G45" s="69">
        <f t="shared" si="10"/>
        <v>71.342410344742589</v>
      </c>
      <c r="H45" s="69">
        <f t="shared" si="10"/>
        <v>78.042689024022849</v>
      </c>
      <c r="I45" s="69">
        <f t="shared" si="10"/>
        <v>85.212729027360609</v>
      </c>
      <c r="J45" s="69">
        <f t="shared" si="10"/>
        <v>91.515802571390836</v>
      </c>
      <c r="K45" s="70">
        <f t="shared" si="10"/>
        <v>95.410664591547814</v>
      </c>
    </row>
    <row r="46" spans="2:14">
      <c r="B46" s="303" t="s">
        <v>266</v>
      </c>
      <c r="C46" s="320" t="str">
        <f>'RFPR cover'!$C$14</f>
        <v>£m 09/10</v>
      </c>
      <c r="D46" s="423">
        <f t="shared" ref="D46:K46" si="11">D47*(1-D42)</f>
        <v>32.699385453178898</v>
      </c>
      <c r="E46" s="424">
        <f t="shared" si="11"/>
        <v>38.847089444385666</v>
      </c>
      <c r="F46" s="424">
        <f t="shared" si="11"/>
        <v>43.180817807934744</v>
      </c>
      <c r="G46" s="424">
        <f t="shared" si="11"/>
        <v>47.561606896495064</v>
      </c>
      <c r="H46" s="424">
        <f t="shared" si="11"/>
        <v>52.028459349348566</v>
      </c>
      <c r="I46" s="424">
        <f t="shared" si="11"/>
        <v>56.808486018240416</v>
      </c>
      <c r="J46" s="424">
        <f t="shared" si="11"/>
        <v>61.010535047593898</v>
      </c>
      <c r="K46" s="425">
        <f t="shared" si="11"/>
        <v>63.60710972769855</v>
      </c>
    </row>
    <row r="47" spans="2:14">
      <c r="B47" s="158" t="s">
        <v>473</v>
      </c>
      <c r="C47" s="168" t="str">
        <f>'RFPR cover'!$C$14</f>
        <v>£m 09/10</v>
      </c>
      <c r="D47" s="75">
        <f t="shared" ref="D47:K47" si="12">AVERAGE(D16,D29*(1/(1+D43)))</f>
        <v>81.748463632947249</v>
      </c>
      <c r="E47" s="76">
        <f t="shared" si="12"/>
        <v>97.117723610964163</v>
      </c>
      <c r="F47" s="76">
        <f t="shared" si="12"/>
        <v>107.95204451983686</v>
      </c>
      <c r="G47" s="76">
        <f t="shared" si="12"/>
        <v>118.90401724123765</v>
      </c>
      <c r="H47" s="76">
        <f t="shared" si="12"/>
        <v>130.07114837337141</v>
      </c>
      <c r="I47" s="76">
        <f t="shared" si="12"/>
        <v>142.02121504560102</v>
      </c>
      <c r="J47" s="76">
        <f t="shared" si="12"/>
        <v>152.52633761898474</v>
      </c>
      <c r="K47" s="77">
        <f t="shared" si="12"/>
        <v>159.01777431924637</v>
      </c>
      <c r="N47" s="172"/>
    </row>
    <row r="48" spans="2:14">
      <c r="B48" s="158"/>
      <c r="C48" s="168"/>
      <c r="D48" s="168"/>
      <c r="E48" s="168"/>
      <c r="F48" s="168"/>
      <c r="G48" s="168"/>
      <c r="H48" s="168"/>
      <c r="I48" s="168"/>
      <c r="J48" s="168"/>
      <c r="K48" s="168"/>
      <c r="N48" s="172"/>
    </row>
    <row r="49" spans="2:14">
      <c r="B49" s="303" t="s">
        <v>474</v>
      </c>
      <c r="C49" s="320" t="str">
        <f>'RFPR cover'!$C$14</f>
        <v>£m 09/10</v>
      </c>
      <c r="D49" s="898">
        <f>D40*D45</f>
        <v>1.4322330828492358</v>
      </c>
      <c r="E49" s="899">
        <f t="shared" ref="D49:K50" si="13">E40*E45</f>
        <v>1.5849612493309351</v>
      </c>
      <c r="F49" s="899">
        <f t="shared" si="13"/>
        <v>1.6516662811535039</v>
      </c>
      <c r="G49" s="899">
        <f t="shared" si="13"/>
        <v>1.6979493662048737</v>
      </c>
      <c r="H49" s="899">
        <f t="shared" si="13"/>
        <v>1.7325476963333073</v>
      </c>
      <c r="I49" s="899">
        <f t="shared" si="13"/>
        <v>1.6275631244225874</v>
      </c>
      <c r="J49" s="899">
        <f t="shared" si="13"/>
        <v>1.4459496806279752</v>
      </c>
      <c r="K49" s="900">
        <f t="shared" si="13"/>
        <v>1.0399762440478713</v>
      </c>
    </row>
    <row r="50" spans="2:14">
      <c r="B50" s="303" t="s">
        <v>475</v>
      </c>
      <c r="C50" s="320" t="str">
        <f>'RFPR cover'!$C$14</f>
        <v>£m 09/10</v>
      </c>
      <c r="D50" s="65">
        <f t="shared" si="13"/>
        <v>2.288956981722523</v>
      </c>
      <c r="E50" s="66">
        <f t="shared" si="13"/>
        <v>2.7192962611069968</v>
      </c>
      <c r="F50" s="66">
        <f t="shared" si="13"/>
        <v>3.0226572465554322</v>
      </c>
      <c r="G50" s="66">
        <f t="shared" si="13"/>
        <v>3.3293124827546547</v>
      </c>
      <c r="H50" s="66">
        <f t="shared" si="13"/>
        <v>3.6419921544544001</v>
      </c>
      <c r="I50" s="66">
        <f t="shared" si="13"/>
        <v>3.9765940212768296</v>
      </c>
      <c r="J50" s="66">
        <f t="shared" si="13"/>
        <v>4.2707374533315736</v>
      </c>
      <c r="K50" s="67">
        <f t="shared" si="13"/>
        <v>4.4524976809388992</v>
      </c>
      <c r="N50" s="172"/>
    </row>
    <row r="51" spans="2:14">
      <c r="B51" s="158" t="s">
        <v>476</v>
      </c>
      <c r="C51" s="320" t="str">
        <f>'RFPR cover'!$C$14</f>
        <v>£m 09/10</v>
      </c>
      <c r="D51" s="75">
        <f>SUM(D49:D50)</f>
        <v>3.7211900645717586</v>
      </c>
      <c r="E51" s="76">
        <f t="shared" ref="E51:K51" si="14">SUM(E49:E50)</f>
        <v>4.3042575104379317</v>
      </c>
      <c r="F51" s="76">
        <f t="shared" si="14"/>
        <v>4.6743235277089363</v>
      </c>
      <c r="G51" s="76">
        <f t="shared" si="14"/>
        <v>5.0272618489595287</v>
      </c>
      <c r="H51" s="76">
        <f t="shared" si="14"/>
        <v>5.3745398507877074</v>
      </c>
      <c r="I51" s="76">
        <f t="shared" si="14"/>
        <v>5.6041571456994168</v>
      </c>
      <c r="J51" s="76">
        <f t="shared" si="14"/>
        <v>5.7166871339595486</v>
      </c>
      <c r="K51" s="77">
        <f t="shared" si="14"/>
        <v>5.4924739249867702</v>
      </c>
      <c r="N51" s="172"/>
    </row>
    <row r="53" spans="2:14" s="18" customFormat="1">
      <c r="B53" s="303" t="s">
        <v>472</v>
      </c>
      <c r="C53" s="220" t="s">
        <v>297</v>
      </c>
      <c r="D53" s="68">
        <f t="shared" ref="D53:K54" si="15">D$35*D45</f>
        <v>57.225023277088837</v>
      </c>
      <c r="E53" s="69">
        <f t="shared" si="15"/>
        <v>69.316201549046895</v>
      </c>
      <c r="F53" s="69">
        <f t="shared" si="15"/>
        <v>77.879349759457668</v>
      </c>
      <c r="G53" s="69">
        <f t="shared" si="15"/>
        <v>87.618440271561596</v>
      </c>
      <c r="H53" s="69">
        <f t="shared" si="15"/>
        <v>99.43392434531728</v>
      </c>
      <c r="I53" s="69">
        <f t="shared" si="15"/>
        <v>111.88665474925951</v>
      </c>
      <c r="J53" s="69">
        <f t="shared" si="15"/>
        <v>123.27341943371404</v>
      </c>
      <c r="K53" s="70">
        <f t="shared" si="15"/>
        <v>130.70470584772613</v>
      </c>
      <c r="L53" s="192"/>
      <c r="N53" s="170"/>
    </row>
    <row r="54" spans="2:14" s="18" customFormat="1">
      <c r="B54" s="303" t="s">
        <v>266</v>
      </c>
      <c r="C54" s="220" t="s">
        <v>297</v>
      </c>
      <c r="D54" s="423">
        <f t="shared" si="15"/>
        <v>38.15001551805922</v>
      </c>
      <c r="E54" s="424">
        <f t="shared" si="15"/>
        <v>46.210801032697937</v>
      </c>
      <c r="F54" s="424">
        <f t="shared" si="15"/>
        <v>51.919566506305109</v>
      </c>
      <c r="G54" s="424">
        <f t="shared" si="15"/>
        <v>58.412293514374397</v>
      </c>
      <c r="H54" s="424">
        <f t="shared" si="15"/>
        <v>66.289282896878191</v>
      </c>
      <c r="I54" s="424">
        <f t="shared" si="15"/>
        <v>74.591103166173028</v>
      </c>
      <c r="J54" s="424">
        <f t="shared" si="15"/>
        <v>82.182279622476031</v>
      </c>
      <c r="K54" s="425">
        <f t="shared" si="15"/>
        <v>87.136470565150759</v>
      </c>
      <c r="L54" s="192"/>
      <c r="N54" s="170"/>
    </row>
    <row r="55" spans="2:14">
      <c r="B55" s="158" t="s">
        <v>477</v>
      </c>
      <c r="C55" s="220" t="s">
        <v>297</v>
      </c>
      <c r="D55" s="586">
        <f>SUM(D53:D54)</f>
        <v>95.375038795148058</v>
      </c>
      <c r="E55" s="587">
        <f t="shared" ref="E55:K55" si="16">SUM(E53:E54)</f>
        <v>115.52700258174482</v>
      </c>
      <c r="F55" s="587">
        <f t="shared" si="16"/>
        <v>129.79891626576278</v>
      </c>
      <c r="G55" s="587">
        <f t="shared" si="16"/>
        <v>146.03073378593598</v>
      </c>
      <c r="H55" s="587">
        <f t="shared" si="16"/>
        <v>165.72320724219549</v>
      </c>
      <c r="I55" s="587">
        <f t="shared" si="16"/>
        <v>186.47775791543253</v>
      </c>
      <c r="J55" s="587">
        <f t="shared" si="16"/>
        <v>205.45569905619007</v>
      </c>
      <c r="K55" s="588">
        <f t="shared" si="16"/>
        <v>217.84117641287691</v>
      </c>
    </row>
    <row r="56" spans="2:14" s="18" customFormat="1">
      <c r="B56" s="158"/>
      <c r="C56" s="168"/>
      <c r="D56" s="168"/>
      <c r="E56" s="168"/>
      <c r="F56" s="168"/>
      <c r="G56" s="168"/>
      <c r="H56" s="168"/>
      <c r="I56" s="168"/>
      <c r="J56" s="168"/>
      <c r="K56" s="168"/>
      <c r="L56" s="192"/>
      <c r="N56" s="170"/>
    </row>
    <row r="57" spans="2:14" s="18" customFormat="1">
      <c r="B57" s="303" t="s">
        <v>474</v>
      </c>
      <c r="C57" s="220" t="s">
        <v>297</v>
      </c>
      <c r="D57" s="68">
        <f t="shared" ref="D57:K58" si="17">D$35*D49</f>
        <v>1.670970679690994</v>
      </c>
      <c r="E57" s="69">
        <f t="shared" si="17"/>
        <v>1.8854006821340756</v>
      </c>
      <c r="F57" s="69">
        <f t="shared" si="17"/>
        <v>1.9859234188661703</v>
      </c>
      <c r="G57" s="69">
        <f t="shared" si="17"/>
        <v>2.0853188784631658</v>
      </c>
      <c r="H57" s="69">
        <f t="shared" si="17"/>
        <v>2.2074331204660438</v>
      </c>
      <c r="I57" s="69">
        <f t="shared" si="17"/>
        <v>2.1370351057108565</v>
      </c>
      <c r="J57" s="69">
        <f t="shared" si="17"/>
        <v>1.9477200270526818</v>
      </c>
      <c r="K57" s="70">
        <f t="shared" si="17"/>
        <v>1.4246812937402149</v>
      </c>
      <c r="L57" s="192"/>
      <c r="N57" s="170"/>
    </row>
    <row r="58" spans="2:14">
      <c r="B58" s="303" t="s">
        <v>478</v>
      </c>
      <c r="C58" s="220" t="s">
        <v>297</v>
      </c>
      <c r="D58" s="589">
        <f t="shared" si="17"/>
        <v>2.6705010862641458</v>
      </c>
      <c r="E58" s="590">
        <f t="shared" si="17"/>
        <v>3.2347560722888558</v>
      </c>
      <c r="F58" s="590">
        <f t="shared" si="17"/>
        <v>3.6343696554413576</v>
      </c>
      <c r="G58" s="590">
        <f t="shared" si="17"/>
        <v>4.0888605460062086</v>
      </c>
      <c r="H58" s="590">
        <f t="shared" si="17"/>
        <v>4.640249802781474</v>
      </c>
      <c r="I58" s="590">
        <f t="shared" si="17"/>
        <v>5.2213772216321122</v>
      </c>
      <c r="J58" s="590">
        <f t="shared" si="17"/>
        <v>5.7527595735733232</v>
      </c>
      <c r="K58" s="591">
        <f t="shared" si="17"/>
        <v>6.0995529395605539</v>
      </c>
    </row>
    <row r="59" spans="2:14">
      <c r="B59" s="158" t="s">
        <v>476</v>
      </c>
      <c r="C59" s="220" t="s">
        <v>297</v>
      </c>
      <c r="D59" s="75">
        <f t="shared" ref="D59:K59" si="18">SUM(D57:D58)</f>
        <v>4.3414717659551396</v>
      </c>
      <c r="E59" s="76">
        <f t="shared" si="18"/>
        <v>5.1201567544229309</v>
      </c>
      <c r="F59" s="76">
        <f t="shared" si="18"/>
        <v>5.6202930743075274</v>
      </c>
      <c r="G59" s="76">
        <f t="shared" si="18"/>
        <v>6.174179424469374</v>
      </c>
      <c r="H59" s="76">
        <f t="shared" si="18"/>
        <v>6.8476829232475183</v>
      </c>
      <c r="I59" s="76">
        <f t="shared" si="18"/>
        <v>7.3584123273429682</v>
      </c>
      <c r="J59" s="76">
        <f t="shared" si="18"/>
        <v>7.7004796006260054</v>
      </c>
      <c r="K59" s="77">
        <f t="shared" si="18"/>
        <v>7.5242342333007688</v>
      </c>
    </row>
    <row r="60" spans="2:14">
      <c r="B60" s="6"/>
      <c r="C60" s="193"/>
      <c r="D60" s="193"/>
      <c r="E60" s="193"/>
      <c r="F60" s="193"/>
      <c r="G60" s="193"/>
      <c r="H60" s="193"/>
      <c r="I60" s="193"/>
      <c r="J60" s="193"/>
      <c r="K60" s="193"/>
    </row>
    <row r="61" spans="2:14">
      <c r="B61" s="6"/>
      <c r="C61" s="193"/>
      <c r="D61" s="193"/>
      <c r="E61" s="193"/>
      <c r="F61" s="193"/>
      <c r="G61" s="193"/>
      <c r="H61" s="193"/>
      <c r="I61" s="193"/>
      <c r="J61" s="193"/>
      <c r="K61" s="193"/>
    </row>
    <row r="62" spans="2:14">
      <c r="B62" s="6"/>
      <c r="C62" s="193"/>
      <c r="D62" s="193"/>
      <c r="E62" s="193"/>
      <c r="F62" s="193"/>
      <c r="G62" s="193"/>
      <c r="H62" s="193"/>
      <c r="I62" s="193"/>
      <c r="J62" s="193"/>
      <c r="K62" s="193"/>
    </row>
    <row r="63" spans="2:14">
      <c r="B63" s="6"/>
      <c r="C63" s="193"/>
      <c r="D63" s="193"/>
      <c r="E63" s="193"/>
      <c r="F63" s="193"/>
      <c r="G63" s="193"/>
      <c r="H63" s="193"/>
      <c r="I63" s="193"/>
      <c r="J63" s="193"/>
      <c r="K63" s="193"/>
    </row>
  </sheetData>
  <sheetProtection algorithmName="SHA-512" hashValue="5eX1rHoxH0eouTQhf0YlaGIWGlAlJkBttO25k5uWSjtW7b+qOnTxV7+Z5P50wwUO8HfqdlDV2mFrSzw3W/MdUA==" saltValue="yaKMLqbhjB9WD1zAe1/Tjg==" spinCount="100000" sheet="1" formatCells="0" formatColumns="0" formatRows="0" insertColumns="0" insertRows="0" insertHyperlinks="0" deleteColumns="0" deleteRows="0" sort="0" autoFilter="0" pivotTables="0"/>
  <conditionalFormatting sqref="D6:K6">
    <cfRule type="expression" dxfId="29" priority="13">
      <formula>AND(D$5="Actuals",E$5="Forecast")</formula>
    </cfRule>
  </conditionalFormatting>
  <conditionalFormatting sqref="D5:K5">
    <cfRule type="expression" dxfId="28"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customProperties>
    <customPr name="EpmWorksheetKeyString_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FFCC"/>
    <pageSetUpPr fitToPage="1"/>
  </sheetPr>
  <dimension ref="A1:N89"/>
  <sheetViews>
    <sheetView showGridLines="0" topLeftCell="C1" zoomScale="80" zoomScaleNormal="80" workbookViewId="0">
      <pane ySplit="6" topLeftCell="A7" activePane="bottomLeft" state="frozen"/>
      <selection activeCell="B75" sqref="A1:XFD1048576"/>
      <selection pane="bottomLeft" activeCell="J79" sqref="J79"/>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18" customFormat="1" ht="20.25">
      <c r="A1" s="856" t="s">
        <v>207</v>
      </c>
      <c r="B1" s="732"/>
      <c r="C1" s="211"/>
      <c r="D1" s="211"/>
      <c r="E1" s="211"/>
      <c r="F1" s="211"/>
      <c r="G1" s="211"/>
      <c r="H1" s="211"/>
      <c r="I1" s="212"/>
      <c r="J1" s="212"/>
      <c r="K1" s="213"/>
      <c r="L1" s="876"/>
    </row>
    <row r="2" spans="1:13" s="18" customFormat="1" ht="20.25">
      <c r="A2" s="725" t="str">
        <f>'RFPR cover'!C5</f>
        <v>NGET (SO)</v>
      </c>
      <c r="B2" s="720"/>
      <c r="C2" s="16"/>
      <c r="D2" s="16"/>
      <c r="E2" s="16"/>
      <c r="F2" s="16"/>
      <c r="G2" s="16"/>
      <c r="H2" s="16"/>
      <c r="I2" s="15"/>
      <c r="J2" s="15"/>
      <c r="K2" s="15"/>
      <c r="L2" s="93"/>
    </row>
    <row r="3" spans="1:13" s="18" customFormat="1" ht="20.25">
      <c r="A3" s="728">
        <f>'RFPR cover'!C7</f>
        <v>2020</v>
      </c>
      <c r="B3" s="735"/>
      <c r="C3" s="214"/>
      <c r="D3" s="214"/>
      <c r="E3" s="214"/>
      <c r="F3" s="214"/>
      <c r="G3" s="214"/>
      <c r="H3" s="214"/>
      <c r="I3" s="210"/>
      <c r="J3" s="210"/>
      <c r="K3" s="210"/>
      <c r="L3" s="215"/>
    </row>
    <row r="4" spans="1:13" s="18" customFormat="1" ht="12.75" customHeight="1">
      <c r="A4" s="216"/>
      <c r="B4" s="217"/>
      <c r="C4" s="216"/>
      <c r="D4" s="216"/>
      <c r="E4" s="216"/>
      <c r="F4" s="216"/>
      <c r="G4" s="216"/>
      <c r="H4" s="216"/>
      <c r="I4" s="218"/>
      <c r="J4" s="218"/>
      <c r="K4" s="218"/>
      <c r="L4" s="219"/>
      <c r="M4" s="217"/>
    </row>
    <row r="5" spans="1:13" s="2" customFormat="1">
      <c r="B5" s="3"/>
      <c r="C5" s="3"/>
      <c r="D5" s="313" t="str">
        <f>IF(D6&lt;=('RFPR cover'!$C$7-1),"Actuals","Forecast")</f>
        <v>Actuals</v>
      </c>
      <c r="E5" s="313" t="str">
        <f>IF(E6&lt;=('RFPR cover'!$C$7-1),"Actuals","Forecast")</f>
        <v>Actuals</v>
      </c>
      <c r="F5" s="313" t="str">
        <f>IF(F6&lt;=('RFPR cover'!$C$7-1),"Actuals","Forecast")</f>
        <v>Actuals</v>
      </c>
      <c r="G5" s="313" t="str">
        <f>IF(G6&lt;=('RFPR cover'!$C$7-1),"Actuals","Forecast")</f>
        <v>Actuals</v>
      </c>
      <c r="H5" s="313" t="str">
        <f>IF(H6&lt;=('RFPR cover'!$C$7-1),"Actuals","Forecast")</f>
        <v>Actuals</v>
      </c>
      <c r="I5" s="313" t="str">
        <f>IF(I6&lt;=('RFPR cover'!$C$7-1),"Actuals","Forecast")</f>
        <v>Actuals</v>
      </c>
      <c r="J5" s="313" t="str">
        <f>IF(J6&lt;=('RFPR cover'!$C$7-1),"Actuals","Forecast")</f>
        <v>Forecast</v>
      </c>
      <c r="K5" s="313" t="str">
        <f>IF(K6&lt;=('RFPR cover'!$C$7-1),"Actuals","Forecast")</f>
        <v>Forecast</v>
      </c>
    </row>
    <row r="6" spans="1:13" s="2" customFormat="1">
      <c r="D6" s="90">
        <f>'RFPR cover'!$C$13</f>
        <v>2014</v>
      </c>
      <c r="E6" s="91">
        <f>D6+1</f>
        <v>2015</v>
      </c>
      <c r="F6" s="91">
        <f t="shared" ref="F6:K6" si="0">E6+1</f>
        <v>2016</v>
      </c>
      <c r="G6" s="91">
        <f t="shared" si="0"/>
        <v>2017</v>
      </c>
      <c r="H6" s="91">
        <f t="shared" si="0"/>
        <v>2018</v>
      </c>
      <c r="I6" s="91">
        <f t="shared" si="0"/>
        <v>2019</v>
      </c>
      <c r="J6" s="91">
        <f t="shared" si="0"/>
        <v>2020</v>
      </c>
      <c r="K6" s="154">
        <f t="shared" si="0"/>
        <v>2021</v>
      </c>
    </row>
    <row r="7" spans="1:13" s="21" customFormat="1">
      <c r="D7" s="347"/>
      <c r="E7" s="347"/>
      <c r="F7" s="347"/>
      <c r="G7" s="347"/>
      <c r="H7" s="347"/>
      <c r="I7" s="347"/>
      <c r="J7" s="347"/>
      <c r="K7" s="347"/>
    </row>
    <row r="8" spans="1:13" s="2" customFormat="1">
      <c r="B8" s="300" t="s">
        <v>479</v>
      </c>
      <c r="C8" s="245"/>
      <c r="D8" s="245"/>
      <c r="E8" s="245"/>
      <c r="F8" s="245"/>
      <c r="G8" s="245"/>
      <c r="H8" s="245"/>
      <c r="I8" s="245"/>
      <c r="J8" s="245"/>
      <c r="K8" s="245"/>
      <c r="L8" s="245"/>
    </row>
    <row r="9" spans="1:13" s="2" customFormat="1">
      <c r="B9" s="300" t="s">
        <v>480</v>
      </c>
      <c r="C9" s="245"/>
      <c r="D9" s="245"/>
      <c r="E9" s="245"/>
      <c r="F9" s="245"/>
      <c r="G9" s="245"/>
      <c r="H9" s="245"/>
      <c r="I9" s="245"/>
      <c r="J9" s="245"/>
      <c r="K9" s="245"/>
      <c r="L9" s="245"/>
    </row>
    <row r="10" spans="1:13" s="2" customFormat="1">
      <c r="B10" s="300" t="s">
        <v>481</v>
      </c>
      <c r="C10" s="245"/>
      <c r="D10" s="245"/>
      <c r="E10" s="245"/>
      <c r="F10" s="245"/>
      <c r="G10" s="245"/>
      <c r="H10" s="245"/>
      <c r="I10" s="245"/>
      <c r="J10" s="245"/>
      <c r="K10" s="245"/>
      <c r="L10" s="245"/>
    </row>
    <row r="11" spans="1:13" s="21" customFormat="1">
      <c r="B11" s="346"/>
    </row>
    <row r="12" spans="1:13">
      <c r="B12" s="956" t="s">
        <v>482</v>
      </c>
      <c r="C12" s="220" t="s">
        <v>297</v>
      </c>
      <c r="D12" s="765">
        <v>0</v>
      </c>
      <c r="E12" s="765">
        <v>0</v>
      </c>
      <c r="F12" s="765">
        <v>0</v>
      </c>
      <c r="G12" s="765">
        <v>0</v>
      </c>
      <c r="H12" s="765">
        <v>0</v>
      </c>
      <c r="I12" s="765">
        <v>0</v>
      </c>
      <c r="J12" s="527"/>
      <c r="K12" s="528"/>
    </row>
    <row r="13" spans="1:13">
      <c r="B13" s="6"/>
      <c r="C13" s="6"/>
      <c r="D13" s="592"/>
      <c r="E13" s="592"/>
      <c r="F13" s="592"/>
      <c r="G13" s="592"/>
      <c r="H13" s="592"/>
      <c r="I13" s="592"/>
      <c r="J13" s="592"/>
      <c r="K13" s="592"/>
    </row>
    <row r="14" spans="1:13">
      <c r="B14" s="6" t="s">
        <v>483</v>
      </c>
      <c r="C14" s="220"/>
      <c r="D14" s="592"/>
      <c r="E14" s="592"/>
      <c r="F14" s="592"/>
      <c r="G14" s="592"/>
      <c r="H14" s="592"/>
      <c r="I14" s="592"/>
      <c r="J14" s="592"/>
      <c r="K14" s="592"/>
    </row>
    <row r="15" spans="1:13">
      <c r="B15" s="301" t="s">
        <v>484</v>
      </c>
      <c r="C15" s="220" t="s">
        <v>297</v>
      </c>
      <c r="D15" s="765">
        <v>0</v>
      </c>
      <c r="E15" s="765">
        <v>0</v>
      </c>
      <c r="F15" s="765">
        <v>0</v>
      </c>
      <c r="G15" s="765">
        <v>0</v>
      </c>
      <c r="H15" s="765">
        <v>0</v>
      </c>
      <c r="I15" s="765">
        <v>0</v>
      </c>
      <c r="J15" s="493"/>
      <c r="K15" s="503"/>
    </row>
    <row r="16" spans="1:13">
      <c r="B16" s="348" t="s">
        <v>485</v>
      </c>
      <c r="C16" s="220" t="s">
        <v>297</v>
      </c>
      <c r="D16" s="526"/>
      <c r="E16" s="526"/>
      <c r="F16" s="526"/>
      <c r="G16" s="526"/>
      <c r="H16" s="526"/>
      <c r="I16" s="526"/>
      <c r="J16" s="493"/>
      <c r="K16" s="503"/>
    </row>
    <row r="17" spans="2:12">
      <c r="B17" s="348" t="s">
        <v>485</v>
      </c>
      <c r="C17" s="220" t="s">
        <v>297</v>
      </c>
      <c r="D17" s="526"/>
      <c r="E17" s="526"/>
      <c r="F17" s="526"/>
      <c r="G17" s="526"/>
      <c r="H17" s="526"/>
      <c r="I17" s="526"/>
      <c r="J17" s="493"/>
      <c r="K17" s="503"/>
    </row>
    <row r="18" spans="2:12">
      <c r="B18" s="348" t="s">
        <v>485</v>
      </c>
      <c r="C18" s="220" t="s">
        <v>297</v>
      </c>
      <c r="D18" s="526"/>
      <c r="E18" s="526"/>
      <c r="F18" s="526"/>
      <c r="G18" s="526"/>
      <c r="H18" s="526"/>
      <c r="I18" s="526"/>
      <c r="J18" s="493"/>
      <c r="K18" s="503"/>
    </row>
    <row r="19" spans="2:12">
      <c r="B19" s="222" t="s">
        <v>486</v>
      </c>
      <c r="C19" s="220" t="s">
        <v>297</v>
      </c>
      <c r="D19" s="757">
        <f>SUM(D15:D18)</f>
        <v>0</v>
      </c>
      <c r="E19" s="758">
        <f t="shared" ref="E19:K19" si="1">SUM(E15:E18)</f>
        <v>0</v>
      </c>
      <c r="F19" s="758">
        <f t="shared" si="1"/>
        <v>0</v>
      </c>
      <c r="G19" s="758">
        <f t="shared" si="1"/>
        <v>0</v>
      </c>
      <c r="H19" s="758">
        <f t="shared" si="1"/>
        <v>0</v>
      </c>
      <c r="I19" s="758">
        <f t="shared" si="1"/>
        <v>0</v>
      </c>
      <c r="J19" s="758">
        <f t="shared" si="1"/>
        <v>0</v>
      </c>
      <c r="K19" s="759">
        <f t="shared" si="1"/>
        <v>0</v>
      </c>
    </row>
    <row r="20" spans="2:12" s="18" customFormat="1">
      <c r="B20" s="301"/>
      <c r="C20" s="301"/>
      <c r="D20" s="593"/>
      <c r="E20" s="593"/>
      <c r="F20" s="593"/>
      <c r="G20" s="593"/>
      <c r="H20" s="593"/>
      <c r="I20" s="593"/>
      <c r="J20" s="593"/>
      <c r="K20" s="593"/>
      <c r="L20" s="301"/>
    </row>
    <row r="21" spans="2:12">
      <c r="B21" s="6" t="s">
        <v>462</v>
      </c>
      <c r="C21" s="220"/>
      <c r="D21" s="594"/>
      <c r="E21" s="594"/>
      <c r="F21" s="594"/>
      <c r="G21" s="594"/>
      <c r="H21" s="594"/>
      <c r="I21" s="594"/>
      <c r="J21" s="594"/>
      <c r="K21" s="594"/>
      <c r="L21" s="220"/>
    </row>
    <row r="22" spans="2:12">
      <c r="B22" s="301" t="s">
        <v>487</v>
      </c>
      <c r="C22" s="220" t="s">
        <v>297</v>
      </c>
      <c r="D22" s="923">
        <f>('R5 - Output Incentives'!D102)*INDEX(Data!$G$14:$G$30,MATCH('R10 - Tax'!D$6,Data!$C$14:$C$30,0),1)</f>
        <v>5.1882757265000023</v>
      </c>
      <c r="E22" s="924">
        <f>('R5 - Output Incentives'!E102)*INDEX(Data!$G$14:$G$30,MATCH('R10 - Tax'!E$6,Data!$C$14:$C$30,0),1)</f>
        <v>5.40223967913</v>
      </c>
      <c r="F22" s="924">
        <f>('R5 - Output Incentives'!F102)*INDEX(Data!$G$14:$G$30,MATCH('R10 - Tax'!F$6,Data!$C$14:$C$30,0),1)</f>
        <v>5.9470456</v>
      </c>
      <c r="G22" s="924">
        <f>('R5 - Output Incentives'!G102)*INDEX(Data!$G$14:$G$30,MATCH('R10 - Tax'!G$6,Data!$C$14:$C$30,0),1)</f>
        <v>0.84638932000000178</v>
      </c>
      <c r="H22" s="925">
        <f>('R5 - Output Incentives'!H102)*INDEX(Data!$G$14:$G$30,MATCH('R10 - Tax'!H$6,Data!$C$14:$C$30,0),1)</f>
        <v>1.864069023863216</v>
      </c>
      <c r="I22" s="925">
        <f>('R5 - Output Incentives'!I102)*INDEX(Data!$G$14:$G$30,MATCH('R10 - Tax'!I$6,Data!$C$14:$C$30,0),1)</f>
        <v>0.15303636363636364</v>
      </c>
      <c r="J22" s="925">
        <f>('R5 - Output Incentives'!J102)*INDEX(Data!$G$14:$G$30,MATCH('R10 - Tax'!J$6,Data!$C$14:$C$30,0),1)</f>
        <v>0.40803287484059031</v>
      </c>
      <c r="K22" s="926">
        <f>('R5 - Output Incentives'!K102)*INDEX(Data!$G$14:$G$30,MATCH('R10 - Tax'!K$6,Data!$C$14:$C$30,0),1)</f>
        <v>-0.17880917628422718</v>
      </c>
    </row>
    <row r="23" spans="2:12">
      <c r="B23" s="301" t="s">
        <v>488</v>
      </c>
      <c r="C23" s="220" t="s">
        <v>297</v>
      </c>
      <c r="D23" s="496">
        <f>('R4 - Totex'!D77-'R4 - Totex'!D79)*D39</f>
        <v>0.25014351161348886</v>
      </c>
      <c r="E23" s="498">
        <f>('R4 - Totex'!E77-'R4 - Totex'!E79)*E39</f>
        <v>0.22475068689665781</v>
      </c>
      <c r="F23" s="498">
        <f>('R4 - Totex'!F77-'R4 - Totex'!F79)*F39</f>
        <v>0.21109693776893859</v>
      </c>
      <c r="G23" s="498">
        <f>('R4 - Totex'!G77-'R4 - Totex'!G79)*G39</f>
        <v>0.21426641805594385</v>
      </c>
      <c r="H23" s="689">
        <f>('R4 - Totex'!H77-'R4 - Totex'!H79)*H39</f>
        <v>0.21757024027912286</v>
      </c>
      <c r="I23" s="689">
        <f>('R4 - Totex'!I77-'R4 - Totex'!I79)*I39</f>
        <v>0.20656974953402846</v>
      </c>
      <c r="J23" s="689">
        <f>('R4 - Totex'!J77-'R4 - Totex'!J79)*J39</f>
        <v>0.22629031190150178</v>
      </c>
      <c r="K23" s="690">
        <f>('R4 - Totex'!K77-'R4 - Totex'!K79)*K39</f>
        <v>0.23421006359686583</v>
      </c>
    </row>
    <row r="24" spans="2:12">
      <c r="B24" s="301" t="s">
        <v>489</v>
      </c>
      <c r="C24" s="220" t="s">
        <v>297</v>
      </c>
      <c r="D24" s="765">
        <v>0</v>
      </c>
      <c r="E24" s="765">
        <v>0</v>
      </c>
      <c r="F24" s="765">
        <v>0</v>
      </c>
      <c r="G24" s="765">
        <v>0</v>
      </c>
      <c r="H24" s="765">
        <v>0</v>
      </c>
      <c r="I24" s="765">
        <v>0</v>
      </c>
      <c r="J24" s="495"/>
      <c r="K24" s="504"/>
    </row>
    <row r="25" spans="2:12">
      <c r="B25" s="301" t="s">
        <v>490</v>
      </c>
      <c r="C25" s="220" t="s">
        <v>297</v>
      </c>
      <c r="D25" s="765">
        <v>0</v>
      </c>
      <c r="E25" s="765">
        <v>0</v>
      </c>
      <c r="F25" s="765">
        <v>0</v>
      </c>
      <c r="G25" s="765">
        <v>0</v>
      </c>
      <c r="H25" s="765">
        <v>0</v>
      </c>
      <c r="I25" s="765">
        <v>0</v>
      </c>
      <c r="J25" s="495"/>
      <c r="K25" s="504"/>
    </row>
    <row r="26" spans="2:12">
      <c r="B26" s="301" t="s">
        <v>491</v>
      </c>
      <c r="C26" s="220" t="s">
        <v>297</v>
      </c>
      <c r="D26" s="765">
        <v>0</v>
      </c>
      <c r="E26" s="765">
        <v>0</v>
      </c>
      <c r="F26" s="765">
        <v>0</v>
      </c>
      <c r="G26" s="765">
        <v>0</v>
      </c>
      <c r="H26" s="765">
        <v>0</v>
      </c>
      <c r="I26" s="765">
        <v>0</v>
      </c>
      <c r="J26" s="495"/>
      <c r="K26" s="504"/>
    </row>
    <row r="27" spans="2:12">
      <c r="B27" s="301" t="s">
        <v>492</v>
      </c>
      <c r="C27" s="220" t="s">
        <v>297</v>
      </c>
      <c r="D27" s="765">
        <v>0</v>
      </c>
      <c r="E27" s="765">
        <v>0</v>
      </c>
      <c r="F27" s="765">
        <v>0</v>
      </c>
      <c r="G27" s="765">
        <v>0</v>
      </c>
      <c r="H27" s="765">
        <v>0</v>
      </c>
      <c r="I27" s="765">
        <v>0</v>
      </c>
      <c r="J27" s="495"/>
      <c r="K27" s="504"/>
    </row>
    <row r="28" spans="2:12">
      <c r="B28" s="301" t="s">
        <v>493</v>
      </c>
      <c r="C28" s="220" t="s">
        <v>297</v>
      </c>
      <c r="D28" s="765">
        <v>0</v>
      </c>
      <c r="E28" s="765">
        <v>0</v>
      </c>
      <c r="F28" s="765">
        <v>0</v>
      </c>
      <c r="G28" s="765">
        <v>0</v>
      </c>
      <c r="H28" s="765">
        <v>0</v>
      </c>
      <c r="I28" s="765">
        <v>0</v>
      </c>
      <c r="J28" s="495"/>
      <c r="K28" s="504"/>
    </row>
    <row r="29" spans="2:12">
      <c r="B29" s="348" t="s">
        <v>598</v>
      </c>
      <c r="C29" s="220" t="s">
        <v>297</v>
      </c>
      <c r="D29" s="526">
        <v>-0.25014351161348886</v>
      </c>
      <c r="E29" s="526">
        <v>-0.22475068689665781</v>
      </c>
      <c r="F29" s="526">
        <v>-0.21109693776893859</v>
      </c>
      <c r="G29" s="526">
        <v>-0.21426641805594385</v>
      </c>
      <c r="H29" s="526">
        <v>-0.21757024027912286</v>
      </c>
      <c r="I29" s="526">
        <v>-0.20656974953402846</v>
      </c>
      <c r="J29" s="495"/>
      <c r="K29" s="504"/>
    </row>
    <row r="30" spans="2:12">
      <c r="B30" s="348" t="s">
        <v>599</v>
      </c>
      <c r="C30" s="220" t="s">
        <v>297</v>
      </c>
      <c r="D30" s="526">
        <v>-3.1</v>
      </c>
      <c r="E30" s="526">
        <v>-10.9</v>
      </c>
      <c r="F30" s="526">
        <v>-7.1</v>
      </c>
      <c r="G30" s="526">
        <v>-3.7</v>
      </c>
      <c r="H30" s="526">
        <v>3.3</v>
      </c>
      <c r="I30" s="526">
        <v>2.4</v>
      </c>
      <c r="J30" s="495"/>
      <c r="K30" s="504"/>
    </row>
    <row r="31" spans="2:12">
      <c r="B31" s="348" t="s">
        <v>600</v>
      </c>
      <c r="C31" s="220" t="s">
        <v>297</v>
      </c>
      <c r="D31" s="765">
        <v>0</v>
      </c>
      <c r="E31" s="526">
        <v>-0.21</v>
      </c>
      <c r="F31" s="765">
        <v>0</v>
      </c>
      <c r="G31" s="765">
        <v>0</v>
      </c>
      <c r="H31" s="526">
        <v>0.2</v>
      </c>
      <c r="I31" s="765">
        <v>0</v>
      </c>
      <c r="J31" s="495"/>
      <c r="K31" s="504"/>
    </row>
    <row r="32" spans="2:12">
      <c r="B32" s="348" t="s">
        <v>601</v>
      </c>
      <c r="C32" s="220" t="s">
        <v>297</v>
      </c>
      <c r="D32" s="765">
        <v>0</v>
      </c>
      <c r="E32" s="765">
        <v>0</v>
      </c>
      <c r="F32" s="765">
        <v>0</v>
      </c>
      <c r="G32" s="526">
        <v>-1.2000000000000002</v>
      </c>
      <c r="H32" s="765">
        <v>0</v>
      </c>
      <c r="I32" s="765">
        <v>0</v>
      </c>
      <c r="J32" s="495"/>
      <c r="K32" s="504"/>
    </row>
    <row r="33" spans="2:13">
      <c r="B33" s="348" t="s">
        <v>494</v>
      </c>
      <c r="C33" s="220" t="s">
        <v>297</v>
      </c>
      <c r="D33" s="526"/>
      <c r="E33" s="526"/>
      <c r="F33" s="526"/>
      <c r="G33" s="526"/>
      <c r="H33" s="526"/>
      <c r="I33" s="526"/>
      <c r="J33" s="506"/>
      <c r="K33" s="507"/>
    </row>
    <row r="34" spans="2:13">
      <c r="B34" s="6" t="s">
        <v>328</v>
      </c>
      <c r="C34" s="220" t="s">
        <v>297</v>
      </c>
      <c r="D34" s="595">
        <f t="shared" ref="D34:K34" si="2">SUM(D22:D33)</f>
        <v>2.0882757265000023</v>
      </c>
      <c r="E34" s="596">
        <f t="shared" si="2"/>
        <v>-5.7077603208700003</v>
      </c>
      <c r="F34" s="596">
        <f t="shared" si="2"/>
        <v>-1.1529543999999996</v>
      </c>
      <c r="G34" s="596">
        <f t="shared" si="2"/>
        <v>-4.0536106799999985</v>
      </c>
      <c r="H34" s="596">
        <f t="shared" si="2"/>
        <v>5.364069023863216</v>
      </c>
      <c r="I34" s="596">
        <f t="shared" si="2"/>
        <v>2.5530363636363633</v>
      </c>
      <c r="J34" s="596">
        <f t="shared" si="2"/>
        <v>0.63432318674209209</v>
      </c>
      <c r="K34" s="597">
        <f t="shared" si="2"/>
        <v>5.5400887312638647E-2</v>
      </c>
    </row>
    <row r="36" spans="2:13" ht="12.75" customHeight="1">
      <c r="B36" s="955" t="s">
        <v>495</v>
      </c>
      <c r="C36" s="220" t="s">
        <v>297</v>
      </c>
      <c r="D36" s="526"/>
      <c r="E36" s="526"/>
      <c r="F36" s="527"/>
      <c r="G36" s="527"/>
      <c r="H36" s="527"/>
      <c r="I36" s="765">
        <v>5.25</v>
      </c>
      <c r="J36" s="527">
        <v>5.1326987671891731</v>
      </c>
      <c r="K36" s="527">
        <v>3.6511797512787516</v>
      </c>
    </row>
    <row r="37" spans="2:13" ht="12.75" customHeight="1">
      <c r="B37" s="955" t="s">
        <v>496</v>
      </c>
      <c r="C37" s="220" t="s">
        <v>297</v>
      </c>
      <c r="D37" s="595">
        <f t="shared" ref="D37:K37" si="3">D12+D36-D19-D34</f>
        <v>-2.0882757265000023</v>
      </c>
      <c r="E37" s="596">
        <f>E12+G36-E19-E34</f>
        <v>5.7077603208700003</v>
      </c>
      <c r="F37" s="596">
        <f>F12+F36-F19-F34</f>
        <v>1.1529543999999996</v>
      </c>
      <c r="G37" s="596">
        <f>G12+G36-G19-G34</f>
        <v>4.0536106799999985</v>
      </c>
      <c r="H37" s="596">
        <f t="shared" si="3"/>
        <v>-5.364069023863216</v>
      </c>
      <c r="I37" s="596">
        <f t="shared" si="3"/>
        <v>2.6969636363636367</v>
      </c>
      <c r="J37" s="596">
        <f t="shared" si="3"/>
        <v>4.4983755804470809</v>
      </c>
      <c r="K37" s="597">
        <f t="shared" si="3"/>
        <v>3.595778863966113</v>
      </c>
    </row>
    <row r="38" spans="2:13" ht="12.75" customHeight="1">
      <c r="B38" s="956"/>
      <c r="C38" s="220"/>
      <c r="D38" s="220"/>
      <c r="E38" s="220"/>
      <c r="F38" s="220"/>
      <c r="G38" s="220"/>
      <c r="H38" s="220"/>
      <c r="I38" s="220"/>
      <c r="J38" s="220"/>
      <c r="K38" s="220"/>
    </row>
    <row r="39" spans="2:13">
      <c r="B39" s="23" t="s">
        <v>497</v>
      </c>
      <c r="C39" s="221" t="s">
        <v>296</v>
      </c>
      <c r="D39" s="85">
        <f>Data!C$34</f>
        <v>1.1666890673736021</v>
      </c>
      <c r="E39" s="85">
        <f>Data!D$34</f>
        <v>1.1895563269638081</v>
      </c>
      <c r="F39" s="85">
        <f>Data!E$34</f>
        <v>1.2023757108362261</v>
      </c>
      <c r="G39" s="85">
        <f>Data!F$34</f>
        <v>1.2281396135646323</v>
      </c>
      <c r="H39" s="85">
        <f>Data!G$34</f>
        <v>1.2740965949380583</v>
      </c>
      <c r="I39" s="85">
        <f>Data!H$34</f>
        <v>1.3130274787154661</v>
      </c>
      <c r="J39" s="85">
        <f>Data!I$34</f>
        <v>1.3470178479563604</v>
      </c>
      <c r="K39" s="85">
        <f>Data!J$34</f>
        <v>1.3699171513716184</v>
      </c>
      <c r="L39" s="220"/>
    </row>
    <row r="40" spans="2:13">
      <c r="B40" s="956"/>
      <c r="C40" s="220"/>
      <c r="D40" s="220"/>
      <c r="E40" s="220"/>
      <c r="F40" s="220"/>
      <c r="G40" s="220"/>
      <c r="H40" s="220"/>
      <c r="I40" s="220"/>
      <c r="J40" s="220"/>
      <c r="K40" s="220"/>
    </row>
    <row r="41" spans="2:13">
      <c r="B41" s="955" t="s">
        <v>498</v>
      </c>
      <c r="C41" s="320" t="str">
        <f>'RFPR cover'!$C$14</f>
        <v>£m 09/10</v>
      </c>
      <c r="D41" s="629">
        <f t="shared" ref="D41:K41" si="4">D37/D39</f>
        <v>-1.7899162552375969</v>
      </c>
      <c r="E41" s="630">
        <f t="shared" si="4"/>
        <v>4.7982261886146542</v>
      </c>
      <c r="F41" s="630">
        <f t="shared" si="4"/>
        <v>0.95889694844063755</v>
      </c>
      <c r="G41" s="630">
        <f t="shared" si="4"/>
        <v>3.3006106433083247</v>
      </c>
      <c r="H41" s="630">
        <f t="shared" si="4"/>
        <v>-4.2100960360262141</v>
      </c>
      <c r="I41" s="630">
        <f t="shared" si="4"/>
        <v>2.054003956567668</v>
      </c>
      <c r="J41" s="630">
        <f t="shared" si="4"/>
        <v>3.339507035687634</v>
      </c>
      <c r="K41" s="631">
        <f t="shared" si="4"/>
        <v>2.6248148366971451</v>
      </c>
    </row>
    <row r="42" spans="2:13">
      <c r="B42" s="955"/>
      <c r="C42" s="955"/>
      <c r="D42" s="955"/>
      <c r="E42" s="955"/>
      <c r="F42" s="955"/>
      <c r="G42" s="955"/>
      <c r="H42" s="955"/>
      <c r="I42" s="955"/>
      <c r="J42" s="955"/>
      <c r="K42" s="955"/>
    </row>
    <row r="43" spans="2:13">
      <c r="B43" s="664" t="s">
        <v>499</v>
      </c>
      <c r="C43" s="168"/>
      <c r="D43" s="168"/>
      <c r="E43" s="168"/>
      <c r="F43" s="168"/>
      <c r="G43" s="168"/>
      <c r="H43" s="168"/>
      <c r="I43" s="168"/>
      <c r="J43" s="168"/>
      <c r="K43" s="168"/>
    </row>
    <row r="44" spans="2:13">
      <c r="B44" s="300" t="s">
        <v>396</v>
      </c>
      <c r="C44" s="955"/>
      <c r="D44" s="955"/>
      <c r="E44" s="955"/>
      <c r="F44" s="955"/>
      <c r="G44" s="955"/>
      <c r="H44" s="955"/>
      <c r="I44" s="955"/>
      <c r="J44" s="955"/>
      <c r="K44" s="955"/>
      <c r="L44" s="955"/>
      <c r="M44" s="955"/>
    </row>
    <row r="46" spans="2:13" ht="12.75" customHeight="1">
      <c r="B46" s="171" t="s">
        <v>16</v>
      </c>
      <c r="C46" s="114" t="s">
        <v>250</v>
      </c>
      <c r="D46" s="712">
        <f>'RFPR cover'!$C$12</f>
        <v>0.6</v>
      </c>
      <c r="E46" s="713">
        <f>'RFPR cover'!$C$12</f>
        <v>0.6</v>
      </c>
      <c r="F46" s="713">
        <f>'RFPR cover'!$C$12</f>
        <v>0.6</v>
      </c>
      <c r="G46" s="713">
        <f>'RFPR cover'!$C$12</f>
        <v>0.6</v>
      </c>
      <c r="H46" s="713">
        <f>'RFPR cover'!$C$12</f>
        <v>0.6</v>
      </c>
      <c r="I46" s="713">
        <f>'RFPR cover'!$C$12</f>
        <v>0.6</v>
      </c>
      <c r="J46" s="713">
        <f>'RFPR cover'!$C$12</f>
        <v>0.6</v>
      </c>
      <c r="K46" s="714">
        <f>'RFPR cover'!$C$12</f>
        <v>0.6</v>
      </c>
    </row>
    <row r="47" spans="2:13" ht="12.75" customHeight="1">
      <c r="B47" s="171" t="s">
        <v>397</v>
      </c>
      <c r="C47" s="114" t="s">
        <v>250</v>
      </c>
      <c r="D47" s="712">
        <f>'R8 - Net Debt'!D57</f>
        <v>0.32992372119830399</v>
      </c>
      <c r="E47" s="713">
        <f>'R8 - Net Debt'!E57</f>
        <v>0.58289270137218796</v>
      </c>
      <c r="F47" s="713">
        <f>'R8 - Net Debt'!F57</f>
        <v>0.56655980370496906</v>
      </c>
      <c r="G47" s="713">
        <f>'R8 - Net Debt'!G57</f>
        <v>0.54748860168369962</v>
      </c>
      <c r="H47" s="713">
        <f>'R8 - Net Debt'!H57</f>
        <v>0.53952792451240028</v>
      </c>
      <c r="I47" s="713">
        <f>'R8 - Net Debt'!I57</f>
        <v>0.51361527072526059</v>
      </c>
      <c r="J47" s="713">
        <f>'R8 - Net Debt'!J57</f>
        <v>0.37002397990243763</v>
      </c>
      <c r="K47" s="714">
        <f>'R8 - Net Debt'!K57</f>
        <v>0.4245168988336574</v>
      </c>
    </row>
    <row r="48" spans="2:13" ht="12.75" customHeight="1">
      <c r="B48" s="171"/>
      <c r="C48" s="114"/>
      <c r="D48" s="114"/>
      <c r="E48" s="114"/>
      <c r="F48" s="114"/>
      <c r="G48" s="114"/>
      <c r="H48" s="114"/>
      <c r="I48" s="114"/>
      <c r="J48" s="114"/>
      <c r="K48" s="114"/>
      <c r="L48" s="114"/>
    </row>
    <row r="49" spans="2:14" ht="12.75" customHeight="1">
      <c r="B49" s="955" t="s">
        <v>498</v>
      </c>
      <c r="C49" s="220" t="s">
        <v>297</v>
      </c>
      <c r="D49" s="629">
        <f>D37</f>
        <v>-2.0882757265000023</v>
      </c>
      <c r="E49" s="629">
        <f t="shared" ref="E49:K49" si="5">E37</f>
        <v>5.7077603208700003</v>
      </c>
      <c r="F49" s="629">
        <f t="shared" si="5"/>
        <v>1.1529543999999996</v>
      </c>
      <c r="G49" s="629">
        <f t="shared" si="5"/>
        <v>4.0536106799999985</v>
      </c>
      <c r="H49" s="629">
        <f t="shared" si="5"/>
        <v>-5.364069023863216</v>
      </c>
      <c r="I49" s="629">
        <f t="shared" si="5"/>
        <v>2.6969636363636367</v>
      </c>
      <c r="J49" s="629">
        <f t="shared" si="5"/>
        <v>4.4983755804470809</v>
      </c>
      <c r="K49" s="629">
        <f t="shared" si="5"/>
        <v>3.595778863966113</v>
      </c>
    </row>
    <row r="50" spans="2:14">
      <c r="B50" s="171" t="s">
        <v>500</v>
      </c>
      <c r="C50" s="220" t="s">
        <v>297</v>
      </c>
      <c r="D50" s="927">
        <f>D85-D87</f>
        <v>0.89021839015347726</v>
      </c>
      <c r="E50" s="927">
        <f t="shared" ref="E50:K50" si="6">E85-E87</f>
        <v>-1.1324530688784018</v>
      </c>
      <c r="F50" s="927">
        <f t="shared" si="6"/>
        <v>-0.32696944274748591</v>
      </c>
      <c r="G50" s="927">
        <f t="shared" si="6"/>
        <v>-0.57439618215742194</v>
      </c>
      <c r="H50" s="927">
        <f t="shared" si="6"/>
        <v>1.3149372768948395</v>
      </c>
      <c r="I50" s="927">
        <f t="shared" si="6"/>
        <v>1.3918269597210742</v>
      </c>
      <c r="J50" s="629">
        <f t="shared" si="6"/>
        <v>-1.0502898620510386</v>
      </c>
      <c r="K50" s="629">
        <f t="shared" si="6"/>
        <v>-0.31951708095947445</v>
      </c>
      <c r="L50" s="220"/>
    </row>
    <row r="51" spans="2:14" s="18" customFormat="1">
      <c r="B51" s="665" t="s">
        <v>501</v>
      </c>
      <c r="C51" s="220" t="s">
        <v>297</v>
      </c>
      <c r="D51" s="595">
        <f>SUM(D49:D50)</f>
        <v>-1.198057336346525</v>
      </c>
      <c r="E51" s="596">
        <f t="shared" ref="E51:K51" si="7">SUM(E49:E50)</f>
        <v>4.5753072519915987</v>
      </c>
      <c r="F51" s="596">
        <f t="shared" si="7"/>
        <v>0.82598495725251375</v>
      </c>
      <c r="G51" s="596">
        <f t="shared" si="7"/>
        <v>3.4792144978425767</v>
      </c>
      <c r="H51" s="596">
        <f t="shared" si="7"/>
        <v>-4.0491317469683761</v>
      </c>
      <c r="I51" s="596">
        <f t="shared" si="7"/>
        <v>4.0887905960847108</v>
      </c>
      <c r="J51" s="596">
        <f t="shared" si="7"/>
        <v>3.4480857183960421</v>
      </c>
      <c r="K51" s="597">
        <f t="shared" si="7"/>
        <v>3.2762617830066385</v>
      </c>
      <c r="L51" s="646"/>
    </row>
    <row r="53" spans="2:14">
      <c r="B53" s="665" t="s">
        <v>501</v>
      </c>
      <c r="C53" s="320" t="str">
        <f>'RFPR cover'!$C$14</f>
        <v>£m 09/10</v>
      </c>
      <c r="D53" s="595">
        <f>D51/D39</f>
        <v>-1.0268865714526132</v>
      </c>
      <c r="E53" s="596">
        <f t="shared" ref="E53:K53" si="8">E51/E39</f>
        <v>3.8462300172615542</v>
      </c>
      <c r="F53" s="596">
        <f t="shared" si="8"/>
        <v>0.68696078090105395</v>
      </c>
      <c r="G53" s="596">
        <f t="shared" si="8"/>
        <v>2.832914482535319</v>
      </c>
      <c r="H53" s="596">
        <f t="shared" si="8"/>
        <v>-3.1780414162124258</v>
      </c>
      <c r="I53" s="596">
        <f t="shared" si="8"/>
        <v>3.114017537610692</v>
      </c>
      <c r="J53" s="596">
        <f t="shared" si="8"/>
        <v>2.5597921539253061</v>
      </c>
      <c r="K53" s="597">
        <f t="shared" si="8"/>
        <v>2.3915765852893425</v>
      </c>
    </row>
    <row r="54" spans="2:14">
      <c r="B54" s="665"/>
      <c r="C54" s="320"/>
      <c r="D54" s="320"/>
      <c r="E54" s="320"/>
      <c r="F54" s="320"/>
      <c r="G54" s="320"/>
      <c r="H54" s="320"/>
      <c r="I54" s="320"/>
      <c r="J54" s="320"/>
      <c r="K54" s="320"/>
    </row>
    <row r="56" spans="2:14">
      <c r="B56" s="632" t="s">
        <v>502</v>
      </c>
      <c r="C56" s="633"/>
      <c r="D56" s="633"/>
      <c r="E56" s="633"/>
      <c r="F56" s="633"/>
      <c r="G56" s="633"/>
      <c r="H56" s="633"/>
      <c r="I56" s="633"/>
      <c r="J56" s="633"/>
      <c r="K56" s="633"/>
      <c r="L56" s="633"/>
      <c r="M56" s="955"/>
    </row>
    <row r="57" spans="2:14" s="18" customFormat="1">
      <c r="B57" s="956"/>
      <c r="C57" s="955"/>
      <c r="D57" s="955"/>
      <c r="E57" s="955"/>
      <c r="F57" s="955"/>
      <c r="G57" s="955"/>
      <c r="H57" s="955"/>
      <c r="I57" s="955"/>
      <c r="J57" s="955"/>
      <c r="K57" s="955"/>
      <c r="L57" s="955"/>
      <c r="M57" s="955"/>
    </row>
    <row r="58" spans="2:14">
      <c r="B58" s="299" t="s">
        <v>503</v>
      </c>
      <c r="C58" s="245"/>
      <c r="D58" s="245"/>
      <c r="E58" s="245"/>
      <c r="F58" s="245"/>
      <c r="G58" s="245"/>
      <c r="H58" s="245"/>
      <c r="I58" s="245"/>
      <c r="J58" s="245"/>
      <c r="K58" s="245"/>
      <c r="L58" s="245"/>
      <c r="M58" s="158"/>
      <c r="N58" s="158"/>
    </row>
    <row r="59" spans="2:14" s="18" customFormat="1">
      <c r="B59" s="304"/>
      <c r="C59" s="21"/>
      <c r="D59" s="21"/>
      <c r="E59" s="21"/>
      <c r="F59" s="21"/>
      <c r="G59" s="21"/>
      <c r="H59" s="21"/>
      <c r="I59" s="21"/>
      <c r="J59" s="21"/>
      <c r="K59" s="21"/>
      <c r="L59" s="21"/>
      <c r="M59" s="23"/>
      <c r="N59" s="23"/>
    </row>
    <row r="60" spans="2:14">
      <c r="B60" s="158" t="s">
        <v>504</v>
      </c>
      <c r="C60" s="168" t="str">
        <f>'RFPR cover'!$C$14</f>
        <v>£m 09/10</v>
      </c>
      <c r="D60" s="480">
        <v>1.4521935428001387</v>
      </c>
      <c r="E60" s="480">
        <v>1.1040587177529837</v>
      </c>
      <c r="F60" s="480">
        <v>1.2701251520307342</v>
      </c>
      <c r="G60" s="480">
        <v>2.0000233568591961</v>
      </c>
      <c r="H60" s="480">
        <v>2.4500877169084161</v>
      </c>
      <c r="I60" s="480">
        <v>2.9326183892249467</v>
      </c>
      <c r="J60" s="480">
        <v>1.4521025504911933</v>
      </c>
      <c r="K60" s="480">
        <v>1.1326370867901303</v>
      </c>
    </row>
    <row r="61" spans="2:14">
      <c r="B61" s="158" t="s">
        <v>505</v>
      </c>
      <c r="C61" s="168" t="str">
        <f>'RFPR cover'!$C$14</f>
        <v>£m 09/10</v>
      </c>
      <c r="D61" s="766">
        <v>0</v>
      </c>
      <c r="E61" s="766">
        <v>0</v>
      </c>
      <c r="F61" s="766">
        <v>0</v>
      </c>
      <c r="G61" s="766">
        <v>0</v>
      </c>
      <c r="H61" s="766">
        <v>0</v>
      </c>
      <c r="I61" s="766">
        <v>0</v>
      </c>
      <c r="J61" s="766">
        <v>0</v>
      </c>
      <c r="K61" s="766">
        <v>0</v>
      </c>
    </row>
    <row r="62" spans="2:14">
      <c r="B62" s="158" t="s">
        <v>506</v>
      </c>
      <c r="C62" s="168" t="str">
        <f>'RFPR cover'!$C$14</f>
        <v>£m 09/10</v>
      </c>
      <c r="D62" s="534">
        <f t="shared" ref="D62:K62" si="9">SUM(D60:D61)</f>
        <v>1.4521935428001387</v>
      </c>
      <c r="E62" s="535">
        <f t="shared" si="9"/>
        <v>1.1040587177529837</v>
      </c>
      <c r="F62" s="535">
        <f t="shared" si="9"/>
        <v>1.2701251520307342</v>
      </c>
      <c r="G62" s="535">
        <f t="shared" si="9"/>
        <v>2.0000233568591961</v>
      </c>
      <c r="H62" s="535">
        <f t="shared" si="9"/>
        <v>2.4500877169084161</v>
      </c>
      <c r="I62" s="535">
        <f t="shared" si="9"/>
        <v>2.9326183892249467</v>
      </c>
      <c r="J62" s="535">
        <f t="shared" si="9"/>
        <v>1.4521025504911933</v>
      </c>
      <c r="K62" s="536">
        <f t="shared" si="9"/>
        <v>1.1326370867901303</v>
      </c>
    </row>
    <row r="63" spans="2:14">
      <c r="B63" s="158"/>
      <c r="C63" s="168"/>
      <c r="D63" s="168"/>
      <c r="E63" s="168"/>
      <c r="F63" s="168"/>
      <c r="G63" s="168"/>
      <c r="H63" s="168"/>
      <c r="I63" s="168"/>
      <c r="J63" s="168"/>
      <c r="K63" s="168"/>
      <c r="L63" s="168"/>
    </row>
    <row r="64" spans="2:14">
      <c r="B64" s="416" t="s">
        <v>507</v>
      </c>
      <c r="C64" s="245"/>
      <c r="D64" s="245"/>
      <c r="E64" s="245"/>
      <c r="F64" s="245"/>
      <c r="G64" s="245"/>
      <c r="H64" s="245"/>
      <c r="I64" s="245"/>
      <c r="J64" s="245"/>
      <c r="K64" s="245"/>
      <c r="L64" s="245"/>
    </row>
    <row r="65" spans="2:13" s="18" customFormat="1">
      <c r="B65" s="417"/>
      <c r="C65" s="21"/>
      <c r="D65" s="21"/>
      <c r="E65" s="21"/>
      <c r="F65" s="21"/>
      <c r="G65" s="21"/>
      <c r="H65" s="21"/>
      <c r="I65" s="21"/>
      <c r="J65" s="21"/>
      <c r="K65" s="21"/>
      <c r="L65" s="21"/>
    </row>
    <row r="66" spans="2:13">
      <c r="B66" s="158" t="s">
        <v>508</v>
      </c>
      <c r="C66" s="168" t="str">
        <f>'RFPR cover'!$C$14</f>
        <v>£m 09/10</v>
      </c>
      <c r="D66" s="766">
        <v>0.31105928200742039</v>
      </c>
      <c r="E66" s="766">
        <v>0.51247344717656729</v>
      </c>
      <c r="F66" s="480">
        <v>0.77213816524468304</v>
      </c>
      <c r="G66" s="480">
        <v>2.6261239880810368</v>
      </c>
      <c r="H66" s="480">
        <v>2.5701900129913335</v>
      </c>
      <c r="I66" s="480">
        <v>2.7154565501954222</v>
      </c>
      <c r="J66" s="480">
        <v>3.443829745098546</v>
      </c>
      <c r="K66" s="480">
        <v>2.4123057151457097</v>
      </c>
    </row>
    <row r="67" spans="2:13">
      <c r="B67" s="158" t="s">
        <v>509</v>
      </c>
      <c r="C67" s="168" t="str">
        <f>'RFPR cover'!$C$14</f>
        <v>£m 09/10</v>
      </c>
      <c r="D67" s="766">
        <v>0</v>
      </c>
      <c r="E67" s="766">
        <v>0</v>
      </c>
      <c r="F67" s="766">
        <v>0</v>
      </c>
      <c r="G67" s="766">
        <v>0</v>
      </c>
      <c r="H67" s="766">
        <v>0</v>
      </c>
      <c r="I67" s="766">
        <v>0</v>
      </c>
      <c r="J67" s="766">
        <v>0</v>
      </c>
      <c r="K67" s="766">
        <v>0</v>
      </c>
    </row>
    <row r="68" spans="2:13">
      <c r="B68" s="6" t="s">
        <v>510</v>
      </c>
      <c r="C68" s="168" t="str">
        <f>'RFPR cover'!$C$14</f>
        <v>£m 09/10</v>
      </c>
      <c r="D68" s="764">
        <f t="shared" ref="D68:K68" si="10">SUM(D66:D67)</f>
        <v>0.31105928200742039</v>
      </c>
      <c r="E68" s="910">
        <f t="shared" si="10"/>
        <v>0.51247344717656729</v>
      </c>
      <c r="F68" s="509">
        <f t="shared" si="10"/>
        <v>0.77213816524468304</v>
      </c>
      <c r="G68" s="509">
        <f t="shared" si="10"/>
        <v>2.6261239880810368</v>
      </c>
      <c r="H68" s="509">
        <f t="shared" si="10"/>
        <v>2.5701900129913335</v>
      </c>
      <c r="I68" s="509">
        <f t="shared" si="10"/>
        <v>2.7154565501954222</v>
      </c>
      <c r="J68" s="509">
        <f t="shared" si="10"/>
        <v>3.443829745098546</v>
      </c>
      <c r="K68" s="510">
        <f t="shared" si="10"/>
        <v>2.4123057151457097</v>
      </c>
    </row>
    <row r="69" spans="2:13" s="18" customFormat="1">
      <c r="B69" s="417"/>
      <c r="C69" s="21"/>
      <c r="D69" s="598"/>
      <c r="E69" s="598"/>
      <c r="F69" s="598"/>
      <c r="G69" s="598"/>
      <c r="H69" s="598"/>
      <c r="I69" s="598"/>
      <c r="J69" s="598"/>
      <c r="K69" s="598"/>
      <c r="L69" s="21"/>
    </row>
    <row r="70" spans="2:13" s="18" customFormat="1">
      <c r="B70" s="418" t="s">
        <v>511</v>
      </c>
      <c r="C70" s="21"/>
      <c r="D70" s="572">
        <f t="shared" ref="D70:K70" si="11">D68-D62</f>
        <v>-1.1411342607927182</v>
      </c>
      <c r="E70" s="573">
        <f t="shared" si="11"/>
        <v>-0.59158527057641641</v>
      </c>
      <c r="F70" s="573">
        <f t="shared" si="11"/>
        <v>-0.49798698678605113</v>
      </c>
      <c r="G70" s="573">
        <f t="shared" si="11"/>
        <v>0.62610063122184068</v>
      </c>
      <c r="H70" s="573">
        <f t="shared" si="11"/>
        <v>0.12010229608291745</v>
      </c>
      <c r="I70" s="573">
        <f t="shared" si="11"/>
        <v>-0.21716183902952446</v>
      </c>
      <c r="J70" s="573">
        <f t="shared" si="11"/>
        <v>1.9917271946073527</v>
      </c>
      <c r="K70" s="574">
        <f t="shared" si="11"/>
        <v>1.2796686283555794</v>
      </c>
      <c r="L70" s="21"/>
    </row>
    <row r="71" spans="2:13">
      <c r="B71" s="158" t="s">
        <v>512</v>
      </c>
      <c r="C71" s="168" t="str">
        <f>'RFPR cover'!$C$14</f>
        <v>£m 09/10</v>
      </c>
      <c r="D71" s="766">
        <v>0</v>
      </c>
      <c r="E71" s="766">
        <v>0</v>
      </c>
      <c r="F71" s="766">
        <v>0</v>
      </c>
      <c r="G71" s="766">
        <v>0</v>
      </c>
      <c r="H71" s="766">
        <v>0</v>
      </c>
      <c r="I71" s="766">
        <v>0</v>
      </c>
      <c r="J71" s="480">
        <v>-9.7766367645550467E-2</v>
      </c>
      <c r="K71" s="480">
        <v>-0.44419914952686268</v>
      </c>
    </row>
    <row r="72" spans="2:13">
      <c r="B72" s="158" t="s">
        <v>513</v>
      </c>
      <c r="C72" s="168" t="str">
        <f>'RFPR cover'!$C$14</f>
        <v>£m 09/10</v>
      </c>
      <c r="D72" s="766">
        <v>0</v>
      </c>
      <c r="E72" s="766">
        <v>0</v>
      </c>
      <c r="F72" s="766">
        <v>0</v>
      </c>
      <c r="G72" s="766">
        <v>0</v>
      </c>
      <c r="H72" s="766">
        <v>0</v>
      </c>
      <c r="I72" s="766">
        <v>0</v>
      </c>
      <c r="J72" s="766">
        <v>0</v>
      </c>
      <c r="K72" s="766">
        <v>0</v>
      </c>
    </row>
    <row r="73" spans="2:13">
      <c r="B73" s="158" t="s">
        <v>462</v>
      </c>
      <c r="C73" s="168" t="str">
        <f>'RFPR cover'!$C$14</f>
        <v>£m 09/10</v>
      </c>
      <c r="D73" s="480">
        <v>-1.1411342607927182</v>
      </c>
      <c r="E73" s="480">
        <v>-0.59158527057641641</v>
      </c>
      <c r="F73" s="480">
        <v>-0.49798698678605113</v>
      </c>
      <c r="G73" s="480">
        <v>0.62610063122184068</v>
      </c>
      <c r="H73" s="480">
        <v>0.12010229608291745</v>
      </c>
      <c r="I73" s="480">
        <v>-0.21716183902952446</v>
      </c>
      <c r="J73" s="480">
        <v>2.0894935622529029</v>
      </c>
      <c r="K73" s="480">
        <v>1.7238677778824421</v>
      </c>
    </row>
    <row r="74" spans="2:13">
      <c r="B74" s="158" t="s">
        <v>331</v>
      </c>
      <c r="C74" s="168" t="str">
        <f>'RFPR cover'!$C$14</f>
        <v>£m 09/10</v>
      </c>
      <c r="D74" s="419" t="str">
        <f>IF(ABS(D70-SUM(D71:D73))&lt;'RFPR cover'!$F$14,"OK","ERROR")</f>
        <v>OK</v>
      </c>
      <c r="E74" s="420" t="str">
        <f>IF(ABS(E70-SUM(E71:E73))&lt;'RFPR cover'!$F$14,"OK","ERROR")</f>
        <v>OK</v>
      </c>
      <c r="F74" s="420" t="str">
        <f>IF(ABS(F70-SUM(F71:F73))&lt;'RFPR cover'!$F$14,"OK","ERROR")</f>
        <v>OK</v>
      </c>
      <c r="G74" s="420" t="str">
        <f>IF(ABS(G70-SUM(G71:G73))&lt;'RFPR cover'!$F$14,"OK","ERROR")</f>
        <v>OK</v>
      </c>
      <c r="H74" s="420" t="str">
        <f>IF(ABS(H70-SUM(H71:H73))&lt;'RFPR cover'!$F$14,"OK","ERROR")</f>
        <v>OK</v>
      </c>
      <c r="I74" s="420" t="str">
        <f>IF(ABS(I70-SUM(I71:I73))&lt;'RFPR cover'!$F$14,"OK","ERROR")</f>
        <v>OK</v>
      </c>
      <c r="J74" s="420" t="str">
        <f>IF(ABS(J70-SUM(J71:J73))&lt;'RFPR cover'!$F$14,"OK","ERROR")</f>
        <v>OK</v>
      </c>
      <c r="K74" s="421" t="str">
        <f>IF(ABS(K70-SUM(K71:K73))&lt;'RFPR cover'!$F$14,"OK","ERROR")</f>
        <v>OK</v>
      </c>
    </row>
    <row r="75" spans="2:13">
      <c r="B75" s="158"/>
      <c r="C75" s="158"/>
      <c r="D75" s="158"/>
      <c r="E75" s="158"/>
      <c r="F75" s="158"/>
      <c r="G75" s="158"/>
      <c r="H75" s="158"/>
      <c r="I75" s="158"/>
      <c r="J75" s="158"/>
      <c r="K75" s="158"/>
      <c r="L75" s="158"/>
      <c r="M75" s="158"/>
    </row>
    <row r="77" spans="2:13">
      <c r="B77" s="669" t="s">
        <v>408</v>
      </c>
      <c r="C77" s="669"/>
      <c r="D77" s="669"/>
      <c r="E77" s="669"/>
      <c r="F77" s="669"/>
      <c r="G77" s="669"/>
      <c r="H77" s="669"/>
      <c r="I77" s="669"/>
      <c r="J77" s="669"/>
      <c r="K77" s="669"/>
      <c r="L77" s="669"/>
    </row>
    <row r="79" spans="2:13">
      <c r="B79" s="6" t="s">
        <v>514</v>
      </c>
      <c r="C79" s="169" t="str">
        <f>'RFPR cover'!$C$14</f>
        <v>£m 09/10</v>
      </c>
      <c r="D79" s="508">
        <f t="shared" ref="D79:K79" si="12">D$68-D41</f>
        <v>2.1009755372450174</v>
      </c>
      <c r="E79" s="509">
        <f t="shared" si="12"/>
        <v>-4.2857527414380865</v>
      </c>
      <c r="F79" s="509">
        <f t="shared" si="12"/>
        <v>-0.18675878319595451</v>
      </c>
      <c r="G79" s="509">
        <f t="shared" si="12"/>
        <v>-0.6744866552272879</v>
      </c>
      <c r="H79" s="509">
        <f t="shared" si="12"/>
        <v>6.7802860490175476</v>
      </c>
      <c r="I79" s="509">
        <f t="shared" si="12"/>
        <v>0.66145259362775422</v>
      </c>
      <c r="J79" s="509">
        <f t="shared" si="12"/>
        <v>0.10432270941091204</v>
      </c>
      <c r="K79" s="510">
        <f t="shared" si="12"/>
        <v>-0.21250912155143542</v>
      </c>
    </row>
    <row r="80" spans="2:13">
      <c r="B80" s="6"/>
      <c r="C80" s="6"/>
      <c r="D80" s="6"/>
      <c r="E80" s="6"/>
      <c r="F80" s="6"/>
      <c r="G80" s="6"/>
      <c r="H80" s="6"/>
      <c r="I80" s="6"/>
      <c r="J80" s="6"/>
      <c r="K80" s="6"/>
    </row>
    <row r="81" spans="2:11">
      <c r="B81" s="6" t="s">
        <v>515</v>
      </c>
      <c r="C81" s="169" t="str">
        <f>'RFPR cover'!$C$14</f>
        <v>£m 09/10</v>
      </c>
      <c r="D81" s="508">
        <f t="shared" ref="D81:K81" si="13">D$68-D53</f>
        <v>1.3379458534600337</v>
      </c>
      <c r="E81" s="509">
        <f t="shared" si="13"/>
        <v>-3.3337565700849869</v>
      </c>
      <c r="F81" s="509">
        <f t="shared" si="13"/>
        <v>8.5177384343629092E-2</v>
      </c>
      <c r="G81" s="509">
        <f t="shared" si="13"/>
        <v>-0.20679049445428221</v>
      </c>
      <c r="H81" s="509">
        <f t="shared" si="13"/>
        <v>5.7482314292037593</v>
      </c>
      <c r="I81" s="509">
        <f t="shared" si="13"/>
        <v>-0.3985609874152698</v>
      </c>
      <c r="J81" s="509">
        <f t="shared" si="13"/>
        <v>0.88403759117323988</v>
      </c>
      <c r="K81" s="510">
        <f t="shared" si="13"/>
        <v>2.0729129856367212E-2</v>
      </c>
    </row>
    <row r="83" spans="2:11">
      <c r="B83" s="6" t="s">
        <v>516</v>
      </c>
      <c r="C83" s="169" t="str">
        <f>'RFPR cover'!$C$14</f>
        <v>£m 09/10</v>
      </c>
      <c r="D83" s="764">
        <f>D79-D81</f>
        <v>0.7630296837849837</v>
      </c>
      <c r="E83" s="910">
        <f t="shared" ref="E83:K83" si="14">E79-E81</f>
        <v>-0.95199617135309955</v>
      </c>
      <c r="F83" s="910">
        <f t="shared" si="14"/>
        <v>-0.27193616753958361</v>
      </c>
      <c r="G83" s="910">
        <f t="shared" si="14"/>
        <v>-0.46769616077300569</v>
      </c>
      <c r="H83" s="910">
        <f t="shared" si="14"/>
        <v>1.0320546198137883</v>
      </c>
      <c r="I83" s="910">
        <f t="shared" si="14"/>
        <v>1.060013581043024</v>
      </c>
      <c r="J83" s="509">
        <f t="shared" si="14"/>
        <v>-0.77971488176232784</v>
      </c>
      <c r="K83" s="510">
        <f t="shared" si="14"/>
        <v>-0.23323825140780263</v>
      </c>
    </row>
    <row r="84" spans="2:11">
      <c r="D84" s="173"/>
      <c r="E84" s="173"/>
      <c r="F84" s="173"/>
      <c r="G84" s="173"/>
      <c r="H84" s="173"/>
      <c r="I84" s="173"/>
    </row>
    <row r="85" spans="2:11">
      <c r="B85" t="s">
        <v>517</v>
      </c>
      <c r="C85" s="220" t="s">
        <v>297</v>
      </c>
      <c r="D85" s="480">
        <v>-5.5842549936821681E-2</v>
      </c>
      <c r="E85" s="480">
        <v>0.17133039461440616</v>
      </c>
      <c r="F85" s="480">
        <v>0.10303349891591983</v>
      </c>
      <c r="G85" s="480">
        <v>0.27326383395872672</v>
      </c>
      <c r="H85" s="480">
        <v>0.41691765896131749</v>
      </c>
      <c r="I85" s="480">
        <v>0.56749317441759517</v>
      </c>
      <c r="J85" s="480">
        <v>0.49554868113013378</v>
      </c>
      <c r="K85" s="480">
        <v>0.32259397947786156</v>
      </c>
    </row>
    <row r="86" spans="2:11">
      <c r="B86" t="s">
        <v>517</v>
      </c>
      <c r="C86" s="320" t="str">
        <f>'RFPR cover'!$C$14</f>
        <v>£m 09/10</v>
      </c>
      <c r="D86" s="927">
        <f>D85/D$39</f>
        <v>-4.7864123782810374E-2</v>
      </c>
      <c r="E86" s="927">
        <f t="shared" ref="E86:K86" si="15">E85/E$39</f>
        <v>0.1440288204356874</v>
      </c>
      <c r="F86" s="927">
        <f t="shared" si="15"/>
        <v>8.5691600376942303E-2</v>
      </c>
      <c r="G86" s="927">
        <f t="shared" si="15"/>
        <v>0.22250225539553112</v>
      </c>
      <c r="H86" s="927">
        <f t="shared" si="15"/>
        <v>0.3272260993536259</v>
      </c>
      <c r="I86" s="927">
        <f t="shared" si="15"/>
        <v>0.43220205488218216</v>
      </c>
      <c r="J86" s="629">
        <f t="shared" si="15"/>
        <v>0.36788575732827866</v>
      </c>
      <c r="K86" s="629">
        <f t="shared" si="15"/>
        <v>0.23548429856131589</v>
      </c>
    </row>
    <row r="87" spans="2:11">
      <c r="B87" t="s">
        <v>518</v>
      </c>
      <c r="C87" s="220" t="s">
        <v>297</v>
      </c>
      <c r="D87" s="480">
        <v>-0.94606094009029895</v>
      </c>
      <c r="E87" s="480">
        <v>1.303783463492808</v>
      </c>
      <c r="F87" s="480">
        <v>0.43000294166340575</v>
      </c>
      <c r="G87" s="480">
        <v>0.84766001611614861</v>
      </c>
      <c r="H87" s="480">
        <v>-0.89801961793352203</v>
      </c>
      <c r="I87" s="480">
        <v>-0.82433378530347912</v>
      </c>
      <c r="J87" s="480">
        <v>1.5458385431811723</v>
      </c>
      <c r="K87" s="480">
        <v>0.64211106043733601</v>
      </c>
    </row>
    <row r="88" spans="2:11">
      <c r="B88" t="s">
        <v>518</v>
      </c>
      <c r="C88" s="320" t="str">
        <f>'RFPR cover'!$C$14</f>
        <v>£m 09/10</v>
      </c>
      <c r="D88" s="927">
        <f t="shared" ref="D88:K88" si="16">D87/D$39</f>
        <v>-0.81089380756779417</v>
      </c>
      <c r="E88" s="927">
        <f t="shared" si="16"/>
        <v>1.0960249917887877</v>
      </c>
      <c r="F88" s="927">
        <f t="shared" si="16"/>
        <v>0.35762776791652595</v>
      </c>
      <c r="G88" s="927">
        <f t="shared" si="16"/>
        <v>0.69019841616853728</v>
      </c>
      <c r="H88" s="927">
        <f t="shared" si="16"/>
        <v>-0.70482852046016209</v>
      </c>
      <c r="I88" s="927">
        <f t="shared" si="16"/>
        <v>-0.6278115261608419</v>
      </c>
      <c r="J88" s="629">
        <f t="shared" si="16"/>
        <v>1.1476006390906064</v>
      </c>
      <c r="K88" s="629">
        <f t="shared" si="16"/>
        <v>0.46872254996911861</v>
      </c>
    </row>
    <row r="89" spans="2:11">
      <c r="B89" t="s">
        <v>519</v>
      </c>
      <c r="C89" s="320" t="str">
        <f>'RFPR cover'!$C$14</f>
        <v>£m 09/10</v>
      </c>
      <c r="D89" s="927">
        <f>D86-D88</f>
        <v>0.76302968378498381</v>
      </c>
      <c r="E89" s="927">
        <f t="shared" ref="E89:K89" si="17">E86-E88</f>
        <v>-0.95199617135310022</v>
      </c>
      <c r="F89" s="927">
        <f t="shared" si="17"/>
        <v>-0.27193616753958366</v>
      </c>
      <c r="G89" s="927">
        <f t="shared" si="17"/>
        <v>-0.46769616077300613</v>
      </c>
      <c r="H89" s="927">
        <f t="shared" si="17"/>
        <v>1.0320546198137879</v>
      </c>
      <c r="I89" s="927">
        <f t="shared" si="17"/>
        <v>1.060013581043024</v>
      </c>
      <c r="J89" s="629">
        <f t="shared" si="17"/>
        <v>-0.77971488176232773</v>
      </c>
      <c r="K89" s="629">
        <f t="shared" si="17"/>
        <v>-0.23323825140780272</v>
      </c>
    </row>
  </sheetData>
  <sheetProtection algorithmName="SHA-512" hashValue="UUzDTsGXX1si3uT/X8x8lhIUZIgQ7QSa3NdcCOW2H4gwDrQZr4f6J02jRVgKK7R0TOt8JJ3Xtq/6oXIz8dSKrw==" saltValue="XP1CLc8uApkKXbpvz6rMuQ==" spinCount="100000" sheet="1" formatCells="0" formatColumns="0" formatRows="0" insertColumns="0" insertRows="0" insertHyperlinks="0" deleteColumns="0" deleteRows="0" sort="0" autoFilter="0" pivotTables="0"/>
  <conditionalFormatting sqref="D6:K7">
    <cfRule type="expression" dxfId="27" priority="70">
      <formula>AND(D$6="Actuals",E$6="Forecast")</formula>
    </cfRule>
  </conditionalFormatting>
  <conditionalFormatting sqref="D5:K5">
    <cfRule type="expression" dxfId="26" priority="45">
      <formula>AND(D$5="Actuals",E$5="Forecast")</formula>
    </cfRule>
  </conditionalFormatting>
  <conditionalFormatting sqref="D36:F36 H36 J36:K36">
    <cfRule type="expression" dxfId="25" priority="13">
      <formula>AND(D$5="Actuals",E$5="Actuals")</formula>
    </cfRule>
  </conditionalFormatting>
  <conditionalFormatting sqref="D12:K12 D15:K19 D24:K33">
    <cfRule type="expression" dxfId="24" priority="12">
      <formula>NOT(AND(D$5="Actuals"))</formula>
    </cfRule>
  </conditionalFormatting>
  <conditionalFormatting sqref="G36">
    <cfRule type="expression" dxfId="23" priority="178">
      <formula>AND(E$5="Actuals",F$5="Actuals")</formula>
    </cfRule>
  </conditionalFormatting>
  <conditionalFormatting sqref="I36">
    <cfRule type="expression" dxfId="22" priority="1">
      <formula>NOT(AND(I$5="Actuals"))</formula>
    </cfRule>
  </conditionalFormatting>
  <pageMargins left="0.70866141732283472" right="0.70866141732283472" top="0.74803149606299213" bottom="0.74803149606299213" header="0.31496062992125984" footer="0.31496062992125984"/>
  <pageSetup paperSize="8" scale="79" orientation="landscape" r:id="rId1"/>
  <customProperties>
    <customPr name="EpmWorksheetKeyString_GU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tabColor rgb="FFFFFFCC"/>
    <pageSetUpPr fitToPage="1"/>
  </sheetPr>
  <dimension ref="A1:R15"/>
  <sheetViews>
    <sheetView showGridLines="0" zoomScale="80" zoomScaleNormal="80" workbookViewId="0">
      <pane ySplit="6" topLeftCell="A7" activePane="bottomLeft" state="frozen"/>
      <selection activeCell="B75" sqref="A1:XFD1048576"/>
      <selection pane="bottomLeft" activeCell="I8" sqref="I8"/>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18" customFormat="1" ht="20.25">
      <c r="A1" s="856" t="s">
        <v>520</v>
      </c>
      <c r="B1" s="732"/>
      <c r="C1" s="211"/>
      <c r="D1" s="211"/>
      <c r="E1" s="211"/>
      <c r="F1" s="211"/>
      <c r="G1" s="211"/>
      <c r="H1" s="211"/>
      <c r="I1" s="212"/>
      <c r="J1" s="212"/>
      <c r="K1" s="213"/>
      <c r="L1" s="876"/>
    </row>
    <row r="2" spans="1:18" s="18" customFormat="1" ht="20.25">
      <c r="A2" s="725" t="str">
        <f>'RFPR cover'!C5</f>
        <v>NGET (SO)</v>
      </c>
      <c r="B2" s="720"/>
      <c r="C2" s="16"/>
      <c r="D2" s="16"/>
      <c r="E2" s="16"/>
      <c r="F2" s="16"/>
      <c r="G2" s="16"/>
      <c r="H2" s="16"/>
      <c r="I2" s="15"/>
      <c r="J2" s="15"/>
      <c r="K2" s="15"/>
      <c r="L2" s="93"/>
    </row>
    <row r="3" spans="1:18" s="18" customFormat="1" ht="23.25">
      <c r="A3" s="728">
        <f>'RFPR cover'!C7</f>
        <v>2020</v>
      </c>
      <c r="B3" s="734" t="str">
        <f>'R1 - RoRE'!B3</f>
        <v>Not required to be completed for System Operator</v>
      </c>
      <c r="C3" s="214"/>
      <c r="D3" s="214"/>
      <c r="E3" s="214"/>
      <c r="F3" s="214"/>
      <c r="G3" s="214"/>
      <c r="H3" s="214"/>
      <c r="I3" s="210"/>
      <c r="J3" s="210"/>
      <c r="K3" s="210"/>
      <c r="L3" s="215"/>
    </row>
    <row r="4" spans="1:18" s="2" customFormat="1" ht="12.75" customHeight="1"/>
    <row r="5" spans="1:18" s="2" customFormat="1">
      <c r="B5" s="3"/>
      <c r="C5" s="3"/>
      <c r="D5" s="313" t="str">
        <f>IF(D6&lt;='RFPR cover'!$C$7,"Actuals","N/A")</f>
        <v>Actuals</v>
      </c>
      <c r="E5" s="314" t="str">
        <f>IF(E6&lt;='RFPR cover'!$C$7,"Actuals","N/A")</f>
        <v>Actuals</v>
      </c>
      <c r="F5" s="314" t="str">
        <f>IF(F6&lt;='RFPR cover'!$C$7,"Actuals","N/A")</f>
        <v>Actuals</v>
      </c>
      <c r="G5" s="314" t="str">
        <f>IF(G6&lt;='RFPR cover'!$C$7,"Actuals","N/A")</f>
        <v>Actuals</v>
      </c>
      <c r="H5" s="314" t="str">
        <f>IF(H6&lt;='RFPR cover'!$C$7,"Actuals","N/A")</f>
        <v>Actuals</v>
      </c>
      <c r="I5" s="314" t="str">
        <f>IF(I6&lt;='RFPR cover'!$C$7,"Actuals","N/A")</f>
        <v>Actuals</v>
      </c>
      <c r="J5" s="314" t="str">
        <f>IF(J6&lt;='RFPR cover'!$C$7,"Actuals","N/A")</f>
        <v>Actuals</v>
      </c>
      <c r="K5" s="315" t="str">
        <f>IF(K6&lt;='RFPR cover'!$C$7,"Actuals","N/A")</f>
        <v>N/A</v>
      </c>
    </row>
    <row r="6" spans="1:18" s="2" customFormat="1">
      <c r="D6" s="90">
        <f>'RFPR cover'!$C$13</f>
        <v>2014</v>
      </c>
      <c r="E6" s="91">
        <f>D6+1</f>
        <v>2015</v>
      </c>
      <c r="F6" s="91">
        <f t="shared" ref="F6:K6" si="0">E6+1</f>
        <v>2016</v>
      </c>
      <c r="G6" s="91">
        <f t="shared" si="0"/>
        <v>2017</v>
      </c>
      <c r="H6" s="91">
        <f t="shared" si="0"/>
        <v>2018</v>
      </c>
      <c r="I6" s="91">
        <f t="shared" si="0"/>
        <v>2019</v>
      </c>
      <c r="J6" s="91">
        <f t="shared" si="0"/>
        <v>2020</v>
      </c>
      <c r="K6" s="154">
        <f t="shared" si="0"/>
        <v>2021</v>
      </c>
    </row>
    <row r="7" spans="1:18" s="2" customFormat="1"/>
    <row r="8" spans="1:18">
      <c r="B8" s="6" t="s">
        <v>521</v>
      </c>
      <c r="C8" s="112" t="s">
        <v>297</v>
      </c>
      <c r="D8" s="752">
        <v>0</v>
      </c>
      <c r="E8" s="752">
        <v>0</v>
      </c>
      <c r="F8" s="752">
        <v>0</v>
      </c>
      <c r="G8" s="752">
        <v>0</v>
      </c>
      <c r="H8" s="752">
        <v>0</v>
      </c>
      <c r="I8" s="752">
        <v>0</v>
      </c>
      <c r="J8" s="752">
        <v>0</v>
      </c>
      <c r="K8" s="753"/>
    </row>
    <row r="9" spans="1:18">
      <c r="B9" s="7" t="s">
        <v>522</v>
      </c>
      <c r="C9" s="6"/>
      <c r="D9" s="173"/>
      <c r="E9" s="173"/>
      <c r="F9" s="173"/>
      <c r="G9" s="173"/>
      <c r="H9" s="173"/>
      <c r="I9" s="173"/>
      <c r="J9" s="173"/>
      <c r="K9" s="173"/>
    </row>
    <row r="10" spans="1:18">
      <c r="B10" s="348" t="s">
        <v>485</v>
      </c>
      <c r="C10" s="112" t="s">
        <v>297</v>
      </c>
      <c r="D10" s="752">
        <v>0</v>
      </c>
      <c r="E10" s="752">
        <v>0</v>
      </c>
      <c r="F10" s="752">
        <v>0</v>
      </c>
      <c r="G10" s="752">
        <v>0</v>
      </c>
      <c r="H10" s="752">
        <v>0</v>
      </c>
      <c r="I10" s="752">
        <v>0</v>
      </c>
      <c r="J10" s="752">
        <v>0</v>
      </c>
      <c r="K10" s="754"/>
    </row>
    <row r="11" spans="1:18">
      <c r="B11" s="348" t="s">
        <v>485</v>
      </c>
      <c r="C11" s="112" t="s">
        <v>297</v>
      </c>
      <c r="D11" s="752">
        <v>0</v>
      </c>
      <c r="E11" s="752">
        <v>0</v>
      </c>
      <c r="F11" s="752">
        <v>0</v>
      </c>
      <c r="G11" s="752">
        <v>0</v>
      </c>
      <c r="H11" s="752">
        <v>0</v>
      </c>
      <c r="I11" s="752">
        <v>0</v>
      </c>
      <c r="J11" s="752">
        <v>0</v>
      </c>
      <c r="K11" s="755"/>
    </row>
    <row r="12" spans="1:18">
      <c r="B12" s="348" t="s">
        <v>494</v>
      </c>
      <c r="C12" s="112" t="s">
        <v>297</v>
      </c>
      <c r="D12" s="752">
        <v>0</v>
      </c>
      <c r="E12" s="752">
        <v>0</v>
      </c>
      <c r="F12" s="752">
        <v>0</v>
      </c>
      <c r="G12" s="752">
        <v>0</v>
      </c>
      <c r="H12" s="752">
        <v>0</v>
      </c>
      <c r="I12" s="752">
        <v>0</v>
      </c>
      <c r="J12" s="752">
        <v>0</v>
      </c>
      <c r="K12" s="756"/>
      <c r="Q12" s="174"/>
    </row>
    <row r="13" spans="1:18">
      <c r="B13" s="6" t="s">
        <v>523</v>
      </c>
      <c r="C13" s="112" t="s">
        <v>297</v>
      </c>
      <c r="D13" s="757">
        <f>D8-SUM(D10:D12)</f>
        <v>0</v>
      </c>
      <c r="E13" s="758">
        <f t="shared" ref="E13:K13" si="1">E8-SUM(E10:E12)</f>
        <v>0</v>
      </c>
      <c r="F13" s="758">
        <f t="shared" si="1"/>
        <v>0</v>
      </c>
      <c r="G13" s="758">
        <f t="shared" si="1"/>
        <v>0</v>
      </c>
      <c r="H13" s="758">
        <f t="shared" si="1"/>
        <v>0</v>
      </c>
      <c r="I13" s="758">
        <f t="shared" si="1"/>
        <v>0</v>
      </c>
      <c r="J13" s="758">
        <f t="shared" si="1"/>
        <v>0</v>
      </c>
      <c r="K13" s="759">
        <f t="shared" si="1"/>
        <v>0</v>
      </c>
      <c r="R13" s="173"/>
    </row>
    <row r="14" spans="1:18">
      <c r="C14" s="6"/>
      <c r="D14" s="173"/>
      <c r="E14" s="173"/>
      <c r="F14" s="173"/>
      <c r="G14" s="173"/>
      <c r="H14" s="173"/>
      <c r="I14" s="173"/>
      <c r="J14" s="173"/>
      <c r="K14" s="173"/>
      <c r="Q14" s="174"/>
    </row>
    <row r="15" spans="1:18">
      <c r="B15" s="6" t="s">
        <v>524</v>
      </c>
      <c r="C15" s="112" t="s">
        <v>297</v>
      </c>
      <c r="D15" s="752">
        <v>0</v>
      </c>
      <c r="E15" s="752">
        <v>0</v>
      </c>
      <c r="F15" s="752">
        <v>0</v>
      </c>
      <c r="G15" s="752">
        <v>0</v>
      </c>
      <c r="H15" s="752">
        <v>0</v>
      </c>
      <c r="I15" s="752">
        <v>0</v>
      </c>
      <c r="J15" s="752">
        <v>0</v>
      </c>
      <c r="K15" s="754"/>
    </row>
  </sheetData>
  <sheetProtection algorithmName="SHA-512" hashValue="2HMSBU151eFJMFPKswxRL3VXgZFpExo6OXkbtbhm8rZjgk200kadlB+dD6V3v1gRRxb+XExu0T/ZyK7tPoEMPA==" saltValue="tB1FzDlGPdY0M/ihMQ//ZQ==" spinCount="100000" sheet="1" formatCells="0" formatColumns="0" formatRows="0" insertColumns="0" insertRows="0" insertHyperlinks="0" deleteColumns="0" deleteRows="0" sort="0" autoFilter="0" pivotTables="0"/>
  <conditionalFormatting sqref="D6:K6">
    <cfRule type="expression" dxfId="21" priority="11">
      <formula>AND(D$5="Actuals",E$5="N/A")</formula>
    </cfRule>
  </conditionalFormatting>
  <conditionalFormatting sqref="D5:K5">
    <cfRule type="expression" dxfId="20" priority="4">
      <formula>AND(D$5="Actuals",E$5="N/A")</formula>
    </cfRule>
  </conditionalFormatting>
  <conditionalFormatting sqref="D5:K6 D8:K8 D10:K13">
    <cfRule type="expression" dxfId="19" priority="3">
      <formula>D$5="N/A"</formula>
    </cfRule>
  </conditionalFormatting>
  <conditionalFormatting sqref="K15">
    <cfRule type="expression" dxfId="18" priority="2">
      <formula>K$5="N/A"</formula>
    </cfRule>
  </conditionalFormatting>
  <conditionalFormatting sqref="D15:J15">
    <cfRule type="expression" dxfId="17" priority="1">
      <formula>D$5="N/A"</formula>
    </cfRule>
  </conditionalFormatting>
  <pageMargins left="0.70866141732283472" right="0.70866141732283472" top="0.74803149606299213" bottom="0.74803149606299213" header="0.31496062992125984" footer="0.31496062992125984"/>
  <pageSetup paperSize="8" scale="85" orientation="landscape" r:id="rId1"/>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FFFFCC"/>
    <pageSetUpPr fitToPage="1"/>
  </sheetPr>
  <dimension ref="A1:L39"/>
  <sheetViews>
    <sheetView showGridLines="0" zoomScale="80" zoomScaleNormal="80" workbookViewId="0">
      <pane ySplit="6" topLeftCell="A7" activePane="bottomLeft" state="frozen"/>
      <selection activeCell="B75" sqref="A1:XFD1048576"/>
      <selection pane="bottomLeft" activeCell="J18" sqref="J18"/>
    </sheetView>
  </sheetViews>
  <sheetFormatPr defaultRowHeight="12.75"/>
  <cols>
    <col min="1" max="1" width="8.375" customWidth="1"/>
    <col min="2" max="2" width="82" customWidth="1"/>
    <col min="3" max="3" width="14.125" customWidth="1"/>
    <col min="4" max="11" width="11.125" customWidth="1"/>
    <col min="12" max="12" width="5" customWidth="1"/>
  </cols>
  <sheetData>
    <row r="1" spans="1:12" s="18" customFormat="1" ht="20.25">
      <c r="A1" s="856" t="s">
        <v>209</v>
      </c>
      <c r="B1" s="732"/>
      <c r="C1" s="211"/>
      <c r="D1" s="211"/>
      <c r="E1" s="211"/>
      <c r="F1" s="211"/>
      <c r="G1" s="211"/>
      <c r="H1" s="211"/>
      <c r="I1" s="212"/>
      <c r="J1" s="212"/>
      <c r="K1" s="213"/>
      <c r="L1" s="876"/>
    </row>
    <row r="2" spans="1:12" s="18" customFormat="1" ht="20.25">
      <c r="A2" s="725" t="str">
        <f>'RFPR cover'!C5</f>
        <v>NGET (SO)</v>
      </c>
      <c r="B2" s="720"/>
      <c r="C2" s="16"/>
      <c r="D2" s="16"/>
      <c r="E2" s="16"/>
      <c r="F2" s="16"/>
      <c r="G2" s="16"/>
      <c r="H2" s="16"/>
      <c r="I2" s="15"/>
      <c r="J2" s="15"/>
      <c r="K2" s="15"/>
      <c r="L2" s="93"/>
    </row>
    <row r="3" spans="1:12" s="18" customFormat="1" ht="20.25">
      <c r="A3" s="728">
        <f>'RFPR cover'!C7</f>
        <v>2020</v>
      </c>
      <c r="B3" s="735"/>
      <c r="C3" s="214"/>
      <c r="D3" s="214"/>
      <c r="E3" s="214"/>
      <c r="F3" s="214"/>
      <c r="G3" s="214"/>
      <c r="H3" s="214"/>
      <c r="I3" s="210"/>
      <c r="J3" s="210"/>
      <c r="K3" s="210"/>
      <c r="L3" s="215"/>
    </row>
    <row r="4" spans="1:12" s="2" customFormat="1" ht="12.75" customHeight="1">
      <c r="A4" s="21"/>
      <c r="B4" s="223"/>
      <c r="C4" s="18"/>
      <c r="D4" s="224"/>
      <c r="E4" s="224"/>
      <c r="F4" s="21"/>
      <c r="G4" s="21"/>
      <c r="H4" s="21"/>
      <c r="I4" s="21"/>
      <c r="J4" s="21"/>
      <c r="K4" s="21"/>
    </row>
    <row r="5" spans="1:12" s="2" customFormat="1" ht="12.75" customHeight="1">
      <c r="A5" s="21"/>
      <c r="B5" s="223"/>
      <c r="C5" s="18"/>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row>
    <row r="6" spans="1:12" s="2" customFormat="1">
      <c r="A6" s="21"/>
      <c r="B6" s="21"/>
      <c r="C6" s="18"/>
      <c r="D6" s="90">
        <f>'RFPR cover'!$C$13</f>
        <v>2014</v>
      </c>
      <c r="E6" s="91">
        <f>D6+1</f>
        <v>2015</v>
      </c>
      <c r="F6" s="91">
        <f t="shared" ref="F6:K6" si="0">E6+1</f>
        <v>2016</v>
      </c>
      <c r="G6" s="91">
        <f t="shared" si="0"/>
        <v>2017</v>
      </c>
      <c r="H6" s="91">
        <f t="shared" si="0"/>
        <v>2018</v>
      </c>
      <c r="I6" s="91">
        <f t="shared" si="0"/>
        <v>2019</v>
      </c>
      <c r="J6" s="91">
        <f t="shared" si="0"/>
        <v>2020</v>
      </c>
      <c r="K6" s="154">
        <f t="shared" si="0"/>
        <v>2021</v>
      </c>
    </row>
    <row r="7" spans="1:12" s="2" customFormat="1">
      <c r="A7" s="21"/>
      <c r="B7" s="21"/>
      <c r="C7" s="18"/>
      <c r="D7" s="18"/>
      <c r="E7" s="18"/>
      <c r="F7" s="18"/>
      <c r="G7" s="18"/>
      <c r="H7" s="18"/>
      <c r="I7" s="18"/>
      <c r="J7" s="18"/>
      <c r="K7" s="18"/>
      <c r="L7" s="18"/>
    </row>
    <row r="8" spans="1:12">
      <c r="B8" s="6" t="s">
        <v>525</v>
      </c>
      <c r="C8" s="112" t="s">
        <v>297</v>
      </c>
      <c r="D8" s="600">
        <v>10.297511085860867</v>
      </c>
      <c r="E8" s="600">
        <v>10.681012014637169</v>
      </c>
      <c r="F8" s="600">
        <v>10.895046430018553</v>
      </c>
      <c r="G8" s="600">
        <v>10.888425498868122</v>
      </c>
      <c r="H8" s="600">
        <v>11.15504738794858</v>
      </c>
      <c r="I8" s="600">
        <v>11.569185968853741</v>
      </c>
      <c r="J8" s="600">
        <v>11.934277051622423</v>
      </c>
      <c r="K8" s="601"/>
    </row>
    <row r="9" spans="1:12">
      <c r="B9" s="8" t="s">
        <v>526</v>
      </c>
      <c r="D9" s="599"/>
      <c r="E9" s="599"/>
      <c r="F9" s="599"/>
      <c r="G9" s="599"/>
      <c r="H9" s="599"/>
      <c r="I9" s="599"/>
      <c r="J9" s="599"/>
      <c r="K9" s="599"/>
    </row>
    <row r="10" spans="1:12">
      <c r="B10" t="s">
        <v>527</v>
      </c>
      <c r="C10" s="112" t="s">
        <v>297</v>
      </c>
      <c r="D10" s="600">
        <v>10.239717136624991</v>
      </c>
      <c r="E10" s="600">
        <v>10.621641712435837</v>
      </c>
      <c r="F10" s="600">
        <v>10.83434259949844</v>
      </c>
      <c r="G10" s="600">
        <v>10.76212420460763</v>
      </c>
      <c r="H10" s="600">
        <v>11.025653388533193</v>
      </c>
      <c r="I10" s="600">
        <v>11.434988130832217</v>
      </c>
      <c r="J10" s="600">
        <v>11.795844305966048</v>
      </c>
      <c r="K10" s="562"/>
    </row>
    <row r="11" spans="1:12">
      <c r="B11" t="s">
        <v>528</v>
      </c>
      <c r="C11" s="112" t="s">
        <v>297</v>
      </c>
      <c r="D11" s="600">
        <v>5.7793949235875393E-2</v>
      </c>
      <c r="E11" s="600">
        <v>5.9370302201332513E-2</v>
      </c>
      <c r="F11" s="600">
        <v>6.0703830520113446E-2</v>
      </c>
      <c r="G11" s="600">
        <v>0.12630129426049178</v>
      </c>
      <c r="H11" s="600">
        <v>0.12939399941538676</v>
      </c>
      <c r="I11" s="600">
        <v>0.13419783802152524</v>
      </c>
      <c r="J11" s="600">
        <v>0.13843274565637495</v>
      </c>
      <c r="K11" s="602"/>
    </row>
    <row r="12" spans="1:12">
      <c r="D12" s="599"/>
      <c r="E12" s="599"/>
      <c r="F12" s="599"/>
      <c r="G12" s="599"/>
      <c r="H12" s="599"/>
      <c r="I12" s="599"/>
      <c r="J12" s="599"/>
      <c r="K12" s="599"/>
    </row>
    <row r="13" spans="1:12">
      <c r="D13" s="599"/>
      <c r="E13" s="599"/>
      <c r="F13" s="599"/>
      <c r="G13" s="599"/>
      <c r="H13" s="599"/>
      <c r="I13" s="599"/>
      <c r="J13" s="599"/>
      <c r="K13" s="599"/>
    </row>
    <row r="14" spans="1:12">
      <c r="B14" t="s">
        <v>527</v>
      </c>
      <c r="C14" s="168" t="str">
        <f>'RFPR cover'!$C$14</f>
        <v>£m 09/10</v>
      </c>
      <c r="D14" s="901">
        <f>D10/Data!C$34</f>
        <v>8.7767318842510296</v>
      </c>
      <c r="E14" s="901">
        <f>E10/Data!D$34</f>
        <v>8.9290784065234075</v>
      </c>
      <c r="F14" s="901">
        <f>F10/Data!E$34</f>
        <v>9.0107796605134265</v>
      </c>
      <c r="G14" s="901">
        <f>G10/Data!F$34</f>
        <v>8.7629485163913419</v>
      </c>
      <c r="H14" s="901">
        <f>H10/Data!G$34</f>
        <v>8.6537028921808066</v>
      </c>
      <c r="I14" s="901">
        <f>I10/Data!H$34</f>
        <v>8.7088719133426338</v>
      </c>
      <c r="J14" s="901">
        <f>J10/Data!I$34</f>
        <v>8.7570066898981427</v>
      </c>
      <c r="K14" s="943">
        <f>K10/Data!J$34</f>
        <v>0</v>
      </c>
    </row>
    <row r="15" spans="1:12">
      <c r="D15" s="599"/>
      <c r="E15" s="599"/>
      <c r="F15" s="599"/>
      <c r="G15" s="599"/>
      <c r="H15" s="599"/>
      <c r="I15" s="599"/>
      <c r="J15" s="599"/>
      <c r="K15" s="599"/>
    </row>
    <row r="16" spans="1:12">
      <c r="D16" s="599"/>
      <c r="E16" s="599"/>
      <c r="F16" s="599"/>
      <c r="G16" s="599"/>
      <c r="H16" s="599"/>
      <c r="I16" s="599"/>
      <c r="J16" s="599"/>
      <c r="K16" s="599"/>
    </row>
    <row r="17" spans="2:11" s="2" customFormat="1">
      <c r="B17" s="6" t="s">
        <v>529</v>
      </c>
      <c r="C17" s="168" t="str">
        <f>'RFPR cover'!$C$14</f>
        <v>£m 09/10</v>
      </c>
      <c r="D17" s="600">
        <v>8.8000000000000007</v>
      </c>
      <c r="E17" s="600">
        <v>8.8000000000000007</v>
      </c>
      <c r="F17" s="600">
        <v>9.9</v>
      </c>
      <c r="G17" s="600">
        <v>9.9</v>
      </c>
      <c r="H17" s="600">
        <v>9.9</v>
      </c>
      <c r="I17" s="600">
        <v>8.5</v>
      </c>
      <c r="J17" s="600">
        <v>8.5</v>
      </c>
      <c r="K17" s="600">
        <v>8.5</v>
      </c>
    </row>
    <row r="18" spans="2:11" s="2" customFormat="1">
      <c r="B18" s="158" t="s">
        <v>530</v>
      </c>
      <c r="C18" s="168" t="str">
        <f>'RFPR cover'!$C$14</f>
        <v>£m 09/10</v>
      </c>
      <c r="D18" s="751">
        <v>0</v>
      </c>
      <c r="E18" s="751">
        <v>0</v>
      </c>
      <c r="F18" s="751">
        <v>0</v>
      </c>
      <c r="G18" s="751">
        <v>0</v>
      </c>
      <c r="H18" s="751">
        <v>0</v>
      </c>
      <c r="I18" s="600">
        <v>-0.2</v>
      </c>
      <c r="J18" s="600">
        <v>-0.2</v>
      </c>
      <c r="K18" s="600">
        <v>-0.2</v>
      </c>
    </row>
    <row r="19" spans="2:11" s="2" customFormat="1">
      <c r="B19" s="6" t="s">
        <v>531</v>
      </c>
      <c r="C19" s="168" t="str">
        <f>'RFPR cover'!$C$14</f>
        <v>£m 09/10</v>
      </c>
      <c r="D19" s="901">
        <f>D17-D18</f>
        <v>8.8000000000000007</v>
      </c>
      <c r="E19" s="901">
        <f t="shared" ref="E19:K19" si="1">E17-E18</f>
        <v>8.8000000000000007</v>
      </c>
      <c r="F19" s="901">
        <f t="shared" si="1"/>
        <v>9.9</v>
      </c>
      <c r="G19" s="901">
        <f t="shared" si="1"/>
        <v>9.9</v>
      </c>
      <c r="H19" s="901">
        <f t="shared" si="1"/>
        <v>9.9</v>
      </c>
      <c r="I19" s="901">
        <f t="shared" si="1"/>
        <v>8.6999999999999993</v>
      </c>
      <c r="J19" s="901">
        <f t="shared" si="1"/>
        <v>8.6999999999999993</v>
      </c>
      <c r="K19" s="901">
        <f t="shared" si="1"/>
        <v>8.6999999999999993</v>
      </c>
    </row>
    <row r="20" spans="2:11" s="2" customFormat="1">
      <c r="B20" s="6"/>
      <c r="C20" s="6"/>
      <c r="D20" s="6"/>
      <c r="E20" s="6"/>
      <c r="F20" s="6"/>
      <c r="G20" s="6"/>
      <c r="H20" s="6"/>
      <c r="I20" s="6"/>
      <c r="J20" s="6"/>
      <c r="K20" s="6"/>
    </row>
    <row r="21" spans="2:11" s="2" customFormat="1">
      <c r="B21" s="6"/>
      <c r="C21" s="6"/>
      <c r="D21" s="1005" t="s">
        <v>532</v>
      </c>
      <c r="E21" s="6"/>
      <c r="F21" s="6"/>
      <c r="G21" s="6"/>
      <c r="H21" s="6"/>
      <c r="I21" s="6"/>
      <c r="J21" s="6"/>
      <c r="K21" s="6"/>
    </row>
    <row r="22" spans="2:11" s="2" customFormat="1" ht="12.75" customHeight="1">
      <c r="B22" s="6"/>
      <c r="C22" s="6"/>
      <c r="D22" s="1006"/>
      <c r="E22" s="6"/>
      <c r="F22" s="6"/>
      <c r="G22" s="6"/>
      <c r="H22" s="6"/>
      <c r="I22" s="6"/>
      <c r="J22" s="6"/>
      <c r="K22" s="6"/>
    </row>
    <row r="23" spans="2:11">
      <c r="C23" s="6"/>
      <c r="D23" s="1007"/>
      <c r="E23" s="6"/>
    </row>
    <row r="24" spans="2:11">
      <c r="B24" s="6" t="s">
        <v>533</v>
      </c>
      <c r="C24" s="6"/>
      <c r="D24" s="944">
        <v>42460</v>
      </c>
    </row>
    <row r="25" spans="2:11">
      <c r="B25" s="6"/>
      <c r="C25" s="6"/>
      <c r="D25" s="26"/>
      <c r="E25" s="27"/>
      <c r="F25" s="27"/>
    </row>
    <row r="26" spans="2:11">
      <c r="B26" s="158" t="s">
        <v>534</v>
      </c>
      <c r="C26" s="6"/>
      <c r="D26" s="945">
        <v>42460</v>
      </c>
      <c r="E26" s="27"/>
      <c r="F26" s="27"/>
    </row>
    <row r="27" spans="2:11">
      <c r="B27" s="158"/>
      <c r="C27" s="6"/>
      <c r="D27" s="26"/>
      <c r="E27" s="27"/>
      <c r="F27" s="27"/>
    </row>
    <row r="28" spans="2:11">
      <c r="B28" s="6"/>
      <c r="D28" s="296" t="s">
        <v>413</v>
      </c>
      <c r="E28" s="27"/>
      <c r="F28" s="27"/>
    </row>
    <row r="29" spans="2:11">
      <c r="B29" t="s">
        <v>535</v>
      </c>
      <c r="D29" s="946">
        <v>157.2537189</v>
      </c>
    </row>
    <row r="30" spans="2:11">
      <c r="B30" t="s">
        <v>536</v>
      </c>
      <c r="D30" s="946">
        <v>2895.9462810999999</v>
      </c>
    </row>
    <row r="31" spans="2:11">
      <c r="D31" s="599"/>
    </row>
    <row r="32" spans="2:11">
      <c r="B32" t="s">
        <v>537</v>
      </c>
      <c r="D32" s="946">
        <v>152.30000000000001</v>
      </c>
    </row>
    <row r="33" spans="2:4">
      <c r="B33" t="s">
        <v>538</v>
      </c>
      <c r="D33" s="946">
        <v>2400.3999999999996</v>
      </c>
    </row>
    <row r="34" spans="2:4">
      <c r="D34" s="599"/>
    </row>
    <row r="35" spans="2:4">
      <c r="B35" s="29" t="s">
        <v>539</v>
      </c>
      <c r="D35" s="901">
        <f>D29-D32</f>
        <v>4.9537188999999842</v>
      </c>
    </row>
    <row r="36" spans="2:4">
      <c r="B36" s="29" t="s">
        <v>540</v>
      </c>
      <c r="D36" s="901">
        <f>D30-D33</f>
        <v>495.54628110000021</v>
      </c>
    </row>
    <row r="37" spans="2:4">
      <c r="D37" s="599"/>
    </row>
    <row r="38" spans="2:4">
      <c r="B38" t="s">
        <v>541</v>
      </c>
      <c r="D38" s="946">
        <v>110.10270626183113</v>
      </c>
    </row>
    <row r="39" spans="2:4">
      <c r="B39" t="s">
        <v>542</v>
      </c>
      <c r="D39" s="946">
        <v>1.2921347159790584</v>
      </c>
    </row>
  </sheetData>
  <sheetProtection algorithmName="SHA-512" hashValue="emRiounRzCPpNe/5BEa10/a78FVwQWP4uPZFu+G/jwI6PeBG6rC80mk8agE00kHvUn7KFHj0LJgdpYjQ4RYpWw==" saltValue="3/5WkiF6N3yjg+h3VbU0BQ==" spinCount="100000" sheet="1" formatCells="0" formatColumns="0" formatRows="0" insertColumns="0" insertRows="0" insertHyperlinks="0" deleteColumns="0" deleteRows="0" sort="0" autoFilter="0" pivotTables="0"/>
  <mergeCells count="1">
    <mergeCell ref="D21:D23"/>
  </mergeCells>
  <conditionalFormatting sqref="D6:J6">
    <cfRule type="expression" dxfId="16" priority="20">
      <formula>AND(D$4="Actuals",E$4="Forecast")</formula>
    </cfRule>
  </conditionalFormatting>
  <conditionalFormatting sqref="K11">
    <cfRule type="expression" dxfId="15" priority="14">
      <formula>K$5="Forecast"</formula>
    </cfRule>
    <cfRule type="expression" dxfId="14" priority="15">
      <formula>K$5="Actuals"</formula>
    </cfRule>
  </conditionalFormatting>
  <conditionalFormatting sqref="D8:K8">
    <cfRule type="expression" dxfId="13" priority="18">
      <formula>D$5="Forecast"</formula>
    </cfRule>
    <cfRule type="expression" dxfId="12" priority="19">
      <formula>D$5="Actuals"</formula>
    </cfRule>
  </conditionalFormatting>
  <conditionalFormatting sqref="K10">
    <cfRule type="expression" dxfId="11" priority="16">
      <formula>K$5="Forecast"</formula>
    </cfRule>
    <cfRule type="expression" dxfId="10" priority="17">
      <formula>K$5="Actuals"</formula>
    </cfRule>
  </conditionalFormatting>
  <conditionalFormatting sqref="D5:K6">
    <cfRule type="expression" dxfId="9" priority="13">
      <formula>AND(D$5="Actuals",E$5="Forecast")</formula>
    </cfRule>
  </conditionalFormatting>
  <conditionalFormatting sqref="D21">
    <cfRule type="expression" dxfId="8" priority="10">
      <formula>AND(E$4="Actuals",F$4="Forecast")</formula>
    </cfRule>
  </conditionalFormatting>
  <conditionalFormatting sqref="K6">
    <cfRule type="expression" dxfId="7" priority="116">
      <formula>AND(K$4="Actuals",#REF!="Forecast")</formula>
    </cfRule>
  </conditionalFormatting>
  <conditionalFormatting sqref="K5">
    <cfRule type="expression" dxfId="6" priority="118">
      <formula>AND(K$5="Actuals",#REF!="Forecast")</formula>
    </cfRule>
  </conditionalFormatting>
  <conditionalFormatting sqref="D10:J11">
    <cfRule type="expression" dxfId="5" priority="3">
      <formula>D$5="Forecast"</formula>
    </cfRule>
    <cfRule type="expression" dxfId="4" priority="4">
      <formula>D$5="Actuals"</formula>
    </cfRule>
  </conditionalFormatting>
  <conditionalFormatting sqref="D17:K18">
    <cfRule type="expression" dxfId="3" priority="1">
      <formula>D$5="Forecast"</formula>
    </cfRule>
    <cfRule type="expression" dxfId="2" priority="2">
      <formula>D$5="Actuals"</formula>
    </cfRule>
  </conditionalFormatting>
  <pageMargins left="0.70866141732283472" right="0.70866141732283472" top="0.74803149606299213" bottom="0.74803149606299213" header="0.31496062992125984" footer="0.31496062992125984"/>
  <pageSetup paperSize="8" scale="88" orientation="landscape" r:id="rId1"/>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tabColor rgb="FFFFFFCC"/>
    <pageSetUpPr fitToPage="1"/>
  </sheetPr>
  <dimension ref="A1:S21"/>
  <sheetViews>
    <sheetView showGridLines="0" zoomScale="80" zoomScaleNormal="80" workbookViewId="0">
      <pane ySplit="6" topLeftCell="A7" activePane="bottomLeft" state="frozen"/>
      <selection activeCell="B75" sqref="A1:XFD1048576"/>
      <selection pane="bottomLeft" activeCell="B26" sqref="B26"/>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18" customFormat="1" ht="20.25">
      <c r="A1" s="856" t="s">
        <v>543</v>
      </c>
      <c r="B1" s="732"/>
      <c r="C1" s="211"/>
      <c r="D1" s="211"/>
      <c r="E1" s="211"/>
      <c r="F1" s="211"/>
      <c r="G1" s="211"/>
      <c r="H1" s="211"/>
      <c r="I1" s="212"/>
      <c r="J1" s="212"/>
      <c r="K1" s="213"/>
      <c r="L1" s="876"/>
      <c r="M1" s="20"/>
      <c r="N1" s="20"/>
      <c r="O1" s="19" t="s">
        <v>183</v>
      </c>
      <c r="P1" s="20"/>
      <c r="Q1" s="20"/>
      <c r="R1" s="20"/>
      <c r="S1" s="20"/>
    </row>
    <row r="2" spans="1:19" s="18" customFormat="1" ht="20.25">
      <c r="A2" s="725" t="str">
        <f>'RFPR cover'!C5</f>
        <v>NGET (SO)</v>
      </c>
      <c r="B2" s="720"/>
      <c r="C2" s="16"/>
      <c r="D2" s="16"/>
      <c r="E2" s="16"/>
      <c r="F2" s="16"/>
      <c r="G2" s="16"/>
      <c r="H2" s="16"/>
      <c r="I2" s="15"/>
      <c r="J2" s="15"/>
      <c r="K2" s="15"/>
      <c r="L2" s="93"/>
      <c r="M2" s="20"/>
      <c r="N2" s="20"/>
      <c r="O2" s="19" t="s">
        <v>183</v>
      </c>
      <c r="P2" s="20"/>
      <c r="Q2" s="20"/>
      <c r="R2" s="20"/>
      <c r="S2" s="20"/>
    </row>
    <row r="3" spans="1:19" s="18" customFormat="1" ht="20.25">
      <c r="A3" s="728">
        <f>'RFPR cover'!C7</f>
        <v>2020</v>
      </c>
      <c r="B3" s="735"/>
      <c r="C3" s="214"/>
      <c r="D3" s="214"/>
      <c r="E3" s="214"/>
      <c r="F3" s="214"/>
      <c r="G3" s="214"/>
      <c r="H3" s="214"/>
      <c r="I3" s="210"/>
      <c r="J3" s="210"/>
      <c r="K3" s="210"/>
      <c r="L3" s="215"/>
      <c r="M3" s="20"/>
      <c r="N3" s="20"/>
      <c r="O3" s="19" t="s">
        <v>183</v>
      </c>
      <c r="P3" s="20"/>
      <c r="Q3" s="20"/>
      <c r="R3" s="20"/>
      <c r="S3" s="20"/>
    </row>
    <row r="4" spans="1:19" s="2" customFormat="1" ht="12.75" customHeight="1">
      <c r="M4" s="20"/>
      <c r="N4" s="20"/>
      <c r="O4" s="19" t="s">
        <v>183</v>
      </c>
      <c r="P4" s="20"/>
      <c r="Q4" s="20"/>
      <c r="R4" s="20"/>
      <c r="S4" s="20"/>
    </row>
    <row r="5" spans="1:19" s="2" customFormat="1" ht="12.75" customHeight="1">
      <c r="B5" s="3"/>
      <c r="C5" s="3"/>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c r="M5" s="20"/>
      <c r="N5" s="20"/>
      <c r="O5" s="19" t="s">
        <v>183</v>
      </c>
      <c r="P5" s="20"/>
      <c r="Q5" s="20"/>
      <c r="R5" s="20"/>
      <c r="S5" s="20"/>
    </row>
    <row r="6" spans="1:19" s="2" customFormat="1">
      <c r="C6" s="6"/>
      <c r="D6" s="90">
        <f>'RFPR cover'!$C$13</f>
        <v>2014</v>
      </c>
      <c r="E6" s="91">
        <f>D6+1</f>
        <v>2015</v>
      </c>
      <c r="F6" s="91">
        <f t="shared" ref="F6:K6" si="0">E6+1</f>
        <v>2016</v>
      </c>
      <c r="G6" s="91">
        <f t="shared" si="0"/>
        <v>2017</v>
      </c>
      <c r="H6" s="91">
        <f t="shared" si="0"/>
        <v>2018</v>
      </c>
      <c r="I6" s="91">
        <f t="shared" si="0"/>
        <v>2019</v>
      </c>
      <c r="J6" s="91">
        <f t="shared" si="0"/>
        <v>2020</v>
      </c>
      <c r="K6" s="154">
        <f t="shared" si="0"/>
        <v>2021</v>
      </c>
    </row>
    <row r="7" spans="1:19">
      <c r="D7" s="606"/>
      <c r="E7" s="606"/>
      <c r="F7" s="606"/>
      <c r="G7" s="606"/>
      <c r="H7" s="606"/>
      <c r="I7" s="606"/>
      <c r="J7" s="606"/>
      <c r="K7" s="606"/>
    </row>
    <row r="8" spans="1:19">
      <c r="B8" s="34" t="s">
        <v>544</v>
      </c>
      <c r="C8" s="168" t="str">
        <f>'RFPR cover'!$C$14</f>
        <v>£m 09/10</v>
      </c>
      <c r="D8" s="603">
        <f>(D16+D21)/Data!C34</f>
        <v>0</v>
      </c>
      <c r="E8" s="603">
        <f>(E16+E21)/Data!D34</f>
        <v>0</v>
      </c>
      <c r="F8" s="603">
        <f>(F16+F21)/Data!E34</f>
        <v>0</v>
      </c>
      <c r="G8" s="603">
        <f>(G16+G21)/Data!F34</f>
        <v>0</v>
      </c>
      <c r="H8" s="603">
        <f>(H16+H21)/Data!G34</f>
        <v>0</v>
      </c>
      <c r="I8" s="603">
        <f>(I16+I21)/Data!H34</f>
        <v>0</v>
      </c>
      <c r="J8" s="603">
        <f>(J16+J21)/Data!I34</f>
        <v>0</v>
      </c>
      <c r="K8" s="603">
        <f>(K16+K21)/Data!J34</f>
        <v>0</v>
      </c>
    </row>
    <row r="9" spans="1:19">
      <c r="D9" s="606"/>
      <c r="E9" s="606"/>
      <c r="F9" s="606"/>
      <c r="G9" s="606"/>
      <c r="H9" s="606"/>
      <c r="I9" s="606"/>
      <c r="J9" s="606"/>
      <c r="K9" s="606"/>
    </row>
    <row r="10" spans="1:19">
      <c r="B10" s="6" t="s">
        <v>545</v>
      </c>
      <c r="D10" s="606"/>
      <c r="E10" s="606"/>
      <c r="F10" s="606"/>
      <c r="G10" s="606"/>
      <c r="H10" s="606"/>
      <c r="I10" s="606"/>
      <c r="J10" s="606"/>
      <c r="K10" s="606"/>
    </row>
    <row r="11" spans="1:19">
      <c r="B11" s="30" t="s">
        <v>546</v>
      </c>
      <c r="C11" s="112" t="s">
        <v>297</v>
      </c>
      <c r="D11" s="526"/>
      <c r="E11" s="527"/>
      <c r="F11" s="527"/>
      <c r="G11" s="527"/>
      <c r="H11" s="527"/>
      <c r="I11" s="527"/>
      <c r="J11" s="527"/>
      <c r="K11" s="528"/>
    </row>
    <row r="12" spans="1:19">
      <c r="B12" s="30" t="s">
        <v>546</v>
      </c>
      <c r="C12" s="112" t="s">
        <v>297</v>
      </c>
      <c r="D12" s="526"/>
      <c r="E12" s="527"/>
      <c r="F12" s="527"/>
      <c r="G12" s="527"/>
      <c r="H12" s="527"/>
      <c r="I12" s="527"/>
      <c r="J12" s="527"/>
      <c r="K12" s="528"/>
    </row>
    <row r="13" spans="1:19">
      <c r="B13" s="30" t="s">
        <v>494</v>
      </c>
      <c r="C13" s="112" t="s">
        <v>297</v>
      </c>
      <c r="D13" s="526"/>
      <c r="E13" s="527"/>
      <c r="F13" s="527"/>
      <c r="G13" s="527"/>
      <c r="H13" s="527"/>
      <c r="I13" s="527"/>
      <c r="J13" s="527"/>
      <c r="K13" s="528"/>
    </row>
    <row r="14" spans="1:19">
      <c r="B14" s="6" t="s">
        <v>547</v>
      </c>
      <c r="C14" s="112" t="s">
        <v>297</v>
      </c>
      <c r="D14" s="603">
        <f>SUM(D11:D13)</f>
        <v>0</v>
      </c>
      <c r="E14" s="604">
        <f t="shared" ref="E14:K14" si="1">SUM(E11:E13)</f>
        <v>0</v>
      </c>
      <c r="F14" s="604">
        <f t="shared" si="1"/>
        <v>0</v>
      </c>
      <c r="G14" s="604">
        <f t="shared" si="1"/>
        <v>0</v>
      </c>
      <c r="H14" s="604">
        <f t="shared" si="1"/>
        <v>0</v>
      </c>
      <c r="I14" s="604">
        <f t="shared" si="1"/>
        <v>0</v>
      </c>
      <c r="J14" s="604">
        <f t="shared" si="1"/>
        <v>0</v>
      </c>
      <c r="K14" s="605">
        <f t="shared" si="1"/>
        <v>0</v>
      </c>
    </row>
    <row r="15" spans="1:19">
      <c r="B15" s="21" t="s">
        <v>548</v>
      </c>
      <c r="C15" s="112" t="s">
        <v>297</v>
      </c>
      <c r="D15" s="526"/>
      <c r="E15" s="527"/>
      <c r="F15" s="527"/>
      <c r="G15" s="527"/>
      <c r="H15" s="527"/>
      <c r="I15" s="527"/>
      <c r="J15" s="527"/>
      <c r="K15" s="528"/>
    </row>
    <row r="16" spans="1:19">
      <c r="B16" s="34" t="s">
        <v>549</v>
      </c>
      <c r="C16" s="112" t="s">
        <v>297</v>
      </c>
      <c r="D16" s="603">
        <f>D14-D15</f>
        <v>0</v>
      </c>
      <c r="E16" s="603">
        <f t="shared" ref="E16:K16" si="2">E14-E15</f>
        <v>0</v>
      </c>
      <c r="F16" s="603">
        <f t="shared" si="2"/>
        <v>0</v>
      </c>
      <c r="G16" s="603">
        <f t="shared" si="2"/>
        <v>0</v>
      </c>
      <c r="H16" s="603">
        <f t="shared" si="2"/>
        <v>0</v>
      </c>
      <c r="I16" s="603">
        <f t="shared" si="2"/>
        <v>0</v>
      </c>
      <c r="J16" s="603">
        <f t="shared" si="2"/>
        <v>0</v>
      </c>
      <c r="K16" s="603">
        <f t="shared" si="2"/>
        <v>0</v>
      </c>
    </row>
    <row r="18" spans="2:11">
      <c r="B18" s="6" t="s">
        <v>550</v>
      </c>
      <c r="D18" s="606"/>
      <c r="E18" s="606"/>
      <c r="F18" s="606"/>
      <c r="G18" s="606"/>
      <c r="H18" s="606"/>
      <c r="I18" s="606"/>
      <c r="J18" s="606"/>
      <c r="K18" s="606"/>
    </row>
    <row r="19" spans="2:11">
      <c r="B19" s="677" t="s">
        <v>551</v>
      </c>
      <c r="C19" s="112" t="s">
        <v>297</v>
      </c>
      <c r="D19" s="526"/>
      <c r="E19" s="527"/>
      <c r="F19" s="527"/>
      <c r="G19" s="527"/>
      <c r="H19" s="527"/>
      <c r="I19" s="527"/>
      <c r="J19" s="527"/>
      <c r="K19" s="528"/>
    </row>
    <row r="20" spans="2:11">
      <c r="B20" s="21" t="s">
        <v>548</v>
      </c>
      <c r="C20" s="112" t="s">
        <v>297</v>
      </c>
      <c r="D20" s="526"/>
      <c r="E20" s="527"/>
      <c r="F20" s="527"/>
      <c r="G20" s="527"/>
      <c r="H20" s="527"/>
      <c r="I20" s="527"/>
      <c r="J20" s="527"/>
      <c r="K20" s="528"/>
    </row>
    <row r="21" spans="2:11">
      <c r="B21" s="34" t="s">
        <v>552</v>
      </c>
      <c r="C21" s="112" t="s">
        <v>297</v>
      </c>
      <c r="D21" s="603">
        <f>D19-D20</f>
        <v>0</v>
      </c>
      <c r="E21" s="603">
        <f t="shared" ref="E21:K21" si="3">E19-E20</f>
        <v>0</v>
      </c>
      <c r="F21" s="603">
        <f t="shared" si="3"/>
        <v>0</v>
      </c>
      <c r="G21" s="603">
        <f t="shared" si="3"/>
        <v>0</v>
      </c>
      <c r="H21" s="603">
        <f t="shared" si="3"/>
        <v>0</v>
      </c>
      <c r="I21" s="603">
        <f t="shared" si="3"/>
        <v>0</v>
      </c>
      <c r="J21" s="603">
        <f t="shared" si="3"/>
        <v>0</v>
      </c>
      <c r="K21" s="603">
        <f t="shared" si="3"/>
        <v>0</v>
      </c>
    </row>
  </sheetData>
  <sheetProtection algorithmName="SHA-512" hashValue="Y64eaqL//P1mZeliETv1oDPRnG6JZrwkX2vz9g6RAn6qSNiIdVZM7t7L10bIh5zAfDOu3r3omsUtqHMN+EuNAQ==" saltValue="71Vf3GhjY+7AOijHKDEejw==" spinCount="100000" sheet="1" formatCells="0" formatColumns="0" formatRows="0" insertColumns="0" insertRows="0" insertHyperlinks="0" deleteColumns="0" deleteRows="0" sort="0" autoFilter="0" pivotTables="0"/>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9CCFF"/>
  </sheetPr>
  <dimension ref="A1:U268"/>
  <sheetViews>
    <sheetView showGridLines="0" zoomScale="69" zoomScaleNormal="69" workbookViewId="0">
      <pane ySplit="4" topLeftCell="A24" activePane="bottomLeft" state="frozen"/>
      <selection activeCell="B75" sqref="A1:XFD1048576"/>
      <selection pane="bottomLeft" activeCell="B39" sqref="B39"/>
    </sheetView>
  </sheetViews>
  <sheetFormatPr defaultRowHeight="12.75"/>
  <cols>
    <col min="1" max="1" width="8.375" customWidth="1"/>
    <col min="2" max="2" width="35.125" customWidth="1"/>
    <col min="8" max="8" width="10.125" bestFit="1" customWidth="1"/>
    <col min="14" max="14" width="9" customWidth="1"/>
  </cols>
  <sheetData>
    <row r="1" spans="1:14" ht="20.25">
      <c r="A1" s="856" t="s">
        <v>20</v>
      </c>
      <c r="B1" s="857"/>
      <c r="C1" s="857"/>
      <c r="D1" s="857"/>
      <c r="E1" s="857"/>
      <c r="F1" s="857"/>
      <c r="G1" s="857"/>
      <c r="H1" s="857"/>
      <c r="I1" s="857"/>
      <c r="J1" s="857"/>
      <c r="K1" s="857"/>
      <c r="L1" s="857"/>
      <c r="M1" s="857"/>
      <c r="N1" s="858"/>
    </row>
    <row r="2" spans="1:14" ht="20.25">
      <c r="A2" s="725" t="str">
        <f>'RFPR cover'!C5</f>
        <v>NGET (SO)</v>
      </c>
      <c r="B2" s="726"/>
      <c r="C2" s="726"/>
      <c r="D2" s="726"/>
      <c r="E2" s="726"/>
      <c r="F2" s="726"/>
      <c r="G2" s="726"/>
      <c r="H2" s="726"/>
      <c r="I2" s="726"/>
      <c r="J2" s="726"/>
      <c r="K2" s="726"/>
      <c r="L2" s="726"/>
      <c r="M2" s="726"/>
      <c r="N2" s="727"/>
    </row>
    <row r="3" spans="1:14" ht="20.25">
      <c r="A3" s="728">
        <f>'RFPR cover'!C7</f>
        <v>2020</v>
      </c>
      <c r="B3" s="729"/>
      <c r="C3" s="729"/>
      <c r="D3" s="729"/>
      <c r="E3" s="729"/>
      <c r="F3" s="729"/>
      <c r="G3" s="729"/>
      <c r="H3" s="729"/>
      <c r="I3" s="729"/>
      <c r="J3" s="729"/>
      <c r="K3" s="729"/>
      <c r="L3" s="729"/>
      <c r="M3" s="729"/>
      <c r="N3" s="730"/>
    </row>
    <row r="6" spans="1:14">
      <c r="A6" s="17"/>
      <c r="B6" s="859">
        <v>2018</v>
      </c>
      <c r="C6" s="860" t="s">
        <v>21</v>
      </c>
      <c r="D6" s="9"/>
      <c r="E6" s="9"/>
      <c r="F6" s="674"/>
      <c r="G6" s="9"/>
    </row>
    <row r="7" spans="1:14">
      <c r="A7" s="17"/>
      <c r="B7" s="859">
        <v>2019</v>
      </c>
      <c r="C7" s="860" t="s">
        <v>22</v>
      </c>
      <c r="D7" s="9"/>
      <c r="E7" s="9"/>
      <c r="F7" s="9"/>
      <c r="G7" s="9"/>
    </row>
    <row r="8" spans="1:14">
      <c r="A8" s="17"/>
      <c r="B8" s="859">
        <v>2020</v>
      </c>
      <c r="C8" s="860" t="s">
        <v>23</v>
      </c>
      <c r="D8" s="10"/>
      <c r="E8" s="10"/>
      <c r="F8" s="10"/>
      <c r="G8" s="10"/>
    </row>
    <row r="9" spans="1:14">
      <c r="A9" s="17"/>
      <c r="B9" s="859">
        <v>2021</v>
      </c>
      <c r="C9" s="860" t="s">
        <v>24</v>
      </c>
      <c r="D9" s="9"/>
      <c r="E9" s="9"/>
      <c r="F9" s="9"/>
      <c r="G9" s="9"/>
    </row>
    <row r="10" spans="1:14">
      <c r="A10" s="17"/>
      <c r="B10" s="859">
        <v>2022</v>
      </c>
      <c r="C10" s="860" t="s">
        <v>25</v>
      </c>
      <c r="D10" s="9"/>
      <c r="E10" s="9"/>
      <c r="F10" s="9"/>
    </row>
    <row r="11" spans="1:14">
      <c r="A11" s="17"/>
      <c r="B11" s="859">
        <v>2023</v>
      </c>
      <c r="C11" s="860" t="s">
        <v>26</v>
      </c>
      <c r="D11" s="10"/>
      <c r="E11" s="10"/>
      <c r="F11" s="10"/>
    </row>
    <row r="12" spans="1:14">
      <c r="A12" s="17"/>
      <c r="B12" s="9"/>
      <c r="C12" s="9"/>
      <c r="D12" s="9"/>
      <c r="E12" s="9"/>
      <c r="F12" s="9"/>
    </row>
    <row r="13" spans="1:14" ht="75" customHeight="1">
      <c r="A13" s="17"/>
      <c r="B13" s="861" t="s">
        <v>27</v>
      </c>
      <c r="C13" s="451" t="s">
        <v>28</v>
      </c>
      <c r="D13" s="451" t="s">
        <v>29</v>
      </c>
      <c r="E13" s="451" t="s">
        <v>30</v>
      </c>
      <c r="F13" s="451" t="s">
        <v>31</v>
      </c>
      <c r="G13" s="452" t="s">
        <v>32</v>
      </c>
    </row>
    <row r="14" spans="1:14">
      <c r="A14" s="17"/>
      <c r="B14" s="121" t="s">
        <v>33</v>
      </c>
      <c r="C14" s="128">
        <v>2010</v>
      </c>
      <c r="D14" s="122" t="str">
        <f>IF(VALUE(C14)&lt;='RFPR cover'!$C$7,"Actual","Forecast")</f>
        <v>Actual</v>
      </c>
      <c r="E14" s="305">
        <v>215.767</v>
      </c>
      <c r="F14" s="402">
        <v>221.75</v>
      </c>
      <c r="G14" s="123">
        <v>0.28000000000000003</v>
      </c>
      <c r="H14" s="675"/>
      <c r="J14" s="676"/>
    </row>
    <row r="15" spans="1:14">
      <c r="A15" s="17"/>
      <c r="B15" s="124" t="s">
        <v>34</v>
      </c>
      <c r="C15" s="129">
        <v>2011</v>
      </c>
      <c r="D15" s="125" t="str">
        <f>IF(VALUE(C15)&lt;='RFPR cover'!$C$7,"Actual","Forecast")</f>
        <v>Actual</v>
      </c>
      <c r="E15" s="306">
        <v>226.47499999999999</v>
      </c>
      <c r="F15" s="403">
        <v>233.45</v>
      </c>
      <c r="G15" s="126">
        <v>0.28000000000000003</v>
      </c>
      <c r="H15" s="675"/>
      <c r="J15" s="676"/>
    </row>
    <row r="16" spans="1:14" ht="14.25" customHeight="1">
      <c r="A16" s="17"/>
      <c r="B16" s="124" t="s">
        <v>35</v>
      </c>
      <c r="C16" s="129">
        <v>2012</v>
      </c>
      <c r="D16" s="125" t="str">
        <f>IF(VALUE(C16)&lt;='RFPR cover'!$C$7,"Actual","Forecast")</f>
        <v>Actual</v>
      </c>
      <c r="E16" s="306">
        <v>237.34200000000001</v>
      </c>
      <c r="F16" s="403">
        <v>241.65</v>
      </c>
      <c r="G16" s="126">
        <v>0.26</v>
      </c>
      <c r="H16" s="675"/>
      <c r="J16" s="676"/>
    </row>
    <row r="17" spans="2:10">
      <c r="B17" s="124" t="s">
        <v>36</v>
      </c>
      <c r="C17" s="129">
        <v>2013</v>
      </c>
      <c r="D17" s="125" t="str">
        <f>IF(VALUE(C17)&lt;='RFPR cover'!$C$7,"Actual","Forecast")</f>
        <v>Actual</v>
      </c>
      <c r="E17" s="306">
        <v>244.67500000000001</v>
      </c>
      <c r="F17" s="403">
        <v>249.1</v>
      </c>
      <c r="G17" s="126">
        <v>0.24</v>
      </c>
      <c r="H17" s="675"/>
      <c r="J17" s="676"/>
    </row>
    <row r="18" spans="2:10">
      <c r="B18" s="124" t="s">
        <v>37</v>
      </c>
      <c r="C18" s="129">
        <v>2014</v>
      </c>
      <c r="D18" s="125" t="str">
        <f>IF(VALUE(C18)&lt;='RFPR cover'!$C$7,"Actual","Forecast")</f>
        <v>Actual</v>
      </c>
      <c r="E18" s="306">
        <v>251.733</v>
      </c>
      <c r="F18" s="403">
        <v>255.25</v>
      </c>
      <c r="G18" s="126">
        <v>0.23</v>
      </c>
      <c r="H18" s="675"/>
      <c r="I18" s="422"/>
      <c r="J18" s="676"/>
    </row>
    <row r="19" spans="2:10">
      <c r="B19" s="124" t="s">
        <v>38</v>
      </c>
      <c r="C19" s="129">
        <v>2015</v>
      </c>
      <c r="D19" s="125" t="str">
        <f>IF(VALUE(C19)&lt;='RFPR cover'!$C$7,"Actual","Forecast")</f>
        <v>Actual</v>
      </c>
      <c r="E19" s="306">
        <v>256.66699999999997</v>
      </c>
      <c r="F19" s="403">
        <v>257.55</v>
      </c>
      <c r="G19" s="126">
        <v>0.21</v>
      </c>
      <c r="H19" s="675"/>
      <c r="I19" s="422"/>
      <c r="J19" s="676"/>
    </row>
    <row r="20" spans="2:10">
      <c r="B20" s="124" t="s">
        <v>39</v>
      </c>
      <c r="C20" s="129">
        <v>2016</v>
      </c>
      <c r="D20" s="125" t="str">
        <f>IF(VALUE(C20)&lt;='RFPR cover'!$C$7,"Actual","Forecast")</f>
        <v>Actual</v>
      </c>
      <c r="E20" s="306">
        <v>259.43299999999999</v>
      </c>
      <c r="F20" s="403">
        <v>261.25</v>
      </c>
      <c r="G20" s="126">
        <v>0.2</v>
      </c>
      <c r="H20" s="675"/>
      <c r="I20" s="422"/>
      <c r="J20" s="676"/>
    </row>
    <row r="21" spans="2:10">
      <c r="B21" s="124" t="s">
        <v>40</v>
      </c>
      <c r="C21" s="129">
        <v>2017</v>
      </c>
      <c r="D21" s="125" t="str">
        <f>IF(VALUE(C21)&lt;='RFPR cover'!$C$7,"Actual","Forecast")</f>
        <v>Actual</v>
      </c>
      <c r="E21" s="306">
        <v>264.99200000000002</v>
      </c>
      <c r="F21" s="403">
        <v>269.95000000000005</v>
      </c>
      <c r="G21" s="126">
        <v>0.2</v>
      </c>
      <c r="H21" s="675"/>
      <c r="I21" s="422"/>
      <c r="J21" s="676"/>
    </row>
    <row r="22" spans="2:10">
      <c r="B22" s="124" t="s">
        <v>21</v>
      </c>
      <c r="C22" s="129">
        <v>2018</v>
      </c>
      <c r="D22" s="125" t="str">
        <f>IF(VALUE(C22)&lt;='RFPR cover'!$C$7,"Actual","Forecast")</f>
        <v>Actual</v>
      </c>
      <c r="E22" s="306">
        <v>274.90800000000002</v>
      </c>
      <c r="F22" s="403">
        <v>279</v>
      </c>
      <c r="G22" s="126">
        <v>0.19</v>
      </c>
      <c r="H22" s="675"/>
      <c r="I22" s="422"/>
      <c r="J22" s="676"/>
    </row>
    <row r="23" spans="2:10">
      <c r="B23" s="405" t="s">
        <v>22</v>
      </c>
      <c r="C23" s="406">
        <v>2019</v>
      </c>
      <c r="D23" s="125" t="str">
        <f>IF(VALUE(C23)&lt;='RFPR cover'!$C$7,"Actual","Forecast")</f>
        <v>Actual</v>
      </c>
      <c r="E23" s="306">
        <v>283.30799999999999</v>
      </c>
      <c r="F23" s="403">
        <v>286.64999999999998</v>
      </c>
      <c r="G23" s="126">
        <v>0.19</v>
      </c>
      <c r="H23" s="675"/>
      <c r="J23" s="676"/>
    </row>
    <row r="24" spans="2:10">
      <c r="B24" s="405" t="s">
        <v>23</v>
      </c>
      <c r="C24" s="406">
        <v>2020</v>
      </c>
      <c r="D24" s="125" t="str">
        <f>IF(VALUE(C24)&lt;='RFPR cover'!$C$7,"Actual","Forecast")</f>
        <v>Actual</v>
      </c>
      <c r="E24" s="951">
        <v>290.642</v>
      </c>
      <c r="F24" s="404">
        <v>292.60000000000002</v>
      </c>
      <c r="G24" s="126">
        <v>0.19</v>
      </c>
      <c r="H24" s="749" t="s">
        <v>41</v>
      </c>
      <c r="J24" s="676"/>
    </row>
    <row r="25" spans="2:10">
      <c r="B25" s="405" t="s">
        <v>24</v>
      </c>
      <c r="C25" s="406">
        <v>2021</v>
      </c>
      <c r="D25" s="125" t="str">
        <f>IF(VALUE(C25)&lt;='RFPR cover'!$C$7,"Actual","Forecast")</f>
        <v>Forecast</v>
      </c>
      <c r="E25" s="404">
        <f t="shared" ref="E25:F27" si="0">E24*(1+INDEX($D$43:$J$43,0,MATCH($C25,$D$42:$J$42,0)))</f>
        <v>295.58291399999996</v>
      </c>
      <c r="F25" s="404">
        <f t="shared" si="0"/>
        <v>297.57420000000002</v>
      </c>
      <c r="G25" s="126">
        <v>0.19</v>
      </c>
      <c r="H25" s="675"/>
      <c r="J25" s="676"/>
    </row>
    <row r="26" spans="2:10">
      <c r="B26" s="405" t="s">
        <v>25</v>
      </c>
      <c r="C26" s="406">
        <v>2022</v>
      </c>
      <c r="D26" s="125" t="str">
        <f>IF(VALUE(C26)&lt;='RFPR cover'!$C$7,"Actual","Forecast")</f>
        <v>Forecast</v>
      </c>
      <c r="E26" s="404">
        <f t="shared" si="0"/>
        <v>301.86405092249998</v>
      </c>
      <c r="F26" s="404">
        <f t="shared" si="0"/>
        <v>303.89765175000002</v>
      </c>
      <c r="G26" s="126">
        <v>0.19</v>
      </c>
      <c r="H26" s="675"/>
      <c r="J26" s="676"/>
    </row>
    <row r="27" spans="2:10">
      <c r="B27" s="405" t="s">
        <v>26</v>
      </c>
      <c r="C27" s="406">
        <v>2023</v>
      </c>
      <c r="D27" s="125" t="str">
        <f>IF(VALUE(C27)&lt;='RFPR cover'!$C$7,"Actual","Forecast")</f>
        <v>Forecast</v>
      </c>
      <c r="E27" s="404">
        <f t="shared" si="0"/>
        <v>309.63705023375434</v>
      </c>
      <c r="F27" s="404">
        <f t="shared" si="0"/>
        <v>311.72301628256253</v>
      </c>
      <c r="G27" s="126">
        <v>0.19</v>
      </c>
      <c r="H27" s="675"/>
      <c r="J27" s="676"/>
    </row>
    <row r="28" spans="2:10">
      <c r="B28" s="405" t="s">
        <v>42</v>
      </c>
      <c r="C28" s="406">
        <v>2024</v>
      </c>
      <c r="D28" s="125" t="str">
        <f>IF(VALUE(C28)&lt;='RFPR cover'!$C$7,"Actual","Forecast")</f>
        <v>Forecast</v>
      </c>
      <c r="E28" s="308"/>
      <c r="F28" s="308"/>
      <c r="G28" s="126">
        <v>0.19</v>
      </c>
    </row>
    <row r="29" spans="2:10">
      <c r="B29" s="405" t="s">
        <v>43</v>
      </c>
      <c r="C29" s="406">
        <v>2025</v>
      </c>
      <c r="D29" s="125" t="str">
        <f>IF(VALUE(C29)&lt;='RFPR cover'!$C$7,"Actual","Forecast")</f>
        <v>Forecast</v>
      </c>
      <c r="E29" s="308"/>
      <c r="F29" s="308"/>
      <c r="G29" s="126">
        <v>0.19</v>
      </c>
    </row>
    <row r="30" spans="2:10">
      <c r="B30" s="407" t="s">
        <v>44</v>
      </c>
      <c r="C30" s="408">
        <v>2026</v>
      </c>
      <c r="D30" s="127" t="str">
        <f>IF(VALUE(C30)&lt;='RFPR cover'!$C$7,"Actual","Forecast")</f>
        <v>Forecast</v>
      </c>
      <c r="E30" s="307"/>
      <c r="F30" s="307"/>
      <c r="G30" s="126">
        <v>0.19</v>
      </c>
    </row>
    <row r="31" spans="2:10">
      <c r="B31" s="62"/>
      <c r="C31" s="50"/>
      <c r="D31" s="50"/>
      <c r="E31" s="50"/>
      <c r="F31" s="50"/>
    </row>
    <row r="32" spans="2:10">
      <c r="B32" s="62"/>
      <c r="C32" s="862" t="str">
        <f>IF(C33&lt;='RFPR cover'!$C$7,"Actuals","Forecast")</f>
        <v>Actuals</v>
      </c>
      <c r="D32" s="863" t="str">
        <f>IF(D33&lt;='RFPR cover'!$C$7,"Actuals","Forecast")</f>
        <v>Actuals</v>
      </c>
      <c r="E32" s="863" t="str">
        <f>IF(E33&lt;='RFPR cover'!$C$7,"Actuals","Forecast")</f>
        <v>Actuals</v>
      </c>
      <c r="F32" s="863" t="str">
        <f>IF(F33&lt;='RFPR cover'!$C$7,"Actuals","Forecast")</f>
        <v>Actuals</v>
      </c>
      <c r="G32" s="863" t="str">
        <f>IF(G33&lt;='RFPR cover'!$C$7,"Actuals","Forecast")</f>
        <v>Actuals</v>
      </c>
      <c r="H32" s="863" t="str">
        <f>IF(H33&lt;='RFPR cover'!$C$7,"Actuals","Forecast")</f>
        <v>Actuals</v>
      </c>
      <c r="I32" s="863" t="str">
        <f>IF(I33&lt;='RFPR cover'!$C$7,"Actuals","Forecast")</f>
        <v>Actuals</v>
      </c>
      <c r="J32" s="864" t="str">
        <f>IF(J33&lt;='RFPR cover'!$C$7,"Actuals","Forecast")</f>
        <v>Forecast</v>
      </c>
    </row>
    <row r="33" spans="2:14" ht="15.75" customHeight="1">
      <c r="B33" s="241"/>
      <c r="C33" s="63">
        <f>'RFPR cover'!$C$13</f>
        <v>2014</v>
      </c>
      <c r="D33" s="64">
        <f t="shared" ref="D33:J33" si="1">C33+1</f>
        <v>2015</v>
      </c>
      <c r="E33" s="64">
        <f t="shared" si="1"/>
        <v>2016</v>
      </c>
      <c r="F33" s="64">
        <f t="shared" si="1"/>
        <v>2017</v>
      </c>
      <c r="G33" s="64">
        <f t="shared" si="1"/>
        <v>2018</v>
      </c>
      <c r="H33" s="64">
        <f t="shared" si="1"/>
        <v>2019</v>
      </c>
      <c r="I33" s="64">
        <f t="shared" si="1"/>
        <v>2020</v>
      </c>
      <c r="J33" s="264">
        <f t="shared" si="1"/>
        <v>2021</v>
      </c>
    </row>
    <row r="34" spans="2:14" ht="15.75" customHeight="1">
      <c r="B34" s="400" t="s">
        <v>45</v>
      </c>
      <c r="C34" s="398">
        <f>INDEX(Data!$E$14:$E$30,MATCH(C$33,Data!$C$14:$C$30,0),0)/IF('RFPR cover'!$C$6="ED1",Data!$E$17,Data!$E$14)</f>
        <v>1.1666890673736021</v>
      </c>
      <c r="D34" s="395">
        <f>INDEX(Data!$E$14:$E$30,MATCH(D$33,Data!$C$14:$C$30,0),0)/IF('RFPR cover'!$C$6="ED1",Data!$E$17,Data!$E$14)</f>
        <v>1.1895563269638081</v>
      </c>
      <c r="E34" s="395">
        <f>INDEX(Data!$E$14:$E$30,MATCH(E$33,Data!$C$14:$C$30,0),0)/IF('RFPR cover'!$C$6="ED1",Data!$E$17,Data!$E$14)</f>
        <v>1.2023757108362261</v>
      </c>
      <c r="F34" s="395">
        <f>INDEX(Data!$E$14:$E$30,MATCH(F$33,Data!$C$14:$C$30,0),0)/IF('RFPR cover'!$C$6="ED1",Data!$E$17,Data!$E$14)</f>
        <v>1.2281396135646323</v>
      </c>
      <c r="G34" s="395">
        <f>INDEX(Data!$E$14:$E$30,MATCH(G$33,Data!$C$14:$C$30,0),0)/IF('RFPR cover'!$C$6="ED1",Data!$E$17,Data!$E$14)</f>
        <v>1.2740965949380583</v>
      </c>
      <c r="H34" s="395">
        <f>INDEX(Data!$E$14:$E$30,MATCH(H$33,Data!$C$14:$C$30,0),0)/IF('RFPR cover'!$C$6="ED1",Data!$E$17,Data!$E$14)</f>
        <v>1.3130274787154661</v>
      </c>
      <c r="I34" s="396">
        <f>INDEX(Data!$E$14:$E$30,MATCH(I$33,Data!$C$14:$C$30,0),0)/IF('RFPR cover'!$C$6="ED1",Data!$E$17,Data!$E$14)</f>
        <v>1.3470178479563604</v>
      </c>
      <c r="J34" s="397">
        <f>INDEX(Data!$E$14:$E$30,MATCH(J$33,Data!$C$14:$C$30,0),0)/IF('RFPR cover'!$C$6="ED1",Data!$E$17,Data!$E$14)</f>
        <v>1.3699171513716184</v>
      </c>
    </row>
    <row r="35" spans="2:14" ht="15.75" customHeight="1">
      <c r="B35" s="401" t="s">
        <v>31</v>
      </c>
      <c r="C35" s="399">
        <f>INDEX(Data!$F$14:$F$30,MATCH(C$33,Data!$C$14:$C$30,0),0)/IF('RFPR cover'!$C$6="ED1",Data!$E$17,Data!$E$14)</f>
        <v>1.1829890576408812</v>
      </c>
      <c r="D35" s="399">
        <f>INDEX(Data!$F$14:$F$30,MATCH(D$33,Data!$C$14:$C$30,0),0)/IF('RFPR cover'!$C$6="ED1",Data!$E$17,Data!$E$14)</f>
        <v>1.1936487043894572</v>
      </c>
      <c r="E35" s="399">
        <f>INDEX(Data!$F$14:$F$30,MATCH(E$33,Data!$C$14:$C$30,0),0)/IF('RFPR cover'!$C$6="ED1",Data!$E$17,Data!$E$14)</f>
        <v>1.2107968317676012</v>
      </c>
      <c r="F35" s="399">
        <f>INDEX(Data!$F$14:$F$30,MATCH(F$33,Data!$C$14:$C$30,0),0)/IF('RFPR cover'!$C$6="ED1",Data!$E$17,Data!$E$14)</f>
        <v>1.2511181042513455</v>
      </c>
      <c r="G35" s="399">
        <f>INDEX(Data!$F$14:$F$30,MATCH(G$33,Data!$C$14:$C$30,0),0)/IF('RFPR cover'!$C$6="ED1",Data!$E$17,Data!$E$14)</f>
        <v>1.2930614968924812</v>
      </c>
      <c r="H35" s="399">
        <f>INDEX(Data!$F$14:$F$30,MATCH(H$33,Data!$C$14:$C$30,0),0)/IF('RFPR cover'!$C$6="ED1",Data!$E$17,Data!$E$14)</f>
        <v>1.3285164089040491</v>
      </c>
      <c r="I35" s="399">
        <f>INDEX(Data!$F$14:$F$30,MATCH(I$33,Data!$C$14:$C$30,0),0)/IF('RFPR cover'!$C$6="ED1",Data!$E$17,Data!$E$14)</f>
        <v>1.3560924515797135</v>
      </c>
      <c r="J35" s="399">
        <f>INDEX(Data!$F$14:$F$30,MATCH(J$33,Data!$C$14:$C$30,0),0)/IF('RFPR cover'!$C$6="ED1",Data!$E$17,Data!$E$14)</f>
        <v>1.3791460232565684</v>
      </c>
    </row>
    <row r="36" spans="2:14">
      <c r="B36" s="401" t="s">
        <v>46</v>
      </c>
      <c r="C36" s="399">
        <f>INDEX(Data!$E$14:$E$30,MATCH(C$33,Data!$C$14:$C$30,0))/INDEX(Data!$E$14:$E$30,MATCH(C$33-1,Data!$C$14:$C$30,0))</f>
        <v>1.0288464289363441</v>
      </c>
      <c r="D36" s="399">
        <f>INDEX(Data!$E$14:$E$30,MATCH(D$33,Data!$C$14:$C$30,0))/INDEX(Data!$E$14:$E$30,MATCH(D$33-1,Data!$C$14:$C$30,0))</f>
        <v>1.0196001318857677</v>
      </c>
      <c r="E36" s="399">
        <f>INDEX(Data!$E$14:$E$30,MATCH(E$33,Data!$C$14:$C$30,0))/INDEX(Data!$E$14:$E$30,MATCH(E$33-1,Data!$C$14:$C$30,0))</f>
        <v>1.0107766093810269</v>
      </c>
      <c r="F36" s="399">
        <f>INDEX(Data!$E$14:$E$30,MATCH(F$33,Data!$C$14:$C$30,0))/INDEX(Data!$E$14:$E$30,MATCH(F$33-1,Data!$C$14:$C$30,0))</f>
        <v>1.0214274976583551</v>
      </c>
      <c r="G36" s="399">
        <f>INDEX(Data!$E$14:$E$30,MATCH(G$33,Data!$C$14:$C$30,0))/INDEX(Data!$E$14:$E$30,MATCH(G$33-1,Data!$C$14:$C$30,0))</f>
        <v>1.0374199975848328</v>
      </c>
      <c r="H36" s="399">
        <f>INDEX(Data!$E$14:$E$30,MATCH(H$33,Data!$C$14:$C$30,0))/INDEX(Data!$E$14:$E$30,MATCH(H$33-1,Data!$C$14:$C$30,0))</f>
        <v>1.0305556768082411</v>
      </c>
      <c r="I36" s="399">
        <f>INDEX(Data!$E$14:$E$30,MATCH(I$33,Data!$C$14:$C$30,0))/INDEX(Data!$E$14:$E$30,MATCH(I$33-1,Data!$C$14:$C$30,0))</f>
        <v>1.0258870204865376</v>
      </c>
      <c r="J36" s="399">
        <f>INDEX(Data!$E$14:$E$30,MATCH(J$33,Data!$C$14:$C$30,0))/INDEX(Data!$E$14:$E$30,MATCH(J$33-1,Data!$C$14:$C$30,0))</f>
        <v>1.0169999999999999</v>
      </c>
    </row>
    <row r="37" spans="2:14" ht="15.75" customHeight="1">
      <c r="B37" s="6" t="s">
        <v>47</v>
      </c>
      <c r="F37" s="422"/>
    </row>
    <row r="38" spans="2:14">
      <c r="C38" s="415" t="s">
        <v>48</v>
      </c>
      <c r="D38" s="90">
        <v>2017</v>
      </c>
      <c r="E38" s="91">
        <f t="shared" ref="E38:J38" si="2">D38+1</f>
        <v>2018</v>
      </c>
      <c r="F38" s="91">
        <f t="shared" si="2"/>
        <v>2019</v>
      </c>
      <c r="G38" s="91">
        <f t="shared" si="2"/>
        <v>2020</v>
      </c>
      <c r="H38" s="91">
        <f t="shared" si="2"/>
        <v>2021</v>
      </c>
      <c r="I38" s="91">
        <f t="shared" si="2"/>
        <v>2022</v>
      </c>
      <c r="J38" s="154">
        <f t="shared" si="2"/>
        <v>2023</v>
      </c>
      <c r="K38" s="977" t="s">
        <v>49</v>
      </c>
      <c r="L38" s="977"/>
      <c r="M38" s="977"/>
    </row>
    <row r="39" spans="2:14">
      <c r="B39" t="s">
        <v>50</v>
      </c>
      <c r="C39" s="158"/>
      <c r="D39" s="607"/>
      <c r="E39" s="607"/>
      <c r="F39" s="607"/>
      <c r="G39" s="608">
        <v>1.6E-2</v>
      </c>
      <c r="H39" s="608">
        <v>0.02</v>
      </c>
      <c r="I39" s="608">
        <v>2.5000000000000001E-2</v>
      </c>
      <c r="J39" s="609">
        <v>2.8000000000000001E-2</v>
      </c>
      <c r="K39" s="978" t="s">
        <v>51</v>
      </c>
      <c r="L39" s="978"/>
      <c r="M39" s="978"/>
      <c r="N39" s="749" t="s">
        <v>41</v>
      </c>
    </row>
    <row r="41" spans="2:14">
      <c r="B41" s="6" t="s">
        <v>52</v>
      </c>
    </row>
    <row r="42" spans="2:14">
      <c r="C42" s="414" t="s">
        <v>53</v>
      </c>
      <c r="D42" s="90">
        <v>2017</v>
      </c>
      <c r="E42" s="91">
        <f t="shared" ref="E42:J42" si="3">D42+1</f>
        <v>2018</v>
      </c>
      <c r="F42" s="91">
        <f t="shared" si="3"/>
        <v>2019</v>
      </c>
      <c r="G42" s="91">
        <f t="shared" si="3"/>
        <v>2020</v>
      </c>
      <c r="H42" s="91">
        <f t="shared" si="3"/>
        <v>2021</v>
      </c>
      <c r="I42" s="91">
        <f t="shared" si="3"/>
        <v>2022</v>
      </c>
      <c r="J42" s="154">
        <f t="shared" si="3"/>
        <v>2023</v>
      </c>
    </row>
    <row r="43" spans="2:14">
      <c r="B43" t="s">
        <v>54</v>
      </c>
      <c r="D43" s="468"/>
      <c r="E43" s="469"/>
      <c r="F43" s="469"/>
      <c r="G43" s="610">
        <f>(F39*0.75)+(G39*0.25)</f>
        <v>4.0000000000000001E-3</v>
      </c>
      <c r="H43" s="610">
        <f>(G39*0.75)+(H39*0.25)</f>
        <v>1.7000000000000001E-2</v>
      </c>
      <c r="I43" s="610">
        <f>(H39*0.75)+(I39*0.25)</f>
        <v>2.1249999999999998E-2</v>
      </c>
      <c r="J43" s="611">
        <f>(I39*0.75)+(J39*0.25)</f>
        <v>2.5750000000000002E-2</v>
      </c>
    </row>
    <row r="45" spans="2:14">
      <c r="B45" s="865" t="str">
        <f>"Selected Capitalisation rates for "&amp;'RFPR cover'!C5</f>
        <v>Selected Capitalisation rates for NGET (SO)</v>
      </c>
      <c r="C45" s="225"/>
      <c r="D45" s="225"/>
      <c r="E45" s="225"/>
      <c r="F45" s="225"/>
      <c r="G45" s="225"/>
      <c r="H45" s="225"/>
      <c r="I45" s="225"/>
      <c r="J45" s="225"/>
      <c r="K45" s="225"/>
      <c r="L45" s="225"/>
      <c r="M45" s="866"/>
    </row>
    <row r="46" spans="2:14">
      <c r="B46" s="159"/>
      <c r="C46" s="28"/>
      <c r="D46" s="28"/>
      <c r="E46" s="28"/>
      <c r="F46" s="28"/>
      <c r="G46" s="28"/>
      <c r="H46" s="28"/>
      <c r="I46" s="28"/>
      <c r="J46" s="28"/>
      <c r="K46" s="28"/>
      <c r="L46" s="28"/>
      <c r="M46" s="160"/>
    </row>
    <row r="47" spans="2:14">
      <c r="B47" s="159"/>
      <c r="C47" s="928" t="s">
        <v>55</v>
      </c>
      <c r="D47" s="28"/>
      <c r="E47" s="28"/>
      <c r="F47" s="28"/>
      <c r="G47" s="28"/>
      <c r="H47" s="28"/>
      <c r="I47" s="28"/>
      <c r="J47" s="28"/>
      <c r="K47" s="28"/>
      <c r="L47" s="28"/>
      <c r="M47" s="160"/>
    </row>
    <row r="48" spans="2:14">
      <c r="B48" s="265" t="str">
        <f>INDEX($G$54:$G$57,MATCH(LEFT('RFPR cover'!$C$6,2),Data!$E$54:$E$57,0),0)</f>
        <v>Totex</v>
      </c>
      <c r="C48" s="929">
        <f>INDEX($F$73:$F$100,MATCH('RFPR cover'!$C$5,Data!$B$73:$B$100,0),0)</f>
        <v>0.27900000000000003</v>
      </c>
      <c r="D48" s="28"/>
      <c r="E48" s="28"/>
      <c r="F48" s="28"/>
      <c r="G48" s="28"/>
      <c r="H48" s="28"/>
      <c r="I48" s="28"/>
      <c r="J48" s="28"/>
      <c r="K48" s="28"/>
      <c r="L48" s="28"/>
      <c r="M48" s="160"/>
    </row>
    <row r="49" spans="2:20">
      <c r="B49" s="266"/>
      <c r="C49" s="28"/>
      <c r="D49" s="28"/>
      <c r="E49" s="28"/>
      <c r="F49" s="28"/>
      <c r="G49" s="28"/>
      <c r="H49" s="28"/>
      <c r="I49" s="28"/>
      <c r="J49" s="28"/>
      <c r="K49" s="28"/>
      <c r="L49" s="28"/>
      <c r="M49" s="160"/>
    </row>
    <row r="50" spans="2:20">
      <c r="B50" s="266"/>
      <c r="C50" s="63">
        <v>2014</v>
      </c>
      <c r="D50" s="64">
        <f t="shared" ref="D50:J50" si="4">C50+1</f>
        <v>2015</v>
      </c>
      <c r="E50" s="64">
        <f t="shared" si="4"/>
        <v>2016</v>
      </c>
      <c r="F50" s="64">
        <f t="shared" si="4"/>
        <v>2017</v>
      </c>
      <c r="G50" s="64">
        <f t="shared" si="4"/>
        <v>2018</v>
      </c>
      <c r="H50" s="64">
        <f t="shared" si="4"/>
        <v>2019</v>
      </c>
      <c r="I50" s="64">
        <f t="shared" si="4"/>
        <v>2020</v>
      </c>
      <c r="J50" s="64">
        <f t="shared" si="4"/>
        <v>2021</v>
      </c>
      <c r="K50" s="28"/>
      <c r="L50" s="28"/>
      <c r="M50" s="160"/>
    </row>
    <row r="51" spans="2:20">
      <c r="B51" s="265" t="str">
        <f>INDEX($J$54:$J$57,MATCH(LEFT('RFPR cover'!$C$6,2),Data!$E$54:$E$57,0),0)</f>
        <v>n/a</v>
      </c>
      <c r="C51" s="267">
        <f>IFERROR(INDEX(C$106:C$115,MATCH('RFPR cover'!$C$5,Data!$B$106:$B$115,0),0),0)</f>
        <v>0</v>
      </c>
      <c r="D51" s="252">
        <f>IFERROR(INDEX(D$106:D$115,MATCH('RFPR cover'!$C$5,Data!$B$106:$B$115,0),0),0)</f>
        <v>0</v>
      </c>
      <c r="E51" s="252">
        <f>IFERROR(INDEX(E$106:E$115,MATCH('RFPR cover'!$C$5,Data!$B$106:$B$115,0),0),0)</f>
        <v>0</v>
      </c>
      <c r="F51" s="252">
        <f>IFERROR(INDEX(F$106:F$115,MATCH('RFPR cover'!$C$5,Data!$B$106:$B$115,0),0),0)</f>
        <v>0</v>
      </c>
      <c r="G51" s="252">
        <f>IFERROR(INDEX(G$106:G$115,MATCH('RFPR cover'!$C$5,Data!$B$106:$B$115,0),0),0)</f>
        <v>0</v>
      </c>
      <c r="H51" s="252">
        <f>IFERROR(INDEX(H$106:H$115,MATCH('RFPR cover'!$C$5,Data!$B$106:$B$115,0),0),0)</f>
        <v>0</v>
      </c>
      <c r="I51" s="252">
        <f>IFERROR(INDEX(I$106:I$115,MATCH('RFPR cover'!$C$5,Data!$B$106:$B$115,0),0),0)</f>
        <v>0</v>
      </c>
      <c r="J51" s="252">
        <f>IFERROR(INDEX(J$106:J$115,MATCH('RFPR cover'!$C$5,Data!$B$106:$B$115,0),0),0)</f>
        <v>0</v>
      </c>
      <c r="K51" s="28"/>
      <c r="L51" s="28"/>
      <c r="M51" s="160"/>
    </row>
    <row r="52" spans="2:20">
      <c r="B52" s="246"/>
      <c r="C52" s="247"/>
      <c r="D52" s="247"/>
      <c r="E52" s="247"/>
      <c r="F52" s="247"/>
      <c r="G52" s="247"/>
      <c r="H52" s="247"/>
      <c r="I52" s="247"/>
      <c r="J52" s="247"/>
      <c r="K52" s="247"/>
      <c r="L52" s="247"/>
      <c r="M52" s="248"/>
    </row>
    <row r="53" spans="2:20">
      <c r="B53" s="28"/>
      <c r="C53" s="28"/>
      <c r="D53" s="28"/>
      <c r="E53" s="28"/>
      <c r="F53" s="28"/>
      <c r="G53" s="28"/>
      <c r="H53" s="28"/>
      <c r="I53" s="28"/>
      <c r="J53" s="28"/>
      <c r="K53" s="28"/>
    </row>
    <row r="54" spans="2:20">
      <c r="B54" s="256"/>
      <c r="C54" s="256"/>
      <c r="E54" s="253" t="s">
        <v>56</v>
      </c>
      <c r="F54" s="274" t="s">
        <v>57</v>
      </c>
      <c r="G54" s="982" t="s">
        <v>58</v>
      </c>
      <c r="H54" s="983"/>
      <c r="I54" s="984"/>
      <c r="J54" s="991" t="s">
        <v>59</v>
      </c>
      <c r="K54" s="992"/>
    </row>
    <row r="55" spans="2:20">
      <c r="B55" s="256"/>
      <c r="C55" s="256"/>
      <c r="E55" s="254" t="s">
        <v>60</v>
      </c>
      <c r="F55" s="275" t="s">
        <v>61</v>
      </c>
      <c r="G55" s="985" t="s">
        <v>58</v>
      </c>
      <c r="H55" s="986"/>
      <c r="I55" s="987"/>
      <c r="J55" s="993" t="s">
        <v>59</v>
      </c>
      <c r="K55" s="994"/>
    </row>
    <row r="56" spans="2:20">
      <c r="B56" s="256"/>
      <c r="C56" s="256"/>
      <c r="E56" s="254" t="s">
        <v>62</v>
      </c>
      <c r="F56" s="275" t="s">
        <v>61</v>
      </c>
      <c r="G56" s="985" t="s">
        <v>63</v>
      </c>
      <c r="H56" s="986"/>
      <c r="I56" s="987"/>
      <c r="J56" s="993" t="s">
        <v>64</v>
      </c>
      <c r="K56" s="994"/>
    </row>
    <row r="57" spans="2:20">
      <c r="B57" s="256"/>
      <c r="C57" s="256"/>
      <c r="E57" s="255" t="s">
        <v>65</v>
      </c>
      <c r="F57" s="276" t="s">
        <v>61</v>
      </c>
      <c r="G57" s="988" t="s">
        <v>66</v>
      </c>
      <c r="H57" s="989"/>
      <c r="I57" s="990"/>
      <c r="J57" s="995" t="s">
        <v>67</v>
      </c>
      <c r="K57" s="996"/>
    </row>
    <row r="58" spans="2:20">
      <c r="B58" s="256"/>
      <c r="C58" s="256"/>
      <c r="E58" s="256"/>
      <c r="F58" s="359"/>
      <c r="G58" s="360"/>
      <c r="H58" s="360"/>
      <c r="I58" s="360"/>
      <c r="J58" s="361"/>
      <c r="K58" s="361"/>
    </row>
    <row r="59" spans="2:20">
      <c r="B59" s="362"/>
      <c r="C59" s="362"/>
      <c r="D59" s="175"/>
      <c r="E59" s="362"/>
      <c r="F59" s="363"/>
      <c r="G59" s="364"/>
      <c r="H59" s="364"/>
      <c r="I59" s="364"/>
      <c r="J59" s="365"/>
      <c r="K59" s="365"/>
      <c r="L59" s="175"/>
      <c r="M59" s="175"/>
      <c r="N59" s="175"/>
      <c r="O59" s="175"/>
      <c r="P59" s="175"/>
      <c r="Q59" s="175"/>
      <c r="R59" s="175"/>
      <c r="S59" s="175"/>
      <c r="T59" s="175"/>
    </row>
    <row r="60" spans="2:20" s="18" customFormat="1">
      <c r="B60" s="322"/>
      <c r="C60" s="322"/>
      <c r="E60" s="322"/>
      <c r="F60" s="366"/>
      <c r="G60" s="367"/>
      <c r="H60" s="367"/>
      <c r="I60" s="367"/>
      <c r="J60" s="368"/>
      <c r="K60" s="368"/>
    </row>
    <row r="61" spans="2:20">
      <c r="B61" s="358" t="s">
        <v>68</v>
      </c>
      <c r="C61" s="719" t="s">
        <v>69</v>
      </c>
      <c r="I61" s="50"/>
    </row>
    <row r="62" spans="2:20">
      <c r="C62" s="90">
        <v>2014</v>
      </c>
      <c r="D62" s="91">
        <f t="shared" ref="D62:L62" si="5">C62+1</f>
        <v>2015</v>
      </c>
      <c r="E62" s="91">
        <f t="shared" si="5"/>
        <v>2016</v>
      </c>
      <c r="F62" s="91">
        <f t="shared" si="5"/>
        <v>2017</v>
      </c>
      <c r="G62" s="91">
        <f t="shared" si="5"/>
        <v>2018</v>
      </c>
      <c r="H62" s="91">
        <f t="shared" si="5"/>
        <v>2019</v>
      </c>
      <c r="I62" s="91">
        <f t="shared" si="5"/>
        <v>2020</v>
      </c>
      <c r="J62" s="91">
        <f t="shared" si="5"/>
        <v>2021</v>
      </c>
      <c r="K62" s="91">
        <f t="shared" si="5"/>
        <v>2022</v>
      </c>
      <c r="L62" s="154">
        <f t="shared" si="5"/>
        <v>2023</v>
      </c>
    </row>
    <row r="63" spans="2:20">
      <c r="B63" s="356" t="s">
        <v>70</v>
      </c>
      <c r="C63" s="867"/>
      <c r="D63" s="465"/>
      <c r="E63" s="354">
        <v>2.5499999999999998E-2</v>
      </c>
      <c r="F63" s="354">
        <v>2.3799999999999998E-2</v>
      </c>
      <c r="G63" s="354">
        <v>2.2200000000000001E-2</v>
      </c>
      <c r="H63" s="354">
        <v>1.9099999999999999E-2</v>
      </c>
      <c r="I63" s="354">
        <v>1.5800000000000002E-2</v>
      </c>
      <c r="J63" s="354">
        <v>1.09E-2</v>
      </c>
      <c r="K63" s="354">
        <v>1.09E-2</v>
      </c>
      <c r="L63" s="355">
        <v>1.09E-2</v>
      </c>
    </row>
    <row r="64" spans="2:20">
      <c r="B64" s="357" t="s">
        <v>71</v>
      </c>
      <c r="C64" s="453"/>
      <c r="D64" s="454"/>
      <c r="E64" s="324">
        <v>2.5499999999999998E-2</v>
      </c>
      <c r="F64" s="324">
        <v>2.4199999999999999E-2</v>
      </c>
      <c r="G64" s="324">
        <v>2.29E-2</v>
      </c>
      <c r="H64" s="324">
        <v>2.0899999999999998E-2</v>
      </c>
      <c r="I64" s="324">
        <v>1.9400000000000001E-2</v>
      </c>
      <c r="J64" s="324">
        <v>1.78E-2</v>
      </c>
      <c r="K64" s="324">
        <v>1.78E-2</v>
      </c>
      <c r="L64" s="325">
        <v>1.78E-2</v>
      </c>
    </row>
    <row r="65" spans="1:20">
      <c r="B65" s="357" t="s">
        <v>72</v>
      </c>
      <c r="C65" s="323">
        <v>2.92E-2</v>
      </c>
      <c r="D65" s="324">
        <v>2.5000000000000001E-2</v>
      </c>
      <c r="E65" s="324">
        <v>2.1499999999999998E-2</v>
      </c>
      <c r="F65" s="324">
        <v>1.7899999999999999E-2</v>
      </c>
      <c r="G65" s="324">
        <v>1.5100000000000001E-2</v>
      </c>
      <c r="H65" s="324">
        <v>1.1599999999999999E-2</v>
      </c>
      <c r="I65" s="324">
        <v>1.0200000000000001E-2</v>
      </c>
      <c r="J65" s="324">
        <v>1.01E-2</v>
      </c>
      <c r="K65" s="466"/>
      <c r="L65" s="467"/>
    </row>
    <row r="66" spans="1:20">
      <c r="B66" s="357" t="s">
        <v>73</v>
      </c>
      <c r="C66" s="323">
        <v>2.92E-2</v>
      </c>
      <c r="D66" s="324">
        <v>2.7199999999999998E-2</v>
      </c>
      <c r="E66" s="324">
        <v>2.5499999999999998E-2</v>
      </c>
      <c r="F66" s="324">
        <v>2.3800000000000002E-2</v>
      </c>
      <c r="G66" s="324">
        <v>2.2200000000000001E-2</v>
      </c>
      <c r="H66" s="324">
        <v>1.9099999999999999E-2</v>
      </c>
      <c r="I66" s="324">
        <v>1.5800000000000002E-2</v>
      </c>
      <c r="J66" s="750">
        <v>1.09E-2</v>
      </c>
      <c r="K66" s="466"/>
      <c r="L66" s="467"/>
      <c r="M66" s="748" t="s">
        <v>74</v>
      </c>
    </row>
    <row r="67" spans="1:20">
      <c r="B67" s="357" t="s">
        <v>62</v>
      </c>
      <c r="C67" s="323">
        <v>2.92E-2</v>
      </c>
      <c r="D67" s="324">
        <v>2.7199999999999998E-2</v>
      </c>
      <c r="E67" s="324">
        <v>2.5499999999999998E-2</v>
      </c>
      <c r="F67" s="324">
        <v>2.3800000000000002E-2</v>
      </c>
      <c r="G67" s="324">
        <v>2.2200000000000001E-2</v>
      </c>
      <c r="H67" s="324">
        <v>1.9099999999999999E-2</v>
      </c>
      <c r="I67" s="324">
        <v>1.5800000000000002E-2</v>
      </c>
      <c r="J67" s="324">
        <v>1.5800000000000002E-2</v>
      </c>
      <c r="K67" s="466"/>
      <c r="L67" s="467"/>
    </row>
    <row r="68" spans="1:20">
      <c r="B68" s="357" t="s">
        <v>65</v>
      </c>
      <c r="C68" s="323">
        <v>2.92E-2</v>
      </c>
      <c r="D68" s="324">
        <v>2.7199999999999998E-2</v>
      </c>
      <c r="E68" s="324">
        <v>2.5499999999999998E-2</v>
      </c>
      <c r="F68" s="324">
        <v>2.3800000000000002E-2</v>
      </c>
      <c r="G68" s="324">
        <v>2.2200000000000001E-2</v>
      </c>
      <c r="H68" s="324">
        <v>1.9099999999999999E-2</v>
      </c>
      <c r="I68" s="324">
        <v>1.5800000000000002E-2</v>
      </c>
      <c r="J68" s="750">
        <v>1.09E-2</v>
      </c>
      <c r="K68" s="466"/>
      <c r="L68" s="467"/>
      <c r="M68" s="748" t="s">
        <v>74</v>
      </c>
    </row>
    <row r="69" spans="1:20">
      <c r="I69" s="50"/>
    </row>
    <row r="70" spans="1:20">
      <c r="H70" s="50"/>
      <c r="K70" s="28"/>
      <c r="L70" s="28"/>
      <c r="M70" s="28"/>
      <c r="N70" s="28"/>
      <c r="O70" s="28"/>
      <c r="P70" s="28"/>
      <c r="Q70" s="28"/>
      <c r="R70" s="28"/>
      <c r="S70" s="28"/>
      <c r="T70" s="28"/>
    </row>
    <row r="71" spans="1:20" ht="38.25">
      <c r="B71" s="11"/>
      <c r="C71" s="57" t="s">
        <v>75</v>
      </c>
      <c r="D71" s="58" t="s">
        <v>76</v>
      </c>
      <c r="E71" s="58" t="s">
        <v>77</v>
      </c>
      <c r="F71" s="58" t="s">
        <v>78</v>
      </c>
      <c r="G71" s="58" t="s">
        <v>79</v>
      </c>
      <c r="H71" s="59" t="s">
        <v>80</v>
      </c>
      <c r="I71" s="930" t="s">
        <v>81</v>
      </c>
      <c r="J71" s="930" t="s">
        <v>82</v>
      </c>
      <c r="K71" s="979" t="s">
        <v>83</v>
      </c>
      <c r="L71" s="980"/>
      <c r="M71" s="980"/>
      <c r="N71" s="980"/>
      <c r="O71" s="980"/>
      <c r="P71" s="980"/>
      <c r="Q71" s="980"/>
      <c r="R71" s="980"/>
      <c r="S71" s="980"/>
      <c r="T71" s="981"/>
    </row>
    <row r="72" spans="1:20">
      <c r="A72" s="277" t="s">
        <v>4</v>
      </c>
      <c r="B72" s="51" t="s">
        <v>84</v>
      </c>
      <c r="C72" s="257"/>
      <c r="D72" s="53"/>
      <c r="E72" s="52"/>
      <c r="F72" s="52"/>
      <c r="G72" s="53"/>
      <c r="H72" s="54"/>
      <c r="I72" s="54"/>
      <c r="J72" s="342"/>
      <c r="K72" s="343">
        <v>2014</v>
      </c>
      <c r="L72" s="344">
        <f t="shared" ref="L72:T72" si="6">K72+1</f>
        <v>2015</v>
      </c>
      <c r="M72" s="344">
        <f t="shared" si="6"/>
        <v>2016</v>
      </c>
      <c r="N72" s="344">
        <f t="shared" si="6"/>
        <v>2017</v>
      </c>
      <c r="O72" s="344">
        <f t="shared" si="6"/>
        <v>2018</v>
      </c>
      <c r="P72" s="344">
        <f t="shared" si="6"/>
        <v>2019</v>
      </c>
      <c r="Q72" s="344">
        <f t="shared" si="6"/>
        <v>2020</v>
      </c>
      <c r="R72" s="344">
        <f t="shared" si="6"/>
        <v>2021</v>
      </c>
      <c r="S72" s="344">
        <f t="shared" si="6"/>
        <v>2022</v>
      </c>
      <c r="T72" s="345">
        <f t="shared" si="6"/>
        <v>2023</v>
      </c>
    </row>
    <row r="73" spans="1:20">
      <c r="A73" s="43" t="s">
        <v>56</v>
      </c>
      <c r="B73" s="55" t="s">
        <v>85</v>
      </c>
      <c r="C73" s="258">
        <v>0.06</v>
      </c>
      <c r="D73" s="259">
        <v>0.58109999999999995</v>
      </c>
      <c r="E73" s="260">
        <v>0.65</v>
      </c>
      <c r="F73" s="260">
        <v>0.68</v>
      </c>
      <c r="G73" s="283">
        <v>2016</v>
      </c>
      <c r="H73" s="284" t="str">
        <f t="shared" ref="H73:H97" si="7">VLOOKUP($A73,$E$54:$F$57,2,FALSE)</f>
        <v>£m 12/13</v>
      </c>
      <c r="I73" s="284" t="s">
        <v>86</v>
      </c>
      <c r="J73" s="342" t="s">
        <v>87</v>
      </c>
      <c r="K73" s="453"/>
      <c r="L73" s="454"/>
      <c r="M73" s="349">
        <f t="shared" ref="M73:M82" si="8">E$64</f>
        <v>2.5499999999999998E-2</v>
      </c>
      <c r="N73" s="349">
        <f t="shared" ref="N73:N82" si="9">F$64</f>
        <v>2.4199999999999999E-2</v>
      </c>
      <c r="O73" s="349">
        <f t="shared" ref="O73:O82" si="10">G$64</f>
        <v>2.29E-2</v>
      </c>
      <c r="P73" s="349">
        <f t="shared" ref="P73:P82" si="11">H$64</f>
        <v>2.0899999999999998E-2</v>
      </c>
      <c r="Q73" s="349">
        <f t="shared" ref="Q73:Q82" si="12">I$64</f>
        <v>1.9400000000000001E-2</v>
      </c>
      <c r="R73" s="349">
        <f t="shared" ref="R73:R82" si="13">J$64</f>
        <v>1.78E-2</v>
      </c>
      <c r="S73" s="349">
        <f t="shared" ref="S73:S82" si="14">K$64</f>
        <v>1.78E-2</v>
      </c>
      <c r="T73" s="353">
        <f t="shared" ref="T73:T82" si="15">L$64</f>
        <v>1.78E-2</v>
      </c>
    </row>
    <row r="74" spans="1:20">
      <c r="A74" s="43" t="s">
        <v>56</v>
      </c>
      <c r="B74" s="55" t="s">
        <v>88</v>
      </c>
      <c r="C74" s="258">
        <v>0.06</v>
      </c>
      <c r="D74" s="259">
        <v>0.55843703457782867</v>
      </c>
      <c r="E74" s="260">
        <v>0.65</v>
      </c>
      <c r="F74" s="260">
        <v>0.7</v>
      </c>
      <c r="G74" s="283">
        <v>2016</v>
      </c>
      <c r="H74" s="284" t="str">
        <f t="shared" si="7"/>
        <v>£m 12/13</v>
      </c>
      <c r="I74" s="284" t="s">
        <v>86</v>
      </c>
      <c r="J74" s="342" t="s">
        <v>87</v>
      </c>
      <c r="K74" s="453"/>
      <c r="L74" s="454"/>
      <c r="M74" s="349">
        <f t="shared" si="8"/>
        <v>2.5499999999999998E-2</v>
      </c>
      <c r="N74" s="349">
        <f t="shared" si="9"/>
        <v>2.4199999999999999E-2</v>
      </c>
      <c r="O74" s="349">
        <f t="shared" si="10"/>
        <v>2.29E-2</v>
      </c>
      <c r="P74" s="349">
        <f t="shared" si="11"/>
        <v>2.0899999999999998E-2</v>
      </c>
      <c r="Q74" s="349">
        <f t="shared" si="12"/>
        <v>1.9400000000000001E-2</v>
      </c>
      <c r="R74" s="349">
        <f t="shared" si="13"/>
        <v>1.78E-2</v>
      </c>
      <c r="S74" s="349">
        <f t="shared" si="14"/>
        <v>1.78E-2</v>
      </c>
      <c r="T74" s="353">
        <f t="shared" si="15"/>
        <v>1.78E-2</v>
      </c>
    </row>
    <row r="75" spans="1:20">
      <c r="A75" s="43" t="s">
        <v>56</v>
      </c>
      <c r="B75" s="55" t="s">
        <v>89</v>
      </c>
      <c r="C75" s="258">
        <v>0.06</v>
      </c>
      <c r="D75" s="259">
        <v>0.55843703457782867</v>
      </c>
      <c r="E75" s="260">
        <v>0.65</v>
      </c>
      <c r="F75" s="260">
        <v>0.72</v>
      </c>
      <c r="G75" s="283">
        <v>2016</v>
      </c>
      <c r="H75" s="284" t="str">
        <f t="shared" si="7"/>
        <v>£m 12/13</v>
      </c>
      <c r="I75" s="284" t="s">
        <v>86</v>
      </c>
      <c r="J75" s="342" t="s">
        <v>87</v>
      </c>
      <c r="K75" s="453"/>
      <c r="L75" s="454"/>
      <c r="M75" s="349">
        <f t="shared" si="8"/>
        <v>2.5499999999999998E-2</v>
      </c>
      <c r="N75" s="349">
        <f t="shared" si="9"/>
        <v>2.4199999999999999E-2</v>
      </c>
      <c r="O75" s="349">
        <f t="shared" si="10"/>
        <v>2.29E-2</v>
      </c>
      <c r="P75" s="349">
        <f t="shared" si="11"/>
        <v>2.0899999999999998E-2</v>
      </c>
      <c r="Q75" s="349">
        <f t="shared" si="12"/>
        <v>1.9400000000000001E-2</v>
      </c>
      <c r="R75" s="349">
        <f t="shared" si="13"/>
        <v>1.78E-2</v>
      </c>
      <c r="S75" s="349">
        <f t="shared" si="14"/>
        <v>1.78E-2</v>
      </c>
      <c r="T75" s="353">
        <f t="shared" si="15"/>
        <v>1.78E-2</v>
      </c>
    </row>
    <row r="76" spans="1:20">
      <c r="A76" s="43" t="s">
        <v>56</v>
      </c>
      <c r="B76" s="55" t="s">
        <v>90</v>
      </c>
      <c r="C76" s="258">
        <v>0.06</v>
      </c>
      <c r="D76" s="259">
        <v>0.53280000000000005</v>
      </c>
      <c r="E76" s="260">
        <v>0.65</v>
      </c>
      <c r="F76" s="260">
        <v>0.68</v>
      </c>
      <c r="G76" s="283">
        <v>2016</v>
      </c>
      <c r="H76" s="284" t="str">
        <f t="shared" si="7"/>
        <v>£m 12/13</v>
      </c>
      <c r="I76" s="284" t="s">
        <v>86</v>
      </c>
      <c r="J76" s="342" t="s">
        <v>87</v>
      </c>
      <c r="K76" s="453"/>
      <c r="L76" s="454"/>
      <c r="M76" s="349">
        <f t="shared" si="8"/>
        <v>2.5499999999999998E-2</v>
      </c>
      <c r="N76" s="349">
        <f t="shared" si="9"/>
        <v>2.4199999999999999E-2</v>
      </c>
      <c r="O76" s="349">
        <f t="shared" si="10"/>
        <v>2.29E-2</v>
      </c>
      <c r="P76" s="349">
        <f t="shared" si="11"/>
        <v>2.0899999999999998E-2</v>
      </c>
      <c r="Q76" s="349">
        <f t="shared" si="12"/>
        <v>1.9400000000000001E-2</v>
      </c>
      <c r="R76" s="349">
        <f t="shared" si="13"/>
        <v>1.78E-2</v>
      </c>
      <c r="S76" s="349">
        <f t="shared" si="14"/>
        <v>1.78E-2</v>
      </c>
      <c r="T76" s="353">
        <f t="shared" si="15"/>
        <v>1.78E-2</v>
      </c>
    </row>
    <row r="77" spans="1:20">
      <c r="A77" s="43" t="s">
        <v>56</v>
      </c>
      <c r="B77" s="55" t="s">
        <v>91</v>
      </c>
      <c r="C77" s="258">
        <v>0.06</v>
      </c>
      <c r="D77" s="259">
        <v>0.53280000000000005</v>
      </c>
      <c r="E77" s="260">
        <v>0.65</v>
      </c>
      <c r="F77" s="260">
        <v>0.68</v>
      </c>
      <c r="G77" s="283">
        <v>2016</v>
      </c>
      <c r="H77" s="284" t="str">
        <f t="shared" si="7"/>
        <v>£m 12/13</v>
      </c>
      <c r="I77" s="284" t="s">
        <v>86</v>
      </c>
      <c r="J77" s="342" t="s">
        <v>87</v>
      </c>
      <c r="K77" s="453"/>
      <c r="L77" s="454"/>
      <c r="M77" s="349">
        <f t="shared" si="8"/>
        <v>2.5499999999999998E-2</v>
      </c>
      <c r="N77" s="349">
        <f t="shared" si="9"/>
        <v>2.4199999999999999E-2</v>
      </c>
      <c r="O77" s="349">
        <f t="shared" si="10"/>
        <v>2.29E-2</v>
      </c>
      <c r="P77" s="349">
        <f t="shared" si="11"/>
        <v>2.0899999999999998E-2</v>
      </c>
      <c r="Q77" s="349">
        <f t="shared" si="12"/>
        <v>1.9400000000000001E-2</v>
      </c>
      <c r="R77" s="349">
        <f t="shared" si="13"/>
        <v>1.78E-2</v>
      </c>
      <c r="S77" s="349">
        <f t="shared" si="14"/>
        <v>1.78E-2</v>
      </c>
      <c r="T77" s="353">
        <f t="shared" si="15"/>
        <v>1.78E-2</v>
      </c>
    </row>
    <row r="78" spans="1:20">
      <c r="A78" s="43" t="s">
        <v>56</v>
      </c>
      <c r="B78" s="55" t="s">
        <v>92</v>
      </c>
      <c r="C78" s="258">
        <v>0.06</v>
      </c>
      <c r="D78" s="259">
        <v>0.53280000000000005</v>
      </c>
      <c r="E78" s="260">
        <v>0.65</v>
      </c>
      <c r="F78" s="260">
        <v>0.68</v>
      </c>
      <c r="G78" s="283">
        <v>2016</v>
      </c>
      <c r="H78" s="284" t="str">
        <f t="shared" si="7"/>
        <v>£m 12/13</v>
      </c>
      <c r="I78" s="284" t="s">
        <v>86</v>
      </c>
      <c r="J78" s="342" t="s">
        <v>87</v>
      </c>
      <c r="K78" s="453"/>
      <c r="L78" s="454"/>
      <c r="M78" s="349">
        <f t="shared" si="8"/>
        <v>2.5499999999999998E-2</v>
      </c>
      <c r="N78" s="349">
        <f t="shared" si="9"/>
        <v>2.4199999999999999E-2</v>
      </c>
      <c r="O78" s="349">
        <f t="shared" si="10"/>
        <v>2.29E-2</v>
      </c>
      <c r="P78" s="349">
        <f t="shared" si="11"/>
        <v>2.0899999999999998E-2</v>
      </c>
      <c r="Q78" s="349">
        <f t="shared" si="12"/>
        <v>1.9400000000000001E-2</v>
      </c>
      <c r="R78" s="349">
        <f t="shared" si="13"/>
        <v>1.78E-2</v>
      </c>
      <c r="S78" s="349">
        <f t="shared" si="14"/>
        <v>1.78E-2</v>
      </c>
      <c r="T78" s="353">
        <f t="shared" si="15"/>
        <v>1.78E-2</v>
      </c>
    </row>
    <row r="79" spans="1:20">
      <c r="A79" s="43" t="s">
        <v>56</v>
      </c>
      <c r="B79" s="55" t="s">
        <v>93</v>
      </c>
      <c r="C79" s="258">
        <v>0.06</v>
      </c>
      <c r="D79" s="259">
        <v>0.53500000000000003</v>
      </c>
      <c r="E79" s="260">
        <v>0.65</v>
      </c>
      <c r="F79" s="260">
        <v>0.8</v>
      </c>
      <c r="G79" s="283">
        <v>2016</v>
      </c>
      <c r="H79" s="284" t="str">
        <f t="shared" si="7"/>
        <v>£m 12/13</v>
      </c>
      <c r="I79" s="284" t="s">
        <v>86</v>
      </c>
      <c r="J79" s="342" t="s">
        <v>87</v>
      </c>
      <c r="K79" s="453"/>
      <c r="L79" s="454"/>
      <c r="M79" s="349">
        <f t="shared" si="8"/>
        <v>2.5499999999999998E-2</v>
      </c>
      <c r="N79" s="349">
        <f t="shared" si="9"/>
        <v>2.4199999999999999E-2</v>
      </c>
      <c r="O79" s="349">
        <f t="shared" si="10"/>
        <v>2.29E-2</v>
      </c>
      <c r="P79" s="349">
        <f t="shared" si="11"/>
        <v>2.0899999999999998E-2</v>
      </c>
      <c r="Q79" s="349">
        <f t="shared" si="12"/>
        <v>1.9400000000000001E-2</v>
      </c>
      <c r="R79" s="349">
        <f t="shared" si="13"/>
        <v>1.78E-2</v>
      </c>
      <c r="S79" s="349">
        <f t="shared" si="14"/>
        <v>1.78E-2</v>
      </c>
      <c r="T79" s="353">
        <f t="shared" si="15"/>
        <v>1.78E-2</v>
      </c>
    </row>
    <row r="80" spans="1:20">
      <c r="A80" s="43" t="s">
        <v>56</v>
      </c>
      <c r="B80" s="55" t="s">
        <v>94</v>
      </c>
      <c r="C80" s="258">
        <v>0.06</v>
      </c>
      <c r="D80" s="259">
        <v>0.53500000000000003</v>
      </c>
      <c r="E80" s="260">
        <v>0.65</v>
      </c>
      <c r="F80" s="260">
        <v>0.8</v>
      </c>
      <c r="G80" s="283">
        <v>2016</v>
      </c>
      <c r="H80" s="284" t="str">
        <f t="shared" si="7"/>
        <v>£m 12/13</v>
      </c>
      <c r="I80" s="284" t="s">
        <v>86</v>
      </c>
      <c r="J80" s="342" t="s">
        <v>87</v>
      </c>
      <c r="K80" s="453"/>
      <c r="L80" s="454"/>
      <c r="M80" s="349">
        <f t="shared" si="8"/>
        <v>2.5499999999999998E-2</v>
      </c>
      <c r="N80" s="349">
        <f t="shared" si="9"/>
        <v>2.4199999999999999E-2</v>
      </c>
      <c r="O80" s="349">
        <f t="shared" si="10"/>
        <v>2.29E-2</v>
      </c>
      <c r="P80" s="349">
        <f t="shared" si="11"/>
        <v>2.0899999999999998E-2</v>
      </c>
      <c r="Q80" s="349">
        <f t="shared" si="12"/>
        <v>1.9400000000000001E-2</v>
      </c>
      <c r="R80" s="349">
        <f t="shared" si="13"/>
        <v>1.78E-2</v>
      </c>
      <c r="S80" s="349">
        <f t="shared" si="14"/>
        <v>1.78E-2</v>
      </c>
      <c r="T80" s="353">
        <f t="shared" si="15"/>
        <v>1.78E-2</v>
      </c>
    </row>
    <row r="81" spans="1:21">
      <c r="A81" s="43" t="s">
        <v>56</v>
      </c>
      <c r="B81" s="55" t="s">
        <v>95</v>
      </c>
      <c r="C81" s="258">
        <v>0.06</v>
      </c>
      <c r="D81" s="259">
        <v>0.56469999999999998</v>
      </c>
      <c r="E81" s="260">
        <v>0.65</v>
      </c>
      <c r="F81" s="260">
        <v>0.62</v>
      </c>
      <c r="G81" s="283">
        <v>2016</v>
      </c>
      <c r="H81" s="284" t="str">
        <f t="shared" si="7"/>
        <v>£m 12/13</v>
      </c>
      <c r="I81" s="284" t="s">
        <v>86</v>
      </c>
      <c r="J81" s="342" t="s">
        <v>87</v>
      </c>
      <c r="K81" s="453"/>
      <c r="L81" s="454"/>
      <c r="M81" s="349">
        <f t="shared" si="8"/>
        <v>2.5499999999999998E-2</v>
      </c>
      <c r="N81" s="349">
        <f t="shared" si="9"/>
        <v>2.4199999999999999E-2</v>
      </c>
      <c r="O81" s="349">
        <f t="shared" si="10"/>
        <v>2.29E-2</v>
      </c>
      <c r="P81" s="349">
        <f t="shared" si="11"/>
        <v>2.0899999999999998E-2</v>
      </c>
      <c r="Q81" s="349">
        <f t="shared" si="12"/>
        <v>1.9400000000000001E-2</v>
      </c>
      <c r="R81" s="349">
        <f t="shared" si="13"/>
        <v>1.78E-2</v>
      </c>
      <c r="S81" s="349">
        <f t="shared" si="14"/>
        <v>1.78E-2</v>
      </c>
      <c r="T81" s="353">
        <f t="shared" si="15"/>
        <v>1.78E-2</v>
      </c>
    </row>
    <row r="82" spans="1:21">
      <c r="A82" s="43" t="s">
        <v>56</v>
      </c>
      <c r="B82" s="55" t="s">
        <v>96</v>
      </c>
      <c r="C82" s="258">
        <v>0.06</v>
      </c>
      <c r="D82" s="259">
        <v>0.56469999999999998</v>
      </c>
      <c r="E82" s="260">
        <v>0.65</v>
      </c>
      <c r="F82" s="260">
        <v>0.7</v>
      </c>
      <c r="G82" s="283">
        <v>2016</v>
      </c>
      <c r="H82" s="284" t="str">
        <f t="shared" si="7"/>
        <v>£m 12/13</v>
      </c>
      <c r="I82" s="284" t="s">
        <v>86</v>
      </c>
      <c r="J82" s="342" t="s">
        <v>87</v>
      </c>
      <c r="K82" s="453"/>
      <c r="L82" s="454"/>
      <c r="M82" s="349">
        <f t="shared" si="8"/>
        <v>2.5499999999999998E-2</v>
      </c>
      <c r="N82" s="349">
        <f t="shared" si="9"/>
        <v>2.4199999999999999E-2</v>
      </c>
      <c r="O82" s="349">
        <f t="shared" si="10"/>
        <v>2.29E-2</v>
      </c>
      <c r="P82" s="349">
        <f t="shared" si="11"/>
        <v>2.0899999999999998E-2</v>
      </c>
      <c r="Q82" s="349">
        <f t="shared" si="12"/>
        <v>1.9400000000000001E-2</v>
      </c>
      <c r="R82" s="349">
        <f t="shared" si="13"/>
        <v>1.78E-2</v>
      </c>
      <c r="S82" s="349">
        <f t="shared" si="14"/>
        <v>1.78E-2</v>
      </c>
      <c r="T82" s="353">
        <f t="shared" si="15"/>
        <v>1.78E-2</v>
      </c>
    </row>
    <row r="83" spans="1:21">
      <c r="A83" s="43" t="s">
        <v>56</v>
      </c>
      <c r="B83" s="55" t="s">
        <v>97</v>
      </c>
      <c r="C83" s="258">
        <v>6.4000000000000001E-2</v>
      </c>
      <c r="D83" s="259">
        <v>0.7</v>
      </c>
      <c r="E83" s="260">
        <v>0.65</v>
      </c>
      <c r="F83" s="260">
        <v>0.8</v>
      </c>
      <c r="G83" s="283">
        <v>2016</v>
      </c>
      <c r="H83" s="284" t="str">
        <f t="shared" si="7"/>
        <v>£m 12/13</v>
      </c>
      <c r="I83" s="284" t="s">
        <v>98</v>
      </c>
      <c r="J83" s="342" t="s">
        <v>99</v>
      </c>
      <c r="K83" s="453"/>
      <c r="L83" s="454"/>
      <c r="M83" s="349">
        <f t="shared" ref="M83:T86" si="16">E$63</f>
        <v>2.5499999999999998E-2</v>
      </c>
      <c r="N83" s="349">
        <f t="shared" si="16"/>
        <v>2.3799999999999998E-2</v>
      </c>
      <c r="O83" s="349">
        <f t="shared" si="16"/>
        <v>2.2200000000000001E-2</v>
      </c>
      <c r="P83" s="349">
        <f t="shared" si="16"/>
        <v>1.9099999999999999E-2</v>
      </c>
      <c r="Q83" s="349">
        <f t="shared" si="16"/>
        <v>1.5800000000000002E-2</v>
      </c>
      <c r="R83" s="349">
        <f t="shared" si="16"/>
        <v>1.09E-2</v>
      </c>
      <c r="S83" s="349">
        <f t="shared" si="16"/>
        <v>1.09E-2</v>
      </c>
      <c r="T83" s="353">
        <f t="shared" si="16"/>
        <v>1.09E-2</v>
      </c>
    </row>
    <row r="84" spans="1:21">
      <c r="A84" s="43" t="s">
        <v>56</v>
      </c>
      <c r="B84" s="55" t="s">
        <v>100</v>
      </c>
      <c r="C84" s="258">
        <v>6.4000000000000001E-2</v>
      </c>
      <c r="D84" s="259">
        <v>0.7</v>
      </c>
      <c r="E84" s="260">
        <v>0.65</v>
      </c>
      <c r="F84" s="260">
        <v>0.8</v>
      </c>
      <c r="G84" s="283">
        <v>2016</v>
      </c>
      <c r="H84" s="284" t="str">
        <f t="shared" si="7"/>
        <v>£m 12/13</v>
      </c>
      <c r="I84" s="284" t="s">
        <v>98</v>
      </c>
      <c r="J84" s="342" t="s">
        <v>99</v>
      </c>
      <c r="K84" s="453"/>
      <c r="L84" s="454"/>
      <c r="M84" s="349">
        <f t="shared" si="16"/>
        <v>2.5499999999999998E-2</v>
      </c>
      <c r="N84" s="349">
        <f t="shared" si="16"/>
        <v>2.3799999999999998E-2</v>
      </c>
      <c r="O84" s="349">
        <f t="shared" si="16"/>
        <v>2.2200000000000001E-2</v>
      </c>
      <c r="P84" s="349">
        <f t="shared" si="16"/>
        <v>1.9099999999999999E-2</v>
      </c>
      <c r="Q84" s="349">
        <f t="shared" si="16"/>
        <v>1.5800000000000002E-2</v>
      </c>
      <c r="R84" s="349">
        <f t="shared" si="16"/>
        <v>1.09E-2</v>
      </c>
      <c r="S84" s="349">
        <f t="shared" si="16"/>
        <v>1.09E-2</v>
      </c>
      <c r="T84" s="353">
        <f t="shared" si="16"/>
        <v>1.09E-2</v>
      </c>
    </row>
    <row r="85" spans="1:21">
      <c r="A85" s="43" t="s">
        <v>56</v>
      </c>
      <c r="B85" s="55" t="s">
        <v>101</v>
      </c>
      <c r="C85" s="258">
        <v>6.4000000000000001E-2</v>
      </c>
      <c r="D85" s="259">
        <v>0.7</v>
      </c>
      <c r="E85" s="260">
        <v>0.65</v>
      </c>
      <c r="F85" s="260">
        <v>0.8</v>
      </c>
      <c r="G85" s="283">
        <v>2016</v>
      </c>
      <c r="H85" s="284" t="str">
        <f t="shared" si="7"/>
        <v>£m 12/13</v>
      </c>
      <c r="I85" s="284" t="s">
        <v>98</v>
      </c>
      <c r="J85" s="342" t="s">
        <v>99</v>
      </c>
      <c r="K85" s="453"/>
      <c r="L85" s="454"/>
      <c r="M85" s="349">
        <f t="shared" si="16"/>
        <v>2.5499999999999998E-2</v>
      </c>
      <c r="N85" s="349">
        <f t="shared" si="16"/>
        <v>2.3799999999999998E-2</v>
      </c>
      <c r="O85" s="349">
        <f t="shared" si="16"/>
        <v>2.2200000000000001E-2</v>
      </c>
      <c r="P85" s="349">
        <f t="shared" si="16"/>
        <v>1.9099999999999999E-2</v>
      </c>
      <c r="Q85" s="349">
        <f t="shared" si="16"/>
        <v>1.5800000000000002E-2</v>
      </c>
      <c r="R85" s="349">
        <f t="shared" si="16"/>
        <v>1.09E-2</v>
      </c>
      <c r="S85" s="349">
        <f t="shared" si="16"/>
        <v>1.09E-2</v>
      </c>
      <c r="T85" s="353">
        <f t="shared" si="16"/>
        <v>1.09E-2</v>
      </c>
    </row>
    <row r="86" spans="1:21">
      <c r="A86" s="43" t="s">
        <v>56</v>
      </c>
      <c r="B86" s="55" t="s">
        <v>102</v>
      </c>
      <c r="C86" s="258">
        <v>6.4000000000000001E-2</v>
      </c>
      <c r="D86" s="259">
        <v>0.7</v>
      </c>
      <c r="E86" s="260">
        <v>0.65</v>
      </c>
      <c r="F86" s="260">
        <v>0.8</v>
      </c>
      <c r="G86" s="283">
        <v>2016</v>
      </c>
      <c r="H86" s="284" t="str">
        <f t="shared" si="7"/>
        <v>£m 12/13</v>
      </c>
      <c r="I86" s="284" t="s">
        <v>98</v>
      </c>
      <c r="J86" s="342" t="s">
        <v>99</v>
      </c>
      <c r="K86" s="453"/>
      <c r="L86" s="454"/>
      <c r="M86" s="349">
        <f t="shared" si="16"/>
        <v>2.5499999999999998E-2</v>
      </c>
      <c r="N86" s="349">
        <f t="shared" si="16"/>
        <v>2.3799999999999998E-2</v>
      </c>
      <c r="O86" s="349">
        <f t="shared" si="16"/>
        <v>2.2200000000000001E-2</v>
      </c>
      <c r="P86" s="349">
        <f t="shared" si="16"/>
        <v>1.9099999999999999E-2</v>
      </c>
      <c r="Q86" s="349">
        <f t="shared" si="16"/>
        <v>1.5800000000000002E-2</v>
      </c>
      <c r="R86" s="349">
        <f t="shared" si="16"/>
        <v>1.09E-2</v>
      </c>
      <c r="S86" s="349">
        <f t="shared" si="16"/>
        <v>1.09E-2</v>
      </c>
      <c r="T86" s="353">
        <f t="shared" si="16"/>
        <v>1.09E-2</v>
      </c>
    </row>
    <row r="87" spans="1:21">
      <c r="A87" s="43" t="s">
        <v>62</v>
      </c>
      <c r="B87" s="55" t="s">
        <v>103</v>
      </c>
      <c r="C87" s="258">
        <v>6.7000000000000004E-2</v>
      </c>
      <c r="D87" s="259">
        <v>0.63039999999999996</v>
      </c>
      <c r="E87" s="260">
        <v>0.65</v>
      </c>
      <c r="F87" s="260">
        <v>0.26634501855794862</v>
      </c>
      <c r="G87" s="283">
        <v>2014</v>
      </c>
      <c r="H87" s="284" t="str">
        <f t="shared" si="7"/>
        <v>£m 09/10</v>
      </c>
      <c r="I87" s="284" t="s">
        <v>86</v>
      </c>
      <c r="J87" s="342" t="s">
        <v>99</v>
      </c>
      <c r="K87" s="351">
        <f t="shared" ref="K87:R94" si="17">C$67</f>
        <v>2.92E-2</v>
      </c>
      <c r="L87" s="349">
        <f t="shared" si="17"/>
        <v>2.7199999999999998E-2</v>
      </c>
      <c r="M87" s="349">
        <f t="shared" si="17"/>
        <v>2.5499999999999998E-2</v>
      </c>
      <c r="N87" s="349">
        <f t="shared" si="17"/>
        <v>2.3800000000000002E-2</v>
      </c>
      <c r="O87" s="349">
        <f t="shared" si="17"/>
        <v>2.2200000000000001E-2</v>
      </c>
      <c r="P87" s="349">
        <f t="shared" si="17"/>
        <v>1.9099999999999999E-2</v>
      </c>
      <c r="Q87" s="349">
        <f t="shared" si="17"/>
        <v>1.5800000000000002E-2</v>
      </c>
      <c r="R87" s="349">
        <f t="shared" si="17"/>
        <v>1.5800000000000002E-2</v>
      </c>
      <c r="S87" s="454"/>
      <c r="T87" s="455"/>
    </row>
    <row r="88" spans="1:21">
      <c r="A88" s="43" t="s">
        <v>62</v>
      </c>
      <c r="B88" s="55" t="s">
        <v>104</v>
      </c>
      <c r="C88" s="258">
        <v>6.7000000000000004E-2</v>
      </c>
      <c r="D88" s="259">
        <v>0.63039999999999996</v>
      </c>
      <c r="E88" s="260">
        <v>0.65</v>
      </c>
      <c r="F88" s="260">
        <v>0.23469337831705597</v>
      </c>
      <c r="G88" s="283">
        <v>2014</v>
      </c>
      <c r="H88" s="284" t="str">
        <f t="shared" si="7"/>
        <v>£m 09/10</v>
      </c>
      <c r="I88" s="284" t="s">
        <v>86</v>
      </c>
      <c r="J88" s="342" t="s">
        <v>99</v>
      </c>
      <c r="K88" s="351">
        <f t="shared" si="17"/>
        <v>2.92E-2</v>
      </c>
      <c r="L88" s="349">
        <f t="shared" si="17"/>
        <v>2.7199999999999998E-2</v>
      </c>
      <c r="M88" s="349">
        <f t="shared" si="17"/>
        <v>2.5499999999999998E-2</v>
      </c>
      <c r="N88" s="349">
        <f t="shared" si="17"/>
        <v>2.3800000000000002E-2</v>
      </c>
      <c r="O88" s="349">
        <f t="shared" si="17"/>
        <v>2.2200000000000001E-2</v>
      </c>
      <c r="P88" s="349">
        <f t="shared" si="17"/>
        <v>1.9099999999999999E-2</v>
      </c>
      <c r="Q88" s="349">
        <f t="shared" si="17"/>
        <v>1.5800000000000002E-2</v>
      </c>
      <c r="R88" s="349">
        <f t="shared" si="17"/>
        <v>1.5800000000000002E-2</v>
      </c>
      <c r="S88" s="454"/>
      <c r="T88" s="455"/>
    </row>
    <row r="89" spans="1:21">
      <c r="A89" s="43" t="s">
        <v>62</v>
      </c>
      <c r="B89" s="55" t="s">
        <v>105</v>
      </c>
      <c r="C89" s="258">
        <v>6.7000000000000004E-2</v>
      </c>
      <c r="D89" s="259">
        <v>0.63039999999999996</v>
      </c>
      <c r="E89" s="260">
        <v>0.65</v>
      </c>
      <c r="F89" s="260">
        <v>0.24946223864843597</v>
      </c>
      <c r="G89" s="283">
        <v>2014</v>
      </c>
      <c r="H89" s="284" t="str">
        <f t="shared" si="7"/>
        <v>£m 09/10</v>
      </c>
      <c r="I89" s="284" t="s">
        <v>86</v>
      </c>
      <c r="J89" s="342" t="s">
        <v>99</v>
      </c>
      <c r="K89" s="351">
        <f t="shared" si="17"/>
        <v>2.92E-2</v>
      </c>
      <c r="L89" s="349">
        <f t="shared" si="17"/>
        <v>2.7199999999999998E-2</v>
      </c>
      <c r="M89" s="349">
        <f t="shared" si="17"/>
        <v>2.5499999999999998E-2</v>
      </c>
      <c r="N89" s="349">
        <f t="shared" si="17"/>
        <v>2.3800000000000002E-2</v>
      </c>
      <c r="O89" s="349">
        <f t="shared" si="17"/>
        <v>2.2200000000000001E-2</v>
      </c>
      <c r="P89" s="349">
        <f t="shared" si="17"/>
        <v>1.9099999999999999E-2</v>
      </c>
      <c r="Q89" s="349">
        <f t="shared" si="17"/>
        <v>1.5800000000000002E-2</v>
      </c>
      <c r="R89" s="349">
        <f t="shared" si="17"/>
        <v>1.5800000000000002E-2</v>
      </c>
      <c r="S89" s="454"/>
      <c r="T89" s="455"/>
    </row>
    <row r="90" spans="1:21">
      <c r="A90" s="43" t="s">
        <v>62</v>
      </c>
      <c r="B90" s="55" t="s">
        <v>106</v>
      </c>
      <c r="C90" s="258">
        <v>6.7000000000000004E-2</v>
      </c>
      <c r="D90" s="259">
        <v>0.63039999999999996</v>
      </c>
      <c r="E90" s="260">
        <v>0.65</v>
      </c>
      <c r="F90" s="260">
        <v>0.26095352485819256</v>
      </c>
      <c r="G90" s="283">
        <v>2014</v>
      </c>
      <c r="H90" s="284" t="str">
        <f t="shared" si="7"/>
        <v>£m 09/10</v>
      </c>
      <c r="I90" s="284" t="s">
        <v>86</v>
      </c>
      <c r="J90" s="342" t="s">
        <v>99</v>
      </c>
      <c r="K90" s="351">
        <f t="shared" si="17"/>
        <v>2.92E-2</v>
      </c>
      <c r="L90" s="349">
        <f t="shared" si="17"/>
        <v>2.7199999999999998E-2</v>
      </c>
      <c r="M90" s="349">
        <f t="shared" si="17"/>
        <v>2.5499999999999998E-2</v>
      </c>
      <c r="N90" s="349">
        <f t="shared" si="17"/>
        <v>2.3800000000000002E-2</v>
      </c>
      <c r="O90" s="349">
        <f t="shared" si="17"/>
        <v>2.2200000000000001E-2</v>
      </c>
      <c r="P90" s="349">
        <f t="shared" si="17"/>
        <v>1.9099999999999999E-2</v>
      </c>
      <c r="Q90" s="349">
        <f t="shared" si="17"/>
        <v>1.5800000000000002E-2</v>
      </c>
      <c r="R90" s="349">
        <f t="shared" si="17"/>
        <v>1.5800000000000002E-2</v>
      </c>
      <c r="S90" s="454"/>
      <c r="T90" s="455"/>
    </row>
    <row r="91" spans="1:21">
      <c r="A91" s="43" t="s">
        <v>62</v>
      </c>
      <c r="B91" s="55" t="s">
        <v>107</v>
      </c>
      <c r="C91" s="258">
        <v>6.7000000000000004E-2</v>
      </c>
      <c r="D91" s="259">
        <v>0.63980000000000004</v>
      </c>
      <c r="E91" s="260">
        <v>0.65</v>
      </c>
      <c r="F91" s="260">
        <v>0.34984411379298247</v>
      </c>
      <c r="G91" s="283">
        <v>2014</v>
      </c>
      <c r="H91" s="284" t="str">
        <f t="shared" si="7"/>
        <v>£m 09/10</v>
      </c>
      <c r="I91" s="284" t="s">
        <v>86</v>
      </c>
      <c r="J91" s="342" t="s">
        <v>99</v>
      </c>
      <c r="K91" s="351">
        <f t="shared" si="17"/>
        <v>2.92E-2</v>
      </c>
      <c r="L91" s="349">
        <f t="shared" si="17"/>
        <v>2.7199999999999998E-2</v>
      </c>
      <c r="M91" s="349">
        <f t="shared" si="17"/>
        <v>2.5499999999999998E-2</v>
      </c>
      <c r="N91" s="349">
        <f t="shared" si="17"/>
        <v>2.3800000000000002E-2</v>
      </c>
      <c r="O91" s="349">
        <f t="shared" si="17"/>
        <v>2.2200000000000001E-2</v>
      </c>
      <c r="P91" s="349">
        <f t="shared" si="17"/>
        <v>1.9099999999999999E-2</v>
      </c>
      <c r="Q91" s="349">
        <f t="shared" si="17"/>
        <v>1.5800000000000002E-2</v>
      </c>
      <c r="R91" s="349">
        <f t="shared" si="17"/>
        <v>1.5800000000000002E-2</v>
      </c>
      <c r="S91" s="454"/>
      <c r="T91" s="455"/>
    </row>
    <row r="92" spans="1:21">
      <c r="A92" s="43" t="s">
        <v>62</v>
      </c>
      <c r="B92" s="55" t="s">
        <v>108</v>
      </c>
      <c r="C92" s="258">
        <v>6.7000000000000004E-2</v>
      </c>
      <c r="D92" s="259">
        <v>0.63729999999999998</v>
      </c>
      <c r="E92" s="260">
        <v>0.65</v>
      </c>
      <c r="F92" s="260">
        <v>0.35129049661183626</v>
      </c>
      <c r="G92" s="283">
        <v>2014</v>
      </c>
      <c r="H92" s="284" t="str">
        <f t="shared" si="7"/>
        <v>£m 09/10</v>
      </c>
      <c r="I92" s="284" t="s">
        <v>86</v>
      </c>
      <c r="J92" s="342" t="s">
        <v>99</v>
      </c>
      <c r="K92" s="351">
        <f t="shared" si="17"/>
        <v>2.92E-2</v>
      </c>
      <c r="L92" s="349">
        <f t="shared" si="17"/>
        <v>2.7199999999999998E-2</v>
      </c>
      <c r="M92" s="349">
        <f t="shared" si="17"/>
        <v>2.5499999999999998E-2</v>
      </c>
      <c r="N92" s="349">
        <f t="shared" si="17"/>
        <v>2.3800000000000002E-2</v>
      </c>
      <c r="O92" s="349">
        <f t="shared" si="17"/>
        <v>2.2200000000000001E-2</v>
      </c>
      <c r="P92" s="349">
        <f t="shared" si="17"/>
        <v>1.9099999999999999E-2</v>
      </c>
      <c r="Q92" s="349">
        <f t="shared" si="17"/>
        <v>1.5800000000000002E-2</v>
      </c>
      <c r="R92" s="349">
        <f t="shared" si="17"/>
        <v>1.5800000000000002E-2</v>
      </c>
      <c r="S92" s="454"/>
      <c r="T92" s="455"/>
    </row>
    <row r="93" spans="1:21">
      <c r="A93" s="43" t="s">
        <v>62</v>
      </c>
      <c r="B93" s="55" t="s">
        <v>109</v>
      </c>
      <c r="C93" s="258">
        <v>6.7000000000000004E-2</v>
      </c>
      <c r="D93" s="259">
        <v>0.63729999999999998</v>
      </c>
      <c r="E93" s="260">
        <v>0.65</v>
      </c>
      <c r="F93" s="260">
        <v>0.32230855902021693</v>
      </c>
      <c r="G93" s="283">
        <v>2014</v>
      </c>
      <c r="H93" s="284" t="str">
        <f t="shared" si="7"/>
        <v>£m 09/10</v>
      </c>
      <c r="I93" s="284" t="s">
        <v>86</v>
      </c>
      <c r="J93" s="342" t="s">
        <v>99</v>
      </c>
      <c r="K93" s="351">
        <f t="shared" si="17"/>
        <v>2.92E-2</v>
      </c>
      <c r="L93" s="349">
        <f t="shared" si="17"/>
        <v>2.7199999999999998E-2</v>
      </c>
      <c r="M93" s="349">
        <f t="shared" si="17"/>
        <v>2.5499999999999998E-2</v>
      </c>
      <c r="N93" s="349">
        <f t="shared" si="17"/>
        <v>2.3800000000000002E-2</v>
      </c>
      <c r="O93" s="349">
        <f t="shared" si="17"/>
        <v>2.2200000000000001E-2</v>
      </c>
      <c r="P93" s="349">
        <f t="shared" si="17"/>
        <v>1.9099999999999999E-2</v>
      </c>
      <c r="Q93" s="349">
        <f t="shared" si="17"/>
        <v>1.5800000000000002E-2</v>
      </c>
      <c r="R93" s="349">
        <f t="shared" si="17"/>
        <v>1.5800000000000002E-2</v>
      </c>
      <c r="S93" s="454"/>
      <c r="T93" s="455"/>
    </row>
    <row r="94" spans="1:21">
      <c r="A94" s="43" t="s">
        <v>62</v>
      </c>
      <c r="B94" s="55" t="s">
        <v>110</v>
      </c>
      <c r="C94" s="258">
        <v>6.7000000000000004E-2</v>
      </c>
      <c r="D94" s="259">
        <v>0.63170000000000004</v>
      </c>
      <c r="E94" s="260">
        <v>0.65</v>
      </c>
      <c r="F94" s="260">
        <v>0.35781904469402892</v>
      </c>
      <c r="G94" s="283">
        <v>2014</v>
      </c>
      <c r="H94" s="284" t="str">
        <f t="shared" si="7"/>
        <v>£m 09/10</v>
      </c>
      <c r="I94" s="284" t="s">
        <v>86</v>
      </c>
      <c r="J94" s="342" t="s">
        <v>99</v>
      </c>
      <c r="K94" s="351">
        <f t="shared" si="17"/>
        <v>2.92E-2</v>
      </c>
      <c r="L94" s="349">
        <f t="shared" si="17"/>
        <v>2.7199999999999998E-2</v>
      </c>
      <c r="M94" s="349">
        <f t="shared" si="17"/>
        <v>2.5499999999999998E-2</v>
      </c>
      <c r="N94" s="349">
        <f t="shared" si="17"/>
        <v>2.3800000000000002E-2</v>
      </c>
      <c r="O94" s="349">
        <f t="shared" si="17"/>
        <v>2.2200000000000001E-2</v>
      </c>
      <c r="P94" s="349">
        <f t="shared" si="17"/>
        <v>1.9099999999999999E-2</v>
      </c>
      <c r="Q94" s="349">
        <f t="shared" si="17"/>
        <v>1.5800000000000002E-2</v>
      </c>
      <c r="R94" s="349">
        <f t="shared" si="17"/>
        <v>1.5800000000000002E-2</v>
      </c>
      <c r="S94" s="454"/>
      <c r="T94" s="455"/>
    </row>
    <row r="95" spans="1:21">
      <c r="A95" s="43" t="s">
        <v>65</v>
      </c>
      <c r="B95" s="55" t="s">
        <v>111</v>
      </c>
      <c r="C95" s="258">
        <v>6.8000000000000005E-2</v>
      </c>
      <c r="D95" s="259">
        <v>0.44359999999999999</v>
      </c>
      <c r="E95" s="260">
        <v>0.625</v>
      </c>
      <c r="F95" s="260">
        <v>0.64400000000000002</v>
      </c>
      <c r="G95" s="283">
        <v>2014</v>
      </c>
      <c r="H95" s="284" t="str">
        <f t="shared" si="7"/>
        <v>£m 09/10</v>
      </c>
      <c r="I95" s="284" t="s">
        <v>86</v>
      </c>
      <c r="J95" s="342" t="s">
        <v>99</v>
      </c>
      <c r="K95" s="351">
        <f t="shared" ref="K95:R96" si="18">C$68</f>
        <v>2.92E-2</v>
      </c>
      <c r="L95" s="349">
        <f t="shared" si="18"/>
        <v>2.7199999999999998E-2</v>
      </c>
      <c r="M95" s="349">
        <f t="shared" si="18"/>
        <v>2.5499999999999998E-2</v>
      </c>
      <c r="N95" s="349">
        <f t="shared" si="18"/>
        <v>2.3800000000000002E-2</v>
      </c>
      <c r="O95" s="349">
        <f t="shared" si="18"/>
        <v>2.2200000000000001E-2</v>
      </c>
      <c r="P95" s="349">
        <f t="shared" si="18"/>
        <v>1.9099999999999999E-2</v>
      </c>
      <c r="Q95" s="349">
        <f t="shared" si="18"/>
        <v>1.5800000000000002E-2</v>
      </c>
      <c r="R95" s="750">
        <f t="shared" si="18"/>
        <v>1.09E-2</v>
      </c>
      <c r="S95" s="454"/>
      <c r="T95" s="455"/>
      <c r="U95" s="748" t="s">
        <v>74</v>
      </c>
    </row>
    <row r="96" spans="1:21">
      <c r="A96" s="43" t="s">
        <v>65</v>
      </c>
      <c r="B96" s="55" t="s">
        <v>112</v>
      </c>
      <c r="C96" s="258">
        <v>6.8000000000000005E-2</v>
      </c>
      <c r="D96" s="259">
        <v>0.44359999999999999</v>
      </c>
      <c r="E96" s="260">
        <v>0.625</v>
      </c>
      <c r="F96" s="260">
        <v>0.374</v>
      </c>
      <c r="G96" s="283">
        <v>2014</v>
      </c>
      <c r="H96" s="284" t="str">
        <f t="shared" si="7"/>
        <v>£m 09/10</v>
      </c>
      <c r="I96" s="284" t="s">
        <v>86</v>
      </c>
      <c r="J96" s="342" t="s">
        <v>99</v>
      </c>
      <c r="K96" s="351">
        <f t="shared" si="18"/>
        <v>2.92E-2</v>
      </c>
      <c r="L96" s="349">
        <f t="shared" si="18"/>
        <v>2.7199999999999998E-2</v>
      </c>
      <c r="M96" s="349">
        <f t="shared" si="18"/>
        <v>2.5499999999999998E-2</v>
      </c>
      <c r="N96" s="349">
        <f t="shared" si="18"/>
        <v>2.3800000000000002E-2</v>
      </c>
      <c r="O96" s="349">
        <f t="shared" si="18"/>
        <v>2.2200000000000001E-2</v>
      </c>
      <c r="P96" s="349">
        <f t="shared" si="18"/>
        <v>1.9099999999999999E-2</v>
      </c>
      <c r="Q96" s="349">
        <f t="shared" si="18"/>
        <v>1.5800000000000002E-2</v>
      </c>
      <c r="R96" s="750">
        <f t="shared" si="18"/>
        <v>1.09E-2</v>
      </c>
      <c r="S96" s="454"/>
      <c r="T96" s="455"/>
      <c r="U96" s="748" t="s">
        <v>74</v>
      </c>
    </row>
    <row r="97" spans="1:21">
      <c r="A97" s="43" t="s">
        <v>60</v>
      </c>
      <c r="B97" s="55" t="s">
        <v>113</v>
      </c>
      <c r="C97" s="258">
        <v>7.0000000000000007E-2</v>
      </c>
      <c r="D97" s="259">
        <v>0.46889999999999998</v>
      </c>
      <c r="E97" s="260">
        <v>0.6</v>
      </c>
      <c r="F97" s="260">
        <v>0.85</v>
      </c>
      <c r="G97" s="283">
        <v>2014</v>
      </c>
      <c r="H97" s="284" t="str">
        <f t="shared" si="7"/>
        <v>£m 09/10</v>
      </c>
      <c r="I97" s="284" t="s">
        <v>86</v>
      </c>
      <c r="J97" s="342" t="s">
        <v>99</v>
      </c>
      <c r="K97" s="351">
        <f t="shared" ref="K97:R99" si="19">C$66</f>
        <v>2.92E-2</v>
      </c>
      <c r="L97" s="349">
        <f t="shared" si="19"/>
        <v>2.7199999999999998E-2</v>
      </c>
      <c r="M97" s="349">
        <f t="shared" si="19"/>
        <v>2.5499999999999998E-2</v>
      </c>
      <c r="N97" s="349">
        <f t="shared" si="19"/>
        <v>2.3800000000000002E-2</v>
      </c>
      <c r="O97" s="349">
        <f t="shared" si="19"/>
        <v>2.2200000000000001E-2</v>
      </c>
      <c r="P97" s="349">
        <f t="shared" si="19"/>
        <v>1.9099999999999999E-2</v>
      </c>
      <c r="Q97" s="349">
        <f t="shared" si="19"/>
        <v>1.5800000000000002E-2</v>
      </c>
      <c r="R97" s="750">
        <f t="shared" si="19"/>
        <v>1.09E-2</v>
      </c>
      <c r="S97" s="454"/>
      <c r="T97" s="455"/>
      <c r="U97" s="748" t="s">
        <v>74</v>
      </c>
    </row>
    <row r="98" spans="1:21">
      <c r="A98" s="43" t="s">
        <v>60</v>
      </c>
      <c r="B98" s="55" t="s">
        <v>2</v>
      </c>
      <c r="C98" s="258">
        <v>7.0000000000000007E-2</v>
      </c>
      <c r="D98" s="259">
        <v>0.46889999999999998</v>
      </c>
      <c r="E98" s="260">
        <v>0.6</v>
      </c>
      <c r="F98" s="260">
        <v>0.27900000000000003</v>
      </c>
      <c r="G98" s="283">
        <v>2014</v>
      </c>
      <c r="H98" s="284" t="str">
        <f>VLOOKUP($A98,$E$54:$F$57,2,FALSE)</f>
        <v>£m 09/10</v>
      </c>
      <c r="I98" s="284" t="s">
        <v>86</v>
      </c>
      <c r="J98" s="342" t="s">
        <v>99</v>
      </c>
      <c r="K98" s="351">
        <f t="shared" si="19"/>
        <v>2.92E-2</v>
      </c>
      <c r="L98" s="349">
        <f t="shared" si="19"/>
        <v>2.7199999999999998E-2</v>
      </c>
      <c r="M98" s="349">
        <f t="shared" si="19"/>
        <v>2.5499999999999998E-2</v>
      </c>
      <c r="N98" s="349">
        <f t="shared" si="19"/>
        <v>2.3800000000000002E-2</v>
      </c>
      <c r="O98" s="349">
        <f t="shared" si="19"/>
        <v>2.2200000000000001E-2</v>
      </c>
      <c r="P98" s="349">
        <f t="shared" si="19"/>
        <v>1.9099999999999999E-2</v>
      </c>
      <c r="Q98" s="349">
        <f t="shared" si="19"/>
        <v>1.5800000000000002E-2</v>
      </c>
      <c r="R98" s="750">
        <f t="shared" si="19"/>
        <v>1.09E-2</v>
      </c>
      <c r="S98" s="454"/>
      <c r="T98" s="455"/>
      <c r="U98" s="748" t="s">
        <v>74</v>
      </c>
    </row>
    <row r="99" spans="1:21">
      <c r="A99" s="43" t="s">
        <v>60</v>
      </c>
      <c r="B99" s="55" t="s">
        <v>114</v>
      </c>
      <c r="C99" s="258">
        <v>7.0000000000000007E-2</v>
      </c>
      <c r="D99" s="259">
        <v>0.5</v>
      </c>
      <c r="E99" s="260">
        <v>0.55000000000000004</v>
      </c>
      <c r="F99" s="260">
        <v>0.9</v>
      </c>
      <c r="G99" s="283">
        <v>2014</v>
      </c>
      <c r="H99" s="284" t="str">
        <f>VLOOKUP($A99,$E$54:$F$57,2,FALSE)</f>
        <v>£m 09/10</v>
      </c>
      <c r="I99" s="284" t="s">
        <v>98</v>
      </c>
      <c r="J99" s="342" t="s">
        <v>99</v>
      </c>
      <c r="K99" s="351">
        <f t="shared" si="19"/>
        <v>2.92E-2</v>
      </c>
      <c r="L99" s="349">
        <f t="shared" si="19"/>
        <v>2.7199999999999998E-2</v>
      </c>
      <c r="M99" s="349">
        <f t="shared" si="19"/>
        <v>2.5499999999999998E-2</v>
      </c>
      <c r="N99" s="349">
        <f t="shared" si="19"/>
        <v>2.3800000000000002E-2</v>
      </c>
      <c r="O99" s="349">
        <f t="shared" si="19"/>
        <v>2.2200000000000001E-2</v>
      </c>
      <c r="P99" s="349">
        <f t="shared" si="19"/>
        <v>1.9099999999999999E-2</v>
      </c>
      <c r="Q99" s="349">
        <f t="shared" si="19"/>
        <v>1.5800000000000002E-2</v>
      </c>
      <c r="R99" s="349">
        <f t="shared" si="19"/>
        <v>1.09E-2</v>
      </c>
      <c r="S99" s="454"/>
      <c r="T99" s="455"/>
    </row>
    <row r="100" spans="1:21">
      <c r="A100" s="43" t="s">
        <v>60</v>
      </c>
      <c r="B100" s="56" t="s">
        <v>72</v>
      </c>
      <c r="C100" s="261">
        <v>7.0000000000000007E-2</v>
      </c>
      <c r="D100" s="262">
        <v>0.5</v>
      </c>
      <c r="E100" s="263">
        <v>0.55000000000000004</v>
      </c>
      <c r="F100" s="263">
        <v>0.9</v>
      </c>
      <c r="G100" s="272">
        <v>2014</v>
      </c>
      <c r="H100" s="273" t="str">
        <f>VLOOKUP($A100,$E$54:$F$57,2,FALSE)</f>
        <v>£m 09/10</v>
      </c>
      <c r="I100" s="273" t="s">
        <v>98</v>
      </c>
      <c r="J100" s="342" t="s">
        <v>99</v>
      </c>
      <c r="K100" s="352">
        <f t="shared" ref="K100:R100" si="20">C$65</f>
        <v>2.92E-2</v>
      </c>
      <c r="L100" s="350">
        <f t="shared" si="20"/>
        <v>2.5000000000000001E-2</v>
      </c>
      <c r="M100" s="350">
        <f t="shared" si="20"/>
        <v>2.1499999999999998E-2</v>
      </c>
      <c r="N100" s="350">
        <f t="shared" si="20"/>
        <v>1.7899999999999999E-2</v>
      </c>
      <c r="O100" s="350">
        <f t="shared" si="20"/>
        <v>1.5100000000000001E-2</v>
      </c>
      <c r="P100" s="350">
        <f t="shared" si="20"/>
        <v>1.1599999999999999E-2</v>
      </c>
      <c r="Q100" s="350">
        <f t="shared" si="20"/>
        <v>1.0200000000000001E-2</v>
      </c>
      <c r="R100" s="350">
        <f t="shared" si="20"/>
        <v>1.01E-2</v>
      </c>
      <c r="S100" s="456"/>
      <c r="T100" s="457"/>
    </row>
    <row r="101" spans="1:21">
      <c r="I101" s="50"/>
    </row>
    <row r="102" spans="1:21">
      <c r="I102" s="50"/>
    </row>
    <row r="103" spans="1:21">
      <c r="I103" s="50"/>
    </row>
    <row r="104" spans="1:21" ht="13.5">
      <c r="B104" s="6" t="s">
        <v>115</v>
      </c>
      <c r="D104" s="249"/>
      <c r="E104" s="249"/>
      <c r="F104" s="249"/>
      <c r="G104" s="249"/>
      <c r="H104" s="249"/>
      <c r="I104" s="249"/>
      <c r="J104" s="249"/>
    </row>
    <row r="105" spans="1:21">
      <c r="B105" s="6"/>
      <c r="C105" s="90">
        <v>2014</v>
      </c>
      <c r="D105" s="91">
        <f>C105+1</f>
        <v>2015</v>
      </c>
      <c r="E105" s="91">
        <f t="shared" ref="E105:J105" si="21">D105+1</f>
        <v>2016</v>
      </c>
      <c r="F105" s="91">
        <f>E105+1</f>
        <v>2017</v>
      </c>
      <c r="G105" s="91">
        <f t="shared" si="21"/>
        <v>2018</v>
      </c>
      <c r="H105" s="91">
        <f t="shared" si="21"/>
        <v>2019</v>
      </c>
      <c r="I105" s="91">
        <f t="shared" si="21"/>
        <v>2020</v>
      </c>
      <c r="J105" s="91">
        <f t="shared" si="21"/>
        <v>2021</v>
      </c>
    </row>
    <row r="106" spans="1:21">
      <c r="B106" s="253" t="s">
        <v>103</v>
      </c>
      <c r="C106" s="250">
        <v>0.5</v>
      </c>
      <c r="D106" s="250">
        <v>0.5714285714285714</v>
      </c>
      <c r="E106" s="250">
        <v>0.64285714285714279</v>
      </c>
      <c r="F106" s="250">
        <v>0.71428571428571419</v>
      </c>
      <c r="G106" s="250">
        <v>0.78571428571428559</v>
      </c>
      <c r="H106" s="250">
        <v>0.85714285714285698</v>
      </c>
      <c r="I106" s="250">
        <v>0.92857142857142838</v>
      </c>
      <c r="J106" s="251">
        <v>1</v>
      </c>
    </row>
    <row r="107" spans="1:21">
      <c r="B107" s="254" t="s">
        <v>104</v>
      </c>
      <c r="C107" s="177">
        <v>0.5</v>
      </c>
      <c r="D107" s="177">
        <v>0.5714285714285714</v>
      </c>
      <c r="E107" s="177">
        <v>0.64285714285714279</v>
      </c>
      <c r="F107" s="177">
        <v>0.71428571428571419</v>
      </c>
      <c r="G107" s="177">
        <v>0.78571428571428559</v>
      </c>
      <c r="H107" s="177">
        <v>0.85714285714285698</v>
      </c>
      <c r="I107" s="177">
        <v>0.92857142857142838</v>
      </c>
      <c r="J107" s="178">
        <v>1</v>
      </c>
    </row>
    <row r="108" spans="1:21">
      <c r="B108" s="254" t="s">
        <v>105</v>
      </c>
      <c r="C108" s="177">
        <v>0.5</v>
      </c>
      <c r="D108" s="177">
        <v>0.5714285714285714</v>
      </c>
      <c r="E108" s="177">
        <v>0.64285714285714279</v>
      </c>
      <c r="F108" s="177">
        <v>0.71428571428571419</v>
      </c>
      <c r="G108" s="177">
        <v>0.78571428571428559</v>
      </c>
      <c r="H108" s="177">
        <v>0.85714285714285698</v>
      </c>
      <c r="I108" s="177">
        <v>0.92857142857142838</v>
      </c>
      <c r="J108" s="178">
        <v>1</v>
      </c>
    </row>
    <row r="109" spans="1:21">
      <c r="B109" s="254" t="s">
        <v>106</v>
      </c>
      <c r="C109" s="177">
        <v>0.5</v>
      </c>
      <c r="D109" s="177">
        <v>0.5714285714285714</v>
      </c>
      <c r="E109" s="177">
        <v>0.64285714285714279</v>
      </c>
      <c r="F109" s="177">
        <v>0.71428571428571419</v>
      </c>
      <c r="G109" s="177">
        <v>0.78571428571428559</v>
      </c>
      <c r="H109" s="177">
        <v>0.85714285714285698</v>
      </c>
      <c r="I109" s="177">
        <v>0.92857142857142838</v>
      </c>
      <c r="J109" s="178">
        <v>1</v>
      </c>
    </row>
    <row r="110" spans="1:21">
      <c r="B110" s="254" t="s">
        <v>107</v>
      </c>
      <c r="C110" s="177">
        <v>0.5</v>
      </c>
      <c r="D110" s="177">
        <v>0.5714285714285714</v>
      </c>
      <c r="E110" s="177">
        <v>0.64285714285714279</v>
      </c>
      <c r="F110" s="177">
        <v>0.71428571428571419</v>
      </c>
      <c r="G110" s="177">
        <v>0.78571428571428559</v>
      </c>
      <c r="H110" s="177">
        <v>0.85714285714285698</v>
      </c>
      <c r="I110" s="177">
        <v>0.92857142857142838</v>
      </c>
      <c r="J110" s="178">
        <v>1</v>
      </c>
    </row>
    <row r="111" spans="1:21">
      <c r="B111" s="254" t="s">
        <v>108</v>
      </c>
      <c r="C111" s="177">
        <v>0.5</v>
      </c>
      <c r="D111" s="177">
        <v>0.5714285714285714</v>
      </c>
      <c r="E111" s="177">
        <v>0.64285714285714279</v>
      </c>
      <c r="F111" s="177">
        <v>0.71428571428571419</v>
      </c>
      <c r="G111" s="177">
        <v>0.78571428571428559</v>
      </c>
      <c r="H111" s="177">
        <v>0.85714285714285698</v>
      </c>
      <c r="I111" s="177">
        <v>0.92857142857142838</v>
      </c>
      <c r="J111" s="178">
        <v>1</v>
      </c>
    </row>
    <row r="112" spans="1:21">
      <c r="B112" s="254" t="s">
        <v>109</v>
      </c>
      <c r="C112" s="177">
        <v>0.5</v>
      </c>
      <c r="D112" s="177">
        <v>0.5714285714285714</v>
      </c>
      <c r="E112" s="177">
        <v>0.64285714285714279</v>
      </c>
      <c r="F112" s="177">
        <v>0.71428571428571419</v>
      </c>
      <c r="G112" s="177">
        <v>0.78571428571428559</v>
      </c>
      <c r="H112" s="177">
        <v>0.85714285714285698</v>
      </c>
      <c r="I112" s="177">
        <v>0.92857142857142838</v>
      </c>
      <c r="J112" s="178">
        <v>1</v>
      </c>
    </row>
    <row r="113" spans="2:15">
      <c r="B113" s="338" t="s">
        <v>110</v>
      </c>
      <c r="C113" s="339">
        <v>0.5</v>
      </c>
      <c r="D113" s="339">
        <v>0.5714285714285714</v>
      </c>
      <c r="E113" s="339">
        <v>0.64285714285714279</v>
      </c>
      <c r="F113" s="339">
        <v>0.71428571428571419</v>
      </c>
      <c r="G113" s="339">
        <v>0.78571428571428559</v>
      </c>
      <c r="H113" s="339">
        <v>0.85714285714285698</v>
      </c>
      <c r="I113" s="339">
        <v>0.92857142857142838</v>
      </c>
      <c r="J113" s="340">
        <v>1</v>
      </c>
    </row>
    <row r="114" spans="2:15">
      <c r="B114" s="254" t="s">
        <v>111</v>
      </c>
      <c r="C114" s="177">
        <v>0.9</v>
      </c>
      <c r="D114" s="177">
        <v>0.9</v>
      </c>
      <c r="E114" s="177">
        <v>0.9</v>
      </c>
      <c r="F114" s="177">
        <v>0.9</v>
      </c>
      <c r="G114" s="177">
        <v>0.9</v>
      </c>
      <c r="H114" s="177">
        <v>0.9</v>
      </c>
      <c r="I114" s="177">
        <v>0.9</v>
      </c>
      <c r="J114" s="178">
        <v>0.9</v>
      </c>
    </row>
    <row r="115" spans="2:15">
      <c r="B115" s="255" t="s">
        <v>112</v>
      </c>
      <c r="C115" s="461"/>
      <c r="D115" s="461"/>
      <c r="E115" s="461"/>
      <c r="F115" s="461"/>
      <c r="G115" s="461"/>
      <c r="H115" s="461"/>
      <c r="I115" s="461"/>
      <c r="J115" s="461"/>
    </row>
    <row r="116" spans="2:15">
      <c r="B116" s="322"/>
      <c r="C116" s="372"/>
      <c r="D116" s="372"/>
      <c r="E116" s="372"/>
      <c r="F116" s="372"/>
      <c r="G116" s="372"/>
      <c r="H116" s="372"/>
      <c r="I116" s="372"/>
      <c r="J116" s="372"/>
      <c r="M116" s="18"/>
      <c r="N116" s="18"/>
      <c r="O116" s="18"/>
    </row>
    <row r="117" spans="2:15">
      <c r="B117" s="322"/>
      <c r="C117" s="372"/>
      <c r="D117" s="372"/>
      <c r="E117" s="372"/>
      <c r="F117" s="372"/>
      <c r="G117" s="372"/>
      <c r="H117" s="372"/>
      <c r="I117" s="372"/>
      <c r="J117" s="372"/>
      <c r="K117" s="298"/>
      <c r="L117" s="298"/>
      <c r="M117" s="18"/>
      <c r="N117" s="18"/>
      <c r="O117" s="18"/>
    </row>
    <row r="118" spans="2:15">
      <c r="B118" s="382" t="s">
        <v>116</v>
      </c>
      <c r="C118" s="90">
        <v>2014</v>
      </c>
      <c r="D118" s="91">
        <f t="shared" ref="D118:L118" si="22">C118+1</f>
        <v>2015</v>
      </c>
      <c r="E118" s="91">
        <f t="shared" si="22"/>
        <v>2016</v>
      </c>
      <c r="F118" s="91">
        <f t="shared" si="22"/>
        <v>2017</v>
      </c>
      <c r="G118" s="91">
        <f t="shared" si="22"/>
        <v>2018</v>
      </c>
      <c r="H118" s="91">
        <f t="shared" si="22"/>
        <v>2019</v>
      </c>
      <c r="I118" s="91">
        <f t="shared" si="22"/>
        <v>2020</v>
      </c>
      <c r="J118" s="91">
        <f t="shared" si="22"/>
        <v>2021</v>
      </c>
      <c r="K118" s="91">
        <f t="shared" si="22"/>
        <v>2022</v>
      </c>
      <c r="L118" s="154">
        <f t="shared" si="22"/>
        <v>2023</v>
      </c>
      <c r="M118" s="18"/>
      <c r="N118" s="18"/>
      <c r="O118" s="18"/>
    </row>
    <row r="119" spans="2:15">
      <c r="B119" s="373" t="s">
        <v>85</v>
      </c>
      <c r="C119" s="458"/>
      <c r="D119" s="459"/>
      <c r="E119" s="375">
        <v>1.5575632164737283</v>
      </c>
      <c r="F119" s="375">
        <v>1.4734141240658321</v>
      </c>
      <c r="G119" s="375">
        <v>1.4689588897025405</v>
      </c>
      <c r="H119" s="375">
        <v>1.4707200530126929</v>
      </c>
      <c r="I119" s="375">
        <v>1.4674716260161711</v>
      </c>
      <c r="J119" s="375">
        <v>1.4486206224386007</v>
      </c>
      <c r="K119" s="375">
        <v>1.4956798325868756</v>
      </c>
      <c r="L119" s="376">
        <v>1.4397148718051931</v>
      </c>
      <c r="M119" s="18"/>
      <c r="N119" s="18"/>
      <c r="O119" s="18"/>
    </row>
    <row r="120" spans="2:15">
      <c r="B120" s="373" t="s">
        <v>88</v>
      </c>
      <c r="C120" s="460"/>
      <c r="D120" s="461"/>
      <c r="E120" s="377">
        <v>-0.65871781800535345</v>
      </c>
      <c r="F120" s="377">
        <v>-0.63543772576063684</v>
      </c>
      <c r="G120" s="377">
        <v>-0.58907862874233818</v>
      </c>
      <c r="H120" s="377">
        <v>-0.58178188190178026</v>
      </c>
      <c r="I120" s="377">
        <v>-0.56823918867341305</v>
      </c>
      <c r="J120" s="377">
        <v>-0.51933170333654122</v>
      </c>
      <c r="K120" s="377">
        <v>-0.47962665852661612</v>
      </c>
      <c r="L120" s="378">
        <v>-0.4656874701170608</v>
      </c>
      <c r="M120" s="18"/>
      <c r="N120" s="18"/>
      <c r="O120" s="18"/>
    </row>
    <row r="121" spans="2:15">
      <c r="B121" s="373" t="s">
        <v>89</v>
      </c>
      <c r="C121" s="460"/>
      <c r="D121" s="461"/>
      <c r="E121" s="377">
        <v>-0.86626036283610952</v>
      </c>
      <c r="F121" s="377">
        <v>-0.81019773780890636</v>
      </c>
      <c r="G121" s="377">
        <v>-0.78919084241395188</v>
      </c>
      <c r="H121" s="377">
        <v>-0.79061873066036981</v>
      </c>
      <c r="I121" s="377">
        <v>-0.74432653414361061</v>
      </c>
      <c r="J121" s="377">
        <v>-0.70697274816976396</v>
      </c>
      <c r="K121" s="377">
        <v>-0.65350946162011747</v>
      </c>
      <c r="L121" s="378">
        <v>-0.66429758885743451</v>
      </c>
      <c r="M121" s="18"/>
      <c r="N121" s="18"/>
      <c r="O121" s="18"/>
    </row>
    <row r="122" spans="2:15">
      <c r="B122" s="373" t="s">
        <v>90</v>
      </c>
      <c r="C122" s="460"/>
      <c r="D122" s="461"/>
      <c r="E122" s="377">
        <v>-3.2612134183503572</v>
      </c>
      <c r="F122" s="377">
        <v>-3.3462554451402173</v>
      </c>
      <c r="G122" s="377">
        <v>-3.1732919768141143</v>
      </c>
      <c r="H122" s="377">
        <v>-3.1232404745251841</v>
      </c>
      <c r="I122" s="377">
        <v>-3.0767551306224106</v>
      </c>
      <c r="J122" s="377">
        <v>-2.9342177182087767</v>
      </c>
      <c r="K122" s="377">
        <v>-2.8825938479182072</v>
      </c>
      <c r="L122" s="378">
        <v>-2.7237011003750218</v>
      </c>
      <c r="M122" s="18"/>
      <c r="N122" s="18"/>
      <c r="O122" s="18"/>
    </row>
    <row r="123" spans="2:15">
      <c r="B123" s="373" t="s">
        <v>91</v>
      </c>
      <c r="C123" s="460"/>
      <c r="D123" s="461"/>
      <c r="E123" s="377">
        <v>-2.4260972367898193</v>
      </c>
      <c r="F123" s="377">
        <v>-2.3690383662844163</v>
      </c>
      <c r="G123" s="377">
        <v>-2.2433276600060932</v>
      </c>
      <c r="H123" s="377">
        <v>-2.1466020621213828</v>
      </c>
      <c r="I123" s="377">
        <v>-2.174009678716605</v>
      </c>
      <c r="J123" s="377">
        <v>-2.0538927838998693</v>
      </c>
      <c r="K123" s="377">
        <v>-1.9044581231060691</v>
      </c>
      <c r="L123" s="378">
        <v>-1.8008611131009082</v>
      </c>
      <c r="M123" s="18"/>
      <c r="N123" s="18"/>
      <c r="O123" s="18"/>
    </row>
    <row r="124" spans="2:15">
      <c r="B124" s="373" t="s">
        <v>92</v>
      </c>
      <c r="C124" s="460"/>
      <c r="D124" s="461"/>
      <c r="E124" s="377">
        <v>-2.1861012409352765</v>
      </c>
      <c r="F124" s="377">
        <v>-2.3820447425774849</v>
      </c>
      <c r="G124" s="377">
        <v>-2.2418672366929897</v>
      </c>
      <c r="H124" s="377">
        <v>-2.1147812646907029</v>
      </c>
      <c r="I124" s="377">
        <v>-2.0146177086326591</v>
      </c>
      <c r="J124" s="377">
        <v>-1.9421313262105093</v>
      </c>
      <c r="K124" s="377">
        <v>-1.9248856430948595</v>
      </c>
      <c r="L124" s="378">
        <v>-1.8464451304225615</v>
      </c>
      <c r="M124" s="18"/>
      <c r="N124" s="18"/>
      <c r="O124" s="18"/>
    </row>
    <row r="125" spans="2:15">
      <c r="B125" s="373" t="s">
        <v>93</v>
      </c>
      <c r="C125" s="460"/>
      <c r="D125" s="461"/>
      <c r="E125" s="377">
        <v>-1.8633532543800757</v>
      </c>
      <c r="F125" s="377">
        <v>-1.8182980405067262</v>
      </c>
      <c r="G125" s="377">
        <v>-1.83946756302578</v>
      </c>
      <c r="H125" s="377">
        <v>-1.7415973428180247</v>
      </c>
      <c r="I125" s="377">
        <v>-1.6798002111470465</v>
      </c>
      <c r="J125" s="377">
        <v>-1.5974456358596774</v>
      </c>
      <c r="K125" s="377">
        <v>-1.5016396120831343</v>
      </c>
      <c r="L125" s="378">
        <v>-1.4453638876860204</v>
      </c>
      <c r="M125" s="18"/>
      <c r="N125" s="18"/>
      <c r="O125" s="18"/>
    </row>
    <row r="126" spans="2:15">
      <c r="B126" s="373" t="s">
        <v>94</v>
      </c>
      <c r="C126" s="460"/>
      <c r="D126" s="461"/>
      <c r="E126" s="377">
        <v>-2.1317145269512103</v>
      </c>
      <c r="F126" s="377">
        <v>-2.193973633026753</v>
      </c>
      <c r="G126" s="377">
        <v>-1.9869010217130036</v>
      </c>
      <c r="H126" s="377">
        <v>-1.8037552784318813</v>
      </c>
      <c r="I126" s="377">
        <v>-1.7767942495618843</v>
      </c>
      <c r="J126" s="377">
        <v>-1.7901472583807538</v>
      </c>
      <c r="K126" s="377">
        <v>-1.6444113686346382</v>
      </c>
      <c r="L126" s="378">
        <v>-1.467384504290556</v>
      </c>
      <c r="M126" s="18"/>
      <c r="N126" s="18"/>
      <c r="O126" s="18"/>
    </row>
    <row r="127" spans="2:15">
      <c r="B127" s="373" t="s">
        <v>95</v>
      </c>
      <c r="C127" s="460"/>
      <c r="D127" s="461"/>
      <c r="E127" s="377">
        <v>0.16599721814464838</v>
      </c>
      <c r="F127" s="377">
        <v>0.16631900606776751</v>
      </c>
      <c r="G127" s="377">
        <v>0.16554337895881124</v>
      </c>
      <c r="H127" s="377">
        <v>0.16569741136821181</v>
      </c>
      <c r="I127" s="377">
        <v>0.16622630759870036</v>
      </c>
      <c r="J127" s="377">
        <v>0.16380302414374548</v>
      </c>
      <c r="K127" s="377">
        <v>0.16593344617950709</v>
      </c>
      <c r="L127" s="378">
        <v>0.16036688822048883</v>
      </c>
      <c r="M127" s="18"/>
      <c r="N127" s="18"/>
      <c r="O127" s="18"/>
    </row>
    <row r="128" spans="2:15">
      <c r="B128" s="373" t="s">
        <v>96</v>
      </c>
      <c r="C128" s="460"/>
      <c r="D128" s="461"/>
      <c r="E128" s="377">
        <v>0.3648271976377423</v>
      </c>
      <c r="F128" s="377">
        <v>0.37109083837102003</v>
      </c>
      <c r="G128" s="377">
        <v>0.36071859106606846</v>
      </c>
      <c r="H128" s="377">
        <v>0.35927814835295946</v>
      </c>
      <c r="I128" s="377">
        <v>0.3227419487574148</v>
      </c>
      <c r="J128" s="377">
        <v>0.32139075529498529</v>
      </c>
      <c r="K128" s="377">
        <v>0.32876178406363676</v>
      </c>
      <c r="L128" s="378">
        <v>0.31920430794598709</v>
      </c>
      <c r="M128" s="18"/>
      <c r="N128" s="18"/>
      <c r="O128" s="18"/>
    </row>
    <row r="129" spans="2:15">
      <c r="B129" s="373" t="s">
        <v>97</v>
      </c>
      <c r="C129" s="460"/>
      <c r="D129" s="461"/>
      <c r="E129" s="377">
        <v>7.1281196754416492</v>
      </c>
      <c r="F129" s="377">
        <v>6.9674138399666772</v>
      </c>
      <c r="G129" s="377">
        <v>6.2034025893135132</v>
      </c>
      <c r="H129" s="377">
        <v>6.3085978915797085</v>
      </c>
      <c r="I129" s="377">
        <v>6.2376648400128394</v>
      </c>
      <c r="J129" s="377">
        <v>6.4865819943041139</v>
      </c>
      <c r="K129" s="377">
        <v>6.8152516624832584</v>
      </c>
      <c r="L129" s="378">
        <v>6.6271056201039169</v>
      </c>
      <c r="M129" s="18"/>
      <c r="N129" s="18"/>
      <c r="O129" s="18"/>
    </row>
    <row r="130" spans="2:15">
      <c r="B130" s="373" t="s">
        <v>100</v>
      </c>
      <c r="C130" s="460"/>
      <c r="D130" s="461"/>
      <c r="E130" s="377">
        <v>6.5079014730517413</v>
      </c>
      <c r="F130" s="377">
        <v>6.5166167406950333</v>
      </c>
      <c r="G130" s="377">
        <v>6.3292456496722922</v>
      </c>
      <c r="H130" s="377">
        <v>6.4407397408462082</v>
      </c>
      <c r="I130" s="377">
        <v>6.6367331985058957</v>
      </c>
      <c r="J130" s="377">
        <v>6.7568163761394304</v>
      </c>
      <c r="K130" s="377">
        <v>6.6961234445143969</v>
      </c>
      <c r="L130" s="378">
        <v>6.7647427548792596</v>
      </c>
      <c r="M130" s="18"/>
      <c r="N130" s="18"/>
      <c r="O130" s="18"/>
    </row>
    <row r="131" spans="2:15">
      <c r="B131" s="373" t="s">
        <v>101</v>
      </c>
      <c r="C131" s="460"/>
      <c r="D131" s="461"/>
      <c r="E131" s="377">
        <v>3.6763138465229663</v>
      </c>
      <c r="F131" s="377">
        <v>3.6748350873956013</v>
      </c>
      <c r="G131" s="377">
        <v>3.4998529635433906</v>
      </c>
      <c r="H131" s="377">
        <v>3.724685546648324</v>
      </c>
      <c r="I131" s="377">
        <v>3.4121739487309477</v>
      </c>
      <c r="J131" s="377">
        <v>3.4202241027689042</v>
      </c>
      <c r="K131" s="377">
        <v>3.3053549439575329</v>
      </c>
      <c r="L131" s="378">
        <v>3.3633285641010966</v>
      </c>
      <c r="M131" s="18"/>
      <c r="N131" s="18"/>
      <c r="O131" s="18"/>
    </row>
    <row r="132" spans="2:15">
      <c r="B132" s="373" t="s">
        <v>102</v>
      </c>
      <c r="C132" s="460"/>
      <c r="D132" s="461"/>
      <c r="E132" s="377">
        <v>5.3762701961708466</v>
      </c>
      <c r="F132" s="377">
        <v>5.3775969760840585</v>
      </c>
      <c r="G132" s="377">
        <v>5.2618102801807671</v>
      </c>
      <c r="H132" s="377">
        <v>5.360849180672294</v>
      </c>
      <c r="I132" s="377">
        <v>5.2665238228731912</v>
      </c>
      <c r="J132" s="377">
        <v>5.3271179030285305</v>
      </c>
      <c r="K132" s="377">
        <v>5.3223294006601192</v>
      </c>
      <c r="L132" s="378">
        <v>5.5699880746272257</v>
      </c>
      <c r="M132" s="18"/>
      <c r="N132" s="18"/>
      <c r="O132" s="18"/>
    </row>
    <row r="133" spans="2:15">
      <c r="B133" s="373" t="s">
        <v>103</v>
      </c>
      <c r="C133" s="379">
        <v>1.4371556068940596</v>
      </c>
      <c r="D133" s="377">
        <v>1.3718015630879741</v>
      </c>
      <c r="E133" s="377">
        <v>1.3507660107019517</v>
      </c>
      <c r="F133" s="377">
        <v>1.356812198977974</v>
      </c>
      <c r="G133" s="377">
        <v>1.3598136386487443</v>
      </c>
      <c r="H133" s="377">
        <v>1.3501475065962032</v>
      </c>
      <c r="I133" s="377">
        <v>1.3298433305384654</v>
      </c>
      <c r="J133" s="377">
        <v>1.3174540960763355</v>
      </c>
      <c r="K133" s="461"/>
      <c r="L133" s="462"/>
      <c r="M133" s="18"/>
      <c r="N133" s="18"/>
      <c r="O133" s="18"/>
    </row>
    <row r="134" spans="2:15">
      <c r="B134" s="373" t="s">
        <v>104</v>
      </c>
      <c r="C134" s="379">
        <v>1.2224510767557433</v>
      </c>
      <c r="D134" s="377">
        <v>1.2198157429394254</v>
      </c>
      <c r="E134" s="377">
        <v>1.2942164825881293</v>
      </c>
      <c r="F134" s="377">
        <v>1.2596396269108345</v>
      </c>
      <c r="G134" s="377">
        <v>1.2840112184368913</v>
      </c>
      <c r="H134" s="377">
        <v>1.2678511857965422</v>
      </c>
      <c r="I134" s="377">
        <v>1.2592019055105816</v>
      </c>
      <c r="J134" s="377">
        <v>1.257376658609527</v>
      </c>
      <c r="K134" s="461"/>
      <c r="L134" s="462"/>
      <c r="M134" s="18"/>
      <c r="N134" s="18"/>
      <c r="O134" s="18"/>
    </row>
    <row r="135" spans="2:15">
      <c r="B135" s="373" t="s">
        <v>105</v>
      </c>
      <c r="C135" s="379">
        <v>0.82325002294811445</v>
      </c>
      <c r="D135" s="377">
        <v>0.82663571281128501</v>
      </c>
      <c r="E135" s="377">
        <v>0.79640504595610451</v>
      </c>
      <c r="F135" s="377">
        <v>0.78757021450124798</v>
      </c>
      <c r="G135" s="377">
        <v>0.81133252861207505</v>
      </c>
      <c r="H135" s="377">
        <v>0.81064228783969072</v>
      </c>
      <c r="I135" s="377">
        <v>0.80900368952296353</v>
      </c>
      <c r="J135" s="377">
        <v>0.78043276967968189</v>
      </c>
      <c r="K135" s="461"/>
      <c r="L135" s="462"/>
      <c r="M135" s="18"/>
      <c r="N135" s="18"/>
      <c r="O135" s="18"/>
    </row>
    <row r="136" spans="2:15">
      <c r="B136" s="373" t="s">
        <v>106</v>
      </c>
      <c r="C136" s="379">
        <v>1.0893959849781105</v>
      </c>
      <c r="D136" s="377">
        <v>1.027913194554035</v>
      </c>
      <c r="E136" s="377">
        <v>1.0066987144123654</v>
      </c>
      <c r="F136" s="377">
        <v>1.0192350900597893</v>
      </c>
      <c r="G136" s="377">
        <v>1.0341480780318344</v>
      </c>
      <c r="H136" s="377">
        <v>1.0204240792759967</v>
      </c>
      <c r="I136" s="377">
        <v>1.0137739549704501</v>
      </c>
      <c r="J136" s="377">
        <v>0.9898055017218621</v>
      </c>
      <c r="K136" s="461"/>
      <c r="L136" s="462"/>
      <c r="M136" s="18"/>
      <c r="N136" s="18"/>
      <c r="O136" s="18"/>
    </row>
    <row r="137" spans="2:15">
      <c r="B137" s="373" t="s">
        <v>107</v>
      </c>
      <c r="C137" s="379">
        <v>3.0675250143183739</v>
      </c>
      <c r="D137" s="377">
        <v>3.1629219417602221</v>
      </c>
      <c r="E137" s="377">
        <v>3.2156604222069194</v>
      </c>
      <c r="F137" s="377">
        <v>3.1773534622131239</v>
      </c>
      <c r="G137" s="377">
        <v>2.9925267771957293</v>
      </c>
      <c r="H137" s="377">
        <v>2.9953978987575276</v>
      </c>
      <c r="I137" s="377">
        <v>3.008780645638939</v>
      </c>
      <c r="J137" s="377">
        <v>3.0035530345258876</v>
      </c>
      <c r="K137" s="461"/>
      <c r="L137" s="462"/>
      <c r="M137" s="18"/>
      <c r="N137" s="18"/>
      <c r="O137" s="18"/>
    </row>
    <row r="138" spans="2:15">
      <c r="B138" s="373" t="s">
        <v>108</v>
      </c>
      <c r="C138" s="379">
        <v>2.1240897362733717</v>
      </c>
      <c r="D138" s="377">
        <v>2.0350723340362249</v>
      </c>
      <c r="E138" s="377">
        <v>1.9686998072928457</v>
      </c>
      <c r="F138" s="377">
        <v>2.0858456765056492</v>
      </c>
      <c r="G138" s="377">
        <v>2.1150393198028121</v>
      </c>
      <c r="H138" s="377">
        <v>2.0960407823683633</v>
      </c>
      <c r="I138" s="377">
        <v>1.9709648894580449</v>
      </c>
      <c r="J138" s="377">
        <v>1.9558237270696361</v>
      </c>
      <c r="K138" s="461"/>
      <c r="L138" s="462"/>
      <c r="M138" s="18"/>
      <c r="N138" s="18"/>
      <c r="O138" s="18"/>
    </row>
    <row r="139" spans="2:15">
      <c r="B139" s="373" t="s">
        <v>109</v>
      </c>
      <c r="C139" s="379">
        <v>4.3724011747736116</v>
      </c>
      <c r="D139" s="377">
        <v>4.1057641662653896</v>
      </c>
      <c r="E139" s="377">
        <v>4.0545669929819539</v>
      </c>
      <c r="F139" s="377">
        <v>4.1740927460581894</v>
      </c>
      <c r="G139" s="377">
        <v>4.2397101975440528</v>
      </c>
      <c r="H139" s="377">
        <v>4.2461477210751069</v>
      </c>
      <c r="I139" s="377">
        <v>4.1078523076276792</v>
      </c>
      <c r="J139" s="377">
        <v>4.0575944965475035</v>
      </c>
      <c r="K139" s="461"/>
      <c r="L139" s="462"/>
      <c r="M139" s="18"/>
      <c r="N139" s="18"/>
      <c r="O139" s="18"/>
    </row>
    <row r="140" spans="2:15">
      <c r="B140" s="373" t="s">
        <v>110</v>
      </c>
      <c r="C140" s="379">
        <v>1.3982776671905828</v>
      </c>
      <c r="D140" s="377">
        <v>1.3864649866746799</v>
      </c>
      <c r="E140" s="377">
        <v>1.3673040530931269</v>
      </c>
      <c r="F140" s="377">
        <v>1.3493453776780693</v>
      </c>
      <c r="G140" s="377">
        <v>1.3347777856873293</v>
      </c>
      <c r="H140" s="377">
        <v>1.3354887108693174</v>
      </c>
      <c r="I140" s="377">
        <v>1.3597799661606067</v>
      </c>
      <c r="J140" s="377">
        <v>1.3515240072037848</v>
      </c>
      <c r="K140" s="461"/>
      <c r="L140" s="462"/>
      <c r="M140" s="18"/>
      <c r="N140" s="18"/>
      <c r="O140" s="18"/>
    </row>
    <row r="141" spans="2:15">
      <c r="B141" s="373" t="s">
        <v>111</v>
      </c>
      <c r="C141" s="379">
        <v>-1.1295718210052885</v>
      </c>
      <c r="D141" s="377">
        <v>-1.1444007312827333</v>
      </c>
      <c r="E141" s="377">
        <v>-1.1763817360750841</v>
      </c>
      <c r="F141" s="377">
        <v>-1.5927557463957547</v>
      </c>
      <c r="G141" s="377">
        <v>-1.8565667598967899</v>
      </c>
      <c r="H141" s="377">
        <v>-1.2720416735170972</v>
      </c>
      <c r="I141" s="377">
        <v>-1.1039739947823479</v>
      </c>
      <c r="J141" s="377">
        <v>-1.018311326547777</v>
      </c>
      <c r="K141" s="461"/>
      <c r="L141" s="462"/>
      <c r="M141" s="18"/>
      <c r="N141" s="18"/>
      <c r="O141" s="18"/>
    </row>
    <row r="142" spans="2:15">
      <c r="B142" s="373" t="s">
        <v>112</v>
      </c>
      <c r="C142" s="379">
        <v>-0.43181154987245485</v>
      </c>
      <c r="D142" s="377">
        <v>-0.39947195996305995</v>
      </c>
      <c r="E142" s="377">
        <v>-0.34734317043598018</v>
      </c>
      <c r="F142" s="377">
        <v>-0.3193206524905472</v>
      </c>
      <c r="G142" s="377">
        <v>-0.31265626882301373</v>
      </c>
      <c r="H142" s="377">
        <v>-0.30799379948941219</v>
      </c>
      <c r="I142" s="377">
        <v>-0.32570922921081308</v>
      </c>
      <c r="J142" s="377">
        <v>-0.31552026220892354</v>
      </c>
      <c r="K142" s="461"/>
      <c r="L142" s="462"/>
      <c r="M142" s="18"/>
      <c r="N142" s="18"/>
      <c r="O142" s="18"/>
    </row>
    <row r="143" spans="2:15">
      <c r="B143" s="373" t="s">
        <v>113</v>
      </c>
      <c r="C143" s="379">
        <v>15.168246288518162</v>
      </c>
      <c r="D143" s="377">
        <v>16.275110005972994</v>
      </c>
      <c r="E143" s="377">
        <v>15.614702904478012</v>
      </c>
      <c r="F143" s="377">
        <v>14.911674359737152</v>
      </c>
      <c r="G143" s="377">
        <v>13.033415757853545</v>
      </c>
      <c r="H143" s="377">
        <v>12.556067765830047</v>
      </c>
      <c r="I143" s="377">
        <v>11.285100906339711</v>
      </c>
      <c r="J143" s="377">
        <v>9.8268179419485548</v>
      </c>
      <c r="K143" s="461"/>
      <c r="L143" s="462"/>
      <c r="M143" s="18"/>
      <c r="N143" s="18"/>
      <c r="O143" s="18"/>
    </row>
    <row r="144" spans="2:15">
      <c r="B144" s="373" t="s">
        <v>2</v>
      </c>
      <c r="C144" s="379">
        <v>0.93219394583370063</v>
      </c>
      <c r="D144" s="377">
        <v>0.89969793099769957</v>
      </c>
      <c r="E144" s="377">
        <v>0.87783267686821997</v>
      </c>
      <c r="F144" s="377">
        <v>0.87232109317784756</v>
      </c>
      <c r="G144" s="377">
        <v>0.89875958568159287</v>
      </c>
      <c r="H144" s="377">
        <v>0.82801710222961222</v>
      </c>
      <c r="I144" s="377">
        <v>0.88417658562860901</v>
      </c>
      <c r="J144" s="377">
        <v>0.89982415652833247</v>
      </c>
      <c r="K144" s="461"/>
      <c r="L144" s="462"/>
      <c r="M144" s="18"/>
      <c r="N144" s="18"/>
      <c r="O144" s="18"/>
    </row>
    <row r="145" spans="1:15">
      <c r="B145" s="373" t="s">
        <v>114</v>
      </c>
      <c r="C145" s="379">
        <v>10.952751093909903</v>
      </c>
      <c r="D145" s="377">
        <v>1.3412683602121493</v>
      </c>
      <c r="E145" s="377">
        <v>22.190179414419269</v>
      </c>
      <c r="F145" s="377">
        <v>7.0488483253947072</v>
      </c>
      <c r="G145" s="377">
        <v>6.9020695692988534</v>
      </c>
      <c r="H145" s="377">
        <v>6.9425238085580094</v>
      </c>
      <c r="I145" s="377">
        <v>7.0785069781779111</v>
      </c>
      <c r="J145" s="377">
        <v>5.2688524500291916</v>
      </c>
      <c r="K145" s="461"/>
      <c r="L145" s="462"/>
      <c r="M145" s="18"/>
      <c r="N145" s="18"/>
      <c r="O145" s="18"/>
    </row>
    <row r="146" spans="1:15">
      <c r="B146" s="374" t="s">
        <v>72</v>
      </c>
      <c r="C146" s="380">
        <v>4.7850556060781999</v>
      </c>
      <c r="D146" s="381">
        <v>4.9736597194598335</v>
      </c>
      <c r="E146" s="381">
        <v>5.6988662496343032</v>
      </c>
      <c r="F146" s="381">
        <v>3.7921077312788807</v>
      </c>
      <c r="G146" s="381">
        <v>2.8512563802087829</v>
      </c>
      <c r="H146" s="381">
        <v>2.8799765245720623</v>
      </c>
      <c r="I146" s="381">
        <v>2.9074703511454074</v>
      </c>
      <c r="J146" s="381">
        <v>2.8191074376225309</v>
      </c>
      <c r="K146" s="463"/>
      <c r="L146" s="464"/>
      <c r="M146" s="18"/>
      <c r="N146" s="18"/>
      <c r="O146" s="18"/>
    </row>
    <row r="147" spans="1:15">
      <c r="B147" s="18"/>
      <c r="C147" s="18"/>
      <c r="D147" s="18"/>
      <c r="E147" s="18"/>
      <c r="F147" s="18"/>
      <c r="G147" s="18"/>
      <c r="H147" s="18"/>
      <c r="I147" s="18"/>
      <c r="J147" s="18"/>
      <c r="K147" s="18"/>
      <c r="L147" s="18"/>
      <c r="M147" s="18"/>
      <c r="N147" s="18"/>
      <c r="O147" s="18"/>
    </row>
    <row r="148" spans="1:15">
      <c r="B148" s="322"/>
      <c r="C148" s="298"/>
      <c r="D148" s="298"/>
      <c r="E148" s="298"/>
      <c r="F148" s="298"/>
      <c r="G148" s="298"/>
      <c r="H148" s="298"/>
      <c r="I148" s="298"/>
      <c r="J148" s="298"/>
      <c r="K148" s="18"/>
      <c r="L148" s="18"/>
      <c r="M148" s="18"/>
    </row>
    <row r="149" spans="1:15">
      <c r="B149" s="868" t="str">
        <f>LEFT('RFPR cover'!C6,2)</f>
        <v>ET</v>
      </c>
      <c r="C149" s="869"/>
      <c r="D149" s="869"/>
      <c r="E149" s="869"/>
      <c r="F149" s="869"/>
      <c r="G149" s="869"/>
      <c r="H149" s="869"/>
      <c r="I149" s="869"/>
      <c r="J149" s="869"/>
      <c r="K149" s="869"/>
      <c r="L149" s="870"/>
    </row>
    <row r="150" spans="1:15" ht="14.25" customHeight="1">
      <c r="A150" s="163"/>
      <c r="B150" s="370" t="s">
        <v>117</v>
      </c>
      <c r="C150" s="371"/>
      <c r="D150" s="371"/>
      <c r="E150" s="371"/>
      <c r="F150" s="369"/>
      <c r="G150" s="369"/>
      <c r="H150" s="369"/>
      <c r="I150" s="369"/>
      <c r="J150" s="369"/>
      <c r="K150" s="369"/>
      <c r="L150" s="369"/>
      <c r="M150" s="369"/>
      <c r="N150" s="369"/>
    </row>
    <row r="151" spans="1:15" s="18" customFormat="1" ht="14.25" customHeight="1">
      <c r="A151" s="637"/>
      <c r="B151" s="638"/>
      <c r="C151" s="639"/>
      <c r="D151" s="639"/>
      <c r="E151" s="639"/>
      <c r="F151" s="640"/>
      <c r="G151" s="640"/>
      <c r="H151" s="640"/>
      <c r="I151" s="640"/>
      <c r="J151" s="640"/>
      <c r="K151" s="640"/>
      <c r="L151" s="640"/>
      <c r="M151" s="640"/>
      <c r="N151" s="640"/>
    </row>
    <row r="152" spans="1:15">
      <c r="A152" s="161"/>
      <c r="B152" s="931" t="s">
        <v>118</v>
      </c>
      <c r="C152" s="164"/>
      <c r="D152" s="164"/>
      <c r="E152" s="871" t="b">
        <f>OR((LEFT('RFPR cover'!$C$6,2)=Data!F152),'RFPR cover'!$C$5=Data!F152)</f>
        <v>0</v>
      </c>
      <c r="F152" s="297" t="str">
        <f>B162</f>
        <v>ED</v>
      </c>
      <c r="G152" s="866"/>
    </row>
    <row r="153" spans="1:15" ht="25.5">
      <c r="A153" s="161"/>
      <c r="B153" s="653" t="str">
        <f>CHOOSE(MATCH(TRUE,$E$152:$E$159,0),B163,B173,B183,E183,B193,E193,B203,E203)&amp;""</f>
        <v>Electricity Market Reform incentive revenue</v>
      </c>
      <c r="C153" s="164"/>
      <c r="D153" s="164"/>
      <c r="E153" s="641" t="b">
        <f>OR((LEFT('RFPR cover'!$C$6,2)=Data!F153),'RFPR cover'!$C$5=Data!F153)</f>
        <v>0</v>
      </c>
      <c r="F153" s="298" t="str">
        <f>B172</f>
        <v>GD</v>
      </c>
      <c r="G153" s="160"/>
    </row>
    <row r="154" spans="1:15">
      <c r="A154" s="161"/>
      <c r="B154" s="654" t="str">
        <f t="shared" ref="B154:B160" si="23">CHOOSE(MATCH(TRUE,$E$152:$E$159,0),B164,B174,B184,E184,B194,E194,B204,E204)&amp;""</f>
        <v>Balancing Services Incentive Scheme</v>
      </c>
      <c r="C154" s="164"/>
      <c r="D154" s="164"/>
      <c r="E154" s="641" t="b">
        <f>OR((LEFT('RFPR cover'!$C$6,2)=Data!F154),'RFPR cover'!$C$5=Data!F154)</f>
        <v>0</v>
      </c>
      <c r="F154" s="652" t="str">
        <f>B182</f>
        <v>NGGT (TO)</v>
      </c>
      <c r="G154" s="160"/>
    </row>
    <row r="155" spans="1:15">
      <c r="A155" s="161"/>
      <c r="B155" s="654" t="str">
        <f t="shared" si="23"/>
        <v>Renewable wind forecasting incentive</v>
      </c>
      <c r="C155" s="164"/>
      <c r="D155" s="164"/>
      <c r="E155" s="641" t="b">
        <f>OR((LEFT('RFPR cover'!$C$6,2)=Data!F155),'RFPR cover'!$C$5=Data!F155)</f>
        <v>0</v>
      </c>
      <c r="F155" s="642" t="str">
        <f>E182</f>
        <v>NGGT (SO)</v>
      </c>
      <c r="G155" s="160"/>
    </row>
    <row r="156" spans="1:15">
      <c r="A156" s="161"/>
      <c r="B156" s="654" t="str">
        <f t="shared" si="23"/>
        <v/>
      </c>
      <c r="C156" s="164"/>
      <c r="D156" s="164"/>
      <c r="E156" s="641" t="b">
        <f>OR((LEFT('RFPR cover'!$C$6,2)=Data!F156),'RFPR cover'!$C$5=Data!F156)</f>
        <v>0</v>
      </c>
      <c r="F156" s="642" t="str">
        <f>B192</f>
        <v>NGET (TO)</v>
      </c>
      <c r="G156" s="160"/>
    </row>
    <row r="157" spans="1:15">
      <c r="A157" s="161"/>
      <c r="B157" s="655" t="str">
        <f t="shared" si="23"/>
        <v/>
      </c>
      <c r="C157" s="164"/>
      <c r="D157" s="164"/>
      <c r="E157" s="641" t="b">
        <f>OR((LEFT('RFPR cover'!$C$6,2)=Data!F157),'RFPR cover'!$C$5=Data!F157)</f>
        <v>1</v>
      </c>
      <c r="F157" s="642" t="str">
        <f>E192</f>
        <v>NGET (SO)</v>
      </c>
      <c r="G157" s="160"/>
    </row>
    <row r="158" spans="1:15">
      <c r="A158" s="161"/>
      <c r="B158" s="655" t="str">
        <f t="shared" si="23"/>
        <v/>
      </c>
      <c r="C158" s="164"/>
      <c r="D158" s="164"/>
      <c r="E158" s="641" t="b">
        <f>OR((LEFT('RFPR cover'!$C$6,2)=Data!F158),'RFPR cover'!$C$5=Data!F158)</f>
        <v>0</v>
      </c>
      <c r="F158" s="642" t="str">
        <f>B202</f>
        <v>SPT</v>
      </c>
      <c r="G158" s="160"/>
    </row>
    <row r="159" spans="1:15">
      <c r="A159" s="161"/>
      <c r="B159" s="655" t="str">
        <f t="shared" si="23"/>
        <v/>
      </c>
      <c r="C159" s="164"/>
      <c r="D159" s="164"/>
      <c r="E159" s="643" t="b">
        <f>OR((LEFT('RFPR cover'!$C$6,2)=Data!F159),'RFPR cover'!$C$5=Data!F159)</f>
        <v>0</v>
      </c>
      <c r="F159" s="644" t="str">
        <f>E202</f>
        <v>SHET</v>
      </c>
      <c r="G159" s="248"/>
    </row>
    <row r="160" spans="1:15">
      <c r="A160" s="161"/>
      <c r="B160" s="164" t="str">
        <f t="shared" si="23"/>
        <v/>
      </c>
      <c r="C160" s="164"/>
      <c r="D160" s="164"/>
      <c r="E160" s="42"/>
      <c r="F160" s="642"/>
      <c r="G160" s="28"/>
    </row>
    <row r="161" spans="1:7">
      <c r="A161" s="161"/>
      <c r="B161" s="164"/>
      <c r="C161" s="164"/>
      <c r="D161" s="164"/>
      <c r="E161" s="42"/>
      <c r="F161" s="642"/>
      <c r="G161" s="28"/>
    </row>
    <row r="162" spans="1:7" ht="12" customHeight="1">
      <c r="A162" s="161"/>
      <c r="B162" s="972" t="s">
        <v>56</v>
      </c>
      <c r="C162" s="968"/>
      <c r="D162" s="164"/>
      <c r="E162" s="164"/>
    </row>
    <row r="163" spans="1:7">
      <c r="A163" s="161"/>
      <c r="B163" s="973" t="s">
        <v>119</v>
      </c>
      <c r="C163" s="974"/>
      <c r="D163" s="164"/>
      <c r="E163" s="164"/>
    </row>
    <row r="164" spans="1:7">
      <c r="A164" s="161"/>
      <c r="B164" s="973" t="s">
        <v>120</v>
      </c>
      <c r="C164" s="974"/>
      <c r="D164" s="164"/>
      <c r="E164" s="164"/>
    </row>
    <row r="165" spans="1:7">
      <c r="A165" s="161"/>
      <c r="B165" s="975" t="s">
        <v>121</v>
      </c>
      <c r="C165" s="976"/>
      <c r="D165" s="164"/>
      <c r="E165" s="164"/>
    </row>
    <row r="166" spans="1:7">
      <c r="A166" s="161"/>
      <c r="B166" s="975" t="s">
        <v>122</v>
      </c>
      <c r="C166" s="976"/>
      <c r="D166" s="164"/>
      <c r="E166" s="164"/>
    </row>
    <row r="167" spans="1:7">
      <c r="A167" s="161"/>
      <c r="B167" s="975" t="s">
        <v>123</v>
      </c>
      <c r="C167" s="976"/>
      <c r="D167" s="164"/>
      <c r="E167" s="164"/>
    </row>
    <row r="168" spans="1:7">
      <c r="A168" s="161"/>
      <c r="B168" s="975"/>
      <c r="C168" s="976"/>
      <c r="D168" s="164"/>
      <c r="E168" s="164"/>
    </row>
    <row r="169" spans="1:7">
      <c r="A169" s="161"/>
      <c r="B169" s="975"/>
      <c r="C169" s="976"/>
      <c r="D169" s="164"/>
      <c r="E169" s="164"/>
    </row>
    <row r="170" spans="1:7">
      <c r="A170" s="161"/>
      <c r="B170" s="164"/>
      <c r="C170" s="164"/>
      <c r="D170" s="164"/>
      <c r="E170" s="164"/>
    </row>
    <row r="171" spans="1:7">
      <c r="A171" s="161"/>
      <c r="B171" s="164"/>
      <c r="C171" s="164"/>
      <c r="D171" s="164"/>
      <c r="E171" s="164"/>
    </row>
    <row r="172" spans="1:7">
      <c r="A172" s="161"/>
      <c r="B172" s="972" t="s">
        <v>62</v>
      </c>
      <c r="C172" s="968"/>
      <c r="D172" s="164"/>
      <c r="E172" s="164"/>
    </row>
    <row r="173" spans="1:7" ht="12.75" customHeight="1">
      <c r="A173" s="161"/>
      <c r="B173" s="969" t="s">
        <v>124</v>
      </c>
      <c r="C173" s="971"/>
      <c r="D173" s="164"/>
      <c r="E173" s="164"/>
    </row>
    <row r="174" spans="1:7" ht="12.75" customHeight="1">
      <c r="A174" s="161"/>
      <c r="B174" s="963" t="s">
        <v>125</v>
      </c>
      <c r="C174" s="965"/>
      <c r="D174" s="164"/>
      <c r="E174" s="164"/>
    </row>
    <row r="175" spans="1:7" ht="12.75" customHeight="1">
      <c r="A175" s="161"/>
      <c r="B175" s="963" t="s">
        <v>126</v>
      </c>
      <c r="C175" s="965"/>
      <c r="D175" s="164"/>
      <c r="E175" s="164"/>
    </row>
    <row r="176" spans="1:7" ht="12.75" customHeight="1">
      <c r="A176" s="161"/>
      <c r="B176" s="963" t="s">
        <v>127</v>
      </c>
      <c r="C176" s="965"/>
      <c r="D176" s="164"/>
      <c r="E176" s="164"/>
    </row>
    <row r="177" spans="1:9" ht="12.75" customHeight="1">
      <c r="A177" s="161"/>
      <c r="B177" s="960" t="s">
        <v>128</v>
      </c>
      <c r="C177" s="962"/>
      <c r="D177" s="164"/>
      <c r="E177" s="164"/>
    </row>
    <row r="178" spans="1:9" ht="12.75" customHeight="1">
      <c r="A178" s="161"/>
      <c r="B178" s="960"/>
      <c r="C178" s="962"/>
      <c r="D178" s="164"/>
      <c r="E178" s="164"/>
    </row>
    <row r="179" spans="1:9" ht="12.75" customHeight="1">
      <c r="A179" s="161"/>
      <c r="B179" s="960"/>
      <c r="C179" s="962"/>
      <c r="D179" s="164"/>
      <c r="E179" s="164"/>
    </row>
    <row r="180" spans="1:9">
      <c r="A180" s="161"/>
      <c r="B180" s="164"/>
      <c r="C180" s="164"/>
      <c r="D180" s="164"/>
      <c r="E180" s="164"/>
    </row>
    <row r="181" spans="1:9">
      <c r="A181" s="161"/>
      <c r="B181" s="164"/>
      <c r="C181" s="164"/>
      <c r="D181" s="164"/>
      <c r="E181" s="164"/>
    </row>
    <row r="182" spans="1:9">
      <c r="A182" s="161"/>
      <c r="B182" s="966" t="str">
        <f>B95</f>
        <v>NGGT (TO)</v>
      </c>
      <c r="C182" s="998"/>
      <c r="D182" s="164"/>
      <c r="E182" s="966" t="str">
        <f>B96</f>
        <v>NGGT (SO)</v>
      </c>
      <c r="F182" s="967"/>
      <c r="G182" s="967"/>
      <c r="H182" s="967"/>
      <c r="I182" s="968"/>
    </row>
    <row r="183" spans="1:9" ht="12.4" customHeight="1">
      <c r="A183" s="161"/>
      <c r="B183" s="969" t="s">
        <v>129</v>
      </c>
      <c r="C183" s="971"/>
      <c r="D183" s="164"/>
      <c r="E183" s="963" t="s">
        <v>130</v>
      </c>
      <c r="F183" s="964" t="s">
        <v>130</v>
      </c>
      <c r="G183" s="964" t="s">
        <v>130</v>
      </c>
      <c r="H183" s="964" t="s">
        <v>130</v>
      </c>
      <c r="I183" s="965" t="s">
        <v>130</v>
      </c>
    </row>
    <row r="184" spans="1:9" ht="12.4" customHeight="1">
      <c r="A184" s="161"/>
      <c r="B184" s="963" t="s">
        <v>131</v>
      </c>
      <c r="C184" s="965"/>
      <c r="D184" s="164"/>
      <c r="E184" s="963" t="s">
        <v>132</v>
      </c>
      <c r="F184" s="964" t="s">
        <v>132</v>
      </c>
      <c r="G184" s="964" t="s">
        <v>132</v>
      </c>
      <c r="H184" s="964" t="s">
        <v>132</v>
      </c>
      <c r="I184" s="965" t="s">
        <v>132</v>
      </c>
    </row>
    <row r="185" spans="1:9" ht="12.4" customHeight="1">
      <c r="A185" s="161"/>
      <c r="B185" s="963"/>
      <c r="C185" s="965"/>
      <c r="D185" s="164"/>
      <c r="E185" s="963" t="s">
        <v>133</v>
      </c>
      <c r="F185" s="964" t="s">
        <v>133</v>
      </c>
      <c r="G185" s="964" t="s">
        <v>133</v>
      </c>
      <c r="H185" s="964" t="s">
        <v>133</v>
      </c>
      <c r="I185" s="965" t="s">
        <v>133</v>
      </c>
    </row>
    <row r="186" spans="1:9" ht="12.4" customHeight="1">
      <c r="A186" s="161"/>
      <c r="B186" s="963"/>
      <c r="C186" s="965"/>
      <c r="D186" s="164"/>
      <c r="E186" s="963" t="s">
        <v>134</v>
      </c>
      <c r="F186" s="964" t="s">
        <v>134</v>
      </c>
      <c r="G186" s="964" t="s">
        <v>134</v>
      </c>
      <c r="H186" s="964" t="s">
        <v>134</v>
      </c>
      <c r="I186" s="965" t="s">
        <v>134</v>
      </c>
    </row>
    <row r="187" spans="1:9" ht="12.4" customHeight="1">
      <c r="A187" s="161"/>
      <c r="B187" s="960"/>
      <c r="C187" s="962"/>
      <c r="D187" s="164"/>
      <c r="E187" s="963" t="s">
        <v>135</v>
      </c>
      <c r="F187" s="964" t="s">
        <v>135</v>
      </c>
      <c r="G187" s="964" t="s">
        <v>135</v>
      </c>
      <c r="H187" s="964" t="s">
        <v>135</v>
      </c>
      <c r="I187" s="965" t="s">
        <v>135</v>
      </c>
    </row>
    <row r="188" spans="1:9" ht="12.4" customHeight="1">
      <c r="A188" s="161"/>
      <c r="B188" s="960"/>
      <c r="C188" s="962"/>
      <c r="D188" s="164"/>
      <c r="E188" s="963" t="s">
        <v>136</v>
      </c>
      <c r="F188" s="964" t="s">
        <v>136</v>
      </c>
      <c r="G188" s="964" t="s">
        <v>136</v>
      </c>
      <c r="H188" s="964" t="s">
        <v>136</v>
      </c>
      <c r="I188" s="965" t="s">
        <v>136</v>
      </c>
    </row>
    <row r="189" spans="1:9" ht="12.4" customHeight="1">
      <c r="A189" s="161"/>
      <c r="B189" s="960"/>
      <c r="C189" s="962"/>
      <c r="D189" s="164"/>
      <c r="E189" s="963" t="s">
        <v>137</v>
      </c>
      <c r="F189" s="964" t="s">
        <v>137</v>
      </c>
      <c r="G189" s="964" t="s">
        <v>137</v>
      </c>
      <c r="H189" s="964" t="s">
        <v>137</v>
      </c>
      <c r="I189" s="965" t="s">
        <v>137</v>
      </c>
    </row>
    <row r="190" spans="1:9">
      <c r="A190" s="161"/>
      <c r="B190" s="164"/>
      <c r="C190" s="164"/>
      <c r="D190" s="164"/>
      <c r="E190" s="164"/>
    </row>
    <row r="191" spans="1:9">
      <c r="A191" s="161"/>
      <c r="B191" s="164"/>
      <c r="C191" s="164"/>
      <c r="D191" s="164"/>
      <c r="E191" s="164"/>
    </row>
    <row r="192" spans="1:9">
      <c r="A192" s="161"/>
      <c r="B192" s="966" t="str">
        <f>B97</f>
        <v>NGET (TO)</v>
      </c>
      <c r="C192" s="998"/>
      <c r="D192" s="164"/>
      <c r="E192" s="966" t="str">
        <f>B98</f>
        <v>NGET (SO)</v>
      </c>
      <c r="F192" s="967"/>
      <c r="G192" s="967"/>
      <c r="H192" s="967"/>
      <c r="I192" s="968"/>
    </row>
    <row r="193" spans="1:9" ht="12.75" customHeight="1">
      <c r="A193" s="161"/>
      <c r="B193" s="969" t="s">
        <v>138</v>
      </c>
      <c r="C193" s="971"/>
      <c r="D193" s="164"/>
      <c r="E193" s="963" t="s">
        <v>139</v>
      </c>
      <c r="F193" s="964" t="s">
        <v>139</v>
      </c>
      <c r="G193" s="964" t="s">
        <v>139</v>
      </c>
      <c r="H193" s="964" t="s">
        <v>139</v>
      </c>
      <c r="I193" s="965" t="s">
        <v>139</v>
      </c>
    </row>
    <row r="194" spans="1:9" ht="12.75" customHeight="1">
      <c r="A194" s="161"/>
      <c r="B194" s="963" t="s">
        <v>129</v>
      </c>
      <c r="C194" s="965"/>
      <c r="D194" s="164"/>
      <c r="E194" s="963" t="s">
        <v>140</v>
      </c>
      <c r="F194" s="964" t="s">
        <v>141</v>
      </c>
      <c r="G194" s="964" t="s">
        <v>141</v>
      </c>
      <c r="H194" s="964" t="s">
        <v>141</v>
      </c>
      <c r="I194" s="965" t="s">
        <v>141</v>
      </c>
    </row>
    <row r="195" spans="1:9" ht="12.75" customHeight="1">
      <c r="A195" s="161"/>
      <c r="B195" s="963" t="s">
        <v>142</v>
      </c>
      <c r="C195" s="965"/>
      <c r="D195" s="164"/>
      <c r="E195" s="963" t="s">
        <v>143</v>
      </c>
      <c r="F195" s="964" t="s">
        <v>143</v>
      </c>
      <c r="G195" s="964" t="s">
        <v>143</v>
      </c>
      <c r="H195" s="964" t="s">
        <v>143</v>
      </c>
      <c r="I195" s="965" t="s">
        <v>143</v>
      </c>
    </row>
    <row r="196" spans="1:9" ht="12.75" customHeight="1">
      <c r="A196" s="161"/>
      <c r="B196" s="963" t="s">
        <v>144</v>
      </c>
      <c r="C196" s="965"/>
      <c r="D196" s="164"/>
      <c r="E196" s="963"/>
      <c r="F196" s="964"/>
      <c r="G196" s="964"/>
      <c r="H196" s="964"/>
      <c r="I196" s="965"/>
    </row>
    <row r="197" spans="1:9" ht="12.75" customHeight="1">
      <c r="A197" s="161"/>
      <c r="B197" s="960"/>
      <c r="C197" s="962"/>
      <c r="D197" s="164"/>
      <c r="E197" s="960"/>
      <c r="F197" s="961"/>
      <c r="G197" s="961"/>
      <c r="H197" s="961"/>
      <c r="I197" s="962"/>
    </row>
    <row r="198" spans="1:9" ht="12.75" customHeight="1">
      <c r="A198" s="161"/>
      <c r="B198" s="960"/>
      <c r="C198" s="962"/>
      <c r="D198" s="164"/>
      <c r="E198" s="960"/>
      <c r="F198" s="961"/>
      <c r="G198" s="961"/>
      <c r="H198" s="961"/>
      <c r="I198" s="962"/>
    </row>
    <row r="199" spans="1:9" ht="12.75" customHeight="1">
      <c r="A199" s="161"/>
      <c r="B199" s="960"/>
      <c r="C199" s="962"/>
      <c r="D199" s="164"/>
      <c r="E199" s="960"/>
      <c r="F199" s="961"/>
      <c r="G199" s="961"/>
      <c r="H199" s="961"/>
      <c r="I199" s="962"/>
    </row>
    <row r="200" spans="1:9" s="18" customFormat="1" ht="12.75" customHeight="1">
      <c r="A200" s="634"/>
      <c r="B200" s="634"/>
      <c r="C200" s="634"/>
      <c r="D200" s="635"/>
      <c r="E200" s="636"/>
      <c r="F200" s="636"/>
      <c r="G200" s="636"/>
      <c r="H200" s="636"/>
      <c r="I200" s="636"/>
    </row>
    <row r="201" spans="1:9" s="18" customFormat="1" ht="12.75" customHeight="1">
      <c r="A201" s="634"/>
      <c r="B201" s="634"/>
      <c r="C201" s="634"/>
      <c r="D201" s="635"/>
      <c r="E201" s="636"/>
      <c r="F201" s="636"/>
      <c r="G201" s="636"/>
      <c r="H201" s="636"/>
      <c r="I201" s="636"/>
    </row>
    <row r="202" spans="1:9">
      <c r="A202" s="161"/>
      <c r="B202" s="966" t="str">
        <f>B145</f>
        <v>SPT</v>
      </c>
      <c r="C202" s="998"/>
      <c r="D202" s="164"/>
      <c r="E202" s="966" t="str">
        <f>B100</f>
        <v>SHET</v>
      </c>
      <c r="F202" s="967"/>
      <c r="G202" s="967"/>
      <c r="H202" s="967"/>
      <c r="I202" s="968"/>
    </row>
    <row r="203" spans="1:9" ht="12.75" customHeight="1">
      <c r="A203" s="161"/>
      <c r="B203" s="969" t="s">
        <v>138</v>
      </c>
      <c r="C203" s="971"/>
      <c r="D203" s="164"/>
      <c r="E203" s="969" t="s">
        <v>138</v>
      </c>
      <c r="F203" s="970"/>
      <c r="G203" s="970"/>
      <c r="H203" s="970"/>
      <c r="I203" s="971"/>
    </row>
    <row r="204" spans="1:9" ht="12.75" customHeight="1">
      <c r="A204" s="161"/>
      <c r="B204" s="963" t="s">
        <v>129</v>
      </c>
      <c r="C204" s="965"/>
      <c r="D204" s="164"/>
      <c r="E204" s="963" t="s">
        <v>129</v>
      </c>
      <c r="F204" s="964"/>
      <c r="G204" s="964"/>
      <c r="H204" s="964"/>
      <c r="I204" s="965"/>
    </row>
    <row r="205" spans="1:9" ht="12.75" customHeight="1">
      <c r="A205" s="161"/>
      <c r="B205" s="963" t="s">
        <v>142</v>
      </c>
      <c r="C205" s="965"/>
      <c r="D205" s="164"/>
      <c r="E205" s="963" t="s">
        <v>142</v>
      </c>
      <c r="F205" s="964"/>
      <c r="G205" s="964"/>
      <c r="H205" s="964"/>
      <c r="I205" s="965"/>
    </row>
    <row r="206" spans="1:9" ht="12.75" customHeight="1">
      <c r="A206" s="161"/>
      <c r="B206" s="963" t="s">
        <v>144</v>
      </c>
      <c r="C206" s="965"/>
      <c r="D206" s="164"/>
      <c r="E206" s="963" t="s">
        <v>144</v>
      </c>
      <c r="F206" s="964"/>
      <c r="G206" s="964"/>
      <c r="H206" s="964"/>
      <c r="I206" s="965"/>
    </row>
    <row r="207" spans="1:9" ht="12.75" customHeight="1">
      <c r="A207" s="161"/>
      <c r="B207" s="960" t="s">
        <v>145</v>
      </c>
      <c r="C207" s="962"/>
      <c r="D207" s="164"/>
      <c r="E207" s="960" t="s">
        <v>145</v>
      </c>
      <c r="F207" s="961"/>
      <c r="G207" s="961"/>
      <c r="H207" s="961"/>
      <c r="I207" s="962"/>
    </row>
    <row r="208" spans="1:9" ht="12.75" customHeight="1">
      <c r="A208" s="161"/>
      <c r="B208" s="960"/>
      <c r="C208" s="962"/>
      <c r="D208" s="164"/>
      <c r="E208" s="960"/>
      <c r="F208" s="961"/>
      <c r="G208" s="961"/>
      <c r="H208" s="961"/>
      <c r="I208" s="962"/>
    </row>
    <row r="209" spans="1:14" ht="12.75" customHeight="1">
      <c r="A209" s="161"/>
      <c r="B209" s="960"/>
      <c r="C209" s="962"/>
      <c r="D209" s="164"/>
      <c r="E209" s="960"/>
      <c r="F209" s="961"/>
      <c r="G209" s="961"/>
      <c r="H209" s="961"/>
      <c r="I209" s="962"/>
    </row>
    <row r="210" spans="1:14">
      <c r="A210" s="161"/>
      <c r="D210" s="164"/>
      <c r="E210" s="164"/>
    </row>
    <row r="211" spans="1:14">
      <c r="A211" s="161"/>
      <c r="D211" s="164"/>
      <c r="E211" s="164"/>
    </row>
    <row r="212" spans="1:14" ht="12.75" customHeight="1">
      <c r="A212" s="161"/>
      <c r="B212" s="997" t="s">
        <v>146</v>
      </c>
      <c r="C212" s="997"/>
      <c r="D212" s="997"/>
      <c r="E212" s="237"/>
      <c r="F212" s="175"/>
      <c r="G212" s="175"/>
      <c r="H212" s="175"/>
      <c r="I212" s="175"/>
      <c r="J212" s="175"/>
      <c r="K212" s="175"/>
      <c r="L212" s="175"/>
      <c r="M212" s="175"/>
      <c r="N212" s="175"/>
    </row>
    <row r="213" spans="1:14">
      <c r="A213" s="161"/>
      <c r="B213" s="164"/>
      <c r="C213" s="164"/>
      <c r="D213" s="164"/>
      <c r="E213" s="164"/>
    </row>
    <row r="214" spans="1:14" ht="25.5">
      <c r="A214" s="161"/>
      <c r="B214" s="166" t="s">
        <v>147</v>
      </c>
      <c r="C214" s="165" t="s">
        <v>148</v>
      </c>
      <c r="D214" s="164"/>
      <c r="E214" s="164"/>
    </row>
    <row r="215" spans="1:14" ht="25.5">
      <c r="A215" s="161"/>
      <c r="B215" s="167" t="s">
        <v>149</v>
      </c>
      <c r="C215" s="242" t="s">
        <v>150</v>
      </c>
      <c r="D215" s="164"/>
      <c r="E215" s="164"/>
    </row>
    <row r="216" spans="1:14">
      <c r="B216" s="256"/>
      <c r="C216" s="28"/>
      <c r="D216" s="28"/>
      <c r="E216" s="28"/>
      <c r="F216" s="28"/>
      <c r="G216" s="28"/>
      <c r="H216" s="28"/>
      <c r="I216" s="28"/>
      <c r="J216" s="28"/>
    </row>
    <row r="217" spans="1:14">
      <c r="B217" s="162"/>
      <c r="I217" s="50"/>
    </row>
    <row r="218" spans="1:14">
      <c r="B218" s="932" t="s">
        <v>151</v>
      </c>
      <c r="I218" s="50"/>
    </row>
    <row r="219" spans="1:14">
      <c r="B219" s="647" t="s">
        <v>152</v>
      </c>
    </row>
    <row r="220" spans="1:14">
      <c r="B220" s="648" t="s">
        <v>153</v>
      </c>
    </row>
    <row r="221" spans="1:14">
      <c r="B221" s="651" t="s">
        <v>154</v>
      </c>
    </row>
    <row r="222" spans="1:14">
      <c r="B222" s="649"/>
    </row>
    <row r="223" spans="1:14">
      <c r="B223" s="171"/>
    </row>
    <row r="224" spans="1:14">
      <c r="B224" s="933" t="s">
        <v>155</v>
      </c>
    </row>
    <row r="225" spans="2:2">
      <c r="B225" s="650" t="s">
        <v>156</v>
      </c>
    </row>
    <row r="226" spans="2:2">
      <c r="B226" s="648" t="s">
        <v>157</v>
      </c>
    </row>
    <row r="227" spans="2:2">
      <c r="B227" s="648" t="s">
        <v>158</v>
      </c>
    </row>
    <row r="228" spans="2:2">
      <c r="B228" s="648" t="s">
        <v>159</v>
      </c>
    </row>
    <row r="229" spans="2:2">
      <c r="B229" s="648" t="s">
        <v>160</v>
      </c>
    </row>
    <row r="230" spans="2:2">
      <c r="B230" s="648" t="s">
        <v>161</v>
      </c>
    </row>
    <row r="231" spans="2:2">
      <c r="B231" s="648" t="s">
        <v>162</v>
      </c>
    </row>
    <row r="232" spans="2:2">
      <c r="B232" s="648"/>
    </row>
    <row r="233" spans="2:2">
      <c r="B233" s="649"/>
    </row>
    <row r="234" spans="2:2">
      <c r="B234" s="171"/>
    </row>
    <row r="235" spans="2:2">
      <c r="B235" s="933" t="s">
        <v>163</v>
      </c>
    </row>
    <row r="236" spans="2:2">
      <c r="B236" s="650" t="s">
        <v>164</v>
      </c>
    </row>
    <row r="237" spans="2:2">
      <c r="B237" s="648" t="s">
        <v>165</v>
      </c>
    </row>
    <row r="238" spans="2:2">
      <c r="B238" s="648" t="s">
        <v>166</v>
      </c>
    </row>
    <row r="239" spans="2:2">
      <c r="B239" s="648" t="s">
        <v>167</v>
      </c>
    </row>
    <row r="240" spans="2:2">
      <c r="B240" s="648" t="s">
        <v>168</v>
      </c>
    </row>
    <row r="241" spans="2:2">
      <c r="B241" s="649"/>
    </row>
    <row r="242" spans="2:2">
      <c r="B242" s="171"/>
    </row>
    <row r="243" spans="2:2">
      <c r="B243" s="933" t="s">
        <v>169</v>
      </c>
    </row>
    <row r="244" spans="2:2">
      <c r="B244" s="650" t="s">
        <v>170</v>
      </c>
    </row>
    <row r="245" spans="2:2">
      <c r="B245" s="648" t="s">
        <v>171</v>
      </c>
    </row>
    <row r="246" spans="2:2">
      <c r="B246" s="649"/>
    </row>
    <row r="247" spans="2:2">
      <c r="B247" s="171"/>
    </row>
    <row r="248" spans="2:2">
      <c r="B248" s="933" t="s">
        <v>172</v>
      </c>
    </row>
    <row r="249" spans="2:2">
      <c r="B249" s="650" t="s">
        <v>173</v>
      </c>
    </row>
    <row r="250" spans="2:2">
      <c r="B250" s="648" t="s">
        <v>174</v>
      </c>
    </row>
    <row r="251" spans="2:2">
      <c r="B251" s="649" t="s">
        <v>86</v>
      </c>
    </row>
    <row r="252" spans="2:2">
      <c r="B252" s="171"/>
    </row>
    <row r="253" spans="2:2">
      <c r="B253" s="933" t="s">
        <v>175</v>
      </c>
    </row>
    <row r="254" spans="2:2">
      <c r="B254" s="650" t="s">
        <v>176</v>
      </c>
    </row>
    <row r="255" spans="2:2">
      <c r="B255" s="648" t="s">
        <v>177</v>
      </c>
    </row>
    <row r="256" spans="2:2">
      <c r="B256" s="648"/>
    </row>
    <row r="257" spans="2:2">
      <c r="B257" s="649"/>
    </row>
    <row r="258" spans="2:2">
      <c r="B258" s="171"/>
    </row>
    <row r="259" spans="2:2">
      <c r="B259" s="933" t="s">
        <v>178</v>
      </c>
    </row>
    <row r="260" spans="2:2">
      <c r="B260" s="650" t="s">
        <v>179</v>
      </c>
    </row>
    <row r="261" spans="2:2">
      <c r="B261" s="648" t="s">
        <v>180</v>
      </c>
    </row>
    <row r="262" spans="2:2">
      <c r="B262" s="648"/>
    </row>
    <row r="263" spans="2:2">
      <c r="B263" s="649"/>
    </row>
    <row r="264" spans="2:2">
      <c r="B264" s="171"/>
    </row>
    <row r="265" spans="2:2">
      <c r="B265" s="933" t="s">
        <v>181</v>
      </c>
    </row>
    <row r="266" spans="2:2">
      <c r="B266" s="650" t="s">
        <v>152</v>
      </c>
    </row>
    <row r="267" spans="2:2">
      <c r="B267" s="648" t="s">
        <v>153</v>
      </c>
    </row>
    <row r="268" spans="2:2">
      <c r="B268" s="649"/>
    </row>
  </sheetData>
  <sheetProtection algorithmName="SHA-512" hashValue="pGze1vk7gyjCXuzQMBHd/jFLH7HVjUs6LEDQZ4DWVWBi4rFRWWUHJP+kPtgWk88iqTZqcU7LD6MR79SC/NX4iQ==" saltValue="OsJxWjckCd5HZ0XC8sR8/Q==" spinCount="100000" sheet="1" formatCells="0" formatColumns="0" formatRows="0" insertColumns="0" insertRows="0" insertHyperlinks="0" deleteColumns="0" deleteRows="0" sort="0" autoFilter="0" pivotTables="0"/>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86" priority="20">
      <formula>AND(#REF!="Actuals",#REF!="Forecast")</formula>
    </cfRule>
  </conditionalFormatting>
  <conditionalFormatting sqref="C47">
    <cfRule type="expression" dxfId="85" priority="18">
      <formula>AND(#REF!="Actuals",#REF!="Forecast")</formula>
    </cfRule>
  </conditionalFormatting>
  <conditionalFormatting sqref="C50:J50">
    <cfRule type="expression" dxfId="84" priority="17">
      <formula>AND(#REF!="Actuals",#REF!="Forecast")</formula>
    </cfRule>
  </conditionalFormatting>
  <conditionalFormatting sqref="B14:D30">
    <cfRule type="cellIs" dxfId="83" priority="14" operator="equal">
      <formula>"Forecast"</formula>
    </cfRule>
  </conditionalFormatting>
  <conditionalFormatting sqref="B23:C30 E24:F27">
    <cfRule type="expression" dxfId="82" priority="111">
      <formula>$D13="Forecast"</formula>
    </cfRule>
  </conditionalFormatting>
  <conditionalFormatting sqref="K71">
    <cfRule type="expression" dxfId="81" priority="5">
      <formula>AND(#REF!="Actuals",#REF!="Forecast")</formula>
    </cfRule>
  </conditionalFormatting>
  <conditionalFormatting sqref="K72:T72">
    <cfRule type="expression" dxfId="80" priority="4">
      <formula>AND(#REF!="Actuals",#REF!="Forecast")</formula>
    </cfRule>
  </conditionalFormatting>
  <conditionalFormatting sqref="C62:L62">
    <cfRule type="expression" dxfId="79" priority="3">
      <formula>AND(#REF!="Actuals",#REF!="Forecast")</formula>
    </cfRule>
  </conditionalFormatting>
  <conditionalFormatting sqref="C118:L118">
    <cfRule type="expression" dxfId="78" priority="1">
      <formula>AND(#REF!="Actuals",#REF!="Forecast")</formula>
    </cfRule>
  </conditionalFormatting>
  <hyperlinks>
    <hyperlink ref="K39" r:id="rId1" display="August 2018 Publication" xr:uid="{4C25CA74-8F18-426B-90FD-0427674682A2}"/>
    <hyperlink ref="K39:M39" r:id="rId2" display="May 2020 Publication" xr:uid="{2A24662E-5DBF-48FB-82FF-1CCBC1825F62}"/>
  </hyperlinks>
  <pageMargins left="0.7" right="0.7" top="0.75" bottom="0.75" header="0.3" footer="0.3"/>
  <pageSetup paperSize="9" orientation="portrait" r:id="rId3"/>
  <customProperties>
    <customPr name="EpmWorksheetKeyString_GUID" r:id="rId4"/>
  </customProperties>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33"/>
  <sheetViews>
    <sheetView showGridLines="0" zoomScale="80" zoomScaleNormal="80" workbookViewId="0">
      <pane ySplit="3" topLeftCell="A4" activePane="bottomLeft" state="frozen"/>
      <selection activeCell="B75" sqref="A1:XFD1048576"/>
      <selection pane="bottomLeft" activeCell="A30" activeCellId="1" sqref="A28:XFD28 A30:XFD30"/>
    </sheetView>
  </sheetViews>
  <sheetFormatPr defaultRowHeight="12.75"/>
  <cols>
    <col min="1" max="1" width="8.375" customWidth="1"/>
    <col min="2" max="2" width="23.75" customWidth="1"/>
    <col min="3" max="3" width="25.75" customWidth="1"/>
    <col min="4" max="4" width="9.75" customWidth="1"/>
  </cols>
  <sheetData>
    <row r="1" spans="1:14" s="18" customFormat="1" ht="20.25">
      <c r="A1" s="720" t="s">
        <v>182</v>
      </c>
      <c r="B1" s="720"/>
      <c r="C1" s="720"/>
      <c r="D1" s="720"/>
      <c r="E1" s="720"/>
      <c r="F1" s="720"/>
      <c r="G1" s="720"/>
      <c r="H1" s="720"/>
      <c r="I1" s="19" t="s">
        <v>183</v>
      </c>
      <c r="J1" s="20"/>
      <c r="K1" s="20"/>
      <c r="L1" s="20"/>
      <c r="M1" s="20"/>
    </row>
    <row r="2" spans="1:14" s="18" customFormat="1" ht="20.25">
      <c r="A2" s="720" t="str">
        <f>'RFPR cover'!C5</f>
        <v>NGET (SO)</v>
      </c>
      <c r="B2" s="720"/>
      <c r="C2" s="720"/>
      <c r="D2" s="720"/>
      <c r="E2" s="720"/>
      <c r="F2" s="720"/>
      <c r="G2" s="720"/>
      <c r="H2" s="720"/>
      <c r="I2" s="20"/>
      <c r="J2" s="20"/>
      <c r="K2" s="20"/>
      <c r="L2" s="20"/>
      <c r="M2" s="20"/>
      <c r="N2" s="298"/>
    </row>
    <row r="3" spans="1:14" s="18" customFormat="1" ht="20.25">
      <c r="A3" s="720">
        <f>'RFPR cover'!C7</f>
        <v>2020</v>
      </c>
      <c r="B3" s="720"/>
      <c r="C3" s="720"/>
      <c r="D3" s="720"/>
      <c r="E3" s="720"/>
      <c r="F3" s="720"/>
      <c r="G3" s="720"/>
      <c r="H3" s="720"/>
      <c r="I3" s="20"/>
      <c r="J3" s="20"/>
      <c r="K3" s="20"/>
      <c r="L3" s="20"/>
      <c r="M3" s="20"/>
      <c r="N3" s="298"/>
    </row>
    <row r="4" spans="1:14">
      <c r="A4" s="13"/>
      <c r="B4" s="13"/>
      <c r="C4" s="13"/>
      <c r="D4" s="13"/>
      <c r="E4" s="13"/>
      <c r="F4" s="13"/>
      <c r="G4" s="13"/>
      <c r="H4" s="13"/>
      <c r="I4" s="447"/>
      <c r="J4" s="447"/>
      <c r="K4" s="447"/>
      <c r="L4" s="447"/>
      <c r="M4" s="447"/>
      <c r="N4" s="28"/>
    </row>
    <row r="5" spans="1:14">
      <c r="A5" s="13"/>
      <c r="B5" s="13"/>
      <c r="C5" s="13"/>
      <c r="D5" s="13"/>
      <c r="E5" s="13"/>
      <c r="F5" s="13"/>
      <c r="G5" s="13"/>
      <c r="H5" s="13"/>
      <c r="I5" s="447"/>
      <c r="J5" s="447"/>
      <c r="K5" s="447"/>
      <c r="L5" s="447"/>
      <c r="M5" s="447"/>
      <c r="N5" s="28"/>
    </row>
    <row r="6" spans="1:14">
      <c r="A6" s="13"/>
      <c r="B6" s="14" t="s">
        <v>184</v>
      </c>
      <c r="C6" s="13"/>
      <c r="D6" s="13"/>
      <c r="E6" s="13"/>
      <c r="F6" s="13"/>
      <c r="G6" s="13"/>
      <c r="H6" s="13"/>
      <c r="I6" s="447"/>
      <c r="J6" s="447"/>
      <c r="K6" s="447"/>
      <c r="L6" s="447"/>
      <c r="M6" s="447"/>
      <c r="N6" s="28"/>
    </row>
    <row r="7" spans="1:14">
      <c r="A7" s="13"/>
      <c r="B7" s="13"/>
      <c r="C7" s="13"/>
      <c r="D7" s="13"/>
      <c r="E7" s="13"/>
      <c r="F7" s="13"/>
      <c r="G7" s="13"/>
      <c r="H7" s="13"/>
      <c r="I7" s="447"/>
      <c r="J7" s="447"/>
      <c r="K7" s="447"/>
      <c r="L7" s="447"/>
      <c r="M7" s="447"/>
      <c r="N7" s="28"/>
    </row>
    <row r="8" spans="1:14">
      <c r="A8" s="13"/>
      <c r="B8" s="934" t="s">
        <v>185</v>
      </c>
      <c r="C8" s="934" t="s">
        <v>186</v>
      </c>
      <c r="D8" s="1001" t="s">
        <v>187</v>
      </c>
      <c r="E8" s="1002"/>
      <c r="F8" s="1002"/>
      <c r="G8" s="1002"/>
      <c r="H8" s="1002"/>
      <c r="I8" s="447"/>
      <c r="J8" s="447"/>
      <c r="K8" s="447"/>
      <c r="L8" s="447"/>
      <c r="M8" s="447"/>
      <c r="N8" s="28"/>
    </row>
    <row r="9" spans="1:14">
      <c r="A9" s="13"/>
      <c r="B9" s="935" t="s">
        <v>188</v>
      </c>
      <c r="C9" s="936">
        <v>44071</v>
      </c>
      <c r="D9" s="999"/>
      <c r="E9" s="1000"/>
      <c r="F9" s="1000"/>
      <c r="G9" s="1000"/>
      <c r="H9" s="1000"/>
      <c r="I9" s="13"/>
      <c r="J9" s="13"/>
      <c r="K9" s="13"/>
      <c r="L9" s="13"/>
      <c r="M9" s="13"/>
    </row>
    <row r="10" spans="1:14">
      <c r="A10" s="13"/>
      <c r="B10" s="935" t="s">
        <v>189</v>
      </c>
      <c r="C10" s="936"/>
      <c r="D10" s="999"/>
      <c r="E10" s="1000"/>
      <c r="F10" s="1000"/>
      <c r="G10" s="1000"/>
      <c r="H10" s="1000"/>
      <c r="I10" s="13"/>
      <c r="J10" s="13"/>
      <c r="K10" s="13"/>
      <c r="L10" s="13"/>
      <c r="M10" s="13"/>
    </row>
    <row r="11" spans="1:14">
      <c r="A11" s="13"/>
      <c r="B11" s="935" t="s">
        <v>190</v>
      </c>
      <c r="C11" s="936"/>
      <c r="D11" s="999"/>
      <c r="E11" s="1000"/>
      <c r="F11" s="1000"/>
      <c r="G11" s="1000"/>
      <c r="H11" s="1000"/>
      <c r="I11" s="13"/>
      <c r="J11" s="13"/>
      <c r="K11" s="13"/>
      <c r="L11" s="13"/>
      <c r="M11" s="13"/>
    </row>
    <row r="12" spans="1:14">
      <c r="A12" s="13"/>
      <c r="B12" s="935" t="s">
        <v>191</v>
      </c>
      <c r="C12" s="936"/>
      <c r="D12" s="999"/>
      <c r="E12" s="1000"/>
      <c r="F12" s="1000"/>
      <c r="G12" s="1000"/>
      <c r="H12" s="1000"/>
      <c r="I12" s="13"/>
      <c r="J12" s="13"/>
      <c r="K12" s="13"/>
      <c r="L12" s="13"/>
      <c r="M12" s="13"/>
    </row>
    <row r="13" spans="1:14">
      <c r="A13" s="13"/>
      <c r="B13" s="935" t="s">
        <v>192</v>
      </c>
      <c r="C13" s="936"/>
      <c r="D13" s="999"/>
      <c r="E13" s="1000"/>
      <c r="F13" s="1000"/>
      <c r="G13" s="1000"/>
      <c r="H13" s="1000"/>
      <c r="I13" s="13"/>
      <c r="J13" s="13"/>
      <c r="K13" s="13"/>
      <c r="L13" s="13"/>
      <c r="M13" s="13"/>
    </row>
    <row r="14" spans="1:14">
      <c r="A14" s="13"/>
      <c r="B14" s="935" t="s">
        <v>193</v>
      </c>
      <c r="C14" s="936"/>
      <c r="D14" s="999"/>
      <c r="E14" s="1000"/>
      <c r="F14" s="1000"/>
      <c r="G14" s="1000"/>
      <c r="H14" s="1000"/>
      <c r="I14" s="13"/>
      <c r="J14" s="13"/>
      <c r="K14" s="13"/>
      <c r="L14" s="13"/>
      <c r="M14" s="13"/>
    </row>
    <row r="15" spans="1:14">
      <c r="A15" s="13"/>
      <c r="B15" s="935" t="s">
        <v>194</v>
      </c>
      <c r="C15" s="936"/>
      <c r="D15" s="999"/>
      <c r="E15" s="1000"/>
      <c r="F15" s="1000"/>
      <c r="G15" s="1000"/>
      <c r="H15" s="1000"/>
      <c r="I15" s="13"/>
      <c r="J15" s="13"/>
      <c r="K15" s="13"/>
      <c r="L15" s="13"/>
      <c r="M15" s="13"/>
    </row>
    <row r="16" spans="1:14">
      <c r="A16" s="13"/>
      <c r="B16" s="935" t="s">
        <v>195</v>
      </c>
      <c r="C16" s="936"/>
      <c r="D16" s="999"/>
      <c r="E16" s="1000"/>
      <c r="F16" s="1000"/>
      <c r="G16" s="1000"/>
      <c r="H16" s="1000"/>
      <c r="I16" s="13"/>
      <c r="J16" s="13"/>
      <c r="K16" s="13"/>
      <c r="L16" s="13"/>
      <c r="M16" s="13"/>
    </row>
    <row r="17" spans="1:13">
      <c r="A17" s="13"/>
      <c r="B17" s="935" t="s">
        <v>196</v>
      </c>
      <c r="C17" s="936"/>
      <c r="D17" s="999"/>
      <c r="E17" s="1000"/>
      <c r="F17" s="1000"/>
      <c r="G17" s="1000"/>
      <c r="H17" s="1000"/>
      <c r="I17" s="13"/>
      <c r="J17" s="13"/>
      <c r="K17" s="13"/>
      <c r="L17" s="13"/>
      <c r="M17" s="13"/>
    </row>
    <row r="18" spans="1:13">
      <c r="A18" s="13"/>
      <c r="B18" s="935" t="s">
        <v>197</v>
      </c>
      <c r="C18" s="936"/>
      <c r="D18" s="999"/>
      <c r="E18" s="1000"/>
      <c r="F18" s="1000"/>
      <c r="G18" s="1000"/>
      <c r="H18" s="1000"/>
      <c r="I18" s="13"/>
      <c r="J18" s="13"/>
      <c r="K18" s="13"/>
      <c r="L18" s="13"/>
      <c r="M18" s="13"/>
    </row>
    <row r="19" spans="1:13">
      <c r="A19" s="13"/>
      <c r="B19" s="13"/>
      <c r="C19" s="13"/>
      <c r="D19" s="13"/>
      <c r="E19" s="13"/>
      <c r="F19" s="13"/>
      <c r="G19" s="13"/>
      <c r="H19" s="13"/>
      <c r="I19" s="13"/>
      <c r="J19" s="13"/>
      <c r="K19" s="13"/>
      <c r="L19" s="13"/>
      <c r="M19" s="13"/>
    </row>
    <row r="20" spans="1:13">
      <c r="A20" s="13"/>
      <c r="B20" s="171"/>
      <c r="C20" s="13"/>
      <c r="D20" s="13"/>
      <c r="E20" s="13"/>
      <c r="F20" s="13"/>
      <c r="G20" s="13"/>
      <c r="H20" s="13"/>
      <c r="I20" s="13"/>
      <c r="J20" s="13"/>
      <c r="K20" s="13"/>
      <c r="L20" s="13"/>
    </row>
    <row r="21" spans="1:13">
      <c r="A21" s="13"/>
      <c r="B21" s="238" t="s">
        <v>198</v>
      </c>
      <c r="C21" s="13"/>
      <c r="D21" s="13"/>
      <c r="E21" s="13"/>
      <c r="F21" s="13"/>
      <c r="G21" s="13"/>
      <c r="H21" s="13"/>
      <c r="I21" s="13"/>
      <c r="J21" s="13"/>
      <c r="K21" s="13"/>
      <c r="L21" s="13"/>
    </row>
    <row r="22" spans="1:13">
      <c r="A22" s="13"/>
      <c r="B22" s="238" t="s">
        <v>199</v>
      </c>
      <c r="C22" s="13"/>
      <c r="D22" s="13"/>
      <c r="E22" s="13"/>
      <c r="F22" s="13"/>
      <c r="G22" s="13"/>
      <c r="H22" s="13"/>
      <c r="I22" s="13"/>
      <c r="J22" s="13"/>
      <c r="K22" s="13"/>
      <c r="L22" s="13"/>
    </row>
    <row r="23" spans="1:13">
      <c r="A23" s="13"/>
      <c r="B23" s="238" t="s">
        <v>200</v>
      </c>
      <c r="C23" s="13"/>
      <c r="D23" s="13"/>
      <c r="E23" s="13"/>
      <c r="F23" s="13"/>
      <c r="G23" s="13"/>
      <c r="H23" s="13"/>
      <c r="I23" s="13"/>
      <c r="J23" s="13"/>
      <c r="K23" s="13"/>
      <c r="L23" s="13"/>
    </row>
    <row r="24" spans="1:13">
      <c r="B24" s="238" t="s">
        <v>201</v>
      </c>
    </row>
    <row r="25" spans="1:13">
      <c r="B25" s="238" t="s">
        <v>202</v>
      </c>
    </row>
    <row r="26" spans="1:13">
      <c r="B26" s="238" t="s">
        <v>203</v>
      </c>
    </row>
    <row r="27" spans="1:13">
      <c r="B27" s="238" t="s">
        <v>204</v>
      </c>
    </row>
    <row r="28" spans="1:13">
      <c r="B28" s="238" t="s">
        <v>205</v>
      </c>
    </row>
    <row r="29" spans="1:13">
      <c r="B29" s="238" t="s">
        <v>206</v>
      </c>
    </row>
    <row r="30" spans="1:13">
      <c r="B30" s="238" t="s">
        <v>207</v>
      </c>
    </row>
    <row r="31" spans="1:13">
      <c r="B31" s="238" t="s">
        <v>208</v>
      </c>
    </row>
    <row r="32" spans="1:13">
      <c r="B32" s="238" t="s">
        <v>209</v>
      </c>
    </row>
    <row r="33" spans="2:2">
      <c r="B33" s="238" t="s">
        <v>210</v>
      </c>
    </row>
  </sheetData>
  <sheetProtection algorithmName="SHA-512" hashValue="lOB1VFk8gZbexSzG3+gL89gLPCeqFlXrrD5sSMcuT0pma0IthEWDzAobgRoJtf/BcSNbUOUcOYAN9GNEzGDH4A==" saltValue="IifV/vk4UevYx+pkdwPoug==" spinCount="100000" sheet="1" formatCells="0" formatColumns="0" formatRows="0" insertColumns="0" insertRows="0" insertHyperlinks="0" deleteColumns="0" deleteRows="0" sort="0" autoFilter="0" pivotTables="0"/>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xr:uid="{00000000-0004-0000-0200-000000000000}"/>
    <hyperlink ref="B22" location="'R2 - Revenue'!A1" display="R2 - Revenue" xr:uid="{00000000-0004-0000-0200-000001000000}"/>
    <hyperlink ref="B23" location="'R3 - Rec to totex'!A1" display="R3 - Rec to totex" xr:uid="{00000000-0004-0000-0200-000002000000}"/>
    <hyperlink ref="B24" location="'R4 - Totex'!A1" display="R4 - Totex" xr:uid="{00000000-0004-0000-0200-000003000000}"/>
    <hyperlink ref="B25" location="'R5 - Output Incentives'!A1" display="R5 - Output Incentives" xr:uid="{00000000-0004-0000-0200-000004000000}"/>
    <hyperlink ref="B26" location="'R6 - Innovation'!A1" display="R6 - Innovation" xr:uid="{00000000-0004-0000-0200-000005000000}"/>
    <hyperlink ref="B27" location="'R7 - Financing'!A1" display="R7 - Financing" xr:uid="{00000000-0004-0000-0200-000006000000}"/>
    <hyperlink ref="B28" location="'R8 - Net Debt'!A1" display="R8 - Net Debt" xr:uid="{00000000-0004-0000-0200-000007000000}"/>
    <hyperlink ref="B29" location="'R9 - RAV'!A1" display="R9 - RAV" xr:uid="{00000000-0004-0000-0200-000008000000}"/>
    <hyperlink ref="B31" location="'R11 - Dividends'!A1" display="R11 - Dividends" xr:uid="{00000000-0004-0000-0200-000009000000}"/>
    <hyperlink ref="B32" location="'R12 - Pensions'!A1" display="R12 - Pensions" xr:uid="{00000000-0004-0000-0200-00000A000000}"/>
    <hyperlink ref="B33" location="'R13 - Other Activities '!A1" display="R13 - Other Activities" xr:uid="{00000000-0004-0000-0200-00000B000000}"/>
    <hyperlink ref="B30" location="'R10 - Tax'!A1" display="R10 - Tax" xr:uid="{00000000-0004-0000-0200-00000C000000}"/>
  </hyperlinks>
  <pageMargins left="0.70866141732283472" right="0.70866141732283472" top="0.74803149606299213" bottom="0.74803149606299213" header="0.31496062992125984" footer="0.31496062992125984"/>
  <pageSetup scale="77"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66"/>
  <sheetViews>
    <sheetView showGridLines="0" zoomScale="80" zoomScaleNormal="80" workbookViewId="0">
      <pane ySplit="5" topLeftCell="A6" activePane="bottomLeft" state="frozen"/>
      <selection activeCell="B75" sqref="A1:XFD1048576"/>
      <selection pane="bottomLeft" activeCell="C25" sqref="C25"/>
    </sheetView>
  </sheetViews>
  <sheetFormatPr defaultRowHeight="12.75"/>
  <cols>
    <col min="1" max="1" width="19.125" bestFit="1" customWidth="1"/>
    <col min="2" max="2" width="12.125" bestFit="1" customWidth="1"/>
    <col min="3" max="3" width="104.125" customWidth="1"/>
    <col min="4" max="4" width="35.5" customWidth="1"/>
  </cols>
  <sheetData>
    <row r="1" spans="1:4" s="18" customFormat="1" ht="20.25">
      <c r="A1" s="16" t="s">
        <v>211</v>
      </c>
      <c r="B1" s="16"/>
      <c r="C1" s="16"/>
      <c r="D1" s="16"/>
    </row>
    <row r="2" spans="1:4" s="18" customFormat="1" ht="20.25">
      <c r="A2" s="16" t="str">
        <f>'RFPR cover'!C5</f>
        <v>NGET (SO)</v>
      </c>
      <c r="B2" s="16"/>
      <c r="C2" s="16"/>
      <c r="D2" s="16"/>
    </row>
    <row r="3" spans="1:4" s="18" customFormat="1" ht="20.25">
      <c r="A3" s="16">
        <f>'RFPR cover'!C7</f>
        <v>2020</v>
      </c>
      <c r="B3" s="16"/>
      <c r="C3" s="16"/>
      <c r="D3" s="16"/>
    </row>
    <row r="4" spans="1:4" s="18" customFormat="1" ht="20.25">
      <c r="A4" s="673"/>
      <c r="B4" s="673"/>
      <c r="C4" s="673"/>
      <c r="D4" s="673"/>
    </row>
    <row r="5" spans="1:4" ht="30">
      <c r="A5" s="670" t="s">
        <v>212</v>
      </c>
      <c r="B5" s="671" t="s">
        <v>213</v>
      </c>
      <c r="C5" s="672" t="s">
        <v>214</v>
      </c>
    </row>
    <row r="6" spans="1:4">
      <c r="A6" s="278">
        <v>1.1000000000000001</v>
      </c>
      <c r="B6" s="680" t="s">
        <v>215</v>
      </c>
      <c r="C6" s="687" t="s">
        <v>216</v>
      </c>
    </row>
    <row r="7" spans="1:4">
      <c r="A7" s="278">
        <v>1.1000000000000001</v>
      </c>
      <c r="B7" s="680" t="s">
        <v>215</v>
      </c>
      <c r="C7" s="687" t="s">
        <v>217</v>
      </c>
    </row>
    <row r="8" spans="1:4">
      <c r="A8" s="278">
        <v>1.1000000000000001</v>
      </c>
      <c r="B8" s="678" t="s">
        <v>218</v>
      </c>
      <c r="C8" s="686" t="s">
        <v>219</v>
      </c>
    </row>
    <row r="9" spans="1:4" ht="25.5">
      <c r="A9" s="278">
        <v>1.1000000000000001</v>
      </c>
      <c r="B9" s="678" t="s">
        <v>220</v>
      </c>
      <c r="C9" s="686" t="s">
        <v>221</v>
      </c>
    </row>
    <row r="10" spans="1:4">
      <c r="A10" s="278">
        <v>1.1000000000000001</v>
      </c>
      <c r="B10" s="678" t="s">
        <v>220</v>
      </c>
      <c r="C10" s="686" t="s">
        <v>222</v>
      </c>
    </row>
    <row r="11" spans="1:4">
      <c r="A11" s="278">
        <v>1.1000000000000001</v>
      </c>
      <c r="B11" s="678" t="s">
        <v>223</v>
      </c>
      <c r="C11" s="686" t="s">
        <v>224</v>
      </c>
    </row>
    <row r="12" spans="1:4" ht="25.5">
      <c r="A12" s="278">
        <v>1.1000000000000001</v>
      </c>
      <c r="B12" s="678" t="s">
        <v>220</v>
      </c>
      <c r="C12" s="686" t="s">
        <v>225</v>
      </c>
    </row>
    <row r="13" spans="1:4" ht="51">
      <c r="A13" s="278">
        <v>1.1000000000000001</v>
      </c>
      <c r="B13" s="678" t="s">
        <v>220</v>
      </c>
      <c r="C13" s="686" t="s">
        <v>226</v>
      </c>
    </row>
    <row r="14" spans="1:4">
      <c r="A14" s="279">
        <v>1.1000000000000001</v>
      </c>
      <c r="B14" s="678" t="s">
        <v>227</v>
      </c>
      <c r="C14" s="686" t="s">
        <v>228</v>
      </c>
    </row>
    <row r="15" spans="1:4">
      <c r="A15" s="279">
        <v>1.1000000000000001</v>
      </c>
      <c r="B15" s="678" t="s">
        <v>218</v>
      </c>
      <c r="C15" s="686" t="s">
        <v>229</v>
      </c>
    </row>
    <row r="16" spans="1:4" ht="38.25">
      <c r="A16" s="279">
        <v>1.1000000000000001</v>
      </c>
      <c r="B16" s="678" t="s">
        <v>230</v>
      </c>
      <c r="C16" s="686" t="s">
        <v>231</v>
      </c>
    </row>
    <row r="17" spans="1:3">
      <c r="A17" s="279">
        <v>1.1000000000000001</v>
      </c>
      <c r="B17" s="678" t="s">
        <v>223</v>
      </c>
      <c r="C17" s="239" t="s">
        <v>232</v>
      </c>
    </row>
    <row r="18" spans="1:3" ht="25.5">
      <c r="A18" s="279">
        <v>1.1000000000000001</v>
      </c>
      <c r="B18" s="678" t="s">
        <v>223</v>
      </c>
      <c r="C18" s="239" t="s">
        <v>233</v>
      </c>
    </row>
    <row r="19" spans="1:3">
      <c r="A19" s="279">
        <v>1.1000000000000001</v>
      </c>
      <c r="B19" s="678" t="s">
        <v>234</v>
      </c>
      <c r="C19" s="239" t="s">
        <v>235</v>
      </c>
    </row>
    <row r="20" spans="1:3" ht="25.5">
      <c r="A20" s="279">
        <v>1.1000000000000001</v>
      </c>
      <c r="B20" s="678" t="s">
        <v>234</v>
      </c>
      <c r="C20" s="239" t="s">
        <v>236</v>
      </c>
    </row>
    <row r="21" spans="1:3">
      <c r="A21" s="279">
        <v>1.1000000000000001</v>
      </c>
      <c r="B21" s="678" t="s">
        <v>237</v>
      </c>
      <c r="C21" s="239" t="s">
        <v>238</v>
      </c>
    </row>
    <row r="22" spans="1:3">
      <c r="A22" s="279">
        <v>1.1000000000000001</v>
      </c>
      <c r="B22" s="279" t="s">
        <v>227</v>
      </c>
      <c r="C22" s="239" t="s">
        <v>239</v>
      </c>
    </row>
    <row r="23" spans="1:3" ht="25.5">
      <c r="A23" s="279">
        <v>1.1000000000000001</v>
      </c>
      <c r="B23" s="678" t="s">
        <v>227</v>
      </c>
      <c r="C23" s="239" t="s">
        <v>240</v>
      </c>
    </row>
    <row r="24" spans="1:3" ht="25.5">
      <c r="A24" s="279">
        <v>1.1000000000000001</v>
      </c>
      <c r="B24" s="678" t="s">
        <v>230</v>
      </c>
      <c r="C24" s="239" t="s">
        <v>241</v>
      </c>
    </row>
    <row r="25" spans="1:3" ht="26.25" thickBot="1">
      <c r="A25" s="745">
        <v>1.1000000000000001</v>
      </c>
      <c r="B25" s="746" t="s">
        <v>234</v>
      </c>
      <c r="C25" s="747" t="s">
        <v>242</v>
      </c>
    </row>
    <row r="26" spans="1:3">
      <c r="A26" s="742">
        <v>1.1000000000000001</v>
      </c>
      <c r="B26" s="743" t="s">
        <v>227</v>
      </c>
      <c r="C26" s="744" t="s">
        <v>243</v>
      </c>
    </row>
    <row r="27" spans="1:3">
      <c r="A27" s="742">
        <v>1.1000000000000001</v>
      </c>
      <c r="B27" s="678" t="s">
        <v>234</v>
      </c>
      <c r="C27" s="239" t="s">
        <v>244</v>
      </c>
    </row>
    <row r="28" spans="1:3">
      <c r="A28" s="279">
        <v>1.1000000000000001</v>
      </c>
      <c r="B28" s="678" t="s">
        <v>223</v>
      </c>
      <c r="C28" s="239" t="s">
        <v>245</v>
      </c>
    </row>
    <row r="29" spans="1:3">
      <c r="A29" s="959">
        <v>2</v>
      </c>
      <c r="B29" s="678" t="s">
        <v>234</v>
      </c>
      <c r="C29" s="239" t="s">
        <v>553</v>
      </c>
    </row>
    <row r="30" spans="1:3">
      <c r="A30" s="959">
        <v>2</v>
      </c>
      <c r="B30" s="678" t="s">
        <v>234</v>
      </c>
      <c r="C30" s="239" t="s">
        <v>554</v>
      </c>
    </row>
    <row r="31" spans="1:3" ht="76.5">
      <c r="A31" s="959">
        <v>2</v>
      </c>
      <c r="B31" s="678" t="s">
        <v>220</v>
      </c>
      <c r="C31" s="694" t="s">
        <v>555</v>
      </c>
    </row>
    <row r="32" spans="1:3">
      <c r="A32" s="279"/>
      <c r="B32" s="678"/>
      <c r="C32" s="239"/>
    </row>
    <row r="33" spans="1:3">
      <c r="A33" s="279"/>
      <c r="B33" s="678"/>
      <c r="C33" s="239"/>
    </row>
    <row r="34" spans="1:3">
      <c r="A34" s="280"/>
      <c r="B34" s="678"/>
      <c r="C34" s="239"/>
    </row>
    <row r="35" spans="1:3">
      <c r="A35" s="280"/>
      <c r="B35" s="696"/>
      <c r="C35" s="239"/>
    </row>
    <row r="36" spans="1:3">
      <c r="A36" s="280"/>
      <c r="B36" s="696"/>
      <c r="C36" s="239"/>
    </row>
    <row r="37" spans="1:3">
      <c r="A37" s="280"/>
      <c r="B37" s="696"/>
      <c r="C37" s="239"/>
    </row>
    <row r="38" spans="1:3">
      <c r="A38" s="280"/>
      <c r="B38" s="696"/>
      <c r="C38" s="239"/>
    </row>
    <row r="39" spans="1:3">
      <c r="A39" s="279"/>
      <c r="B39" s="696"/>
      <c r="C39" s="239"/>
    </row>
    <row r="40" spans="1:3">
      <c r="A40" s="280"/>
      <c r="B40" s="696"/>
      <c r="C40" s="239"/>
    </row>
    <row r="41" spans="1:3">
      <c r="A41" s="280"/>
      <c r="B41" s="696"/>
      <c r="C41" s="239"/>
    </row>
    <row r="42" spans="1:3">
      <c r="A42" s="280"/>
      <c r="B42" s="696"/>
      <c r="C42" s="239"/>
    </row>
    <row r="43" spans="1:3">
      <c r="A43" s="280"/>
      <c r="B43" s="678"/>
      <c r="C43" s="239"/>
    </row>
    <row r="44" spans="1:3">
      <c r="A44" s="280"/>
      <c r="B44" s="678"/>
      <c r="C44" s="239"/>
    </row>
    <row r="45" spans="1:3">
      <c r="A45" s="280"/>
      <c r="B45" s="678"/>
      <c r="C45" s="239"/>
    </row>
    <row r="46" spans="1:3">
      <c r="A46" s="280"/>
      <c r="B46" s="678"/>
      <c r="C46" s="239"/>
    </row>
    <row r="47" spans="1:3">
      <c r="A47" s="280"/>
      <c r="B47" s="678"/>
      <c r="C47" s="239"/>
    </row>
    <row r="48" spans="1:3">
      <c r="A48" s="280"/>
      <c r="B48" s="678"/>
      <c r="C48" s="239"/>
    </row>
    <row r="49" spans="1:3">
      <c r="A49" s="280"/>
      <c r="B49" s="678"/>
      <c r="C49" s="239"/>
    </row>
    <row r="50" spans="1:3">
      <c r="A50" s="280"/>
      <c r="B50" s="678"/>
      <c r="C50" s="239"/>
    </row>
    <row r="51" spans="1:3">
      <c r="A51" s="280"/>
      <c r="B51" s="678"/>
      <c r="C51" s="239"/>
    </row>
    <row r="52" spans="1:3">
      <c r="A52" s="280"/>
      <c r="B52" s="678"/>
      <c r="C52" s="239"/>
    </row>
    <row r="53" spans="1:3">
      <c r="A53" s="280"/>
      <c r="B53" s="700"/>
      <c r="C53" s="701"/>
    </row>
    <row r="54" spans="1:3">
      <c r="A54" s="280"/>
      <c r="B54" s="678"/>
      <c r="C54" s="239"/>
    </row>
    <row r="55" spans="1:3">
      <c r="A55" s="280"/>
      <c r="B55" s="678"/>
      <c r="C55" s="239"/>
    </row>
    <row r="56" spans="1:3">
      <c r="A56" s="280"/>
      <c r="B56" s="678"/>
      <c r="C56" s="239"/>
    </row>
    <row r="57" spans="1:3">
      <c r="A57" s="280"/>
      <c r="B57" s="678"/>
      <c r="C57" s="239"/>
    </row>
    <row r="58" spans="1:3">
      <c r="A58" s="280"/>
      <c r="B58" s="678"/>
      <c r="C58" s="694"/>
    </row>
    <row r="59" spans="1:3">
      <c r="A59" s="281"/>
      <c r="B59" s="679"/>
      <c r="C59" s="240"/>
    </row>
    <row r="60" spans="1:3">
      <c r="A60" s="281"/>
      <c r="B60" s="679"/>
      <c r="C60" s="240"/>
    </row>
    <row r="61" spans="1:3">
      <c r="A61" s="281"/>
      <c r="B61" s="679"/>
      <c r="C61" s="240"/>
    </row>
    <row r="62" spans="1:3">
      <c r="A62" s="281"/>
      <c r="B62" s="679"/>
      <c r="C62" s="240"/>
    </row>
    <row r="63" spans="1:3">
      <c r="A63" s="281"/>
      <c r="B63" s="679"/>
      <c r="C63" s="240"/>
    </row>
    <row r="64" spans="1:3">
      <c r="A64" s="281"/>
      <c r="B64" s="679"/>
      <c r="C64" s="240"/>
    </row>
    <row r="65" spans="1:3">
      <c r="A65" s="281"/>
      <c r="B65" s="679"/>
      <c r="C65" s="240"/>
    </row>
    <row r="66" spans="1:3">
      <c r="A66" s="281"/>
      <c r="B66" s="679"/>
      <c r="C66" s="240"/>
    </row>
  </sheetData>
  <sheetProtection algorithmName="SHA-512" hashValue="UlRFFsqa+91UVS+QSipUfXHtYWakE9asKs5nDGt6tegl7U7mmF/Mrn434jAMi14UAR8jj32CNFoVLQTZOgdNEQ==" saltValue="0462/RfVVzz9Fy6nSHGBdg==" spinCount="100000" sheet="1" formatCells="0" formatColumns="0" formatRows="0" insertColumns="0" insertRows="0" insertHyperlinks="0" deleteColumns="0" deleteRows="0" sort="0" autoFilter="0" pivotTables="0"/>
  <pageMargins left="0.70866141732283472" right="0.70866141732283472" top="0.74803149606299213" bottom="0.74803149606299213" header="0.31496062992125984" footer="0.31496062992125984"/>
  <pageSetup paperSize="8" scale="74"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CC"/>
    <pageSetUpPr fitToPage="1"/>
  </sheetPr>
  <dimension ref="A1:P66"/>
  <sheetViews>
    <sheetView showGridLines="0" zoomScale="80" zoomScaleNormal="80" workbookViewId="0">
      <pane ySplit="6" topLeftCell="A7" activePane="bottomLeft" state="frozen"/>
      <selection activeCell="B75" sqref="A1:XFD1048576"/>
      <selection pane="bottomLeft" activeCell="E36" sqref="E36"/>
    </sheetView>
  </sheetViews>
  <sheetFormatPr defaultRowHeight="12.75"/>
  <cols>
    <col min="1" max="1" width="8.375" customWidth="1"/>
    <col min="2" max="2" width="63.375" style="155" customWidth="1"/>
    <col min="3" max="3" width="13.375" style="28" customWidth="1"/>
    <col min="4" max="11" width="9.125" customWidth="1"/>
    <col min="12" max="12" width="3.625" customWidth="1"/>
    <col min="13" max="14" width="13.75" customWidth="1"/>
    <col min="15" max="15" width="5.125" customWidth="1"/>
  </cols>
  <sheetData>
    <row r="1" spans="1:16" s="18" customFormat="1" ht="20.25">
      <c r="A1" s="856" t="s">
        <v>246</v>
      </c>
      <c r="B1" s="731"/>
      <c r="C1" s="732"/>
      <c r="D1" s="732"/>
      <c r="E1" s="732"/>
      <c r="F1" s="732"/>
      <c r="G1" s="211"/>
      <c r="H1" s="211"/>
      <c r="I1" s="212"/>
      <c r="J1" s="212"/>
      <c r="K1" s="213"/>
      <c r="L1" s="213"/>
      <c r="M1" s="213"/>
      <c r="N1" s="213"/>
      <c r="O1" s="872" t="s">
        <v>183</v>
      </c>
    </row>
    <row r="2" spans="1:16" s="18" customFormat="1" ht="20.25">
      <c r="A2" s="725" t="str">
        <f>'RFPR cover'!C5</f>
        <v>NGET (SO)</v>
      </c>
      <c r="B2" s="733"/>
      <c r="C2" s="720"/>
      <c r="D2" s="720"/>
      <c r="E2" s="720"/>
      <c r="F2" s="720"/>
      <c r="G2" s="16"/>
      <c r="H2" s="16"/>
      <c r="I2" s="15"/>
      <c r="J2" s="15"/>
      <c r="K2" s="15"/>
      <c r="L2" s="15"/>
      <c r="M2" s="15"/>
      <c r="N2" s="15"/>
      <c r="O2" s="93"/>
    </row>
    <row r="3" spans="1:16" s="18" customFormat="1" ht="23.25">
      <c r="A3" s="728">
        <f>'RFPR cover'!C7</f>
        <v>2020</v>
      </c>
      <c r="B3" s="734" t="str">
        <f>IF('RFPR cover'!C5=Data!B98,"Not required to be completed for System Operator",(IF('RFPR cover'!C5=Data!B96,"Not required to be completed for System Operator","")))</f>
        <v>Not required to be completed for System Operator</v>
      </c>
      <c r="C3" s="735"/>
      <c r="D3" s="735"/>
      <c r="E3" s="735"/>
      <c r="F3" s="735"/>
      <c r="G3" s="214"/>
      <c r="H3" s="214"/>
      <c r="I3" s="210"/>
      <c r="J3" s="210"/>
      <c r="K3" s="210"/>
      <c r="L3" s="210"/>
      <c r="M3" s="210"/>
      <c r="N3" s="210"/>
      <c r="O3" s="215"/>
    </row>
    <row r="4" spans="1:16" ht="12.75" customHeight="1"/>
    <row r="5" spans="1:16">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c r="L5" s="2"/>
      <c r="M5" s="2"/>
    </row>
    <row r="6" spans="1:16" ht="31.5" customHeight="1">
      <c r="C6" s="131"/>
      <c r="D6" s="90">
        <f>'RFPR cover'!$C$13</f>
        <v>2014</v>
      </c>
      <c r="E6" s="91">
        <f>D6+1</f>
        <v>2015</v>
      </c>
      <c r="F6" s="91">
        <f t="shared" ref="F6:K6" si="0">E6+1</f>
        <v>2016</v>
      </c>
      <c r="G6" s="91">
        <f t="shared" si="0"/>
        <v>2017</v>
      </c>
      <c r="H6" s="91">
        <f t="shared" si="0"/>
        <v>2018</v>
      </c>
      <c r="I6" s="91">
        <f t="shared" si="0"/>
        <v>2019</v>
      </c>
      <c r="J6" s="91">
        <f t="shared" si="0"/>
        <v>2020</v>
      </c>
      <c r="K6" s="154">
        <f t="shared" si="0"/>
        <v>2021</v>
      </c>
      <c r="L6" s="32"/>
      <c r="M6" s="74" t="str">
        <f>"Cumulative to "&amp;'RFPR cover'!$C$7</f>
        <v>Cumulative to 2020</v>
      </c>
      <c r="N6" s="153" t="s">
        <v>247</v>
      </c>
    </row>
    <row r="7" spans="1:16">
      <c r="C7" s="131"/>
      <c r="D7" s="131"/>
      <c r="E7" s="131"/>
      <c r="F7" s="131"/>
      <c r="G7" s="131"/>
      <c r="H7" s="131"/>
      <c r="I7" s="131"/>
      <c r="J7" s="131"/>
      <c r="K7" s="131"/>
      <c r="L7" s="131"/>
      <c r="M7" s="131"/>
      <c r="N7" s="131"/>
      <c r="O7" s="131"/>
    </row>
    <row r="8" spans="1:16">
      <c r="B8" s="432" t="s">
        <v>248</v>
      </c>
      <c r="C8" s="341"/>
      <c r="D8" s="341"/>
      <c r="E8" s="341"/>
      <c r="F8" s="341"/>
      <c r="G8" s="341"/>
      <c r="H8" s="341"/>
      <c r="I8" s="341"/>
      <c r="J8" s="341"/>
      <c r="K8" s="341"/>
      <c r="L8" s="433"/>
      <c r="M8" s="175"/>
      <c r="N8" s="175"/>
      <c r="O8" s="175"/>
    </row>
    <row r="9" spans="1:16">
      <c r="B9" s="156"/>
      <c r="D9" s="28"/>
      <c r="E9" s="28"/>
      <c r="F9" s="28"/>
      <c r="G9" s="28"/>
      <c r="H9" s="28"/>
      <c r="I9" s="28"/>
      <c r="J9" s="28"/>
      <c r="K9" s="28"/>
      <c r="L9" s="32"/>
    </row>
    <row r="10" spans="1:16">
      <c r="B10" s="207" t="s">
        <v>249</v>
      </c>
      <c r="C10" s="209" t="s">
        <v>250</v>
      </c>
      <c r="D10" s="411" t="e">
        <f t="shared" ref="D10:K19" si="1">D48/D$65</f>
        <v>#DIV/0!</v>
      </c>
      <c r="E10" s="413" t="e">
        <f t="shared" si="1"/>
        <v>#DIV/0!</v>
      </c>
      <c r="F10" s="413" t="e">
        <f t="shared" si="1"/>
        <v>#DIV/0!</v>
      </c>
      <c r="G10" s="413" t="e">
        <f t="shared" si="1"/>
        <v>#DIV/0!</v>
      </c>
      <c r="H10" s="413" t="e">
        <f t="shared" si="1"/>
        <v>#DIV/0!</v>
      </c>
      <c r="I10" s="413" t="e">
        <f t="shared" si="1"/>
        <v>#DIV/0!</v>
      </c>
      <c r="J10" s="413" t="e">
        <f t="shared" si="1"/>
        <v>#DIV/0!</v>
      </c>
      <c r="K10" s="412" t="e">
        <f t="shared" si="1"/>
        <v>#DIV/0!</v>
      </c>
      <c r="L10" s="132"/>
      <c r="M10" s="412" t="e">
        <f>AVERAGE(D48:INDEX(D48:K48,0,MATCH('RFPR cover'!$C$7,$D$6:$K$6,0)))/AVERAGE($D$65:INDEX($D$65:$K$65,0,MATCH('RFPR cover'!$C$7,$D$6:$K$6,0)))</f>
        <v>#DIV/0!</v>
      </c>
      <c r="N10" s="412" t="e">
        <f>AVERAGE(D48:K48)/AVERAGE($D$65:$K$65)</f>
        <v>#DIV/0!</v>
      </c>
    </row>
    <row r="11" spans="1:16">
      <c r="B11" s="207" t="str">
        <f t="shared" ref="B11:B18" si="2">B49</f>
        <v>Totex outperformance</v>
      </c>
      <c r="C11" s="209" t="s">
        <v>250</v>
      </c>
      <c r="D11" s="134" t="e">
        <f t="shared" si="1"/>
        <v>#DIV/0!</v>
      </c>
      <c r="E11" s="135" t="e">
        <f t="shared" si="1"/>
        <v>#DIV/0!</v>
      </c>
      <c r="F11" s="135" t="e">
        <f t="shared" si="1"/>
        <v>#DIV/0!</v>
      </c>
      <c r="G11" s="135" t="e">
        <f t="shared" si="1"/>
        <v>#DIV/0!</v>
      </c>
      <c r="H11" s="135" t="e">
        <f t="shared" si="1"/>
        <v>#DIV/0!</v>
      </c>
      <c r="I11" s="135" t="e">
        <f t="shared" si="1"/>
        <v>#DIV/0!</v>
      </c>
      <c r="J11" s="135" t="e">
        <f t="shared" si="1"/>
        <v>#DIV/0!</v>
      </c>
      <c r="K11" s="136" t="e">
        <f t="shared" si="1"/>
        <v>#DIV/0!</v>
      </c>
      <c r="L11" s="132"/>
      <c r="M11" s="136" t="e">
        <f>AVERAGE(D49:INDEX(D49:K49,0,MATCH('RFPR cover'!$C$7,$D$6:$K$6,0)))/AVERAGE($D$65:INDEX($D$65:$K$65,0,MATCH('RFPR cover'!$C$7,$D$6:$K$6,0)))</f>
        <v>#DIV/0!</v>
      </c>
      <c r="N11" s="136" t="e">
        <f t="shared" ref="N11:N19" si="3">AVERAGE(D49:K49)/AVERAGE($D$65:$K$65)</f>
        <v>#DIV/0!</v>
      </c>
      <c r="P11" s="132"/>
    </row>
    <row r="12" spans="1:16">
      <c r="B12" s="207" t="str">
        <f t="shared" si="2"/>
        <v>IQI Reward</v>
      </c>
      <c r="C12" s="209" t="s">
        <v>250</v>
      </c>
      <c r="D12" s="134" t="e">
        <f t="shared" si="1"/>
        <v>#DIV/0!</v>
      </c>
      <c r="E12" s="135" t="e">
        <f t="shared" si="1"/>
        <v>#DIV/0!</v>
      </c>
      <c r="F12" s="135" t="e">
        <f t="shared" si="1"/>
        <v>#DIV/0!</v>
      </c>
      <c r="G12" s="135" t="e">
        <f t="shared" si="1"/>
        <v>#DIV/0!</v>
      </c>
      <c r="H12" s="135" t="e">
        <f t="shared" si="1"/>
        <v>#DIV/0!</v>
      </c>
      <c r="I12" s="135" t="e">
        <f t="shared" si="1"/>
        <v>#DIV/0!</v>
      </c>
      <c r="J12" s="135" t="e">
        <f t="shared" si="1"/>
        <v>#DIV/0!</v>
      </c>
      <c r="K12" s="136" t="e">
        <f t="shared" si="1"/>
        <v>#DIV/0!</v>
      </c>
      <c r="L12" s="132"/>
      <c r="M12" s="136" t="e">
        <f>AVERAGE(D50:INDEX(D50:K50,0,MATCH('RFPR cover'!$C$7,$D$6:$K$6,0)))/AVERAGE($D$65:INDEX($D$65:$K$65,0,MATCH('RFPR cover'!$C$7,$D$6:$K$6,0)))</f>
        <v>#DIV/0!</v>
      </c>
      <c r="N12" s="136" t="e">
        <f t="shared" si="3"/>
        <v>#DIV/0!</v>
      </c>
    </row>
    <row r="13" spans="1:16">
      <c r="B13" s="207" t="str">
        <f t="shared" si="2"/>
        <v>Electricity Market Reform incentive revenue</v>
      </c>
      <c r="C13" s="209" t="s">
        <v>250</v>
      </c>
      <c r="D13" s="134" t="e">
        <f t="shared" si="1"/>
        <v>#DIV/0!</v>
      </c>
      <c r="E13" s="135" t="e">
        <f t="shared" si="1"/>
        <v>#DIV/0!</v>
      </c>
      <c r="F13" s="135" t="e">
        <f t="shared" si="1"/>
        <v>#DIV/0!</v>
      </c>
      <c r="G13" s="135" t="e">
        <f t="shared" si="1"/>
        <v>#DIV/0!</v>
      </c>
      <c r="H13" s="135" t="e">
        <f t="shared" si="1"/>
        <v>#DIV/0!</v>
      </c>
      <c r="I13" s="135" t="e">
        <f t="shared" si="1"/>
        <v>#DIV/0!</v>
      </c>
      <c r="J13" s="135" t="e">
        <f t="shared" si="1"/>
        <v>#DIV/0!</v>
      </c>
      <c r="K13" s="136" t="e">
        <f t="shared" si="1"/>
        <v>#DIV/0!</v>
      </c>
      <c r="L13" s="132"/>
      <c r="M13" s="136" t="e">
        <f>AVERAGE(D51:INDEX(D51:K51,0,MATCH('RFPR cover'!$C$7,$D$6:$K$6,0)))/AVERAGE($D$65:INDEX($D$65:$K$65,0,MATCH('RFPR cover'!$C$7,$D$6:$K$6,0)))</f>
        <v>#DIV/0!</v>
      </c>
      <c r="N13" s="136" t="e">
        <f t="shared" si="3"/>
        <v>#DIV/0!</v>
      </c>
    </row>
    <row r="14" spans="1:16">
      <c r="B14" s="207" t="str">
        <f t="shared" si="2"/>
        <v>Balancing Services Incentive Scheme</v>
      </c>
      <c r="C14" s="209" t="s">
        <v>250</v>
      </c>
      <c r="D14" s="134" t="e">
        <f t="shared" si="1"/>
        <v>#DIV/0!</v>
      </c>
      <c r="E14" s="135" t="e">
        <f t="shared" si="1"/>
        <v>#DIV/0!</v>
      </c>
      <c r="F14" s="135" t="e">
        <f t="shared" si="1"/>
        <v>#DIV/0!</v>
      </c>
      <c r="G14" s="135" t="e">
        <f t="shared" si="1"/>
        <v>#DIV/0!</v>
      </c>
      <c r="H14" s="135" t="e">
        <f t="shared" si="1"/>
        <v>#DIV/0!</v>
      </c>
      <c r="I14" s="135" t="e">
        <f t="shared" si="1"/>
        <v>#DIV/0!</v>
      </c>
      <c r="J14" s="135" t="e">
        <f t="shared" si="1"/>
        <v>#DIV/0!</v>
      </c>
      <c r="K14" s="136" t="e">
        <f t="shared" si="1"/>
        <v>#DIV/0!</v>
      </c>
      <c r="L14" s="132"/>
      <c r="M14" s="136" t="e">
        <f>AVERAGE(D52:INDEX(D52:K52,0,MATCH('RFPR cover'!$C$7,$D$6:$K$6,0)))/AVERAGE($D$65:INDEX($D$65:$K$65,0,MATCH('RFPR cover'!$C$7,$D$6:$K$6,0)))</f>
        <v>#DIV/0!</v>
      </c>
      <c r="N14" s="136" t="e">
        <f t="shared" si="3"/>
        <v>#DIV/0!</v>
      </c>
    </row>
    <row r="15" spans="1:16">
      <c r="B15" s="207" t="str">
        <f t="shared" si="2"/>
        <v>Renewable wind forecasting incentive</v>
      </c>
      <c r="C15" s="209" t="s">
        <v>250</v>
      </c>
      <c r="D15" s="134" t="e">
        <f t="shared" si="1"/>
        <v>#DIV/0!</v>
      </c>
      <c r="E15" s="135" t="e">
        <f t="shared" si="1"/>
        <v>#DIV/0!</v>
      </c>
      <c r="F15" s="135" t="e">
        <f t="shared" si="1"/>
        <v>#DIV/0!</v>
      </c>
      <c r="G15" s="135" t="e">
        <f t="shared" si="1"/>
        <v>#DIV/0!</v>
      </c>
      <c r="H15" s="135" t="e">
        <f t="shared" si="1"/>
        <v>#DIV/0!</v>
      </c>
      <c r="I15" s="135" t="e">
        <f t="shared" si="1"/>
        <v>#DIV/0!</v>
      </c>
      <c r="J15" s="135" t="e">
        <f t="shared" si="1"/>
        <v>#DIV/0!</v>
      </c>
      <c r="K15" s="136" t="e">
        <f t="shared" si="1"/>
        <v>#DIV/0!</v>
      </c>
      <c r="L15" s="132"/>
      <c r="M15" s="136" t="e">
        <f>AVERAGE(D53:INDEX(D53:K53,0,MATCH('RFPR cover'!$C$7,$D$6:$K$6,0)))/AVERAGE($D$65:INDEX($D$65:$K$65,0,MATCH('RFPR cover'!$C$7,$D$6:$K$6,0)))</f>
        <v>#DIV/0!</v>
      </c>
      <c r="N15" s="136" t="e">
        <f t="shared" si="3"/>
        <v>#DIV/0!</v>
      </c>
    </row>
    <row r="16" spans="1:16">
      <c r="B16" s="207" t="str">
        <f t="shared" si="2"/>
        <v>New ESO Incentive (FY19 onwards)</v>
      </c>
      <c r="C16" s="209" t="s">
        <v>250</v>
      </c>
      <c r="D16" s="134" t="e">
        <f t="shared" si="1"/>
        <v>#DIV/0!</v>
      </c>
      <c r="E16" s="135" t="e">
        <f t="shared" si="1"/>
        <v>#DIV/0!</v>
      </c>
      <c r="F16" s="135" t="e">
        <f t="shared" si="1"/>
        <v>#DIV/0!</v>
      </c>
      <c r="G16" s="135" t="e">
        <f t="shared" si="1"/>
        <v>#DIV/0!</v>
      </c>
      <c r="H16" s="135" t="e">
        <f t="shared" si="1"/>
        <v>#DIV/0!</v>
      </c>
      <c r="I16" s="135" t="e">
        <f t="shared" si="1"/>
        <v>#DIV/0!</v>
      </c>
      <c r="J16" s="135" t="e">
        <f t="shared" si="1"/>
        <v>#DIV/0!</v>
      </c>
      <c r="K16" s="136" t="e">
        <f t="shared" si="1"/>
        <v>#DIV/0!</v>
      </c>
      <c r="L16" s="132"/>
      <c r="M16" s="136" t="e">
        <f>AVERAGE(D54:INDEX(D54:K54,0,MATCH('RFPR cover'!$C$7,$D$6:$K$6,0)))/AVERAGE($D$65:INDEX($D$65:$K$65,0,MATCH('RFPR cover'!$C$7,$D$6:$K$6,0)))</f>
        <v>#DIV/0!</v>
      </c>
      <c r="N16" s="136" t="e">
        <f t="shared" si="3"/>
        <v>#DIV/0!</v>
      </c>
    </row>
    <row r="17" spans="2:16">
      <c r="B17" s="207" t="str">
        <f t="shared" si="2"/>
        <v/>
      </c>
      <c r="C17" s="209" t="s">
        <v>250</v>
      </c>
      <c r="D17" s="134" t="e">
        <f t="shared" si="1"/>
        <v>#DIV/0!</v>
      </c>
      <c r="E17" s="135" t="e">
        <f t="shared" si="1"/>
        <v>#DIV/0!</v>
      </c>
      <c r="F17" s="135" t="e">
        <f t="shared" si="1"/>
        <v>#DIV/0!</v>
      </c>
      <c r="G17" s="135" t="e">
        <f t="shared" si="1"/>
        <v>#DIV/0!</v>
      </c>
      <c r="H17" s="135" t="e">
        <f t="shared" si="1"/>
        <v>#DIV/0!</v>
      </c>
      <c r="I17" s="135" t="e">
        <f t="shared" si="1"/>
        <v>#DIV/0!</v>
      </c>
      <c r="J17" s="135" t="e">
        <f t="shared" si="1"/>
        <v>#DIV/0!</v>
      </c>
      <c r="K17" s="136" t="e">
        <f t="shared" si="1"/>
        <v>#DIV/0!</v>
      </c>
      <c r="L17" s="132"/>
      <c r="M17" s="136" t="e">
        <f>AVERAGE(D55:INDEX(D55:K55,0,MATCH('RFPR cover'!$C$7,$D$6:$K$6,0)))/AVERAGE($D$65:INDEX($D$65:$K$65,0,MATCH('RFPR cover'!$C$7,$D$6:$K$6,0)))</f>
        <v>#DIV/0!</v>
      </c>
      <c r="N17" s="136" t="e">
        <f t="shared" si="3"/>
        <v>#DIV/0!</v>
      </c>
    </row>
    <row r="18" spans="2:16">
      <c r="B18" s="207" t="str">
        <f t="shared" si="2"/>
        <v xml:space="preserve">Network Innovation </v>
      </c>
      <c r="C18" s="209" t="s">
        <v>250</v>
      </c>
      <c r="D18" s="134" t="e">
        <f t="shared" si="1"/>
        <v>#DIV/0!</v>
      </c>
      <c r="E18" s="135" t="e">
        <f t="shared" si="1"/>
        <v>#DIV/0!</v>
      </c>
      <c r="F18" s="135" t="e">
        <f t="shared" si="1"/>
        <v>#DIV/0!</v>
      </c>
      <c r="G18" s="135" t="e">
        <f t="shared" si="1"/>
        <v>#DIV/0!</v>
      </c>
      <c r="H18" s="135" t="e">
        <f t="shared" si="1"/>
        <v>#DIV/0!</v>
      </c>
      <c r="I18" s="135" t="e">
        <f t="shared" si="1"/>
        <v>#DIV/0!</v>
      </c>
      <c r="J18" s="135" t="e">
        <f t="shared" si="1"/>
        <v>#DIV/0!</v>
      </c>
      <c r="K18" s="136" t="e">
        <f t="shared" si="1"/>
        <v>#DIV/0!</v>
      </c>
      <c r="L18" s="132"/>
      <c r="M18" s="136" t="e">
        <f>AVERAGE(D56:INDEX(D56:K56,0,MATCH('RFPR cover'!$C$7,$D$6:$K$6,0)))/AVERAGE($D$65:INDEX($D$65:$K$65,0,MATCH('RFPR cover'!$C$7,$D$6:$K$6,0)))</f>
        <v>#DIV/0!</v>
      </c>
      <c r="N18" s="136" t="e">
        <f t="shared" si="3"/>
        <v>#DIV/0!</v>
      </c>
    </row>
    <row r="19" spans="2:16">
      <c r="B19" s="207" t="str">
        <f>B57</f>
        <v>Penalties and fines</v>
      </c>
      <c r="C19" s="209" t="s">
        <v>250</v>
      </c>
      <c r="D19" s="144" t="e">
        <f t="shared" si="1"/>
        <v>#DIV/0!</v>
      </c>
      <c r="E19" s="145" t="e">
        <f t="shared" si="1"/>
        <v>#DIV/0!</v>
      </c>
      <c r="F19" s="145" t="e">
        <f t="shared" si="1"/>
        <v>#DIV/0!</v>
      </c>
      <c r="G19" s="145" t="e">
        <f t="shared" si="1"/>
        <v>#DIV/0!</v>
      </c>
      <c r="H19" s="145" t="e">
        <f t="shared" si="1"/>
        <v>#DIV/0!</v>
      </c>
      <c r="I19" s="145" t="e">
        <f t="shared" si="1"/>
        <v>#DIV/0!</v>
      </c>
      <c r="J19" s="145" t="e">
        <f t="shared" si="1"/>
        <v>#DIV/0!</v>
      </c>
      <c r="K19" s="146" t="e">
        <f t="shared" si="1"/>
        <v>#DIV/0!</v>
      </c>
      <c r="L19" s="132"/>
      <c r="M19" s="146" t="e">
        <f>AVERAGE(D57:INDEX(D57:K57,0,MATCH('RFPR cover'!$C$7,$D$6:$K$6,0)))/AVERAGE($D$65:INDEX($D$65:$K$65,0,MATCH('RFPR cover'!$C$7,$D$6:$K$6,0)))</f>
        <v>#DIV/0!</v>
      </c>
      <c r="N19" s="146" t="e">
        <f t="shared" si="3"/>
        <v>#DIV/0!</v>
      </c>
    </row>
    <row r="20" spans="2:16">
      <c r="B20" s="208" t="str">
        <f>B58</f>
        <v>RoRE - Operational performance</v>
      </c>
      <c r="C20" s="209" t="s">
        <v>250</v>
      </c>
      <c r="D20" s="147" t="e">
        <f t="shared" ref="D20:K20" si="4">SUM(D10:D19)</f>
        <v>#DIV/0!</v>
      </c>
      <c r="E20" s="148" t="e">
        <f t="shared" si="4"/>
        <v>#DIV/0!</v>
      </c>
      <c r="F20" s="148" t="e">
        <f t="shared" si="4"/>
        <v>#DIV/0!</v>
      </c>
      <c r="G20" s="148" t="e">
        <f t="shared" si="4"/>
        <v>#DIV/0!</v>
      </c>
      <c r="H20" s="148" t="e">
        <f t="shared" si="4"/>
        <v>#DIV/0!</v>
      </c>
      <c r="I20" s="148" t="e">
        <f t="shared" si="4"/>
        <v>#DIV/0!</v>
      </c>
      <c r="J20" s="148" t="e">
        <f t="shared" si="4"/>
        <v>#DIV/0!</v>
      </c>
      <c r="K20" s="149" t="e">
        <f t="shared" si="4"/>
        <v>#DIV/0!</v>
      </c>
      <c r="L20" s="133"/>
      <c r="M20" s="149" t="e">
        <f>SUM(M10:M19)</f>
        <v>#DIV/0!</v>
      </c>
      <c r="N20" s="149" t="e">
        <f>SUM(N10:N19)</f>
        <v>#DIV/0!</v>
      </c>
    </row>
    <row r="21" spans="2:16">
      <c r="B21" s="207" t="str">
        <f>B59</f>
        <v>Debt performance - at notional gearing</v>
      </c>
      <c r="C21" s="209" t="s">
        <v>250</v>
      </c>
      <c r="D21" s="134" t="e">
        <f>(D59)/D$65</f>
        <v>#DIV/0!</v>
      </c>
      <c r="E21" s="135" t="e">
        <f t="shared" ref="E21:K21" si="5">(E59)/E$65</f>
        <v>#DIV/0!</v>
      </c>
      <c r="F21" s="135" t="e">
        <f t="shared" si="5"/>
        <v>#DIV/0!</v>
      </c>
      <c r="G21" s="135" t="e">
        <f t="shared" si="5"/>
        <v>#DIV/0!</v>
      </c>
      <c r="H21" s="135" t="e">
        <f t="shared" si="5"/>
        <v>#DIV/0!</v>
      </c>
      <c r="I21" s="135" t="e">
        <f t="shared" si="5"/>
        <v>#DIV/0!</v>
      </c>
      <c r="J21" s="135" t="e">
        <f t="shared" si="5"/>
        <v>#DIV/0!</v>
      </c>
      <c r="K21" s="136" t="e">
        <f t="shared" si="5"/>
        <v>#DIV/0!</v>
      </c>
      <c r="L21" s="132"/>
      <c r="M21" s="136" t="e">
        <f>AVERAGE(D59:INDEX(D59:K59,0,MATCH('RFPR cover'!$C$7,$D$6:$K$6,0)))/AVERAGE($D$65:INDEX($D$65:$K$65,0,MATCH('RFPR cover'!$C$7,$D$6:$K$6,0)))</f>
        <v>#DIV/0!</v>
      </c>
      <c r="N21" s="136" t="e">
        <f>AVERAGE(D59:K59)/AVERAGE($D$65:$K$65)</f>
        <v>#DIV/0!</v>
      </c>
    </row>
    <row r="22" spans="2:16">
      <c r="B22" s="207" t="str">
        <f>B61</f>
        <v>Tax performance - at notional gearing</v>
      </c>
      <c r="C22" s="209" t="s">
        <v>250</v>
      </c>
      <c r="D22" s="134" t="e">
        <f>(D61)/D$65</f>
        <v>#DIV/0!</v>
      </c>
      <c r="E22" s="135" t="e">
        <f t="shared" ref="E22:K22" si="6">(E61)/E$65</f>
        <v>#DIV/0!</v>
      </c>
      <c r="F22" s="135" t="e">
        <f t="shared" si="6"/>
        <v>#DIV/0!</v>
      </c>
      <c r="G22" s="135" t="e">
        <f t="shared" si="6"/>
        <v>#DIV/0!</v>
      </c>
      <c r="H22" s="135" t="e">
        <f t="shared" si="6"/>
        <v>#DIV/0!</v>
      </c>
      <c r="I22" s="135" t="e">
        <f t="shared" si="6"/>
        <v>#DIV/0!</v>
      </c>
      <c r="J22" s="135" t="e">
        <f t="shared" si="6"/>
        <v>#DIV/0!</v>
      </c>
      <c r="K22" s="136" t="e">
        <f t="shared" si="6"/>
        <v>#DIV/0!</v>
      </c>
      <c r="L22" s="132"/>
      <c r="M22" s="136" t="e">
        <f>AVERAGE(D61:INDEX(D61:K61,0,MATCH('RFPR cover'!$C$7,$D$6:$K$6,0)))/AVERAGE($D$65:INDEX($D$65:$K$65,0,MATCH('RFPR cover'!$C$7,$D$6:$K$6,0)))</f>
        <v>#DIV/0!</v>
      </c>
      <c r="N22" s="136" t="e">
        <f>AVERAGE(D61:K61)/AVERAGE($D$65:$K$65)</f>
        <v>#DIV/0!</v>
      </c>
    </row>
    <row r="23" spans="2:16">
      <c r="B23" s="208" t="str">
        <f>B63</f>
        <v>RoRE - including financing and tax</v>
      </c>
      <c r="C23" s="209" t="s">
        <v>250</v>
      </c>
      <c r="D23" s="150" t="e">
        <f>SUM(D20:D22)</f>
        <v>#DIV/0!</v>
      </c>
      <c r="E23" s="151" t="e">
        <f t="shared" ref="E23:K23" si="7">SUM(E20:E22)</f>
        <v>#DIV/0!</v>
      </c>
      <c r="F23" s="151" t="e">
        <f t="shared" si="7"/>
        <v>#DIV/0!</v>
      </c>
      <c r="G23" s="151" t="e">
        <f t="shared" si="7"/>
        <v>#DIV/0!</v>
      </c>
      <c r="H23" s="151" t="e">
        <f t="shared" si="7"/>
        <v>#DIV/0!</v>
      </c>
      <c r="I23" s="151" t="e">
        <f t="shared" si="7"/>
        <v>#DIV/0!</v>
      </c>
      <c r="J23" s="151" t="e">
        <f t="shared" si="7"/>
        <v>#DIV/0!</v>
      </c>
      <c r="K23" s="152" t="e">
        <f t="shared" si="7"/>
        <v>#DIV/0!</v>
      </c>
      <c r="L23" s="133"/>
      <c r="M23" s="152" t="e">
        <f>SUM(M20:M22)</f>
        <v>#DIV/0!</v>
      </c>
      <c r="N23" s="152" t="e">
        <f>SUM(N20:N22)</f>
        <v>#DIV/0!</v>
      </c>
    </row>
    <row r="26" spans="2:16" s="18" customFormat="1">
      <c r="B26" s="383"/>
      <c r="C26" s="298"/>
    </row>
    <row r="27" spans="2:16">
      <c r="B27" s="432" t="s">
        <v>251</v>
      </c>
      <c r="C27" s="341"/>
      <c r="D27" s="175"/>
      <c r="E27" s="175"/>
      <c r="F27" s="175"/>
      <c r="G27" s="175"/>
      <c r="H27" s="175"/>
      <c r="I27" s="175"/>
      <c r="J27" s="175"/>
      <c r="K27" s="175"/>
      <c r="L27" s="433"/>
      <c r="M27" s="175"/>
      <c r="N27" s="175"/>
      <c r="O27" s="175"/>
    </row>
    <row r="28" spans="2:16">
      <c r="B28" s="156"/>
      <c r="L28" s="32"/>
    </row>
    <row r="29" spans="2:16">
      <c r="B29" s="207" t="s">
        <v>249</v>
      </c>
      <c r="C29" s="209" t="s">
        <v>250</v>
      </c>
      <c r="D29" s="134" t="e">
        <f t="shared" ref="D29:K38" si="8">D48/D$66</f>
        <v>#DIV/0!</v>
      </c>
      <c r="E29" s="135" t="e">
        <f t="shared" si="8"/>
        <v>#DIV/0!</v>
      </c>
      <c r="F29" s="135" t="e">
        <f t="shared" si="8"/>
        <v>#DIV/0!</v>
      </c>
      <c r="G29" s="135" t="e">
        <f t="shared" si="8"/>
        <v>#DIV/0!</v>
      </c>
      <c r="H29" s="135" t="e">
        <f t="shared" si="8"/>
        <v>#DIV/0!</v>
      </c>
      <c r="I29" s="135" t="e">
        <f t="shared" si="8"/>
        <v>#DIV/0!</v>
      </c>
      <c r="J29" s="135" t="e">
        <f t="shared" si="8"/>
        <v>#DIV/0!</v>
      </c>
      <c r="K29" s="136" t="e">
        <f t="shared" si="8"/>
        <v>#DIV/0!</v>
      </c>
      <c r="L29" s="132"/>
      <c r="M29" s="412" t="e">
        <f>AVERAGE(D48:INDEX(D48:K48,0,MATCH('RFPR cover'!$C$7,$D$6:$K$6,0)))/AVERAGE($D$66:INDEX($D$66:$K$66,0,MATCH('RFPR cover'!$C$7,$D$6:$K$6,0)))</f>
        <v>#DIV/0!</v>
      </c>
      <c r="N29" s="412" t="e">
        <f>AVERAGE(D48:K48)/AVERAGE($D$66:$K$66)</f>
        <v>#DIV/0!</v>
      </c>
      <c r="P29" s="270"/>
    </row>
    <row r="30" spans="2:16">
      <c r="B30" s="207" t="str">
        <f t="shared" ref="B30:B37" si="9">B49</f>
        <v>Totex outperformance</v>
      </c>
      <c r="C30" s="209" t="s">
        <v>250</v>
      </c>
      <c r="D30" s="134" t="e">
        <f t="shared" si="8"/>
        <v>#DIV/0!</v>
      </c>
      <c r="E30" s="135" t="e">
        <f t="shared" si="8"/>
        <v>#DIV/0!</v>
      </c>
      <c r="F30" s="135" t="e">
        <f t="shared" si="8"/>
        <v>#DIV/0!</v>
      </c>
      <c r="G30" s="135" t="e">
        <f t="shared" si="8"/>
        <v>#DIV/0!</v>
      </c>
      <c r="H30" s="135" t="e">
        <f t="shared" si="8"/>
        <v>#DIV/0!</v>
      </c>
      <c r="I30" s="135" t="e">
        <f t="shared" si="8"/>
        <v>#DIV/0!</v>
      </c>
      <c r="J30" s="135" t="e">
        <f t="shared" si="8"/>
        <v>#DIV/0!</v>
      </c>
      <c r="K30" s="136" t="e">
        <f t="shared" si="8"/>
        <v>#DIV/0!</v>
      </c>
      <c r="L30" s="132"/>
      <c r="M30" s="136" t="e">
        <f>AVERAGE(D49:INDEX(D49:K49,0,MATCH('RFPR cover'!$C$7,$D$6:$K$6,0)))/AVERAGE($D$66:INDEX($D$66:$K$66,0,MATCH('RFPR cover'!$C$7,$D$6:$K$6,0)))</f>
        <v>#DIV/0!</v>
      </c>
      <c r="N30" s="136" t="e">
        <f t="shared" ref="N30:N38" si="10">AVERAGE(D49:K49)/AVERAGE($D$66:$K$66)</f>
        <v>#DIV/0!</v>
      </c>
    </row>
    <row r="31" spans="2:16">
      <c r="B31" s="207" t="str">
        <f t="shared" si="9"/>
        <v>IQI Reward</v>
      </c>
      <c r="C31" s="209" t="s">
        <v>250</v>
      </c>
      <c r="D31" s="134" t="e">
        <f t="shared" si="8"/>
        <v>#DIV/0!</v>
      </c>
      <c r="E31" s="135" t="e">
        <f t="shared" si="8"/>
        <v>#DIV/0!</v>
      </c>
      <c r="F31" s="135" t="e">
        <f t="shared" si="8"/>
        <v>#DIV/0!</v>
      </c>
      <c r="G31" s="135" t="e">
        <f t="shared" si="8"/>
        <v>#DIV/0!</v>
      </c>
      <c r="H31" s="135" t="e">
        <f t="shared" si="8"/>
        <v>#DIV/0!</v>
      </c>
      <c r="I31" s="135" t="e">
        <f t="shared" si="8"/>
        <v>#DIV/0!</v>
      </c>
      <c r="J31" s="135" t="e">
        <f t="shared" si="8"/>
        <v>#DIV/0!</v>
      </c>
      <c r="K31" s="136" t="e">
        <f t="shared" si="8"/>
        <v>#DIV/0!</v>
      </c>
      <c r="L31" s="132"/>
      <c r="M31" s="136" t="e">
        <f>AVERAGE(D50:INDEX(D50:K50,0,MATCH('RFPR cover'!$C$7,$D$6:$K$6,0)))/AVERAGE($D$66:INDEX($D$66:$K$66,0,MATCH('RFPR cover'!$C$7,$D$6:$K$6,0)))</f>
        <v>#DIV/0!</v>
      </c>
      <c r="N31" s="136" t="e">
        <f t="shared" si="10"/>
        <v>#DIV/0!</v>
      </c>
    </row>
    <row r="32" spans="2:16">
      <c r="B32" s="207" t="str">
        <f t="shared" si="9"/>
        <v>Electricity Market Reform incentive revenue</v>
      </c>
      <c r="C32" s="209" t="s">
        <v>250</v>
      </c>
      <c r="D32" s="134" t="e">
        <f t="shared" si="8"/>
        <v>#DIV/0!</v>
      </c>
      <c r="E32" s="135" t="e">
        <f t="shared" si="8"/>
        <v>#DIV/0!</v>
      </c>
      <c r="F32" s="135" t="e">
        <f t="shared" si="8"/>
        <v>#DIV/0!</v>
      </c>
      <c r="G32" s="135" t="e">
        <f t="shared" si="8"/>
        <v>#DIV/0!</v>
      </c>
      <c r="H32" s="135" t="e">
        <f t="shared" si="8"/>
        <v>#DIV/0!</v>
      </c>
      <c r="I32" s="135" t="e">
        <f t="shared" si="8"/>
        <v>#DIV/0!</v>
      </c>
      <c r="J32" s="135" t="e">
        <f t="shared" si="8"/>
        <v>#DIV/0!</v>
      </c>
      <c r="K32" s="136" t="e">
        <f t="shared" si="8"/>
        <v>#DIV/0!</v>
      </c>
      <c r="L32" s="132"/>
      <c r="M32" s="136" t="e">
        <f>AVERAGE(D51:INDEX(D51:K51,0,MATCH('RFPR cover'!$C$7,$D$6:$K$6,0)))/AVERAGE($D$66:INDEX($D$66:$K$66,0,MATCH('RFPR cover'!$C$7,$D$6:$K$6,0)))</f>
        <v>#DIV/0!</v>
      </c>
      <c r="N32" s="136" t="e">
        <f t="shared" si="10"/>
        <v>#DIV/0!</v>
      </c>
    </row>
    <row r="33" spans="2:15">
      <c r="B33" s="207" t="str">
        <f t="shared" si="9"/>
        <v>Balancing Services Incentive Scheme</v>
      </c>
      <c r="C33" s="209" t="s">
        <v>250</v>
      </c>
      <c r="D33" s="134" t="e">
        <f t="shared" si="8"/>
        <v>#DIV/0!</v>
      </c>
      <c r="E33" s="135" t="e">
        <f t="shared" si="8"/>
        <v>#DIV/0!</v>
      </c>
      <c r="F33" s="135" t="e">
        <f t="shared" si="8"/>
        <v>#DIV/0!</v>
      </c>
      <c r="G33" s="135" t="e">
        <f t="shared" si="8"/>
        <v>#DIV/0!</v>
      </c>
      <c r="H33" s="135" t="e">
        <f t="shared" si="8"/>
        <v>#DIV/0!</v>
      </c>
      <c r="I33" s="135" t="e">
        <f t="shared" si="8"/>
        <v>#DIV/0!</v>
      </c>
      <c r="J33" s="135" t="e">
        <f t="shared" si="8"/>
        <v>#DIV/0!</v>
      </c>
      <c r="K33" s="136" t="e">
        <f t="shared" si="8"/>
        <v>#DIV/0!</v>
      </c>
      <c r="L33" s="132"/>
      <c r="M33" s="136" t="e">
        <f>AVERAGE(D52:INDEX(D52:K52,0,MATCH('RFPR cover'!$C$7,$D$6:$K$6,0)))/AVERAGE($D$66:INDEX($D$66:$K$66,0,MATCH('RFPR cover'!$C$7,$D$6:$K$6,0)))</f>
        <v>#DIV/0!</v>
      </c>
      <c r="N33" s="136" t="e">
        <f t="shared" si="10"/>
        <v>#DIV/0!</v>
      </c>
    </row>
    <row r="34" spans="2:15">
      <c r="B34" s="207" t="str">
        <f t="shared" si="9"/>
        <v>Renewable wind forecasting incentive</v>
      </c>
      <c r="C34" s="209" t="s">
        <v>250</v>
      </c>
      <c r="D34" s="134" t="e">
        <f t="shared" si="8"/>
        <v>#DIV/0!</v>
      </c>
      <c r="E34" s="135" t="e">
        <f t="shared" si="8"/>
        <v>#DIV/0!</v>
      </c>
      <c r="F34" s="135" t="e">
        <f t="shared" si="8"/>
        <v>#DIV/0!</v>
      </c>
      <c r="G34" s="135" t="e">
        <f t="shared" si="8"/>
        <v>#DIV/0!</v>
      </c>
      <c r="H34" s="135" t="e">
        <f t="shared" si="8"/>
        <v>#DIV/0!</v>
      </c>
      <c r="I34" s="135" t="e">
        <f t="shared" si="8"/>
        <v>#DIV/0!</v>
      </c>
      <c r="J34" s="135" t="e">
        <f t="shared" si="8"/>
        <v>#DIV/0!</v>
      </c>
      <c r="K34" s="136" t="e">
        <f t="shared" si="8"/>
        <v>#DIV/0!</v>
      </c>
      <c r="L34" s="132"/>
      <c r="M34" s="136" t="e">
        <f>AVERAGE(D53:INDEX(D53:K53,0,MATCH('RFPR cover'!$C$7,$D$6:$K$6,0)))/AVERAGE($D$66:INDEX($D$66:$K$66,0,MATCH('RFPR cover'!$C$7,$D$6:$K$6,0)))</f>
        <v>#DIV/0!</v>
      </c>
      <c r="N34" s="136" t="e">
        <f t="shared" si="10"/>
        <v>#DIV/0!</v>
      </c>
    </row>
    <row r="35" spans="2:15">
      <c r="B35" s="207" t="str">
        <f t="shared" si="9"/>
        <v>New ESO Incentive (FY19 onwards)</v>
      </c>
      <c r="C35" s="209" t="s">
        <v>250</v>
      </c>
      <c r="D35" s="134" t="e">
        <f t="shared" si="8"/>
        <v>#DIV/0!</v>
      </c>
      <c r="E35" s="135" t="e">
        <f t="shared" si="8"/>
        <v>#DIV/0!</v>
      </c>
      <c r="F35" s="135" t="e">
        <f t="shared" si="8"/>
        <v>#DIV/0!</v>
      </c>
      <c r="G35" s="135" t="e">
        <f t="shared" si="8"/>
        <v>#DIV/0!</v>
      </c>
      <c r="H35" s="135" t="e">
        <f t="shared" si="8"/>
        <v>#DIV/0!</v>
      </c>
      <c r="I35" s="135" t="e">
        <f t="shared" si="8"/>
        <v>#DIV/0!</v>
      </c>
      <c r="J35" s="135" t="e">
        <f t="shared" si="8"/>
        <v>#DIV/0!</v>
      </c>
      <c r="K35" s="136" t="e">
        <f t="shared" si="8"/>
        <v>#DIV/0!</v>
      </c>
      <c r="L35" s="132"/>
      <c r="M35" s="136" t="e">
        <f>AVERAGE(D54:INDEX(D54:K54,0,MATCH('RFPR cover'!$C$7,$D$6:$K$6,0)))/AVERAGE($D$66:INDEX($D$66:$K$66,0,MATCH('RFPR cover'!$C$7,$D$6:$K$6,0)))</f>
        <v>#DIV/0!</v>
      </c>
      <c r="N35" s="136" t="e">
        <f t="shared" si="10"/>
        <v>#DIV/0!</v>
      </c>
    </row>
    <row r="36" spans="2:15">
      <c r="B36" s="207" t="str">
        <f t="shared" si="9"/>
        <v/>
      </c>
      <c r="C36" s="209" t="s">
        <v>250</v>
      </c>
      <c r="D36" s="134" t="e">
        <f t="shared" si="8"/>
        <v>#DIV/0!</v>
      </c>
      <c r="E36" s="135" t="e">
        <f t="shared" si="8"/>
        <v>#DIV/0!</v>
      </c>
      <c r="F36" s="135" t="e">
        <f t="shared" si="8"/>
        <v>#DIV/0!</v>
      </c>
      <c r="G36" s="135" t="e">
        <f t="shared" si="8"/>
        <v>#DIV/0!</v>
      </c>
      <c r="H36" s="135" t="e">
        <f t="shared" si="8"/>
        <v>#DIV/0!</v>
      </c>
      <c r="I36" s="135" t="e">
        <f t="shared" si="8"/>
        <v>#DIV/0!</v>
      </c>
      <c r="J36" s="135" t="e">
        <f t="shared" si="8"/>
        <v>#DIV/0!</v>
      </c>
      <c r="K36" s="136" t="e">
        <f t="shared" si="8"/>
        <v>#DIV/0!</v>
      </c>
      <c r="L36" s="132"/>
      <c r="M36" s="136" t="e">
        <f>AVERAGE(D55:INDEX(D55:K55,0,MATCH('RFPR cover'!$C$7,$D$6:$K$6,0)))/AVERAGE($D$66:INDEX($D$66:$K$66,0,MATCH('RFPR cover'!$C$7,$D$6:$K$6,0)))</f>
        <v>#DIV/0!</v>
      </c>
      <c r="N36" s="136" t="e">
        <f t="shared" si="10"/>
        <v>#DIV/0!</v>
      </c>
    </row>
    <row r="37" spans="2:15">
      <c r="B37" s="207" t="str">
        <f t="shared" si="9"/>
        <v xml:space="preserve">Network Innovation </v>
      </c>
      <c r="C37" s="209" t="s">
        <v>250</v>
      </c>
      <c r="D37" s="134" t="e">
        <f t="shared" si="8"/>
        <v>#DIV/0!</v>
      </c>
      <c r="E37" s="135" t="e">
        <f t="shared" si="8"/>
        <v>#DIV/0!</v>
      </c>
      <c r="F37" s="135" t="e">
        <f t="shared" si="8"/>
        <v>#DIV/0!</v>
      </c>
      <c r="G37" s="135" t="e">
        <f t="shared" si="8"/>
        <v>#DIV/0!</v>
      </c>
      <c r="H37" s="135" t="e">
        <f t="shared" si="8"/>
        <v>#DIV/0!</v>
      </c>
      <c r="I37" s="135" t="e">
        <f t="shared" si="8"/>
        <v>#DIV/0!</v>
      </c>
      <c r="J37" s="135" t="e">
        <f t="shared" si="8"/>
        <v>#DIV/0!</v>
      </c>
      <c r="K37" s="136" t="e">
        <f t="shared" si="8"/>
        <v>#DIV/0!</v>
      </c>
      <c r="L37" s="132"/>
      <c r="M37" s="136" t="e">
        <f>AVERAGE(D56:INDEX(D56:K56,0,MATCH('RFPR cover'!$C$7,$D$6:$K$6,0)))/AVERAGE($D$66:INDEX($D$66:$K$66,0,MATCH('RFPR cover'!$C$7,$D$6:$K$6,0)))</f>
        <v>#DIV/0!</v>
      </c>
      <c r="N37" s="136" t="e">
        <f t="shared" si="10"/>
        <v>#DIV/0!</v>
      </c>
    </row>
    <row r="38" spans="2:15">
      <c r="B38" s="207" t="str">
        <f>B57</f>
        <v>Penalties and fines</v>
      </c>
      <c r="C38" s="209" t="s">
        <v>250</v>
      </c>
      <c r="D38" s="144" t="e">
        <f t="shared" si="8"/>
        <v>#DIV/0!</v>
      </c>
      <c r="E38" s="145" t="e">
        <f t="shared" si="8"/>
        <v>#DIV/0!</v>
      </c>
      <c r="F38" s="145" t="e">
        <f t="shared" si="8"/>
        <v>#DIV/0!</v>
      </c>
      <c r="G38" s="145" t="e">
        <f t="shared" si="8"/>
        <v>#DIV/0!</v>
      </c>
      <c r="H38" s="145" t="e">
        <f t="shared" si="8"/>
        <v>#DIV/0!</v>
      </c>
      <c r="I38" s="145" t="e">
        <f t="shared" si="8"/>
        <v>#DIV/0!</v>
      </c>
      <c r="J38" s="145" t="e">
        <f t="shared" si="8"/>
        <v>#DIV/0!</v>
      </c>
      <c r="K38" s="146" t="e">
        <f t="shared" si="8"/>
        <v>#DIV/0!</v>
      </c>
      <c r="L38" s="132"/>
      <c r="M38" s="146" t="e">
        <f>AVERAGE(D57:INDEX(D57:K57,0,MATCH('RFPR cover'!$C$7,$D$6:$K$6,0)))/AVERAGE($D$66:INDEX($D$66:$K$66,0,MATCH('RFPR cover'!$C$7,$D$6:$K$6,0)))</f>
        <v>#DIV/0!</v>
      </c>
      <c r="N38" s="146" t="e">
        <f t="shared" si="10"/>
        <v>#DIV/0!</v>
      </c>
    </row>
    <row r="39" spans="2:15">
      <c r="B39" s="208" t="str">
        <f>B58</f>
        <v>RoRE - Operational performance</v>
      </c>
      <c r="C39" s="209" t="s">
        <v>250</v>
      </c>
      <c r="D39" s="147" t="e">
        <f t="shared" ref="D39:K39" si="11">SUM(D29:D38)</f>
        <v>#DIV/0!</v>
      </c>
      <c r="E39" s="148" t="e">
        <f t="shared" si="11"/>
        <v>#DIV/0!</v>
      </c>
      <c r="F39" s="148" t="e">
        <f t="shared" si="11"/>
        <v>#DIV/0!</v>
      </c>
      <c r="G39" s="148" t="e">
        <f t="shared" si="11"/>
        <v>#DIV/0!</v>
      </c>
      <c r="H39" s="148" t="e">
        <f t="shared" si="11"/>
        <v>#DIV/0!</v>
      </c>
      <c r="I39" s="148" t="e">
        <f t="shared" si="11"/>
        <v>#DIV/0!</v>
      </c>
      <c r="J39" s="148" t="e">
        <f t="shared" si="11"/>
        <v>#DIV/0!</v>
      </c>
      <c r="K39" s="149" t="e">
        <f t="shared" si="11"/>
        <v>#DIV/0!</v>
      </c>
      <c r="L39" s="133"/>
      <c r="M39" s="149" t="e">
        <f>SUM(M29:M38)</f>
        <v>#DIV/0!</v>
      </c>
      <c r="N39" s="149" t="e">
        <f>SUM(N29:N38)</f>
        <v>#DIV/0!</v>
      </c>
    </row>
    <row r="40" spans="2:15">
      <c r="B40" s="207" t="s">
        <v>252</v>
      </c>
      <c r="C40" s="209" t="s">
        <v>250</v>
      </c>
      <c r="D40" s="134" t="e">
        <f>(D59+D60)/D$66</f>
        <v>#DIV/0!</v>
      </c>
      <c r="E40" s="135" t="e">
        <f t="shared" ref="E40:K40" si="12">(E59+E60)/E$66</f>
        <v>#DIV/0!</v>
      </c>
      <c r="F40" s="135" t="e">
        <f t="shared" si="12"/>
        <v>#DIV/0!</v>
      </c>
      <c r="G40" s="135" t="e">
        <f t="shared" si="12"/>
        <v>#DIV/0!</v>
      </c>
      <c r="H40" s="135" t="e">
        <f t="shared" si="12"/>
        <v>#DIV/0!</v>
      </c>
      <c r="I40" s="135" t="e">
        <f t="shared" si="12"/>
        <v>#DIV/0!</v>
      </c>
      <c r="J40" s="135" t="e">
        <f t="shared" si="12"/>
        <v>#DIV/0!</v>
      </c>
      <c r="K40" s="136" t="e">
        <f t="shared" si="12"/>
        <v>#DIV/0!</v>
      </c>
      <c r="L40" s="132"/>
      <c r="M40" s="136" t="e">
        <f>(AVERAGE(D59:INDEX(D59:K59,0,MATCH('RFPR cover'!$C$7,$D$6:$K$6,0)))+AVERAGE(D60:INDEX(D60:K60,0,MATCH('RFPR cover'!$C$7,$D$6:$K$6,0))))/AVERAGE($D$66:INDEX($D$66:$K$66,0,MATCH('RFPR cover'!$C$7,$D$6:$K$6,0)))</f>
        <v>#DIV/0!</v>
      </c>
      <c r="N40" s="136" t="e">
        <f>(AVERAGE(D59:K59)+AVERAGE(D60:K60))/AVERAGE($D$66:$K$66)</f>
        <v>#DIV/0!</v>
      </c>
    </row>
    <row r="41" spans="2:15">
      <c r="B41" s="207" t="s">
        <v>253</v>
      </c>
      <c r="C41" s="209" t="s">
        <v>250</v>
      </c>
      <c r="D41" s="134" t="e">
        <f>(D61+D62)/D$66</f>
        <v>#DIV/0!</v>
      </c>
      <c r="E41" s="135" t="e">
        <f t="shared" ref="E41:K41" si="13">(E61+E62)/E$66</f>
        <v>#DIV/0!</v>
      </c>
      <c r="F41" s="135" t="e">
        <f t="shared" si="13"/>
        <v>#DIV/0!</v>
      </c>
      <c r="G41" s="135" t="e">
        <f t="shared" si="13"/>
        <v>#DIV/0!</v>
      </c>
      <c r="H41" s="135" t="e">
        <f t="shared" si="13"/>
        <v>#DIV/0!</v>
      </c>
      <c r="I41" s="135" t="e">
        <f t="shared" si="13"/>
        <v>#DIV/0!</v>
      </c>
      <c r="J41" s="135" t="e">
        <f t="shared" si="13"/>
        <v>#DIV/0!</v>
      </c>
      <c r="K41" s="136" t="e">
        <f t="shared" si="13"/>
        <v>#DIV/0!</v>
      </c>
      <c r="L41" s="132"/>
      <c r="M41" s="136" t="e">
        <f>(AVERAGE(D61:INDEX(D61:K61,0,MATCH('RFPR cover'!$C$7,$D$6:$K$6,0)))+AVERAGE(D62:INDEX(D62:K62,0,MATCH('RFPR cover'!$C$7,$D$6:$K$6,0))))/AVERAGE($D$66:INDEX($D$66:$K$66,0,MATCH('RFPR cover'!$C$7,$D$6:$K$6,0)))</f>
        <v>#DIV/0!</v>
      </c>
      <c r="N41" s="136" t="e">
        <f>(AVERAGE(D61:K61)+AVERAGE(D62:K62))/AVERAGE($D$66:$K$66)</f>
        <v>#DIV/0!</v>
      </c>
    </row>
    <row r="42" spans="2:15">
      <c r="B42" s="208" t="str">
        <f>B63</f>
        <v>RoRE - including financing and tax</v>
      </c>
      <c r="C42" s="209" t="s">
        <v>250</v>
      </c>
      <c r="D42" s="150" t="e">
        <f>SUM(D39:D41)</f>
        <v>#DIV/0!</v>
      </c>
      <c r="E42" s="151" t="e">
        <f t="shared" ref="E42:K42" si="14">SUM(E39:E41)</f>
        <v>#DIV/0!</v>
      </c>
      <c r="F42" s="151" t="e">
        <f t="shared" si="14"/>
        <v>#DIV/0!</v>
      </c>
      <c r="G42" s="151" t="e">
        <f t="shared" si="14"/>
        <v>#DIV/0!</v>
      </c>
      <c r="H42" s="151" t="e">
        <f t="shared" si="14"/>
        <v>#DIV/0!</v>
      </c>
      <c r="I42" s="151" t="e">
        <f t="shared" si="14"/>
        <v>#DIV/0!</v>
      </c>
      <c r="J42" s="151" t="e">
        <f t="shared" si="14"/>
        <v>#DIV/0!</v>
      </c>
      <c r="K42" s="152" t="e">
        <f t="shared" si="14"/>
        <v>#DIV/0!</v>
      </c>
      <c r="L42" s="133"/>
      <c r="M42" s="152" t="e">
        <f>SUM(M39:M41)</f>
        <v>#DIV/0!</v>
      </c>
      <c r="N42" s="152" t="e">
        <f>SUM(N39:N41)</f>
        <v>#DIV/0!</v>
      </c>
    </row>
    <row r="43" spans="2:15" s="18" customFormat="1">
      <c r="B43" s="384"/>
      <c r="C43" s="385"/>
      <c r="D43" s="386"/>
      <c r="E43" s="386"/>
      <c r="F43" s="386"/>
      <c r="G43" s="386"/>
      <c r="H43" s="386"/>
      <c r="I43" s="386"/>
      <c r="J43" s="386"/>
      <c r="K43" s="386"/>
      <c r="L43" s="387"/>
      <c r="M43" s="386"/>
      <c r="N43" s="386"/>
    </row>
    <row r="44" spans="2:15" s="18" customFormat="1">
      <c r="B44" s="384"/>
      <c r="C44" s="385"/>
      <c r="D44" s="386"/>
      <c r="E44" s="386"/>
      <c r="F44" s="386"/>
      <c r="G44" s="386"/>
      <c r="H44" s="386"/>
      <c r="I44" s="386"/>
      <c r="J44" s="386"/>
      <c r="K44" s="386"/>
      <c r="L44" s="387"/>
      <c r="M44" s="386"/>
      <c r="N44" s="386"/>
    </row>
    <row r="45" spans="2:15" s="18" customFormat="1">
      <c r="B45" s="426" t="s">
        <v>254</v>
      </c>
      <c r="C45" s="427"/>
      <c r="D45" s="428"/>
      <c r="E45" s="428"/>
      <c r="F45" s="428"/>
      <c r="G45" s="428"/>
      <c r="H45" s="428"/>
      <c r="I45" s="428"/>
      <c r="J45" s="428"/>
      <c r="K45" s="428"/>
      <c r="L45" s="429"/>
      <c r="M45" s="428"/>
      <c r="N45" s="428"/>
      <c r="O45" s="175"/>
    </row>
    <row r="46" spans="2:15" s="18" customFormat="1">
      <c r="B46" s="431" t="str">
        <f>"Input values provided in "&amp;'RFPR cover'!C14&amp;" prices"</f>
        <v>Input values provided in £m 09/10 prices</v>
      </c>
      <c r="C46" s="430"/>
      <c r="D46" s="430"/>
      <c r="E46" s="430"/>
      <c r="F46" s="430"/>
      <c r="G46" s="430"/>
      <c r="H46" s="430"/>
      <c r="I46" s="430"/>
      <c r="J46" s="430"/>
      <c r="K46" s="430"/>
      <c r="L46" s="430"/>
      <c r="M46" s="430"/>
      <c r="N46" s="430"/>
      <c r="O46" s="430"/>
    </row>
    <row r="48" spans="2:15">
      <c r="B48" s="202" t="s">
        <v>255</v>
      </c>
      <c r="C48" s="285" t="str">
        <f>'RFPR cover'!$C$14</f>
        <v>£m 09/10</v>
      </c>
      <c r="D48" s="137"/>
      <c r="E48" s="138"/>
      <c r="F48" s="138"/>
      <c r="G48" s="138"/>
      <c r="H48" s="138"/>
      <c r="I48" s="138"/>
      <c r="J48" s="138"/>
      <c r="K48" s="139"/>
      <c r="M48" s="68">
        <f>SUM(D48:INDEX(D48:K48,0,MATCH('RFPR cover'!$C$7,$D$6:$K$6,0)))</f>
        <v>0</v>
      </c>
      <c r="N48" s="68">
        <f>SUM(D48:K48)</f>
        <v>0</v>
      </c>
    </row>
    <row r="49" spans="2:14">
      <c r="B49" s="202" t="s">
        <v>256</v>
      </c>
      <c r="C49" s="285" t="str">
        <f>'RFPR cover'!$C$14</f>
        <v>£m 09/10</v>
      </c>
      <c r="D49" s="206"/>
      <c r="E49" s="206"/>
      <c r="F49" s="206"/>
      <c r="G49" s="206"/>
      <c r="H49" s="206"/>
      <c r="I49" s="206"/>
      <c r="J49" s="206"/>
      <c r="K49" s="206"/>
      <c r="M49" s="68">
        <f>SUM(D49:INDEX(D49:K49,0,MATCH('RFPR cover'!$C$7,$D$6:$K$6,0)))</f>
        <v>0</v>
      </c>
      <c r="N49" s="68">
        <f>SUM(D49:K49)</f>
        <v>0</v>
      </c>
    </row>
    <row r="50" spans="2:14">
      <c r="B50" s="204" t="s">
        <v>257</v>
      </c>
      <c r="C50" s="285" t="str">
        <f>'RFPR cover'!$C$14</f>
        <v>£m 09/10</v>
      </c>
      <c r="D50" s="198"/>
      <c r="E50" s="140"/>
      <c r="F50" s="140"/>
      <c r="G50" s="140"/>
      <c r="H50" s="140"/>
      <c r="I50" s="140"/>
      <c r="J50" s="140"/>
      <c r="K50" s="141"/>
      <c r="M50" s="68">
        <f>SUM(D50:INDEX(D50:K50,0,MATCH('RFPR cover'!$C$7,$D$6:$K$6,0)))</f>
        <v>0</v>
      </c>
      <c r="N50" s="68">
        <f t="shared" ref="N50:N57" si="15">SUM(D50:K50)</f>
        <v>0</v>
      </c>
    </row>
    <row r="51" spans="2:14">
      <c r="B51" s="205" t="str">
        <f>'R5 - Output Incentives'!B39</f>
        <v>Electricity Market Reform incentive revenue</v>
      </c>
      <c r="C51" s="285" t="str">
        <f>'RFPR cover'!$C$14</f>
        <v>£m 09/10</v>
      </c>
      <c r="D51" s="198"/>
      <c r="E51" s="140"/>
      <c r="F51" s="140"/>
      <c r="G51" s="140"/>
      <c r="H51" s="140"/>
      <c r="I51" s="140"/>
      <c r="J51" s="140"/>
      <c r="K51" s="141"/>
      <c r="M51" s="68">
        <f>SUM(D51:INDEX(D51:K51,0,MATCH('RFPR cover'!$C$7,$D$6:$K$6,0)))</f>
        <v>0</v>
      </c>
      <c r="N51" s="68">
        <f t="shared" si="15"/>
        <v>0</v>
      </c>
    </row>
    <row r="52" spans="2:14">
      <c r="B52" s="205" t="str">
        <f>'R5 - Output Incentives'!B40</f>
        <v>Balancing Services Incentive Scheme</v>
      </c>
      <c r="C52" s="285" t="str">
        <f>'RFPR cover'!$C$14</f>
        <v>£m 09/10</v>
      </c>
      <c r="D52" s="198"/>
      <c r="E52" s="140"/>
      <c r="F52" s="140"/>
      <c r="G52" s="140"/>
      <c r="H52" s="140"/>
      <c r="I52" s="140"/>
      <c r="J52" s="140"/>
      <c r="K52" s="141"/>
      <c r="M52" s="68">
        <f>SUM(D52:INDEX(D52:K52,0,MATCH('RFPR cover'!$C$7,$D$6:$K$6,0)))</f>
        <v>0</v>
      </c>
      <c r="N52" s="68">
        <f t="shared" si="15"/>
        <v>0</v>
      </c>
    </row>
    <row r="53" spans="2:14">
      <c r="B53" s="205" t="str">
        <f>'R5 - Output Incentives'!B41</f>
        <v>Renewable wind forecasting incentive</v>
      </c>
      <c r="C53" s="285" t="str">
        <f>'RFPR cover'!$C$14</f>
        <v>£m 09/10</v>
      </c>
      <c r="D53" s="198"/>
      <c r="E53" s="140"/>
      <c r="F53" s="140"/>
      <c r="G53" s="140"/>
      <c r="H53" s="140"/>
      <c r="I53" s="140"/>
      <c r="J53" s="140"/>
      <c r="K53" s="141"/>
      <c r="M53" s="68">
        <f>SUM(D53:INDEX(D53:K53,0,MATCH('RFPR cover'!$C$7,$D$6:$K$6,0)))</f>
        <v>0</v>
      </c>
      <c r="N53" s="68">
        <f t="shared" si="15"/>
        <v>0</v>
      </c>
    </row>
    <row r="54" spans="2:14">
      <c r="B54" s="205" t="str">
        <f>'R5 - Output Incentives'!B42</f>
        <v>New ESO Incentive (FY19 onwards)</v>
      </c>
      <c r="C54" s="285" t="str">
        <f>'RFPR cover'!$C$14</f>
        <v>£m 09/10</v>
      </c>
      <c r="D54" s="198"/>
      <c r="E54" s="140"/>
      <c r="F54" s="140"/>
      <c r="G54" s="140"/>
      <c r="H54" s="140"/>
      <c r="I54" s="140"/>
      <c r="J54" s="140"/>
      <c r="K54" s="141"/>
      <c r="M54" s="68">
        <f>SUM(D54:INDEX(D54:K54,0,MATCH('RFPR cover'!$C$7,$D$6:$K$6,0)))</f>
        <v>0</v>
      </c>
      <c r="N54" s="68">
        <f t="shared" si="15"/>
        <v>0</v>
      </c>
    </row>
    <row r="55" spans="2:14">
      <c r="B55" s="205" t="str">
        <f>'R5 - Output Incentives'!B43</f>
        <v/>
      </c>
      <c r="C55" s="285" t="str">
        <f>'RFPR cover'!$C$14</f>
        <v>£m 09/10</v>
      </c>
      <c r="D55" s="198"/>
      <c r="E55" s="140"/>
      <c r="F55" s="140"/>
      <c r="G55" s="140"/>
      <c r="H55" s="140"/>
      <c r="I55" s="140"/>
      <c r="J55" s="140"/>
      <c r="K55" s="141"/>
      <c r="M55" s="68">
        <f>SUM(D55:INDEX(D55:K55,0,MATCH('RFPR cover'!$C$7,$D$6:$K$6,0)))</f>
        <v>0</v>
      </c>
      <c r="N55" s="68">
        <f t="shared" si="15"/>
        <v>0</v>
      </c>
    </row>
    <row r="56" spans="2:14">
      <c r="B56" s="202" t="s">
        <v>258</v>
      </c>
      <c r="C56" s="285" t="str">
        <f>'RFPR cover'!$C$14</f>
        <v>£m 09/10</v>
      </c>
      <c r="D56" s="198"/>
      <c r="E56" s="140"/>
      <c r="F56" s="140"/>
      <c r="G56" s="140"/>
      <c r="H56" s="140"/>
      <c r="I56" s="140"/>
      <c r="J56" s="140"/>
      <c r="K56" s="141"/>
      <c r="M56" s="68">
        <f>SUM(D56:INDEX(D56:K56,0,MATCH('RFPR cover'!$C$7,$D$6:$K$6,0)))</f>
        <v>0</v>
      </c>
      <c r="N56" s="68">
        <f t="shared" si="15"/>
        <v>0</v>
      </c>
    </row>
    <row r="57" spans="2:14">
      <c r="B57" s="202" t="s">
        <v>259</v>
      </c>
      <c r="C57" s="285" t="str">
        <f>'RFPR cover'!$C$14</f>
        <v>£m 09/10</v>
      </c>
      <c r="D57" s="199"/>
      <c r="E57" s="199"/>
      <c r="F57" s="199"/>
      <c r="G57" s="199"/>
      <c r="H57" s="199"/>
      <c r="I57" s="199"/>
      <c r="J57" s="199"/>
      <c r="K57" s="199"/>
      <c r="M57" s="68">
        <f>SUM(D57:INDEX(D57:K57,0,MATCH('RFPR cover'!$C$7,$D$6:$K$6,0)))</f>
        <v>0</v>
      </c>
      <c r="N57" s="68">
        <f t="shared" si="15"/>
        <v>0</v>
      </c>
    </row>
    <row r="58" spans="2:14">
      <c r="B58" s="203" t="s">
        <v>260</v>
      </c>
      <c r="C58" s="285" t="str">
        <f>'RFPR cover'!$C$14</f>
        <v>£m 09/10</v>
      </c>
      <c r="D58" s="200">
        <f t="shared" ref="D58:K58" si="16">SUM(D48:D57)</f>
        <v>0</v>
      </c>
      <c r="E58" s="105">
        <f t="shared" si="16"/>
        <v>0</v>
      </c>
      <c r="F58" s="105">
        <f t="shared" si="16"/>
        <v>0</v>
      </c>
      <c r="G58" s="105">
        <f t="shared" si="16"/>
        <v>0</v>
      </c>
      <c r="H58" s="105">
        <f t="shared" si="16"/>
        <v>0</v>
      </c>
      <c r="I58" s="105">
        <f t="shared" si="16"/>
        <v>0</v>
      </c>
      <c r="J58" s="105">
        <f t="shared" si="16"/>
        <v>0</v>
      </c>
      <c r="K58" s="106">
        <f t="shared" si="16"/>
        <v>0</v>
      </c>
      <c r="M58" s="104">
        <f>SUM(M48:M57)</f>
        <v>0</v>
      </c>
      <c r="N58" s="106">
        <f>SUM(N48:N57)</f>
        <v>0</v>
      </c>
    </row>
    <row r="59" spans="2:14">
      <c r="B59" s="202" t="s">
        <v>261</v>
      </c>
      <c r="C59" s="285" t="str">
        <f>'RFPR cover'!$C$14</f>
        <v>£m 09/10</v>
      </c>
      <c r="D59" s="198"/>
      <c r="E59" s="198"/>
      <c r="F59" s="198"/>
      <c r="G59" s="198"/>
      <c r="H59" s="198"/>
      <c r="I59" s="198"/>
      <c r="J59" s="198"/>
      <c r="K59" s="198"/>
      <c r="M59" s="68">
        <f>SUM(D59:INDEX(D59:K59,0,MATCH('RFPR cover'!$C$7,$D$6:$K$6,0)))</f>
        <v>0</v>
      </c>
      <c r="N59" s="68">
        <f>SUM(D59:K59)</f>
        <v>0</v>
      </c>
    </row>
    <row r="60" spans="2:14">
      <c r="B60" s="202" t="s">
        <v>262</v>
      </c>
      <c r="C60" s="285" t="str">
        <f>'RFPR cover'!$C$14</f>
        <v>£m 09/10</v>
      </c>
      <c r="D60" s="198"/>
      <c r="E60" s="198"/>
      <c r="F60" s="198"/>
      <c r="G60" s="198"/>
      <c r="H60" s="198"/>
      <c r="I60" s="198"/>
      <c r="J60" s="198"/>
      <c r="K60" s="198"/>
      <c r="M60" s="68">
        <f>SUM(D60:INDEX(D60:K60,0,MATCH('RFPR cover'!$C$7,$D$6:$K$6,0)))</f>
        <v>0</v>
      </c>
      <c r="N60" s="68">
        <f>SUM(D60:K60)</f>
        <v>0</v>
      </c>
    </row>
    <row r="61" spans="2:14">
      <c r="B61" s="202" t="s">
        <v>263</v>
      </c>
      <c r="C61" s="285" t="str">
        <f>'RFPR cover'!$C$14</f>
        <v>£m 09/10</v>
      </c>
      <c r="D61" s="198"/>
      <c r="E61" s="198"/>
      <c r="F61" s="198"/>
      <c r="G61" s="198"/>
      <c r="H61" s="198"/>
      <c r="I61" s="198"/>
      <c r="J61" s="198"/>
      <c r="K61" s="198"/>
      <c r="M61" s="68">
        <f>SUM(D61:INDEX(D61:K61,0,MATCH('RFPR cover'!$C$7,$D$6:$K$6,0)))</f>
        <v>0</v>
      </c>
      <c r="N61" s="68">
        <f>SUM(D61:K61)</f>
        <v>0</v>
      </c>
    </row>
    <row r="62" spans="2:14">
      <c r="B62" s="202" t="s">
        <v>264</v>
      </c>
      <c r="C62" s="285" t="str">
        <f>'RFPR cover'!$C$14</f>
        <v>£m 09/10</v>
      </c>
      <c r="D62" s="198"/>
      <c r="E62" s="198"/>
      <c r="F62" s="198"/>
      <c r="G62" s="198"/>
      <c r="H62" s="198"/>
      <c r="I62" s="198"/>
      <c r="J62" s="198"/>
      <c r="K62" s="198"/>
      <c r="M62" s="68">
        <f>SUM(D62:INDEX(D62:K62,0,MATCH('RFPR cover'!$C$7,$D$6:$K$6,0)))</f>
        <v>0</v>
      </c>
      <c r="N62" s="68">
        <f>SUM(D62:K62)</f>
        <v>0</v>
      </c>
    </row>
    <row r="63" spans="2:14">
      <c r="B63" s="203" t="s">
        <v>265</v>
      </c>
      <c r="C63" s="285" t="str">
        <f>'RFPR cover'!$C$14</f>
        <v>£m 09/10</v>
      </c>
      <c r="D63" s="873">
        <f>SUM(D58:D62)</f>
        <v>0</v>
      </c>
      <c r="E63" s="108">
        <f t="shared" ref="E63:K63" si="17">SUM(E58:E62)</f>
        <v>0</v>
      </c>
      <c r="F63" s="108">
        <f t="shared" si="17"/>
        <v>0</v>
      </c>
      <c r="G63" s="108">
        <f t="shared" si="17"/>
        <v>0</v>
      </c>
      <c r="H63" s="108">
        <f t="shared" si="17"/>
        <v>0</v>
      </c>
      <c r="I63" s="108">
        <f t="shared" si="17"/>
        <v>0</v>
      </c>
      <c r="J63" s="108">
        <f t="shared" si="17"/>
        <v>0</v>
      </c>
      <c r="K63" s="109">
        <f t="shared" si="17"/>
        <v>0</v>
      </c>
      <c r="M63" s="107">
        <f>SUM(M58:M62)</f>
        <v>0</v>
      </c>
      <c r="N63" s="109">
        <f>SUM(N58:N62)</f>
        <v>0</v>
      </c>
    </row>
    <row r="64" spans="2:14">
      <c r="B64" s="202"/>
      <c r="D64" s="869"/>
    </row>
    <row r="65" spans="2:11">
      <c r="B65" s="202" t="s">
        <v>266</v>
      </c>
      <c r="C65" s="285" t="str">
        <f>'RFPR cover'!$C$14</f>
        <v>£m 09/10</v>
      </c>
      <c r="D65" s="197"/>
      <c r="E65" s="138"/>
      <c r="F65" s="138"/>
      <c r="G65" s="138"/>
      <c r="H65" s="138"/>
      <c r="I65" s="138"/>
      <c r="J65" s="138"/>
      <c r="K65" s="139"/>
    </row>
    <row r="66" spans="2:11">
      <c r="B66" s="202" t="s">
        <v>267</v>
      </c>
      <c r="C66" s="285" t="str">
        <f>'RFPR cover'!$C$14</f>
        <v>£m 09/10</v>
      </c>
      <c r="D66" s="201"/>
      <c r="E66" s="142"/>
      <c r="F66" s="142"/>
      <c r="G66" s="142"/>
      <c r="H66" s="142"/>
      <c r="I66" s="142"/>
      <c r="J66" s="142"/>
      <c r="K66" s="143"/>
    </row>
  </sheetData>
  <sheetProtection algorithmName="SHA-512" hashValue="xIIJXfYXKAZ/pRXvVRg2y/u8DwWYntkvJweuvcu1u+WSgA6BMOmc7H7NepfXTLdrs3MyNKGe1ugsXUrhjnBHbg==" saltValue="d3a5KGzG7zoii/I+k/jfnQ==" spinCount="100000" sheet="1" formatCells="0" formatColumns="0" formatRows="0" insertColumns="0" insertRows="0" insertHyperlinks="0" deleteColumns="0" deleteRows="0" sort="0" autoFilter="0" pivotTables="0"/>
  <conditionalFormatting sqref="D5:K6">
    <cfRule type="expression" dxfId="75"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L71"/>
  <sheetViews>
    <sheetView showGridLines="0" zoomScale="80" zoomScaleNormal="80" workbookViewId="0">
      <pane ySplit="6" topLeftCell="A7" activePane="bottomLeft" state="frozen"/>
      <selection activeCell="B75" sqref="A1:XFD1048576"/>
      <selection pane="bottomLeft" activeCell="M18" sqref="M18"/>
    </sheetView>
  </sheetViews>
  <sheetFormatPr defaultRowHeight="12.75"/>
  <cols>
    <col min="1" max="1" width="8.375" customWidth="1"/>
    <col min="2" max="2" width="64.375" style="171" customWidth="1"/>
    <col min="3" max="3" width="13.375" style="98" customWidth="1"/>
    <col min="4" max="11" width="11.125" customWidth="1"/>
    <col min="12" max="12" width="5" style="28" customWidth="1"/>
  </cols>
  <sheetData>
    <row r="1" spans="1:12" s="18" customFormat="1" ht="20.25">
      <c r="A1" s="856" t="s">
        <v>199</v>
      </c>
      <c r="B1" s="736"/>
      <c r="C1" s="229"/>
      <c r="D1" s="228"/>
      <c r="E1" s="228"/>
      <c r="F1" s="228"/>
      <c r="G1" s="228"/>
      <c r="H1" s="228"/>
      <c r="I1" s="228"/>
      <c r="J1" s="228"/>
      <c r="K1" s="228"/>
      <c r="L1" s="874"/>
    </row>
    <row r="2" spans="1:12" s="18" customFormat="1" ht="20.25">
      <c r="A2" s="725" t="str">
        <f>'RFPR cover'!C5</f>
        <v>NGET (SO)</v>
      </c>
      <c r="B2" s="737"/>
      <c r="C2" s="97"/>
      <c r="D2" s="16"/>
      <c r="E2" s="16"/>
      <c r="F2" s="16"/>
      <c r="G2" s="16"/>
      <c r="H2" s="16"/>
      <c r="I2" s="15"/>
      <c r="J2" s="15"/>
      <c r="K2" s="15"/>
      <c r="L2" s="93"/>
    </row>
    <row r="3" spans="1:12" s="18" customFormat="1" ht="20.25">
      <c r="A3" s="728">
        <f>'RFPR cover'!C7</f>
        <v>2020</v>
      </c>
      <c r="B3" s="738"/>
      <c r="C3" s="230"/>
      <c r="D3" s="214"/>
      <c r="E3" s="214"/>
      <c r="F3" s="214"/>
      <c r="G3" s="214"/>
      <c r="H3" s="214"/>
      <c r="I3" s="210"/>
      <c r="J3" s="210"/>
      <c r="K3" s="210"/>
      <c r="L3" s="215"/>
    </row>
    <row r="4" spans="1:12" s="21" customFormat="1" ht="12.75" customHeight="1">
      <c r="B4" s="183"/>
      <c r="C4" s="100"/>
      <c r="L4" s="41"/>
    </row>
    <row r="5" spans="1:12" s="2" customFormat="1">
      <c r="B5" s="94"/>
      <c r="C5" s="98"/>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c r="L5" s="37"/>
    </row>
    <row r="6" spans="1:12" s="2" customFormat="1">
      <c r="B6" s="94"/>
      <c r="C6" s="98"/>
      <c r="D6" s="63">
        <f>'RFPR cover'!$C$13</f>
        <v>2014</v>
      </c>
      <c r="E6" s="64">
        <f>D6+1</f>
        <v>2015</v>
      </c>
      <c r="F6" s="64">
        <f t="shared" ref="F6:K6" si="0">E6+1</f>
        <v>2016</v>
      </c>
      <c r="G6" s="64">
        <f t="shared" si="0"/>
        <v>2017</v>
      </c>
      <c r="H6" s="64">
        <f t="shared" si="0"/>
        <v>2018</v>
      </c>
      <c r="I6" s="64">
        <f t="shared" si="0"/>
        <v>2019</v>
      </c>
      <c r="J6" s="64">
        <f t="shared" si="0"/>
        <v>2020</v>
      </c>
      <c r="K6" s="64">
        <f t="shared" si="0"/>
        <v>2021</v>
      </c>
      <c r="L6" s="37"/>
    </row>
    <row r="7" spans="1:12" s="2" customFormat="1">
      <c r="B7" s="612"/>
      <c r="C7" s="112"/>
      <c r="D7" s="33"/>
      <c r="E7" s="33"/>
      <c r="F7" s="33"/>
      <c r="G7" s="33"/>
      <c r="H7" s="33"/>
      <c r="I7" s="33"/>
      <c r="J7" s="33"/>
      <c r="K7" s="33"/>
      <c r="L7" s="41"/>
    </row>
    <row r="8" spans="1:12" s="2" customFormat="1">
      <c r="B8" s="613" t="s">
        <v>300</v>
      </c>
      <c r="C8" s="110"/>
      <c r="D8" s="60"/>
      <c r="E8" s="60"/>
      <c r="F8" s="60"/>
      <c r="G8" s="60"/>
      <c r="H8" s="60"/>
      <c r="I8" s="60"/>
      <c r="J8" s="60"/>
      <c r="K8" s="60"/>
      <c r="L8" s="226"/>
    </row>
    <row r="9" spans="1:12" s="21" customFormat="1">
      <c r="A9" s="2"/>
      <c r="B9" s="614"/>
      <c r="C9" s="100"/>
      <c r="L9" s="41"/>
    </row>
    <row r="10" spans="1:12" s="2" customFormat="1">
      <c r="B10" s="615" t="s">
        <v>301</v>
      </c>
      <c r="C10" s="111" t="str">
        <f>'RFPR cover'!$C$14</f>
        <v>£m 09/10</v>
      </c>
      <c r="D10" s="492">
        <v>113.976</v>
      </c>
      <c r="E10" s="492">
        <v>113.533</v>
      </c>
      <c r="F10" s="492">
        <v>114.357</v>
      </c>
      <c r="G10" s="492">
        <v>116.705</v>
      </c>
      <c r="H10" s="492">
        <v>122.833</v>
      </c>
      <c r="I10" s="492">
        <v>117.524</v>
      </c>
      <c r="J10" s="492">
        <v>124.73099999999999</v>
      </c>
      <c r="K10" s="493"/>
      <c r="L10" s="957"/>
    </row>
    <row r="11" spans="1:12" s="2" customFormat="1">
      <c r="B11" s="615" t="s">
        <v>302</v>
      </c>
      <c r="C11" s="111" t="str">
        <f>'RFPR cover'!$C$14</f>
        <v>£m 09/10</v>
      </c>
      <c r="D11" s="947">
        <v>0</v>
      </c>
      <c r="E11" s="492">
        <v>3.7</v>
      </c>
      <c r="F11" s="492">
        <v>6</v>
      </c>
      <c r="G11" s="492">
        <v>20.9</v>
      </c>
      <c r="H11" s="492">
        <v>9.1999999999999993</v>
      </c>
      <c r="I11" s="492">
        <v>30.1</v>
      </c>
      <c r="J11" s="492">
        <v>97</v>
      </c>
      <c r="K11" s="495"/>
      <c r="L11" s="957"/>
    </row>
    <row r="12" spans="1:12" s="2" customFormat="1">
      <c r="B12" s="615" t="s">
        <v>303</v>
      </c>
      <c r="C12" s="111" t="str">
        <f>'RFPR cover'!$C$14</f>
        <v>£m 09/10</v>
      </c>
      <c r="D12" s="947">
        <v>0</v>
      </c>
      <c r="E12" s="492">
        <v>-3.9893144200247609E-2</v>
      </c>
      <c r="F12" s="492">
        <v>0.42654856661829127</v>
      </c>
      <c r="G12" s="492">
        <v>-1.8113784597047438</v>
      </c>
      <c r="H12" s="492">
        <v>-2.7317247502935995</v>
      </c>
      <c r="I12" s="492">
        <v>-0.56794503895226711</v>
      </c>
      <c r="J12" s="492">
        <v>0.32976036999645519</v>
      </c>
      <c r="K12" s="495"/>
      <c r="L12" s="957"/>
    </row>
    <row r="13" spans="1:12" s="2" customFormat="1">
      <c r="B13" s="615" t="s">
        <v>304</v>
      </c>
      <c r="C13" s="112" t="s">
        <v>296</v>
      </c>
      <c r="D13" s="492">
        <v>1.163</v>
      </c>
      <c r="E13" s="492">
        <v>1.2050000000000001</v>
      </c>
      <c r="F13" s="492">
        <v>1.2270000000000001</v>
      </c>
      <c r="G13" s="492">
        <v>1.2330000000000001</v>
      </c>
      <c r="H13" s="492">
        <v>1.2709999999999999</v>
      </c>
      <c r="I13" s="492">
        <v>1.3140000000000001</v>
      </c>
      <c r="J13" s="492">
        <v>1.3580000000000001</v>
      </c>
      <c r="K13" s="656"/>
      <c r="L13" s="957"/>
    </row>
    <row r="14" spans="1:12" s="2" customFormat="1">
      <c r="B14" s="616" t="s">
        <v>305</v>
      </c>
      <c r="C14" s="220" t="s">
        <v>297</v>
      </c>
      <c r="D14" s="521">
        <f>SUM(D10:D12)*D13</f>
        <v>132.55408800000001</v>
      </c>
      <c r="E14" s="522">
        <f t="shared" ref="E14:K14" si="1">SUM(E10:E12)*E13</f>
        <v>141.21769376123871</v>
      </c>
      <c r="F14" s="522">
        <f t="shared" si="1"/>
        <v>148.20141409124065</v>
      </c>
      <c r="G14" s="522">
        <f t="shared" si="1"/>
        <v>167.43353535918405</v>
      </c>
      <c r="H14" s="522">
        <f t="shared" si="1"/>
        <v>164.34192084237679</v>
      </c>
      <c r="I14" s="522">
        <f t="shared" si="1"/>
        <v>193.23165621881671</v>
      </c>
      <c r="J14" s="522">
        <f t="shared" si="1"/>
        <v>301.55851258245519</v>
      </c>
      <c r="K14" s="908">
        <f t="shared" si="1"/>
        <v>0</v>
      </c>
      <c r="L14" s="41"/>
    </row>
    <row r="15" spans="1:12" s="2" customFormat="1">
      <c r="B15" s="171" t="s">
        <v>306</v>
      </c>
      <c r="C15" s="112" t="s">
        <v>297</v>
      </c>
      <c r="D15" s="902">
        <f>'R5 - Output Incentives'!D102</f>
        <v>22.55772055000001</v>
      </c>
      <c r="E15" s="903">
        <f>'R5 - Output Incentives'!E102</f>
        <v>25.724950852999999</v>
      </c>
      <c r="F15" s="904">
        <f>'R5 - Output Incentives'!F102</f>
        <v>29.735227999999999</v>
      </c>
      <c r="G15" s="904">
        <f>'R5 - Output Incentives'!G102</f>
        <v>4.2319466000000086</v>
      </c>
      <c r="H15" s="904">
        <f>'R5 - Output Incentives'!H102</f>
        <v>9.8108895992800846</v>
      </c>
      <c r="I15" s="904">
        <f>'R5 - Output Incentives'!I102</f>
        <v>0.80545454545454542</v>
      </c>
      <c r="J15" s="904">
        <f>'R5 - Output Incentives'!J102</f>
        <v>2.1475414465294227</v>
      </c>
      <c r="K15" s="905">
        <f>'R5 - Output Incentives'!K102</f>
        <v>-0.94110092781172194</v>
      </c>
      <c r="L15" s="41"/>
    </row>
    <row r="16" spans="1:12" s="2" customFormat="1">
      <c r="B16" s="617" t="s">
        <v>307</v>
      </c>
      <c r="C16" s="112" t="s">
        <v>297</v>
      </c>
      <c r="D16" s="906">
        <v>0</v>
      </c>
      <c r="E16" s="906">
        <v>0</v>
      </c>
      <c r="F16" s="906">
        <v>0</v>
      </c>
      <c r="G16" s="906">
        <v>0</v>
      </c>
      <c r="H16" s="906">
        <v>0</v>
      </c>
      <c r="I16" s="906">
        <v>0</v>
      </c>
      <c r="J16" s="906">
        <v>0</v>
      </c>
      <c r="K16" s="907"/>
      <c r="L16" s="41"/>
    </row>
    <row r="17" spans="2:12" s="2" customFormat="1">
      <c r="B17" s="617" t="s">
        <v>308</v>
      </c>
      <c r="C17" s="112" t="s">
        <v>297</v>
      </c>
      <c r="D17" s="496">
        <f>'R6 - Innovation'!D12</f>
        <v>0.99108639620049499</v>
      </c>
      <c r="E17" s="497">
        <f>'R6 - Innovation'!E12</f>
        <v>2.7930922923878749</v>
      </c>
      <c r="F17" s="498">
        <f>'R6 - Innovation'!F12</f>
        <v>1.8662294380714286</v>
      </c>
      <c r="G17" s="498">
        <f>'R6 - Innovation'!G12</f>
        <v>1.3142097719999997</v>
      </c>
      <c r="H17" s="498">
        <f>'R6 - Innovation'!H12</f>
        <v>1.5029999999999999</v>
      </c>
      <c r="I17" s="498">
        <f>'R6 - Innovation'!I12</f>
        <v>3.0312000000000001</v>
      </c>
      <c r="J17" s="498">
        <f>'R6 - Innovation'!J12</f>
        <v>2.6177405974540537</v>
      </c>
      <c r="K17" s="499">
        <f>'R6 - Innovation'!K12</f>
        <v>1.2983924079000002</v>
      </c>
      <c r="L17" s="41"/>
    </row>
    <row r="18" spans="2:12" s="2" customFormat="1">
      <c r="B18" s="617" t="s">
        <v>309</v>
      </c>
      <c r="C18" s="112" t="s">
        <v>297</v>
      </c>
      <c r="D18" s="902">
        <f>'R6 - Innovation'!D17</f>
        <v>0</v>
      </c>
      <c r="E18" s="903">
        <f>'R6 - Innovation'!E17</f>
        <v>0</v>
      </c>
      <c r="F18" s="904">
        <f>'R6 - Innovation'!F17</f>
        <v>0</v>
      </c>
      <c r="G18" s="904">
        <f>'R6 - Innovation'!G17</f>
        <v>0</v>
      </c>
      <c r="H18" s="904">
        <f>'R6 - Innovation'!H17</f>
        <v>0</v>
      </c>
      <c r="I18" s="904">
        <f>'R6 - Innovation'!I17</f>
        <v>0</v>
      </c>
      <c r="J18" s="904">
        <f>'R6 - Innovation'!J17</f>
        <v>0</v>
      </c>
      <c r="K18" s="905">
        <f>'R6 - Innovation'!K17</f>
        <v>0</v>
      </c>
      <c r="L18" s="41"/>
    </row>
    <row r="19" spans="2:12" s="2" customFormat="1">
      <c r="B19" s="954" t="s">
        <v>571</v>
      </c>
      <c r="C19" s="112" t="s">
        <v>297</v>
      </c>
      <c r="D19" s="906">
        <v>0</v>
      </c>
      <c r="E19" s="906">
        <v>17.486478006367978</v>
      </c>
      <c r="F19" s="906">
        <v>0</v>
      </c>
      <c r="G19" s="906">
        <v>0</v>
      </c>
      <c r="H19" s="906">
        <v>0</v>
      </c>
      <c r="I19" s="906">
        <v>0</v>
      </c>
      <c r="J19" s="906">
        <v>0</v>
      </c>
      <c r="K19" s="495"/>
      <c r="L19" s="41"/>
    </row>
    <row r="20" spans="2:12" s="2" customFormat="1">
      <c r="B20" s="954" t="s">
        <v>572</v>
      </c>
      <c r="C20" s="112" t="s">
        <v>297</v>
      </c>
      <c r="D20" s="906">
        <v>0</v>
      </c>
      <c r="E20" s="906">
        <v>0</v>
      </c>
      <c r="F20" s="906">
        <v>0</v>
      </c>
      <c r="G20" s="492">
        <v>-9.0882331403782803</v>
      </c>
      <c r="H20" s="906">
        <v>0</v>
      </c>
      <c r="I20" s="906">
        <v>0</v>
      </c>
      <c r="J20" s="906">
        <v>0</v>
      </c>
      <c r="K20" s="495"/>
      <c r="L20" s="41"/>
    </row>
    <row r="21" spans="2:12" s="2" customFormat="1">
      <c r="B21" s="954" t="s">
        <v>573</v>
      </c>
      <c r="C21" s="112" t="s">
        <v>297</v>
      </c>
      <c r="D21" s="492">
        <v>-22.55772055000001</v>
      </c>
      <c r="E21" s="492">
        <v>-25.724950852999999</v>
      </c>
      <c r="F21" s="492">
        <v>-29.738235317000001</v>
      </c>
      <c r="G21" s="492">
        <v>-4.3025286000000085</v>
      </c>
      <c r="H21" s="492">
        <v>-9.8108895992800846</v>
      </c>
      <c r="I21" s="492">
        <v>-0.80545454545454542</v>
      </c>
      <c r="J21" s="492">
        <v>-2.1475414465294227</v>
      </c>
      <c r="K21" s="495"/>
      <c r="L21" s="41"/>
    </row>
    <row r="22" spans="2:12" s="2" customFormat="1">
      <c r="B22" s="954" t="s">
        <v>574</v>
      </c>
      <c r="C22" s="112" t="s">
        <v>297</v>
      </c>
      <c r="D22" s="906">
        <v>0</v>
      </c>
      <c r="E22" s="906">
        <v>0</v>
      </c>
      <c r="F22" s="906">
        <v>0</v>
      </c>
      <c r="G22" s="906">
        <v>0.15412500000000001</v>
      </c>
      <c r="H22" s="906">
        <v>9.5324999999999993E-2</v>
      </c>
      <c r="I22" s="492">
        <v>-7.167272727272736E-2</v>
      </c>
      <c r="J22" s="906">
        <v>1.5583612843869559</v>
      </c>
      <c r="K22" s="495"/>
      <c r="L22" s="41"/>
    </row>
    <row r="23" spans="2:12" s="2" customFormat="1">
      <c r="B23" s="954" t="s">
        <v>310</v>
      </c>
      <c r="C23" s="112" t="s">
        <v>297</v>
      </c>
      <c r="D23" s="492">
        <v>-0.99108639620049499</v>
      </c>
      <c r="E23" s="492">
        <v>-2.7930922923878749</v>
      </c>
      <c r="F23" s="492">
        <v>-1.8662294380714286</v>
      </c>
      <c r="G23" s="492">
        <v>-1.3142097719999997</v>
      </c>
      <c r="H23" s="492">
        <v>-1.5029999999999999</v>
      </c>
      <c r="I23" s="492">
        <v>-3.0312000000000001</v>
      </c>
      <c r="J23" s="492">
        <v>-2.6177405974540537</v>
      </c>
      <c r="K23" s="495"/>
      <c r="L23" s="41"/>
    </row>
    <row r="24" spans="2:12" s="2" customFormat="1">
      <c r="B24" s="954" t="s">
        <v>340</v>
      </c>
      <c r="C24" s="112" t="s">
        <v>297</v>
      </c>
      <c r="D24" s="906"/>
      <c r="E24" s="906"/>
      <c r="F24" s="906"/>
      <c r="G24" s="906"/>
      <c r="H24" s="906"/>
      <c r="I24" s="906"/>
      <c r="J24" s="906"/>
      <c r="K24" s="495"/>
      <c r="L24" s="41"/>
    </row>
    <row r="25" spans="2:12" s="2" customFormat="1">
      <c r="B25" s="617" t="s">
        <v>311</v>
      </c>
      <c r="C25" s="112" t="s">
        <v>297</v>
      </c>
      <c r="D25" s="906"/>
      <c r="E25" s="906"/>
      <c r="F25" s="906"/>
      <c r="G25" s="906"/>
      <c r="H25" s="906"/>
      <c r="I25" s="906"/>
      <c r="J25" s="906"/>
      <c r="K25" s="495"/>
      <c r="L25" s="41"/>
    </row>
    <row r="26" spans="2:12" s="2" customFormat="1">
      <c r="B26" s="612" t="s">
        <v>312</v>
      </c>
      <c r="C26" s="112" t="s">
        <v>297</v>
      </c>
      <c r="D26" s="500">
        <f>SUM(D14:D24,-D25)</f>
        <v>132.55408800000001</v>
      </c>
      <c r="E26" s="501">
        <f t="shared" ref="E26:K26" si="2">SUM(E14:E24,-E25)</f>
        <v>158.70417176760668</v>
      </c>
      <c r="F26" s="501">
        <f t="shared" si="2"/>
        <v>148.19840677424065</v>
      </c>
      <c r="G26" s="501">
        <f t="shared" si="2"/>
        <v>158.42884521880575</v>
      </c>
      <c r="H26" s="501">
        <f t="shared" si="2"/>
        <v>164.4372458423768</v>
      </c>
      <c r="I26" s="501">
        <f t="shared" si="2"/>
        <v>193.15998349154398</v>
      </c>
      <c r="J26" s="501">
        <f t="shared" si="2"/>
        <v>303.11687386684213</v>
      </c>
      <c r="K26" s="502">
        <f t="shared" si="2"/>
        <v>0.35729148008827827</v>
      </c>
      <c r="L26" s="41"/>
    </row>
    <row r="27" spans="2:12" s="2" customFormat="1">
      <c r="B27" s="183"/>
      <c r="C27" s="100"/>
      <c r="D27" s="38"/>
      <c r="E27" s="38"/>
      <c r="F27" s="38"/>
      <c r="G27" s="44"/>
      <c r="H27" s="44"/>
      <c r="I27" s="44"/>
      <c r="J27" s="44"/>
      <c r="K27" s="44"/>
      <c r="L27" s="41"/>
    </row>
    <row r="28" spans="2:12" s="2" customFormat="1">
      <c r="B28" s="183" t="s">
        <v>313</v>
      </c>
      <c r="C28" s="100"/>
      <c r="D28" s="500">
        <f>IF(ISBLANK(D33),0,D33-D26)</f>
        <v>0</v>
      </c>
      <c r="E28" s="501">
        <f t="shared" ref="E28:K28" si="3">IF(ISBLANK(E33),0,E33-E26)</f>
        <v>0.22702199363200748</v>
      </c>
      <c r="F28" s="501">
        <f t="shared" si="3"/>
        <v>3.0073169999980109E-3</v>
      </c>
      <c r="G28" s="501">
        <f t="shared" si="3"/>
        <v>3.4615140378292608E-2</v>
      </c>
      <c r="H28" s="501">
        <f t="shared" si="3"/>
        <v>2.8421709430404007E-14</v>
      </c>
      <c r="I28" s="501">
        <f t="shared" si="3"/>
        <v>2.8421709430404007E-14</v>
      </c>
      <c r="J28" s="501">
        <f t="shared" si="3"/>
        <v>5.6843418860808015E-14</v>
      </c>
      <c r="K28" s="909">
        <f t="shared" si="3"/>
        <v>0</v>
      </c>
      <c r="L28" s="41"/>
    </row>
    <row r="29" spans="2:12" s="2" customFormat="1">
      <c r="B29" s="183"/>
      <c r="C29" s="100"/>
      <c r="D29" s="21"/>
      <c r="E29" s="21"/>
      <c r="F29" s="21"/>
      <c r="G29" s="21"/>
      <c r="H29" s="21"/>
      <c r="I29" s="21"/>
      <c r="J29" s="21"/>
      <c r="K29" s="21"/>
      <c r="L29" s="41"/>
    </row>
    <row r="30" spans="2:12" s="2" customFormat="1">
      <c r="B30" s="183"/>
      <c r="C30" s="100"/>
      <c r="D30" s="21"/>
      <c r="E30" s="21"/>
      <c r="F30" s="21"/>
      <c r="G30" s="21"/>
      <c r="H30" s="21"/>
      <c r="I30" s="21"/>
      <c r="J30" s="21"/>
      <c r="K30" s="21"/>
      <c r="L30" s="41"/>
    </row>
    <row r="31" spans="2:12" s="2" customFormat="1">
      <c r="B31" s="613" t="s">
        <v>314</v>
      </c>
      <c r="C31" s="110"/>
      <c r="D31" s="60"/>
      <c r="E31" s="60"/>
      <c r="F31" s="60"/>
      <c r="G31" s="60"/>
      <c r="H31" s="60"/>
      <c r="I31" s="60"/>
      <c r="J31" s="60"/>
      <c r="K31" s="60"/>
      <c r="L31" s="227"/>
    </row>
    <row r="32" spans="2:12" s="2" customFormat="1">
      <c r="B32" s="183"/>
      <c r="C32" s="100"/>
      <c r="D32" s="21"/>
      <c r="E32" s="21"/>
      <c r="F32" s="21"/>
      <c r="G32" s="21"/>
      <c r="H32" s="21"/>
      <c r="I32" s="21"/>
      <c r="J32" s="21"/>
      <c r="K32" s="21"/>
      <c r="L32" s="41"/>
    </row>
    <row r="33" spans="2:12" s="2" customFormat="1">
      <c r="B33" s="614" t="s">
        <v>315</v>
      </c>
      <c r="C33" s="100"/>
      <c r="D33" s="526">
        <v>132.55408800000001</v>
      </c>
      <c r="E33" s="526">
        <v>158.93119376123869</v>
      </c>
      <c r="F33" s="526">
        <v>148.20141409124065</v>
      </c>
      <c r="G33" s="526">
        <v>158.46346035918404</v>
      </c>
      <c r="H33" s="526">
        <v>164.43724584237683</v>
      </c>
      <c r="I33" s="526">
        <v>193.15998349154401</v>
      </c>
      <c r="J33" s="526">
        <v>303.11687386684218</v>
      </c>
      <c r="K33" s="528"/>
      <c r="L33" s="41"/>
    </row>
    <row r="34" spans="2:12" s="2" customFormat="1">
      <c r="B34" s="94"/>
      <c r="C34" s="98"/>
      <c r="L34" s="41"/>
    </row>
    <row r="35" spans="2:12" s="2" customFormat="1">
      <c r="B35" s="317" t="s">
        <v>316</v>
      </c>
      <c r="C35" s="98"/>
      <c r="L35" s="41"/>
    </row>
    <row r="36" spans="2:12" s="2" customFormat="1">
      <c r="B36" s="715" t="s">
        <v>317</v>
      </c>
      <c r="C36" s="112" t="s">
        <v>297</v>
      </c>
      <c r="D36" s="947">
        <v>0</v>
      </c>
      <c r="E36" s="947">
        <v>0</v>
      </c>
      <c r="F36" s="947">
        <v>0</v>
      </c>
      <c r="G36" s="947">
        <v>0</v>
      </c>
      <c r="H36" s="947">
        <v>0</v>
      </c>
      <c r="I36" s="947">
        <v>0</v>
      </c>
      <c r="J36" s="947">
        <v>0</v>
      </c>
      <c r="K36" s="503"/>
      <c r="L36" s="41"/>
    </row>
    <row r="37" spans="2:12" s="2" customFormat="1">
      <c r="B37" s="715" t="s">
        <v>318</v>
      </c>
      <c r="C37" s="112" t="s">
        <v>297</v>
      </c>
      <c r="D37" s="947">
        <v>0</v>
      </c>
      <c r="E37" s="947">
        <v>0</v>
      </c>
      <c r="F37" s="947">
        <v>0</v>
      </c>
      <c r="G37" s="947">
        <v>0</v>
      </c>
      <c r="H37" s="947">
        <v>0</v>
      </c>
      <c r="I37" s="947">
        <v>0</v>
      </c>
      <c r="J37" s="947">
        <v>0.29482848</v>
      </c>
      <c r="K37" s="504"/>
      <c r="L37" s="41"/>
    </row>
    <row r="38" spans="2:12" s="2" customFormat="1">
      <c r="B38" s="715" t="s">
        <v>319</v>
      </c>
      <c r="C38" s="112" t="s">
        <v>297</v>
      </c>
      <c r="D38" s="947">
        <v>0</v>
      </c>
      <c r="E38" s="947">
        <v>0</v>
      </c>
      <c r="F38" s="947">
        <v>0</v>
      </c>
      <c r="G38" s="947">
        <v>0</v>
      </c>
      <c r="H38" s="947">
        <v>0</v>
      </c>
      <c r="I38" s="947">
        <v>0</v>
      </c>
      <c r="J38" s="947">
        <v>0.105</v>
      </c>
      <c r="K38" s="504"/>
      <c r="L38" s="41"/>
    </row>
    <row r="39" spans="2:12" s="2" customFormat="1">
      <c r="B39" s="715" t="s">
        <v>320</v>
      </c>
      <c r="C39" s="112" t="s">
        <v>297</v>
      </c>
      <c r="D39" s="947">
        <v>0</v>
      </c>
      <c r="E39" s="947">
        <v>0</v>
      </c>
      <c r="F39" s="947">
        <v>0</v>
      </c>
      <c r="G39" s="947">
        <v>0</v>
      </c>
      <c r="H39" s="947">
        <v>0</v>
      </c>
      <c r="I39" s="947">
        <v>0</v>
      </c>
      <c r="J39" s="947">
        <v>0</v>
      </c>
      <c r="K39" s="504"/>
      <c r="L39" s="41"/>
    </row>
    <row r="40" spans="2:12" s="2" customFormat="1">
      <c r="B40" s="715" t="s">
        <v>321</v>
      </c>
      <c r="C40" s="112" t="s">
        <v>297</v>
      </c>
      <c r="D40" s="947">
        <v>0</v>
      </c>
      <c r="E40" s="947">
        <v>0</v>
      </c>
      <c r="F40" s="947">
        <v>0</v>
      </c>
      <c r="G40" s="947">
        <v>0</v>
      </c>
      <c r="H40" s="947">
        <v>0</v>
      </c>
      <c r="I40" s="947">
        <v>0</v>
      </c>
      <c r="J40" s="947">
        <v>0</v>
      </c>
      <c r="K40" s="504"/>
      <c r="L40" s="41"/>
    </row>
    <row r="41" spans="2:12" s="2" customFormat="1">
      <c r="B41" s="715" t="s">
        <v>322</v>
      </c>
      <c r="C41" s="112" t="s">
        <v>297</v>
      </c>
      <c r="D41" s="947">
        <v>0</v>
      </c>
      <c r="E41" s="947">
        <v>0</v>
      </c>
      <c r="F41" s="947">
        <v>0</v>
      </c>
      <c r="G41" s="947">
        <v>0</v>
      </c>
      <c r="H41" s="947">
        <v>0</v>
      </c>
      <c r="I41" s="947">
        <v>0</v>
      </c>
      <c r="J41" s="947">
        <v>0</v>
      </c>
      <c r="K41" s="504"/>
      <c r="L41" s="41"/>
    </row>
    <row r="42" spans="2:12" s="2" customFormat="1">
      <c r="B42" s="715" t="s">
        <v>323</v>
      </c>
      <c r="C42" s="112" t="s">
        <v>297</v>
      </c>
      <c r="D42" s="947">
        <v>0</v>
      </c>
      <c r="E42" s="947">
        <v>0</v>
      </c>
      <c r="F42" s="947">
        <v>0</v>
      </c>
      <c r="G42" s="947">
        <v>0</v>
      </c>
      <c r="H42" s="947">
        <v>0</v>
      </c>
      <c r="I42" s="947">
        <v>0</v>
      </c>
      <c r="J42" s="947">
        <v>0</v>
      </c>
      <c r="K42" s="504"/>
      <c r="L42" s="41"/>
    </row>
    <row r="43" spans="2:12" s="2" customFormat="1">
      <c r="B43" s="716" t="s">
        <v>324</v>
      </c>
      <c r="C43" s="112" t="s">
        <v>297</v>
      </c>
      <c r="D43" s="947">
        <v>0</v>
      </c>
      <c r="E43" s="947">
        <v>0</v>
      </c>
      <c r="F43" s="947">
        <v>0</v>
      </c>
      <c r="G43" s="947">
        <v>0</v>
      </c>
      <c r="H43" s="947">
        <v>0</v>
      </c>
      <c r="I43" s="947">
        <v>0</v>
      </c>
      <c r="J43" s="947">
        <v>0</v>
      </c>
      <c r="K43" s="507"/>
      <c r="L43" s="41"/>
    </row>
    <row r="44" spans="2:12" s="2" customFormat="1">
      <c r="B44" s="954" t="s">
        <v>325</v>
      </c>
      <c r="C44" s="112" t="s">
        <v>297</v>
      </c>
      <c r="D44" s="505"/>
      <c r="E44" s="506"/>
      <c r="F44" s="506"/>
      <c r="G44" s="506"/>
      <c r="H44" s="506"/>
      <c r="I44" s="506"/>
      <c r="J44" s="506"/>
      <c r="K44" s="507"/>
      <c r="L44" s="41"/>
    </row>
    <row r="45" spans="2:12" s="2" customFormat="1">
      <c r="B45" s="317" t="s">
        <v>326</v>
      </c>
      <c r="C45" s="112" t="s">
        <v>297</v>
      </c>
      <c r="D45" s="764">
        <f>SUM(D36:D44)</f>
        <v>0</v>
      </c>
      <c r="E45" s="910">
        <f t="shared" ref="E45:K45" si="4">SUM(E36:E44)</f>
        <v>0</v>
      </c>
      <c r="F45" s="910">
        <f t="shared" si="4"/>
        <v>0</v>
      </c>
      <c r="G45" s="910">
        <f t="shared" si="4"/>
        <v>0</v>
      </c>
      <c r="H45" s="910">
        <f t="shared" si="4"/>
        <v>0</v>
      </c>
      <c r="I45" s="910">
        <f t="shared" si="4"/>
        <v>0</v>
      </c>
      <c r="J45" s="910">
        <f t="shared" si="4"/>
        <v>0.39982847999999999</v>
      </c>
      <c r="K45" s="911">
        <f t="shared" si="4"/>
        <v>0</v>
      </c>
      <c r="L45" s="41"/>
    </row>
    <row r="46" spans="2:12" s="2" customFormat="1">
      <c r="B46" s="94"/>
      <c r="C46" s="98"/>
      <c r="L46" s="41"/>
    </row>
    <row r="47" spans="2:12" s="2" customFormat="1">
      <c r="B47" s="317" t="s">
        <v>327</v>
      </c>
      <c r="C47" s="98"/>
      <c r="L47" s="37"/>
    </row>
    <row r="48" spans="2:12" s="2" customFormat="1">
      <c r="B48" s="954" t="s">
        <v>556</v>
      </c>
      <c r="C48" s="112" t="s">
        <v>297</v>
      </c>
      <c r="D48" s="511">
        <v>194.24467543000003</v>
      </c>
      <c r="E48" s="511">
        <v>194.72136862000002</v>
      </c>
      <c r="F48" s="511">
        <v>206.6733179947</v>
      </c>
      <c r="G48" s="511">
        <v>221.95285319320595</v>
      </c>
      <c r="H48" s="511">
        <v>239.61046294499999</v>
      </c>
      <c r="I48" s="511">
        <v>250.02657620999997</v>
      </c>
      <c r="J48" s="952">
        <v>0</v>
      </c>
      <c r="K48" s="512"/>
      <c r="L48" s="41"/>
    </row>
    <row r="49" spans="2:12" s="2" customFormat="1">
      <c r="B49" s="958" t="s">
        <v>557</v>
      </c>
      <c r="C49" s="112" t="s">
        <v>297</v>
      </c>
      <c r="D49" s="511">
        <v>894.05549903793781</v>
      </c>
      <c r="E49" s="511">
        <v>866.02100475519615</v>
      </c>
      <c r="F49" s="511">
        <v>938.19322782177449</v>
      </c>
      <c r="G49" s="511">
        <v>1122.5917528196167</v>
      </c>
      <c r="H49" s="511">
        <v>1038.1529346583559</v>
      </c>
      <c r="I49" s="511">
        <v>1208.2993059223447</v>
      </c>
      <c r="J49" s="952">
        <v>0</v>
      </c>
      <c r="K49" s="514"/>
      <c r="L49" s="41"/>
    </row>
    <row r="50" spans="2:12" s="2" customFormat="1">
      <c r="B50" s="958" t="s">
        <v>558</v>
      </c>
      <c r="C50" s="112" t="s">
        <v>297</v>
      </c>
      <c r="D50" s="511">
        <v>2.4540000000000002</v>
      </c>
      <c r="E50" s="511">
        <v>3.2975085399999999</v>
      </c>
      <c r="F50" s="511">
        <v>4.2297212100000001</v>
      </c>
      <c r="G50" s="511">
        <v>5.1426949200000003</v>
      </c>
      <c r="H50" s="511">
        <v>6.1122768600000006</v>
      </c>
      <c r="I50" s="511">
        <v>3.1719674699999998</v>
      </c>
      <c r="J50" s="952">
        <v>0</v>
      </c>
      <c r="K50" s="514"/>
      <c r="L50" s="41"/>
    </row>
    <row r="51" spans="2:12" s="2" customFormat="1">
      <c r="B51" s="958" t="s">
        <v>559</v>
      </c>
      <c r="C51" s="112" t="s">
        <v>297</v>
      </c>
      <c r="D51" s="511">
        <v>54.377000000000002</v>
      </c>
      <c r="E51" s="511">
        <v>57.355008439999999</v>
      </c>
      <c r="F51" s="511">
        <v>57.20784089</v>
      </c>
      <c r="G51" s="511">
        <v>60.156126310000005</v>
      </c>
      <c r="H51" s="511">
        <v>58.253474070000003</v>
      </c>
      <c r="I51" s="511">
        <v>0.25733875000000744</v>
      </c>
      <c r="J51" s="952">
        <v>0</v>
      </c>
      <c r="K51" s="514"/>
      <c r="L51" s="41"/>
    </row>
    <row r="52" spans="2:12" s="2" customFormat="1">
      <c r="B52" s="958" t="s">
        <v>560</v>
      </c>
      <c r="C52" s="112" t="s">
        <v>297</v>
      </c>
      <c r="D52" s="511">
        <v>26.494842999999999</v>
      </c>
      <c r="E52" s="511">
        <v>33.069014490000001</v>
      </c>
      <c r="F52" s="511">
        <v>35.572564769999957</v>
      </c>
      <c r="G52" s="511">
        <v>46.045429460000001</v>
      </c>
      <c r="H52" s="511">
        <v>43.21994265</v>
      </c>
      <c r="I52" s="952">
        <v>0</v>
      </c>
      <c r="J52" s="952">
        <v>0</v>
      </c>
      <c r="K52" s="514"/>
      <c r="L52" s="41"/>
    </row>
    <row r="53" spans="2:12" s="2" customFormat="1">
      <c r="B53" s="958" t="s">
        <v>561</v>
      </c>
      <c r="C53" s="112" t="s">
        <v>297</v>
      </c>
      <c r="D53" s="511">
        <v>-0.35000000000001696</v>
      </c>
      <c r="E53" s="511">
        <v>26.091466734488659</v>
      </c>
      <c r="F53" s="511">
        <v>-2.2041953099999998</v>
      </c>
      <c r="G53" s="511">
        <v>23.038111000000001</v>
      </c>
      <c r="H53" s="511">
        <v>-22.75</v>
      </c>
      <c r="I53" s="511">
        <v>1.3071371799999998</v>
      </c>
      <c r="J53" s="952">
        <v>0</v>
      </c>
      <c r="K53" s="514"/>
      <c r="L53" s="41"/>
    </row>
    <row r="54" spans="2:12" s="2" customFormat="1">
      <c r="B54" s="958" t="s">
        <v>562</v>
      </c>
      <c r="C54" s="112" t="s">
        <v>297</v>
      </c>
      <c r="D54" s="511">
        <v>2089.5659999999998</v>
      </c>
      <c r="E54" s="511">
        <v>2376.2289194499999</v>
      </c>
      <c r="F54" s="511">
        <v>2592.6842391499995</v>
      </c>
      <c r="G54" s="511">
        <v>2800.3277643199999</v>
      </c>
      <c r="H54" s="511">
        <v>2627.723</v>
      </c>
      <c r="I54" s="511">
        <v>2749.12146764</v>
      </c>
      <c r="J54" s="952">
        <v>0</v>
      </c>
      <c r="K54" s="514"/>
      <c r="L54" s="41"/>
    </row>
    <row r="55" spans="2:12" s="2" customFormat="1">
      <c r="B55" s="958" t="s">
        <v>563</v>
      </c>
      <c r="C55" s="112" t="s">
        <v>297</v>
      </c>
      <c r="D55" s="952">
        <v>0</v>
      </c>
      <c r="E55" s="511">
        <v>-2.3841147999999999</v>
      </c>
      <c r="F55" s="511">
        <v>-1.73506575</v>
      </c>
      <c r="G55" s="511">
        <v>0.68208244988399969</v>
      </c>
      <c r="H55" s="511">
        <v>0.14558105500000001</v>
      </c>
      <c r="I55" s="511">
        <v>-1.1064341599998857</v>
      </c>
      <c r="J55" s="952">
        <v>0</v>
      </c>
      <c r="K55" s="514"/>
      <c r="L55" s="41"/>
    </row>
    <row r="56" spans="2:12" s="2" customFormat="1">
      <c r="B56" s="958" t="s">
        <v>564</v>
      </c>
      <c r="C56" s="112" t="s">
        <v>297</v>
      </c>
      <c r="D56" s="952">
        <v>0</v>
      </c>
      <c r="E56" s="952">
        <v>0</v>
      </c>
      <c r="F56" s="952">
        <v>0</v>
      </c>
      <c r="G56" s="952">
        <v>0</v>
      </c>
      <c r="H56" s="952">
        <v>0</v>
      </c>
      <c r="I56" s="511">
        <v>-1052.2202494200001</v>
      </c>
      <c r="J56" s="952">
        <v>0</v>
      </c>
      <c r="K56" s="514"/>
      <c r="L56" s="41"/>
    </row>
    <row r="57" spans="2:12" s="2" customFormat="1">
      <c r="B57" s="958" t="s">
        <v>565</v>
      </c>
      <c r="C57" s="112" t="s">
        <v>297</v>
      </c>
      <c r="D57" s="952">
        <v>0</v>
      </c>
      <c r="E57" s="952">
        <v>0</v>
      </c>
      <c r="F57" s="952">
        <v>0</v>
      </c>
      <c r="G57" s="952">
        <v>0</v>
      </c>
      <c r="H57" s="952">
        <v>0</v>
      </c>
      <c r="I57" s="952">
        <v>0</v>
      </c>
      <c r="J57" s="511">
        <v>1323.5082755858537</v>
      </c>
      <c r="K57" s="514"/>
      <c r="L57" s="41"/>
    </row>
    <row r="58" spans="2:12" s="2" customFormat="1">
      <c r="B58" s="958" t="s">
        <v>566</v>
      </c>
      <c r="C58" s="112" t="s">
        <v>297</v>
      </c>
      <c r="D58" s="952">
        <v>0</v>
      </c>
      <c r="E58" s="952">
        <v>0</v>
      </c>
      <c r="F58" s="952">
        <v>0</v>
      </c>
      <c r="G58" s="952">
        <v>0</v>
      </c>
      <c r="H58" s="952">
        <v>0</v>
      </c>
      <c r="I58" s="952">
        <v>0</v>
      </c>
      <c r="J58" s="511">
        <v>-14.14</v>
      </c>
      <c r="K58" s="514"/>
      <c r="L58" s="41"/>
    </row>
    <row r="59" spans="2:12" s="2" customFormat="1">
      <c r="B59" s="958" t="s">
        <v>567</v>
      </c>
      <c r="C59" s="112" t="s">
        <v>297</v>
      </c>
      <c r="D59" s="952">
        <v>0</v>
      </c>
      <c r="E59" s="952">
        <v>0</v>
      </c>
      <c r="F59" s="952">
        <v>0</v>
      </c>
      <c r="G59" s="952">
        <v>0</v>
      </c>
      <c r="H59" s="952">
        <v>0</v>
      </c>
      <c r="I59" s="952">
        <v>0</v>
      </c>
      <c r="J59" s="511">
        <v>-6</v>
      </c>
      <c r="K59" s="514"/>
      <c r="L59" s="41"/>
    </row>
    <row r="60" spans="2:12" s="2" customFormat="1">
      <c r="B60" s="958" t="s">
        <v>568</v>
      </c>
      <c r="C60" s="112" t="s">
        <v>297</v>
      </c>
      <c r="D60" s="952">
        <v>0</v>
      </c>
      <c r="E60" s="952">
        <v>0</v>
      </c>
      <c r="F60" s="952">
        <v>0</v>
      </c>
      <c r="G60" s="952">
        <v>0</v>
      </c>
      <c r="H60" s="952">
        <v>0</v>
      </c>
      <c r="I60" s="952">
        <v>0</v>
      </c>
      <c r="J60" s="511">
        <v>0.46400000000000002</v>
      </c>
      <c r="K60" s="514"/>
      <c r="L60" s="41"/>
    </row>
    <row r="61" spans="2:12" s="2" customFormat="1">
      <c r="B61" s="958" t="s">
        <v>569</v>
      </c>
      <c r="C61" s="112" t="s">
        <v>297</v>
      </c>
      <c r="D61" s="952">
        <v>0</v>
      </c>
      <c r="E61" s="952">
        <v>0</v>
      </c>
      <c r="F61" s="952">
        <v>0</v>
      </c>
      <c r="G61" s="952">
        <v>0</v>
      </c>
      <c r="H61" s="952">
        <v>0</v>
      </c>
      <c r="I61" s="952">
        <v>0</v>
      </c>
      <c r="J61" s="511">
        <v>41.132570919999672</v>
      </c>
      <c r="K61" s="514"/>
      <c r="L61" s="41"/>
    </row>
    <row r="62" spans="2:12" s="2" customFormat="1">
      <c r="B62" s="958" t="s">
        <v>570</v>
      </c>
      <c r="C62" s="112" t="s">
        <v>297</v>
      </c>
      <c r="D62" s="952">
        <v>-0.39800000000000002</v>
      </c>
      <c r="E62" s="952">
        <v>-0.33142400000003269</v>
      </c>
      <c r="F62" s="952">
        <v>0.17697738999999979</v>
      </c>
      <c r="G62" s="952">
        <v>0.59937019000000002</v>
      </c>
      <c r="H62" s="952">
        <v>3.0950819192679244</v>
      </c>
      <c r="I62" s="952">
        <v>0.63</v>
      </c>
      <c r="J62" s="511">
        <v>2.1</v>
      </c>
      <c r="K62" s="514"/>
      <c r="L62" s="41"/>
    </row>
    <row r="63" spans="2:12" s="2" customFormat="1">
      <c r="B63" s="958" t="s">
        <v>325</v>
      </c>
      <c r="C63" s="112" t="s">
        <v>297</v>
      </c>
      <c r="D63" s="912"/>
      <c r="E63" s="912"/>
      <c r="F63" s="912"/>
      <c r="G63" s="912"/>
      <c r="H63" s="912"/>
      <c r="I63" s="912"/>
      <c r="J63" s="912"/>
      <c r="K63" s="515"/>
      <c r="L63" s="41"/>
    </row>
    <row r="64" spans="2:12" s="2" customFormat="1">
      <c r="B64" s="614" t="s">
        <v>328</v>
      </c>
      <c r="C64" s="112" t="s">
        <v>297</v>
      </c>
      <c r="D64" s="500">
        <f t="shared" ref="D64:K64" si="5">SUM(D48:D63)</f>
        <v>3260.4440174679376</v>
      </c>
      <c r="E64" s="501">
        <f t="shared" si="5"/>
        <v>3554.0687522296848</v>
      </c>
      <c r="F64" s="501">
        <f t="shared" si="5"/>
        <v>3830.7986281664739</v>
      </c>
      <c r="G64" s="501">
        <f t="shared" si="5"/>
        <v>4280.5361846627056</v>
      </c>
      <c r="H64" s="501">
        <f t="shared" si="5"/>
        <v>3993.5627541576241</v>
      </c>
      <c r="I64" s="501">
        <f t="shared" si="5"/>
        <v>3159.4871095923454</v>
      </c>
      <c r="J64" s="913">
        <f t="shared" si="5"/>
        <v>1347.064846505853</v>
      </c>
      <c r="K64" s="909">
        <f t="shared" si="5"/>
        <v>0</v>
      </c>
      <c r="L64" s="41"/>
    </row>
    <row r="65" spans="1:12" s="2" customFormat="1">
      <c r="B65" s="183"/>
      <c r="C65" s="100"/>
      <c r="D65" s="39"/>
      <c r="E65" s="39"/>
      <c r="F65" s="39"/>
      <c r="G65" s="39"/>
      <c r="H65" s="39"/>
      <c r="I65" s="39"/>
      <c r="J65" s="39"/>
      <c r="K65" s="39"/>
      <c r="L65" s="41"/>
    </row>
    <row r="66" spans="1:12" s="2" customFormat="1">
      <c r="B66" s="614" t="s">
        <v>329</v>
      </c>
      <c r="C66" s="112" t="s">
        <v>297</v>
      </c>
      <c r="D66" s="516">
        <f t="shared" ref="D66:K66" si="6">D33+D45+D64</f>
        <v>3392.9981054679374</v>
      </c>
      <c r="E66" s="517">
        <f t="shared" si="6"/>
        <v>3712.9999459909236</v>
      </c>
      <c r="F66" s="517">
        <f t="shared" si="6"/>
        <v>3979.0000422577145</v>
      </c>
      <c r="G66" s="517">
        <f t="shared" si="6"/>
        <v>4438.9996450218896</v>
      </c>
      <c r="H66" s="517">
        <f t="shared" si="6"/>
        <v>4158.0000000000009</v>
      </c>
      <c r="I66" s="517">
        <f t="shared" si="6"/>
        <v>3352.6470930838896</v>
      </c>
      <c r="J66" s="517">
        <f t="shared" si="6"/>
        <v>1650.5815488526951</v>
      </c>
      <c r="K66" s="518">
        <f t="shared" si="6"/>
        <v>0</v>
      </c>
      <c r="L66" s="41"/>
    </row>
    <row r="67" spans="1:12" s="2" customFormat="1">
      <c r="B67" s="614" t="s">
        <v>330</v>
      </c>
      <c r="C67" s="112" t="s">
        <v>297</v>
      </c>
      <c r="D67" s="519">
        <v>3393</v>
      </c>
      <c r="E67" s="519">
        <v>3713</v>
      </c>
      <c r="F67" s="519">
        <v>3979</v>
      </c>
      <c r="G67" s="519">
        <v>4439</v>
      </c>
      <c r="H67" s="519">
        <v>4158</v>
      </c>
      <c r="I67" s="519">
        <v>3352.7</v>
      </c>
      <c r="J67" s="519">
        <v>1650.5964902599999</v>
      </c>
      <c r="K67" s="520"/>
      <c r="L67" s="41"/>
    </row>
    <row r="68" spans="1:12" s="2" customFormat="1">
      <c r="B68" s="183" t="s">
        <v>331</v>
      </c>
      <c r="C68" s="100"/>
      <c r="D68" s="88" t="str">
        <f>IF(ABS(D66-D67)&lt;'RFPR cover'!$F$14,"OK","Error")</f>
        <v>OK</v>
      </c>
      <c r="E68" s="88" t="str">
        <f>IF(ABS(E66-E67)&lt;'RFPR cover'!$F$14,"OK","Error")</f>
        <v>OK</v>
      </c>
      <c r="F68" s="88" t="str">
        <f>IF(ABS(F66-F67)&lt;'RFPR cover'!$F$14,"OK","Error")</f>
        <v>OK</v>
      </c>
      <c r="G68" s="88" t="str">
        <f>IF(ABS(G66-G67)&lt;'RFPR cover'!$F$14,"OK","Error")</f>
        <v>OK</v>
      </c>
      <c r="H68" s="88" t="str">
        <f>IF(ABS(H66-H67)&lt;'RFPR cover'!$F$14,"OK","Error")</f>
        <v>OK</v>
      </c>
      <c r="I68" s="88" t="str">
        <f>IF(ABS(I66-I67)&lt;'RFPR cover'!$F$14,"OK","Error")</f>
        <v>OK</v>
      </c>
      <c r="J68" s="88" t="str">
        <f>IF(ABS(J66-J67)&lt;'RFPR cover'!$F$14,"OK","Error")</f>
        <v>OK</v>
      </c>
      <c r="K68" s="88" t="str">
        <f>IF(ABS(K66-K67)&lt;'RFPR cover'!$F$14,"OK","Error")</f>
        <v>OK</v>
      </c>
      <c r="L68" s="41"/>
    </row>
    <row r="69" spans="1:12" s="2" customFormat="1">
      <c r="B69" s="94"/>
      <c r="C69" s="100"/>
      <c r="D69" s="31"/>
      <c r="E69" s="31"/>
      <c r="F69" s="31"/>
      <c r="G69" s="31"/>
      <c r="H69" s="31"/>
      <c r="I69" s="31"/>
      <c r="J69" s="31"/>
      <c r="K69" s="31"/>
      <c r="L69" s="41"/>
    </row>
    <row r="70" spans="1:12" s="2" customFormat="1">
      <c r="B70" s="94"/>
      <c r="C70" s="98"/>
      <c r="L70" s="37"/>
    </row>
    <row r="71" spans="1:12" s="2" customFormat="1">
      <c r="A71" s="60"/>
      <c r="B71" s="619"/>
      <c r="C71" s="110"/>
      <c r="D71" s="60"/>
      <c r="E71" s="60"/>
      <c r="F71" s="60"/>
      <c r="G71" s="60"/>
      <c r="H71" s="60"/>
      <c r="I71" s="60"/>
      <c r="J71" s="60"/>
      <c r="K71" s="60"/>
      <c r="L71" s="226"/>
    </row>
  </sheetData>
  <sheetProtection algorithmName="SHA-512" hashValue="plifKwoJacCEkEvYgjb6fv6EfUNLl6846YcY8M6CCQwE2Qoms9yxf87IqhHFx9+omZvRkD5WEZ5PXtnoBf4qPw==" saltValue="Vv+PU3TRYZBDG7OdTPiGJA==" spinCount="100000" sheet="1" formatCells="0" formatColumns="0" formatRows="0" insertColumns="0" insertRows="0" insertHyperlinks="0" deleteColumns="0" deleteRows="0" sort="0" autoFilter="0" pivotTables="0"/>
  <conditionalFormatting sqref="D6:K6">
    <cfRule type="expression" dxfId="74" priority="12">
      <formula>AND(D$5="Actuals",E$5="Forecast")</formula>
    </cfRule>
  </conditionalFormatting>
  <conditionalFormatting sqref="D5:K5">
    <cfRule type="expression" dxfId="73" priority="5">
      <formula>AND(D$5="Actuals",E$5="Forecast")</formula>
    </cfRule>
  </conditionalFormatting>
  <conditionalFormatting sqref="D28:H28 D66:K68 D33:K33 D36:K45 D48:K64">
    <cfRule type="expression" dxfId="72" priority="4">
      <formula>D$5="Forecast"</formula>
    </cfRule>
  </conditionalFormatting>
  <conditionalFormatting sqref="I14:K15 I28:K28 K10:K13 I17:K18 K16 I26:K26 K19:K25">
    <cfRule type="expression" dxfId="71" priority="3">
      <formula>I$5="Forecast"</formula>
    </cfRule>
  </conditionalFormatting>
  <conditionalFormatting sqref="H14:H15 H17:H18 H26">
    <cfRule type="expression" dxfId="70" priority="2">
      <formula>H$5="Forecast"</formula>
    </cfRule>
  </conditionalFormatting>
  <conditionalFormatting sqref="G14:G15 G17:G18 G26">
    <cfRule type="expression" dxfId="69" priority="1">
      <formula>G$5="Forecast"</formula>
    </cfRule>
  </conditionalFormatting>
  <pageMargins left="0.70866141732283472" right="0.70866141732283472" top="0.74803149606299213" bottom="0.74803149606299213" header="0.31496062992125984" footer="0.31496062992125984"/>
  <pageSetup paperSize="8" scale="95" fitToHeight="2" orientation="landscape" r:id="rId1"/>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FFFFCC"/>
    <pageSetUpPr fitToPage="1"/>
  </sheetPr>
  <dimension ref="A1:L86"/>
  <sheetViews>
    <sheetView showGridLines="0" zoomScale="80" zoomScaleNormal="80" workbookViewId="0">
      <pane ySplit="6" topLeftCell="A55" activePane="bottomLeft" state="frozen"/>
      <selection activeCell="B75" sqref="A1:XFD1048576"/>
      <selection pane="bottomLeft" activeCell="F80" sqref="F80"/>
    </sheetView>
  </sheetViews>
  <sheetFormatPr defaultRowHeight="12.75"/>
  <cols>
    <col min="1" max="1" width="8.375" customWidth="1"/>
    <col min="2" max="2" width="74.5" customWidth="1"/>
    <col min="3" max="3" width="13.375" style="98" customWidth="1"/>
    <col min="4" max="11" width="11.125" customWidth="1"/>
    <col min="12" max="12" width="5" customWidth="1"/>
  </cols>
  <sheetData>
    <row r="1" spans="1:12" s="18" customFormat="1" ht="20.25">
      <c r="A1" s="856" t="s">
        <v>332</v>
      </c>
      <c r="B1" s="875"/>
      <c r="C1" s="229"/>
      <c r="D1" s="228"/>
      <c r="E1" s="228"/>
      <c r="F1" s="228"/>
      <c r="G1" s="228"/>
      <c r="H1" s="228"/>
      <c r="I1" s="228"/>
      <c r="J1" s="228"/>
      <c r="K1" s="228"/>
      <c r="L1" s="874"/>
    </row>
    <row r="2" spans="1:12" s="18" customFormat="1" ht="20.25">
      <c r="A2" s="725" t="str">
        <f>'RFPR cover'!C5</f>
        <v>NGET (SO)</v>
      </c>
      <c r="B2" s="720"/>
      <c r="C2" s="97"/>
      <c r="D2" s="16"/>
      <c r="E2" s="16"/>
      <c r="F2" s="16"/>
      <c r="G2" s="16"/>
      <c r="H2" s="16"/>
      <c r="I2" s="15"/>
      <c r="J2" s="15"/>
      <c r="K2" s="15"/>
      <c r="L2" s="93"/>
    </row>
    <row r="3" spans="1:12" s="18" customFormat="1" ht="20.25">
      <c r="A3" s="728">
        <f>'RFPR cover'!C7</f>
        <v>2020</v>
      </c>
      <c r="B3" s="735"/>
      <c r="C3" s="230"/>
      <c r="D3" s="214"/>
      <c r="E3" s="214"/>
      <c r="F3" s="214"/>
      <c r="G3" s="214"/>
      <c r="H3" s="214"/>
      <c r="I3" s="210"/>
      <c r="J3" s="210"/>
      <c r="K3" s="210"/>
      <c r="L3" s="215"/>
    </row>
    <row r="4" spans="1:12" s="2" customFormat="1" ht="12.75" customHeight="1">
      <c r="C4" s="98"/>
    </row>
    <row r="5" spans="1:12" s="2" customFormat="1">
      <c r="B5" s="3"/>
      <c r="C5" s="98"/>
      <c r="D5" s="313" t="str">
        <f>IF(D6&lt;='RFPR cover'!$C$7,"Actuals","N/A")</f>
        <v>Actuals</v>
      </c>
      <c r="E5" s="314" t="str">
        <f>IF(E6&lt;='RFPR cover'!$C$7,"Actuals","N/A")</f>
        <v>Actuals</v>
      </c>
      <c r="F5" s="314" t="str">
        <f>IF(F6&lt;='RFPR cover'!$C$7,"Actuals","N/A")</f>
        <v>Actuals</v>
      </c>
      <c r="G5" s="314" t="str">
        <f>IF(G6&lt;='RFPR cover'!$C$7,"Actuals","N/A")</f>
        <v>Actuals</v>
      </c>
      <c r="H5" s="314" t="str">
        <f>IF(H6&lt;='RFPR cover'!$C$7,"Actuals","N/A")</f>
        <v>Actuals</v>
      </c>
      <c r="I5" s="314" t="str">
        <f>IF(I6&lt;='RFPR cover'!$C$7,"Actuals","N/A")</f>
        <v>Actuals</v>
      </c>
      <c r="J5" s="314" t="str">
        <f>IF(J6&lt;='RFPR cover'!$C$7,"Actuals","N/A")</f>
        <v>Actuals</v>
      </c>
      <c r="K5" s="315" t="str">
        <f>IF(K6&lt;='RFPR cover'!$C$7,"Actuals","N/A")</f>
        <v>N/A</v>
      </c>
    </row>
    <row r="6" spans="1:12" s="2" customFormat="1">
      <c r="C6" s="98"/>
      <c r="D6" s="90">
        <f>'RFPR cover'!$C$13</f>
        <v>2014</v>
      </c>
      <c r="E6" s="91">
        <f>D6+1</f>
        <v>2015</v>
      </c>
      <c r="F6" s="91">
        <f t="shared" ref="F6:K6" si="0">E6+1</f>
        <v>2016</v>
      </c>
      <c r="G6" s="91">
        <f t="shared" si="0"/>
        <v>2017</v>
      </c>
      <c r="H6" s="91">
        <f t="shared" si="0"/>
        <v>2018</v>
      </c>
      <c r="I6" s="91">
        <f t="shared" si="0"/>
        <v>2019</v>
      </c>
      <c r="J6" s="91">
        <f t="shared" si="0"/>
        <v>2020</v>
      </c>
      <c r="K6" s="154">
        <f t="shared" si="0"/>
        <v>2021</v>
      </c>
    </row>
    <row r="7" spans="1:12" s="2" customFormat="1">
      <c r="C7" s="98"/>
    </row>
    <row r="8" spans="1:12" s="2" customFormat="1">
      <c r="B8" s="34" t="s">
        <v>333</v>
      </c>
      <c r="C8" s="99"/>
      <c r="D8" s="34"/>
      <c r="E8" s="34"/>
      <c r="F8" s="34"/>
      <c r="G8" s="34"/>
      <c r="H8" s="34"/>
      <c r="I8" s="34"/>
      <c r="J8" s="34"/>
      <c r="K8" s="34"/>
      <c r="L8" s="21"/>
    </row>
    <row r="9" spans="1:12" s="2" customFormat="1">
      <c r="B9" s="94" t="s">
        <v>334</v>
      </c>
      <c r="C9" s="112" t="s">
        <v>297</v>
      </c>
      <c r="D9" s="492">
        <v>1328</v>
      </c>
      <c r="E9" s="492">
        <v>1026</v>
      </c>
      <c r="F9" s="492">
        <v>1026</v>
      </c>
      <c r="G9" s="492">
        <v>932</v>
      </c>
      <c r="H9" s="492">
        <v>944</v>
      </c>
      <c r="I9" s="492">
        <v>853.84736449000002</v>
      </c>
      <c r="J9" s="492">
        <v>39</v>
      </c>
      <c r="K9" s="503"/>
    </row>
    <row r="10" spans="1:12" s="2" customFormat="1">
      <c r="B10" s="94" t="s">
        <v>335</v>
      </c>
      <c r="C10" s="112" t="s">
        <v>297</v>
      </c>
      <c r="D10" s="492">
        <v>53</v>
      </c>
      <c r="E10" s="492">
        <v>46</v>
      </c>
      <c r="F10" s="492">
        <v>58</v>
      </c>
      <c r="G10" s="492">
        <v>96</v>
      </c>
      <c r="H10" s="492">
        <v>56</v>
      </c>
      <c r="I10" s="492">
        <v>71.569213829999995</v>
      </c>
      <c r="J10" s="492">
        <v>53</v>
      </c>
      <c r="K10" s="504"/>
    </row>
    <row r="11" spans="1:12" s="2" customFormat="1" ht="29.25" customHeight="1">
      <c r="B11" s="95" t="s">
        <v>336</v>
      </c>
      <c r="C11" s="112" t="s">
        <v>297</v>
      </c>
      <c r="D11" s="760">
        <v>0</v>
      </c>
      <c r="E11" s="760">
        <v>0</v>
      </c>
      <c r="F11" s="760">
        <v>0</v>
      </c>
      <c r="G11" s="760">
        <v>0</v>
      </c>
      <c r="H11" s="760">
        <v>0</v>
      </c>
      <c r="I11" s="760">
        <v>0</v>
      </c>
      <c r="J11" s="760">
        <v>0</v>
      </c>
      <c r="K11" s="504"/>
    </row>
    <row r="12" spans="1:12" s="2" customFormat="1">
      <c r="B12" s="94" t="s">
        <v>337</v>
      </c>
      <c r="C12" s="112" t="s">
        <v>297</v>
      </c>
      <c r="D12" s="492">
        <v>-59.057000000000002</v>
      </c>
      <c r="E12" s="492">
        <v>-21.763999999999999</v>
      </c>
      <c r="F12" s="492">
        <v>-49.453136000000001</v>
      </c>
      <c r="G12" s="492">
        <v>-29.07275593</v>
      </c>
      <c r="H12" s="492">
        <v>-43.456791350000003</v>
      </c>
      <c r="I12" s="492">
        <v>-22.408193269999998</v>
      </c>
      <c r="J12" s="947">
        <v>0</v>
      </c>
      <c r="K12" s="504"/>
    </row>
    <row r="13" spans="1:12" s="2" customFormat="1">
      <c r="B13" s="94" t="s">
        <v>338</v>
      </c>
      <c r="C13" s="112" t="s">
        <v>297</v>
      </c>
      <c r="D13" s="492">
        <v>-119</v>
      </c>
      <c r="E13" s="492">
        <v>-94</v>
      </c>
      <c r="F13" s="492">
        <v>-91</v>
      </c>
      <c r="G13" s="492">
        <v>-84</v>
      </c>
      <c r="H13" s="492">
        <v>-90</v>
      </c>
      <c r="I13" s="492">
        <v>-71.909534980000018</v>
      </c>
      <c r="J13" s="492">
        <v>-0.86956524559999993</v>
      </c>
      <c r="K13" s="504"/>
    </row>
    <row r="14" spans="1:12" s="2" customFormat="1">
      <c r="B14" s="94" t="s">
        <v>339</v>
      </c>
      <c r="C14" s="112" t="s">
        <v>297</v>
      </c>
      <c r="D14" s="760">
        <v>0</v>
      </c>
      <c r="E14" s="760">
        <v>0</v>
      </c>
      <c r="F14" s="760">
        <v>0</v>
      </c>
      <c r="G14" s="760">
        <v>0</v>
      </c>
      <c r="H14" s="760">
        <v>0</v>
      </c>
      <c r="I14" s="760">
        <v>0</v>
      </c>
      <c r="J14" s="760">
        <v>0</v>
      </c>
      <c r="K14" s="523"/>
    </row>
    <row r="15" spans="1:12" s="2" customFormat="1">
      <c r="A15" s="3">
        <v>1</v>
      </c>
      <c r="B15" s="954" t="s">
        <v>340</v>
      </c>
      <c r="C15" s="112" t="s">
        <v>297</v>
      </c>
      <c r="D15" s="760">
        <v>0</v>
      </c>
      <c r="E15" s="760">
        <v>0</v>
      </c>
      <c r="F15" s="760">
        <v>0</v>
      </c>
      <c r="G15" s="760">
        <v>0</v>
      </c>
      <c r="H15" s="760">
        <v>0</v>
      </c>
      <c r="I15" s="760">
        <v>0</v>
      </c>
      <c r="J15" s="760">
        <v>0</v>
      </c>
      <c r="K15" s="503"/>
    </row>
    <row r="16" spans="1:12" s="2" customFormat="1">
      <c r="A16" s="3">
        <v>2</v>
      </c>
      <c r="B16" s="954" t="s">
        <v>340</v>
      </c>
      <c r="C16" s="112" t="s">
        <v>297</v>
      </c>
      <c r="D16" s="760">
        <v>0</v>
      </c>
      <c r="E16" s="760">
        <v>0</v>
      </c>
      <c r="F16" s="760">
        <v>0</v>
      </c>
      <c r="G16" s="760">
        <v>0</v>
      </c>
      <c r="H16" s="760">
        <v>0</v>
      </c>
      <c r="I16" s="760">
        <v>0</v>
      </c>
      <c r="J16" s="760">
        <v>0</v>
      </c>
      <c r="K16" s="504"/>
    </row>
    <row r="17" spans="1:11" s="2" customFormat="1">
      <c r="A17" s="3">
        <v>3</v>
      </c>
      <c r="B17" s="954" t="s">
        <v>340</v>
      </c>
      <c r="C17" s="112" t="s">
        <v>297</v>
      </c>
      <c r="D17" s="760">
        <v>0</v>
      </c>
      <c r="E17" s="760">
        <v>0</v>
      </c>
      <c r="F17" s="760">
        <v>0</v>
      </c>
      <c r="G17" s="760">
        <v>0</v>
      </c>
      <c r="H17" s="760">
        <v>0</v>
      </c>
      <c r="I17" s="760">
        <v>0</v>
      </c>
      <c r="J17" s="760">
        <v>0</v>
      </c>
      <c r="K17" s="504"/>
    </row>
    <row r="18" spans="1:11" s="2" customFormat="1">
      <c r="B18" s="5" t="s">
        <v>341</v>
      </c>
      <c r="C18" s="112" t="s">
        <v>297</v>
      </c>
      <c r="D18" s="524">
        <f>SUM(D9:D17)</f>
        <v>1202.943</v>
      </c>
      <c r="E18" s="525">
        <f t="shared" ref="E18:K18" si="1">SUM(E9:E17)</f>
        <v>956.2360000000001</v>
      </c>
      <c r="F18" s="525">
        <f t="shared" si="1"/>
        <v>943.54686399999991</v>
      </c>
      <c r="G18" s="525">
        <f t="shared" si="1"/>
        <v>914.92724407000003</v>
      </c>
      <c r="H18" s="525">
        <f t="shared" si="1"/>
        <v>866.54320865</v>
      </c>
      <c r="I18" s="525">
        <f t="shared" si="1"/>
        <v>831.09885007000003</v>
      </c>
      <c r="J18" s="525">
        <f>SUM(J9:J17)</f>
        <v>91.1304347544</v>
      </c>
      <c r="K18" s="914">
        <f t="shared" si="1"/>
        <v>0</v>
      </c>
    </row>
    <row r="19" spans="1:11" s="2" customFormat="1">
      <c r="B19" s="94" t="s">
        <v>342</v>
      </c>
      <c r="C19" s="112" t="s">
        <v>297</v>
      </c>
      <c r="D19" s="526">
        <v>2375</v>
      </c>
      <c r="E19" s="526">
        <v>2529</v>
      </c>
      <c r="F19" s="526">
        <v>2818</v>
      </c>
      <c r="G19" s="526">
        <v>3093</v>
      </c>
      <c r="H19" s="526">
        <v>3125</v>
      </c>
      <c r="I19" s="526">
        <v>2605</v>
      </c>
      <c r="J19" s="526">
        <v>1514.7613691099998</v>
      </c>
      <c r="K19" s="528"/>
    </row>
    <row r="20" spans="1:11" s="2" customFormat="1">
      <c r="A20" s="3">
        <v>1</v>
      </c>
      <c r="B20" s="954" t="s">
        <v>340</v>
      </c>
      <c r="C20" s="112" t="s">
        <v>297</v>
      </c>
      <c r="D20" s="492"/>
      <c r="E20" s="493"/>
      <c r="F20" s="493"/>
      <c r="G20" s="493"/>
      <c r="H20" s="493"/>
      <c r="I20" s="493"/>
      <c r="J20" s="493"/>
      <c r="K20" s="503"/>
    </row>
    <row r="21" spans="1:11" s="2" customFormat="1">
      <c r="A21" s="3">
        <v>2</v>
      </c>
      <c r="B21" s="954" t="s">
        <v>340</v>
      </c>
      <c r="C21" s="112" t="s">
        <v>297</v>
      </c>
      <c r="D21" s="494"/>
      <c r="E21" s="495"/>
      <c r="F21" s="495"/>
      <c r="G21" s="495"/>
      <c r="H21" s="495"/>
      <c r="I21" s="495"/>
      <c r="J21" s="495"/>
      <c r="K21" s="504"/>
    </row>
    <row r="22" spans="1:11" s="2" customFormat="1">
      <c r="A22" s="3">
        <v>3</v>
      </c>
      <c r="B22" s="954" t="s">
        <v>340</v>
      </c>
      <c r="C22" s="112" t="s">
        <v>297</v>
      </c>
      <c r="D22" s="494"/>
      <c r="E22" s="495"/>
      <c r="F22" s="495"/>
      <c r="G22" s="495"/>
      <c r="H22" s="495"/>
      <c r="I22" s="495"/>
      <c r="J22" s="495"/>
      <c r="K22" s="504"/>
    </row>
    <row r="23" spans="1:11" s="2" customFormat="1">
      <c r="B23" s="5" t="s">
        <v>343</v>
      </c>
      <c r="C23" s="112" t="s">
        <v>297</v>
      </c>
      <c r="D23" s="508">
        <f>SUM(D18:D22)</f>
        <v>3577.9430000000002</v>
      </c>
      <c r="E23" s="509">
        <f t="shared" ref="E23:K23" si="2">SUM(E18:E22)</f>
        <v>3485.2359999999999</v>
      </c>
      <c r="F23" s="509">
        <f t="shared" si="2"/>
        <v>3761.5468639999999</v>
      </c>
      <c r="G23" s="509">
        <f t="shared" si="2"/>
        <v>4007.9272440700001</v>
      </c>
      <c r="H23" s="509">
        <f t="shared" si="2"/>
        <v>3991.54320865</v>
      </c>
      <c r="I23" s="509">
        <f t="shared" si="2"/>
        <v>3436.09885007</v>
      </c>
      <c r="J23" s="509">
        <f t="shared" si="2"/>
        <v>1605.8918038643999</v>
      </c>
      <c r="K23" s="911">
        <f t="shared" si="2"/>
        <v>0</v>
      </c>
    </row>
    <row r="24" spans="1:11" s="2" customFormat="1">
      <c r="C24" s="98"/>
      <c r="D24" s="35"/>
      <c r="E24" s="35"/>
      <c r="F24" s="35"/>
      <c r="G24" s="35"/>
      <c r="H24" s="35"/>
      <c r="I24" s="35"/>
      <c r="J24" s="35"/>
      <c r="K24" s="35"/>
    </row>
    <row r="25" spans="1:11" s="2" customFormat="1">
      <c r="B25" s="5" t="s">
        <v>344</v>
      </c>
      <c r="C25" s="112" t="s">
        <v>297</v>
      </c>
      <c r="D25" s="37"/>
    </row>
    <row r="26" spans="1:11" s="2" customFormat="1">
      <c r="A26" s="3">
        <v>1</v>
      </c>
      <c r="B26" s="954" t="s">
        <v>575</v>
      </c>
      <c r="C26" s="112" t="s">
        <v>297</v>
      </c>
      <c r="D26" s="492">
        <v>-1342.0001147099999</v>
      </c>
      <c r="E26" s="492">
        <v>-1522.99</v>
      </c>
      <c r="F26" s="492">
        <v>-1758</v>
      </c>
      <c r="G26" s="492">
        <v>-1805</v>
      </c>
      <c r="H26" s="492">
        <v>-1900</v>
      </c>
      <c r="I26" s="492">
        <v>-1159.2282216200001</v>
      </c>
      <c r="J26" s="760">
        <v>0</v>
      </c>
      <c r="K26" s="503"/>
    </row>
    <row r="27" spans="1:11" s="2" customFormat="1">
      <c r="A27" s="3">
        <v>2</v>
      </c>
      <c r="B27" s="954" t="s">
        <v>576</v>
      </c>
      <c r="C27" s="112" t="s">
        <v>297</v>
      </c>
      <c r="D27" s="492">
        <v>-1165.943</v>
      </c>
      <c r="E27" s="492">
        <v>-915.23599999999999</v>
      </c>
      <c r="F27" s="492">
        <v>-902.9973655</v>
      </c>
      <c r="G27" s="492">
        <v>-857.14896898000006</v>
      </c>
      <c r="H27" s="492">
        <v>-801.9889856499999</v>
      </c>
      <c r="I27" s="492">
        <v>-753.48178449</v>
      </c>
      <c r="J27" s="760">
        <v>0</v>
      </c>
      <c r="K27" s="504"/>
    </row>
    <row r="28" spans="1:11" s="2" customFormat="1">
      <c r="A28" s="3">
        <v>3</v>
      </c>
      <c r="B28" s="954" t="s">
        <v>577</v>
      </c>
      <c r="C28" s="112" t="s">
        <v>297</v>
      </c>
      <c r="D28" s="492">
        <v>-40</v>
      </c>
      <c r="E28" s="492">
        <v>-33.035000000000004</v>
      </c>
      <c r="F28" s="492">
        <v>-33.954715849999999</v>
      </c>
      <c r="G28" s="492">
        <v>-43.352027760704708</v>
      </c>
      <c r="H28" s="492">
        <v>-50</v>
      </c>
      <c r="I28" s="492">
        <v>-37.463480400000009</v>
      </c>
      <c r="J28" s="760">
        <v>0</v>
      </c>
      <c r="K28" s="504"/>
    </row>
    <row r="29" spans="1:11" s="2" customFormat="1">
      <c r="A29" s="3">
        <v>4</v>
      </c>
      <c r="B29" s="954" t="s">
        <v>578</v>
      </c>
      <c r="C29" s="112" t="s">
        <v>297</v>
      </c>
      <c r="D29" s="492">
        <v>-14</v>
      </c>
      <c r="E29" s="492">
        <v>-20</v>
      </c>
      <c r="F29" s="492">
        <v>-19</v>
      </c>
      <c r="G29" s="492">
        <v>-19.66806411</v>
      </c>
      <c r="H29" s="492">
        <v>-43.032375000000002</v>
      </c>
      <c r="I29" s="492">
        <v>-40.498503370000002</v>
      </c>
      <c r="J29" s="492">
        <v>-36.919394560000001</v>
      </c>
      <c r="K29" s="504"/>
    </row>
    <row r="30" spans="1:11" s="2" customFormat="1">
      <c r="A30" s="3">
        <v>5</v>
      </c>
      <c r="B30" s="954" t="s">
        <v>579</v>
      </c>
      <c r="C30" s="112" t="s">
        <v>297</v>
      </c>
      <c r="D30" s="492">
        <v>9.8406306647465893</v>
      </c>
      <c r="E30" s="492">
        <v>9.0871104814774224</v>
      </c>
      <c r="F30" s="492">
        <v>7.573436126510793</v>
      </c>
      <c r="G30" s="492">
        <v>9.7964099999999998</v>
      </c>
      <c r="H30" s="492">
        <v>10.247088597793622</v>
      </c>
      <c r="I30" s="492">
        <v>10.658742136785948</v>
      </c>
      <c r="J30" s="492">
        <v>11.977715268977747</v>
      </c>
      <c r="K30" s="504"/>
    </row>
    <row r="31" spans="1:11" s="2" customFormat="1">
      <c r="A31" s="3">
        <v>6</v>
      </c>
      <c r="B31" s="954" t="s">
        <v>580</v>
      </c>
      <c r="C31" s="112" t="s">
        <v>297</v>
      </c>
      <c r="D31" s="492">
        <v>-7.6168819999999995</v>
      </c>
      <c r="E31" s="492">
        <v>2.976362</v>
      </c>
      <c r="F31" s="492">
        <v>0.51848900088374716</v>
      </c>
      <c r="G31" s="492">
        <v>1.7468129999999999</v>
      </c>
      <c r="H31" s="492">
        <v>1.8360604899999999</v>
      </c>
      <c r="I31" s="492">
        <v>-18.798370900770401</v>
      </c>
      <c r="J31" s="492">
        <v>13.040991578734069</v>
      </c>
      <c r="K31" s="504"/>
    </row>
    <row r="32" spans="1:11" s="2" customFormat="1">
      <c r="A32" s="3">
        <v>7</v>
      </c>
      <c r="B32" s="954" t="s">
        <v>581</v>
      </c>
      <c r="C32" s="112" t="s">
        <v>297</v>
      </c>
      <c r="D32" s="492">
        <v>-871.75296169000001</v>
      </c>
      <c r="E32" s="492">
        <v>-874.14480400000002</v>
      </c>
      <c r="F32" s="492">
        <v>-906.6684547000001</v>
      </c>
      <c r="G32" s="492">
        <v>-1120.4720070000001</v>
      </c>
      <c r="H32" s="492">
        <v>-1011.2936051</v>
      </c>
      <c r="I32" s="492">
        <v>-1196.3340840999999</v>
      </c>
      <c r="J32" s="492">
        <v>-1316.8495439999999</v>
      </c>
      <c r="K32" s="504"/>
    </row>
    <row r="33" spans="1:11" s="2" customFormat="1">
      <c r="A33" s="3">
        <v>8</v>
      </c>
      <c r="B33" s="954" t="s">
        <v>582</v>
      </c>
      <c r="C33" s="112" t="s">
        <v>297</v>
      </c>
      <c r="D33" s="492">
        <v>2.11238334233171</v>
      </c>
      <c r="E33" s="492">
        <v>0.13632502329782864</v>
      </c>
      <c r="F33" s="492">
        <v>-0.42345628605788976</v>
      </c>
      <c r="G33" s="492">
        <v>1.87360726</v>
      </c>
      <c r="H33" s="492">
        <v>-0.22818456999999981</v>
      </c>
      <c r="I33" s="492">
        <v>5.5300741602519672</v>
      </c>
      <c r="J33" s="492">
        <v>1.9444870002832171</v>
      </c>
      <c r="K33" s="504"/>
    </row>
    <row r="34" spans="1:11" s="2" customFormat="1">
      <c r="A34" s="3">
        <v>9</v>
      </c>
      <c r="B34" s="954" t="s">
        <v>583</v>
      </c>
      <c r="C34" s="112" t="s">
        <v>297</v>
      </c>
      <c r="D34" s="760">
        <v>0</v>
      </c>
      <c r="E34" s="492">
        <v>12.5</v>
      </c>
      <c r="F34" s="760">
        <v>0</v>
      </c>
      <c r="G34" s="760">
        <v>0</v>
      </c>
      <c r="H34" s="760">
        <v>0</v>
      </c>
      <c r="I34" s="760">
        <v>0</v>
      </c>
      <c r="J34" s="760">
        <v>0</v>
      </c>
      <c r="K34" s="504"/>
    </row>
    <row r="35" spans="1:11" s="2" customFormat="1">
      <c r="A35" s="3">
        <v>10</v>
      </c>
      <c r="B35" s="954" t="s">
        <v>584</v>
      </c>
      <c r="C35" s="112" t="s">
        <v>297</v>
      </c>
      <c r="D35" s="760">
        <v>0</v>
      </c>
      <c r="E35" s="760">
        <v>0</v>
      </c>
      <c r="F35" s="760">
        <v>0</v>
      </c>
      <c r="G35" s="760">
        <v>0</v>
      </c>
      <c r="H35" s="760">
        <v>0</v>
      </c>
      <c r="I35" s="760">
        <v>0</v>
      </c>
      <c r="J35" s="492">
        <v>-12.042698</v>
      </c>
      <c r="K35" s="504"/>
    </row>
    <row r="36" spans="1:11" s="2" customFormat="1">
      <c r="A36" s="3">
        <v>11</v>
      </c>
      <c r="B36" s="954" t="s">
        <v>585</v>
      </c>
      <c r="C36" s="112" t="s">
        <v>297</v>
      </c>
      <c r="D36" s="760">
        <v>0</v>
      </c>
      <c r="E36" s="760">
        <v>0</v>
      </c>
      <c r="F36" s="760">
        <v>0</v>
      </c>
      <c r="G36" s="760">
        <v>0</v>
      </c>
      <c r="H36" s="760">
        <v>0</v>
      </c>
      <c r="I36" s="760">
        <v>0</v>
      </c>
      <c r="J36" s="492">
        <v>-2.034627</v>
      </c>
      <c r="K36" s="504"/>
    </row>
    <row r="37" spans="1:11" s="2" customFormat="1">
      <c r="A37" s="3">
        <v>12</v>
      </c>
      <c r="B37" s="954" t="s">
        <v>586</v>
      </c>
      <c r="C37" s="112" t="s">
        <v>297</v>
      </c>
      <c r="D37" s="760">
        <v>0</v>
      </c>
      <c r="E37" s="760">
        <v>0</v>
      </c>
      <c r="F37" s="760">
        <v>0</v>
      </c>
      <c r="G37" s="760">
        <v>0</v>
      </c>
      <c r="H37" s="760">
        <v>0</v>
      </c>
      <c r="I37" s="760">
        <v>0</v>
      </c>
      <c r="J37" s="492">
        <v>2.6186281422849444</v>
      </c>
      <c r="K37" s="504"/>
    </row>
    <row r="38" spans="1:11" s="2" customFormat="1">
      <c r="A38" s="3">
        <v>13</v>
      </c>
      <c r="B38" s="954" t="s">
        <v>340</v>
      </c>
      <c r="C38" s="112" t="s">
        <v>297</v>
      </c>
      <c r="D38" s="760">
        <v>0</v>
      </c>
      <c r="E38" s="760">
        <v>0</v>
      </c>
      <c r="F38" s="760">
        <v>0</v>
      </c>
      <c r="G38" s="760">
        <v>0</v>
      </c>
      <c r="H38" s="760">
        <v>0</v>
      </c>
      <c r="I38" s="760">
        <v>0</v>
      </c>
      <c r="J38" s="947">
        <v>0</v>
      </c>
      <c r="K38" s="504"/>
    </row>
    <row r="39" spans="1:11" s="2" customFormat="1">
      <c r="A39" s="3">
        <v>14</v>
      </c>
      <c r="B39" s="954" t="s">
        <v>340</v>
      </c>
      <c r="C39" s="112" t="s">
        <v>297</v>
      </c>
      <c r="D39" s="760">
        <v>0</v>
      </c>
      <c r="E39" s="760">
        <v>0</v>
      </c>
      <c r="F39" s="760">
        <v>0</v>
      </c>
      <c r="G39" s="760">
        <v>0</v>
      </c>
      <c r="H39" s="760">
        <v>0</v>
      </c>
      <c r="I39" s="760">
        <v>0</v>
      </c>
      <c r="J39" s="760">
        <v>0</v>
      </c>
      <c r="K39" s="504"/>
    </row>
    <row r="40" spans="1:11" s="2" customFormat="1">
      <c r="A40" s="3">
        <v>15</v>
      </c>
      <c r="B40" s="954" t="s">
        <v>340</v>
      </c>
      <c r="C40" s="112" t="s">
        <v>297</v>
      </c>
      <c r="D40" s="760">
        <v>0</v>
      </c>
      <c r="E40" s="760">
        <v>0</v>
      </c>
      <c r="F40" s="760">
        <v>0</v>
      </c>
      <c r="G40" s="760">
        <v>0</v>
      </c>
      <c r="H40" s="760">
        <v>0</v>
      </c>
      <c r="I40" s="760">
        <v>0</v>
      </c>
      <c r="J40" s="760">
        <v>0</v>
      </c>
      <c r="K40" s="504"/>
    </row>
    <row r="41" spans="1:11" s="2" customFormat="1">
      <c r="A41" s="3">
        <v>16</v>
      </c>
      <c r="B41" s="954" t="s">
        <v>340</v>
      </c>
      <c r="C41" s="112" t="s">
        <v>297</v>
      </c>
      <c r="D41" s="760">
        <v>0</v>
      </c>
      <c r="E41" s="760">
        <v>0</v>
      </c>
      <c r="F41" s="760">
        <v>0</v>
      </c>
      <c r="G41" s="760">
        <v>0</v>
      </c>
      <c r="H41" s="760">
        <v>0</v>
      </c>
      <c r="I41" s="760">
        <v>0</v>
      </c>
      <c r="J41" s="760">
        <v>0</v>
      </c>
      <c r="K41" s="504"/>
    </row>
    <row r="42" spans="1:11" s="2" customFormat="1">
      <c r="A42" s="3">
        <v>17</v>
      </c>
      <c r="B42" s="954" t="s">
        <v>340</v>
      </c>
      <c r="C42" s="112" t="s">
        <v>297</v>
      </c>
      <c r="D42" s="760">
        <v>0</v>
      </c>
      <c r="E42" s="760">
        <v>0</v>
      </c>
      <c r="F42" s="760">
        <v>0</v>
      </c>
      <c r="G42" s="760">
        <v>0</v>
      </c>
      <c r="H42" s="760">
        <v>0</v>
      </c>
      <c r="I42" s="760">
        <v>0</v>
      </c>
      <c r="J42" s="760">
        <v>0</v>
      </c>
      <c r="K42" s="504"/>
    </row>
    <row r="43" spans="1:11" s="2" customFormat="1">
      <c r="A43" s="3">
        <v>18</v>
      </c>
      <c r="B43" s="954" t="s">
        <v>340</v>
      </c>
      <c r="C43" s="112" t="s">
        <v>297</v>
      </c>
      <c r="D43" s="760">
        <v>0</v>
      </c>
      <c r="E43" s="760">
        <v>0</v>
      </c>
      <c r="F43" s="760">
        <v>0</v>
      </c>
      <c r="G43" s="760">
        <v>0</v>
      </c>
      <c r="H43" s="760">
        <v>0</v>
      </c>
      <c r="I43" s="760">
        <v>0</v>
      </c>
      <c r="J43" s="760">
        <v>0</v>
      </c>
      <c r="K43" s="504"/>
    </row>
    <row r="44" spans="1:11" s="2" customFormat="1">
      <c r="A44" s="3">
        <v>19</v>
      </c>
      <c r="B44" s="954" t="s">
        <v>340</v>
      </c>
      <c r="C44" s="112" t="s">
        <v>297</v>
      </c>
      <c r="D44" s="760">
        <v>0</v>
      </c>
      <c r="E44" s="760">
        <v>0</v>
      </c>
      <c r="F44" s="760">
        <v>0</v>
      </c>
      <c r="G44" s="760">
        <v>0</v>
      </c>
      <c r="H44" s="760">
        <v>0</v>
      </c>
      <c r="I44" s="760">
        <v>0</v>
      </c>
      <c r="J44" s="760">
        <v>0</v>
      </c>
      <c r="K44" s="504"/>
    </row>
    <row r="45" spans="1:11" s="2" customFormat="1">
      <c r="A45" s="3">
        <v>20</v>
      </c>
      <c r="B45" s="954" t="s">
        <v>340</v>
      </c>
      <c r="C45" s="112" t="s">
        <v>297</v>
      </c>
      <c r="D45" s="760">
        <v>0</v>
      </c>
      <c r="E45" s="760">
        <v>0</v>
      </c>
      <c r="F45" s="760">
        <v>0</v>
      </c>
      <c r="G45" s="760">
        <v>0</v>
      </c>
      <c r="H45" s="760">
        <v>0</v>
      </c>
      <c r="I45" s="760">
        <v>0</v>
      </c>
      <c r="J45" s="760">
        <v>0</v>
      </c>
      <c r="K45" s="504"/>
    </row>
    <row r="46" spans="1:11" s="2" customFormat="1">
      <c r="B46" s="5" t="s">
        <v>345</v>
      </c>
      <c r="C46" s="112" t="s">
        <v>297</v>
      </c>
      <c r="D46" s="508">
        <f>SUM(D26:D45)</f>
        <v>-3429.3599443929215</v>
      </c>
      <c r="E46" s="509">
        <f t="shared" ref="E46:K46" si="3">SUM(E26:E45)</f>
        <v>-3340.7060064952248</v>
      </c>
      <c r="F46" s="509">
        <f t="shared" si="3"/>
        <v>-3612.9520672086633</v>
      </c>
      <c r="G46" s="509">
        <f t="shared" si="3"/>
        <v>-3832.2242375907049</v>
      </c>
      <c r="H46" s="509">
        <f t="shared" si="3"/>
        <v>-3794.4600012322067</v>
      </c>
      <c r="I46" s="509">
        <f t="shared" si="3"/>
        <v>-3189.6156285837324</v>
      </c>
      <c r="J46" s="509">
        <f t="shared" si="3"/>
        <v>-1338.2644415697198</v>
      </c>
      <c r="K46" s="911">
        <f t="shared" si="3"/>
        <v>0</v>
      </c>
    </row>
    <row r="47" spans="1:11" s="2" customFormat="1">
      <c r="C47" s="98"/>
      <c r="D47" s="36"/>
      <c r="E47" s="35"/>
      <c r="F47" s="35"/>
      <c r="G47" s="35"/>
      <c r="H47" s="35"/>
      <c r="I47" s="35"/>
      <c r="J47" s="35"/>
      <c r="K47" s="35"/>
    </row>
    <row r="48" spans="1:11" s="2" customFormat="1">
      <c r="B48" s="5" t="s">
        <v>346</v>
      </c>
      <c r="C48" s="112" t="s">
        <v>297</v>
      </c>
      <c r="D48" s="508">
        <f>D46+D23</f>
        <v>148.58305560707868</v>
      </c>
      <c r="E48" s="509">
        <f t="shared" ref="E48:K48" si="4">E46+E23</f>
        <v>144.52999350477512</v>
      </c>
      <c r="F48" s="509">
        <f t="shared" si="4"/>
        <v>148.59479679133665</v>
      </c>
      <c r="G48" s="509">
        <f t="shared" si="4"/>
        <v>175.70300647929525</v>
      </c>
      <c r="H48" s="509">
        <f t="shared" si="4"/>
        <v>197.08320741779335</v>
      </c>
      <c r="I48" s="509">
        <f t="shared" si="4"/>
        <v>246.48322148626767</v>
      </c>
      <c r="J48" s="509">
        <f t="shared" si="4"/>
        <v>267.6273622946801</v>
      </c>
      <c r="K48" s="911">
        <f t="shared" si="4"/>
        <v>0</v>
      </c>
    </row>
    <row r="49" spans="1:11" s="2" customFormat="1">
      <c r="B49" s="2" t="s">
        <v>347</v>
      </c>
      <c r="C49" s="112" t="s">
        <v>297</v>
      </c>
      <c r="D49" s="492">
        <v>149.11601108707819</v>
      </c>
      <c r="E49" s="492">
        <v>145.05324818477524</v>
      </c>
      <c r="F49" s="492">
        <v>148.82196519133663</v>
      </c>
      <c r="G49" s="492">
        <v>175.80244196346334</v>
      </c>
      <c r="H49" s="492">
        <v>197.13548712823072</v>
      </c>
      <c r="I49" s="492">
        <v>246.38459550659132</v>
      </c>
      <c r="J49" s="492">
        <v>267.62736254448703</v>
      </c>
      <c r="K49" s="503"/>
    </row>
    <row r="50" spans="1:11" s="2" customFormat="1">
      <c r="C50" s="98" t="s">
        <v>348</v>
      </c>
      <c r="D50" s="529" t="str">
        <f>IF(D$5="Actuals",IF(ABS(D48-D49)&lt;1,"OK","ERROR"),"N/A")</f>
        <v>OK</v>
      </c>
      <c r="E50" s="530" t="str">
        <f t="shared" ref="E50:K50" si="5">IF(E$5="Actuals",IF(ABS(E48-E49)&lt;1,"OK","ERROR"),"N/A")</f>
        <v>OK</v>
      </c>
      <c r="F50" s="530" t="str">
        <f t="shared" si="5"/>
        <v>OK</v>
      </c>
      <c r="G50" s="530" t="str">
        <f t="shared" si="5"/>
        <v>OK</v>
      </c>
      <c r="H50" s="530" t="str">
        <f t="shared" si="5"/>
        <v>OK</v>
      </c>
      <c r="I50" s="530" t="str">
        <f t="shared" si="5"/>
        <v>OK</v>
      </c>
      <c r="J50" s="530" t="str">
        <f t="shared" si="5"/>
        <v>OK</v>
      </c>
      <c r="K50" s="531" t="str">
        <f t="shared" si="5"/>
        <v>N/A</v>
      </c>
    </row>
    <row r="51" spans="1:11" s="2" customFormat="1">
      <c r="B51" s="2" t="s">
        <v>183</v>
      </c>
      <c r="C51" s="98"/>
      <c r="D51" s="37"/>
    </row>
    <row r="52" spans="1:11" s="2" customFormat="1">
      <c r="B52" s="5" t="s">
        <v>349</v>
      </c>
      <c r="C52" s="112"/>
      <c r="D52" s="37"/>
    </row>
    <row r="53" spans="1:11" s="2" customFormat="1">
      <c r="A53" s="3">
        <v>1</v>
      </c>
      <c r="B53" s="954" t="s">
        <v>587</v>
      </c>
      <c r="C53" s="112" t="s">
        <v>297</v>
      </c>
      <c r="D53" s="492">
        <v>10.190324341687457</v>
      </c>
      <c r="E53" s="492">
        <v>10.519009496589609</v>
      </c>
      <c r="F53" s="492">
        <v>10.755279088104556</v>
      </c>
      <c r="G53" s="492">
        <v>10.839</v>
      </c>
      <c r="H53" s="492">
        <v>11.025653388533193</v>
      </c>
      <c r="I53" s="492">
        <v>11.434988130832217</v>
      </c>
      <c r="J53" s="492">
        <v>11.795844305966048</v>
      </c>
      <c r="K53" s="503"/>
    </row>
    <row r="54" spans="1:11" s="2" customFormat="1">
      <c r="A54" s="3">
        <v>2</v>
      </c>
      <c r="B54" s="954" t="s">
        <v>588</v>
      </c>
      <c r="C54" s="112" t="s">
        <v>297</v>
      </c>
      <c r="D54" s="947">
        <v>0</v>
      </c>
      <c r="E54" s="947">
        <v>0</v>
      </c>
      <c r="F54" s="947">
        <v>0</v>
      </c>
      <c r="G54" s="947">
        <v>0</v>
      </c>
      <c r="H54" s="947">
        <v>0</v>
      </c>
      <c r="I54" s="947">
        <v>0</v>
      </c>
      <c r="J54" s="947">
        <v>0</v>
      </c>
      <c r="K54" s="504"/>
    </row>
    <row r="55" spans="1:11" s="2" customFormat="1">
      <c r="A55" s="3">
        <v>3</v>
      </c>
      <c r="B55" s="954" t="s">
        <v>589</v>
      </c>
      <c r="C55" s="112" t="s">
        <v>297</v>
      </c>
      <c r="D55" s="492">
        <v>0.60146726878272239</v>
      </c>
      <c r="E55" s="492">
        <v>0.52459575594789198</v>
      </c>
      <c r="F55" s="492">
        <v>0.46750568019687</v>
      </c>
      <c r="G55" s="492">
        <v>0.629</v>
      </c>
      <c r="H55" s="492">
        <v>0.66252378140000012</v>
      </c>
      <c r="I55" s="492">
        <v>0.47936033510000003</v>
      </c>
      <c r="J55" s="492">
        <v>0.71263059239999993</v>
      </c>
      <c r="K55" s="504"/>
    </row>
    <row r="56" spans="1:11" s="2" customFormat="1">
      <c r="A56" s="3">
        <v>4</v>
      </c>
      <c r="B56" s="954" t="s">
        <v>590</v>
      </c>
      <c r="C56" s="112" t="s">
        <v>297</v>
      </c>
      <c r="D56" s="492">
        <v>0.18576164000000001</v>
      </c>
      <c r="E56" s="492">
        <v>9.5832320000000012E-2</v>
      </c>
      <c r="F56" s="492">
        <v>0.46056385</v>
      </c>
      <c r="G56" s="492">
        <v>-0.29488095000000003</v>
      </c>
      <c r="H56" s="492">
        <v>5.8115269999999997E-2</v>
      </c>
      <c r="I56" s="492">
        <v>6.58234618</v>
      </c>
      <c r="J56" s="492">
        <v>-2.6336993</v>
      </c>
      <c r="K56" s="504"/>
    </row>
    <row r="57" spans="1:11" s="2" customFormat="1">
      <c r="A57" s="3">
        <v>5</v>
      </c>
      <c r="B57" s="954" t="s">
        <v>591</v>
      </c>
      <c r="C57" s="112" t="s">
        <v>297</v>
      </c>
      <c r="D57" s="947">
        <v>0</v>
      </c>
      <c r="E57" s="492">
        <v>7.3459999999999998E-2</v>
      </c>
      <c r="F57" s="492">
        <v>0.59447781999999993</v>
      </c>
      <c r="G57" s="492">
        <v>2.1579998499999999</v>
      </c>
      <c r="H57" s="492">
        <v>4.6460394600000017</v>
      </c>
      <c r="I57" s="492">
        <v>8.6355734999999996</v>
      </c>
      <c r="J57" s="492">
        <v>7.6612614900000002</v>
      </c>
      <c r="K57" s="504"/>
    </row>
    <row r="58" spans="1:11" s="2" customFormat="1">
      <c r="A58" s="3">
        <v>6</v>
      </c>
      <c r="B58" s="954" t="s">
        <v>592</v>
      </c>
      <c r="C58" s="112" t="s">
        <v>297</v>
      </c>
      <c r="D58" s="492">
        <v>4.8999999999999995</v>
      </c>
      <c r="E58" s="947">
        <v>0</v>
      </c>
      <c r="F58" s="947">
        <v>0</v>
      </c>
      <c r="G58" s="947">
        <v>0</v>
      </c>
      <c r="H58" s="947">
        <v>0</v>
      </c>
      <c r="I58" s="947">
        <v>0</v>
      </c>
      <c r="J58" s="947">
        <v>0</v>
      </c>
      <c r="K58" s="504"/>
    </row>
    <row r="59" spans="1:11" s="2" customFormat="1">
      <c r="A59" s="3">
        <v>7</v>
      </c>
      <c r="B59" s="954" t="s">
        <v>593</v>
      </c>
      <c r="C59" s="112" t="s">
        <v>297</v>
      </c>
      <c r="D59" s="947">
        <v>0</v>
      </c>
      <c r="E59" s="947">
        <v>0</v>
      </c>
      <c r="F59" s="947">
        <v>0</v>
      </c>
      <c r="G59" s="947">
        <v>0</v>
      </c>
      <c r="H59" s="947">
        <v>0</v>
      </c>
      <c r="I59" s="947">
        <v>0</v>
      </c>
      <c r="J59" s="492">
        <v>0.73584000000000005</v>
      </c>
      <c r="K59" s="504"/>
    </row>
    <row r="60" spans="1:11" s="2" customFormat="1">
      <c r="A60" s="3">
        <v>8</v>
      </c>
      <c r="B60" s="954" t="s">
        <v>594</v>
      </c>
      <c r="C60" s="112" t="s">
        <v>297</v>
      </c>
      <c r="D60" s="947">
        <v>0</v>
      </c>
      <c r="E60" s="947">
        <v>0</v>
      </c>
      <c r="F60" s="947">
        <v>0</v>
      </c>
      <c r="G60" s="947">
        <v>0</v>
      </c>
      <c r="H60" s="947">
        <v>0</v>
      </c>
      <c r="I60" s="947">
        <v>0</v>
      </c>
      <c r="J60" s="492">
        <v>23.348199999999999</v>
      </c>
      <c r="K60" s="504"/>
    </row>
    <row r="61" spans="1:11" s="2" customFormat="1">
      <c r="A61" s="3">
        <v>9</v>
      </c>
      <c r="B61" s="954" t="s">
        <v>595</v>
      </c>
      <c r="C61" s="112" t="s">
        <v>297</v>
      </c>
      <c r="D61" s="947">
        <v>0</v>
      </c>
      <c r="E61" s="947">
        <v>0</v>
      </c>
      <c r="F61" s="947">
        <v>0</v>
      </c>
      <c r="G61" s="947">
        <v>0</v>
      </c>
      <c r="H61" s="947">
        <v>0</v>
      </c>
      <c r="I61" s="947">
        <v>0</v>
      </c>
      <c r="J61" s="492">
        <v>8.4648549600000003</v>
      </c>
      <c r="K61" s="504"/>
    </row>
    <row r="62" spans="1:11" s="2" customFormat="1">
      <c r="A62" s="3">
        <v>10</v>
      </c>
      <c r="B62" s="954" t="s">
        <v>350</v>
      </c>
      <c r="C62" s="112" t="s">
        <v>297</v>
      </c>
      <c r="D62" s="492">
        <v>-0.54632829250653003</v>
      </c>
      <c r="E62" s="492">
        <v>-1.9947410741866918</v>
      </c>
      <c r="F62" s="492">
        <v>-3.0249292011802709</v>
      </c>
      <c r="G62" s="492">
        <v>-0.11918804689676676</v>
      </c>
      <c r="H62" s="492">
        <v>-7.4446890116604436E-2</v>
      </c>
      <c r="I62" s="492">
        <v>9.8930825636216468E-2</v>
      </c>
      <c r="J62" s="492">
        <v>3.0221873143432276E-4</v>
      </c>
      <c r="K62" s="504"/>
    </row>
    <row r="63" spans="1:11" s="2" customFormat="1">
      <c r="A63" s="3">
        <v>11</v>
      </c>
      <c r="B63" s="954" t="s">
        <v>340</v>
      </c>
      <c r="C63" s="112" t="s">
        <v>297</v>
      </c>
      <c r="D63" s="947">
        <v>0</v>
      </c>
      <c r="E63" s="947">
        <v>0</v>
      </c>
      <c r="F63" s="947">
        <v>0</v>
      </c>
      <c r="G63" s="947">
        <v>0</v>
      </c>
      <c r="H63" s="947">
        <v>0</v>
      </c>
      <c r="I63" s="947">
        <v>0</v>
      </c>
      <c r="J63" s="947">
        <v>0</v>
      </c>
      <c r="K63" s="504"/>
    </row>
    <row r="64" spans="1:11" s="2" customFormat="1">
      <c r="A64" s="3">
        <v>12</v>
      </c>
      <c r="B64" s="954" t="s">
        <v>340</v>
      </c>
      <c r="C64" s="112" t="s">
        <v>297</v>
      </c>
      <c r="D64" s="947">
        <v>0</v>
      </c>
      <c r="E64" s="947">
        <v>0</v>
      </c>
      <c r="F64" s="947">
        <v>0</v>
      </c>
      <c r="G64" s="947">
        <v>0</v>
      </c>
      <c r="H64" s="947">
        <v>0</v>
      </c>
      <c r="I64" s="947">
        <v>0</v>
      </c>
      <c r="J64" s="947">
        <v>0</v>
      </c>
      <c r="K64" s="504"/>
    </row>
    <row r="65" spans="1:11" s="2" customFormat="1">
      <c r="A65" s="3">
        <v>13</v>
      </c>
      <c r="B65" s="954" t="s">
        <v>340</v>
      </c>
      <c r="C65" s="112" t="s">
        <v>297</v>
      </c>
      <c r="D65" s="947">
        <v>0</v>
      </c>
      <c r="E65" s="947">
        <v>0</v>
      </c>
      <c r="F65" s="947">
        <v>0</v>
      </c>
      <c r="G65" s="947">
        <v>0</v>
      </c>
      <c r="H65" s="947">
        <v>0</v>
      </c>
      <c r="I65" s="947">
        <v>0</v>
      </c>
      <c r="J65" s="947">
        <v>0</v>
      </c>
      <c r="K65" s="504"/>
    </row>
    <row r="66" spans="1:11" s="2" customFormat="1">
      <c r="A66" s="3">
        <v>14</v>
      </c>
      <c r="B66" s="954" t="s">
        <v>340</v>
      </c>
      <c r="C66" s="112" t="s">
        <v>297</v>
      </c>
      <c r="D66" s="947">
        <v>0</v>
      </c>
      <c r="E66" s="947">
        <v>0</v>
      </c>
      <c r="F66" s="947">
        <v>0</v>
      </c>
      <c r="G66" s="947">
        <v>0</v>
      </c>
      <c r="H66" s="947">
        <v>0</v>
      </c>
      <c r="I66" s="947">
        <v>0</v>
      </c>
      <c r="J66" s="947">
        <v>0</v>
      </c>
      <c r="K66" s="504"/>
    </row>
    <row r="67" spans="1:11" s="2" customFormat="1">
      <c r="A67" s="3">
        <v>15</v>
      </c>
      <c r="B67" s="954" t="s">
        <v>340</v>
      </c>
      <c r="C67" s="112" t="s">
        <v>297</v>
      </c>
      <c r="D67" s="947">
        <v>0</v>
      </c>
      <c r="E67" s="947">
        <v>0</v>
      </c>
      <c r="F67" s="947">
        <v>0</v>
      </c>
      <c r="G67" s="947">
        <v>0</v>
      </c>
      <c r="H67" s="947">
        <v>0</v>
      </c>
      <c r="I67" s="947">
        <v>0</v>
      </c>
      <c r="J67" s="947">
        <v>0</v>
      </c>
      <c r="K67" s="504"/>
    </row>
    <row r="68" spans="1:11" s="2" customFormat="1">
      <c r="A68" s="3">
        <v>16</v>
      </c>
      <c r="B68" s="954" t="s">
        <v>340</v>
      </c>
      <c r="C68" s="112" t="s">
        <v>297</v>
      </c>
      <c r="D68" s="947">
        <v>0</v>
      </c>
      <c r="E68" s="947">
        <v>0</v>
      </c>
      <c r="F68" s="947">
        <v>0</v>
      </c>
      <c r="G68" s="947">
        <v>0</v>
      </c>
      <c r="H68" s="947">
        <v>0</v>
      </c>
      <c r="I68" s="947">
        <v>0</v>
      </c>
      <c r="J68" s="947">
        <v>0</v>
      </c>
      <c r="K68" s="504"/>
    </row>
    <row r="69" spans="1:11" s="2" customFormat="1">
      <c r="A69" s="3">
        <v>17</v>
      </c>
      <c r="B69" s="954" t="s">
        <v>340</v>
      </c>
      <c r="C69" s="112" t="s">
        <v>297</v>
      </c>
      <c r="D69" s="947">
        <v>0</v>
      </c>
      <c r="E69" s="947">
        <v>0</v>
      </c>
      <c r="F69" s="947">
        <v>0</v>
      </c>
      <c r="G69" s="947">
        <v>0</v>
      </c>
      <c r="H69" s="947">
        <v>0</v>
      </c>
      <c r="I69" s="947">
        <v>0</v>
      </c>
      <c r="J69" s="947">
        <v>0</v>
      </c>
      <c r="K69" s="504"/>
    </row>
    <row r="70" spans="1:11" s="2" customFormat="1">
      <c r="A70" s="3">
        <v>18</v>
      </c>
      <c r="B70" s="954" t="s">
        <v>340</v>
      </c>
      <c r="C70" s="112" t="s">
        <v>297</v>
      </c>
      <c r="D70" s="947">
        <v>0</v>
      </c>
      <c r="E70" s="947">
        <v>0</v>
      </c>
      <c r="F70" s="947">
        <v>0</v>
      </c>
      <c r="G70" s="947">
        <v>0</v>
      </c>
      <c r="H70" s="947">
        <v>0</v>
      </c>
      <c r="I70" s="947">
        <v>0</v>
      </c>
      <c r="J70" s="947">
        <v>0</v>
      </c>
      <c r="K70" s="504"/>
    </row>
    <row r="71" spans="1:11" s="2" customFormat="1">
      <c r="A71" s="3">
        <v>19</v>
      </c>
      <c r="B71" s="954" t="s">
        <v>340</v>
      </c>
      <c r="C71" s="112" t="s">
        <v>297</v>
      </c>
      <c r="D71" s="947">
        <v>0</v>
      </c>
      <c r="E71" s="947">
        <v>0</v>
      </c>
      <c r="F71" s="947">
        <v>0</v>
      </c>
      <c r="G71" s="947">
        <v>0</v>
      </c>
      <c r="H71" s="947">
        <v>0</v>
      </c>
      <c r="I71" s="947">
        <v>0</v>
      </c>
      <c r="J71" s="947">
        <v>0</v>
      </c>
      <c r="K71" s="504"/>
    </row>
    <row r="72" spans="1:11" s="2" customFormat="1">
      <c r="A72" s="3">
        <v>20</v>
      </c>
      <c r="B72" s="954" t="s">
        <v>340</v>
      </c>
      <c r="C72" s="112" t="s">
        <v>297</v>
      </c>
      <c r="D72" s="947">
        <v>0</v>
      </c>
      <c r="E72" s="947">
        <v>0</v>
      </c>
      <c r="F72" s="947">
        <v>0</v>
      </c>
      <c r="G72" s="947">
        <v>0</v>
      </c>
      <c r="H72" s="947">
        <v>0</v>
      </c>
      <c r="I72" s="947">
        <v>0</v>
      </c>
      <c r="J72" s="947">
        <v>0</v>
      </c>
      <c r="K72" s="504"/>
    </row>
    <row r="73" spans="1:11" s="2" customFormat="1">
      <c r="A73" s="3">
        <v>21</v>
      </c>
      <c r="B73" s="954" t="s">
        <v>340</v>
      </c>
      <c r="C73" s="112" t="s">
        <v>297</v>
      </c>
      <c r="D73" s="947">
        <v>0</v>
      </c>
      <c r="E73" s="947">
        <v>0</v>
      </c>
      <c r="F73" s="947">
        <v>0</v>
      </c>
      <c r="G73" s="947">
        <v>0</v>
      </c>
      <c r="H73" s="947">
        <v>0</v>
      </c>
      <c r="I73" s="947">
        <v>0</v>
      </c>
      <c r="J73" s="947">
        <v>0</v>
      </c>
      <c r="K73" s="504"/>
    </row>
    <row r="74" spans="1:11" s="2" customFormat="1">
      <c r="A74" s="3">
        <v>22</v>
      </c>
      <c r="B74" s="954" t="s">
        <v>340</v>
      </c>
      <c r="C74" s="112" t="s">
        <v>297</v>
      </c>
      <c r="D74" s="947">
        <v>0</v>
      </c>
      <c r="E74" s="947">
        <v>0</v>
      </c>
      <c r="F74" s="947">
        <v>0</v>
      </c>
      <c r="G74" s="947">
        <v>0</v>
      </c>
      <c r="H74" s="947">
        <v>0</v>
      </c>
      <c r="I74" s="947">
        <v>0</v>
      </c>
      <c r="J74" s="947">
        <v>0</v>
      </c>
      <c r="K74" s="504"/>
    </row>
    <row r="75" spans="1:11" s="2" customFormat="1">
      <c r="A75" s="3">
        <v>23</v>
      </c>
      <c r="B75" s="954" t="s">
        <v>340</v>
      </c>
      <c r="C75" s="112" t="s">
        <v>297</v>
      </c>
      <c r="D75" s="947">
        <v>0</v>
      </c>
      <c r="E75" s="947">
        <v>0</v>
      </c>
      <c r="F75" s="947">
        <v>0</v>
      </c>
      <c r="G75" s="947">
        <v>0</v>
      </c>
      <c r="H75" s="947">
        <v>0</v>
      </c>
      <c r="I75" s="947">
        <v>0</v>
      </c>
      <c r="J75" s="947">
        <v>0</v>
      </c>
      <c r="K75" s="504"/>
    </row>
    <row r="76" spans="1:11" s="2" customFormat="1">
      <c r="A76" s="3">
        <v>24</v>
      </c>
      <c r="B76" s="954" t="s">
        <v>340</v>
      </c>
      <c r="C76" s="112" t="s">
        <v>297</v>
      </c>
      <c r="D76" s="947">
        <v>0</v>
      </c>
      <c r="E76" s="947">
        <v>0</v>
      </c>
      <c r="F76" s="947">
        <v>0</v>
      </c>
      <c r="G76" s="947">
        <v>0</v>
      </c>
      <c r="H76" s="947">
        <v>0</v>
      </c>
      <c r="I76" s="947">
        <v>0</v>
      </c>
      <c r="J76" s="947">
        <v>0</v>
      </c>
      <c r="K76" s="504"/>
    </row>
    <row r="77" spans="1:11" s="2" customFormat="1">
      <c r="A77" s="3">
        <v>25</v>
      </c>
      <c r="B77" s="954" t="s">
        <v>340</v>
      </c>
      <c r="C77" s="112" t="s">
        <v>297</v>
      </c>
      <c r="D77" s="947"/>
      <c r="E77" s="947"/>
      <c r="F77" s="947"/>
      <c r="G77" s="947"/>
      <c r="H77" s="947"/>
      <c r="I77" s="947"/>
      <c r="J77" s="947"/>
      <c r="K77" s="523"/>
    </row>
    <row r="78" spans="1:11" s="2" customFormat="1">
      <c r="B78" s="5" t="s">
        <v>351</v>
      </c>
      <c r="C78" s="112" t="s">
        <v>297</v>
      </c>
      <c r="D78" s="508">
        <f>SUM(D53:D77)</f>
        <v>15.331224957963649</v>
      </c>
      <c r="E78" s="509">
        <f t="shared" ref="E78:K78" si="6">SUM(E53:E77)</f>
        <v>9.21815649835081</v>
      </c>
      <c r="F78" s="509">
        <f t="shared" si="6"/>
        <v>9.2528972371211555</v>
      </c>
      <c r="G78" s="509">
        <f t="shared" si="6"/>
        <v>13.211930853103233</v>
      </c>
      <c r="H78" s="509">
        <f t="shared" si="6"/>
        <v>16.317885009816592</v>
      </c>
      <c r="I78" s="509">
        <f t="shared" si="6"/>
        <v>27.231198971568432</v>
      </c>
      <c r="J78" s="509">
        <f t="shared" si="6"/>
        <v>50.085234267097476</v>
      </c>
      <c r="K78" s="911">
        <f t="shared" si="6"/>
        <v>0</v>
      </c>
    </row>
    <row r="79" spans="1:11" s="2" customFormat="1">
      <c r="C79" s="98"/>
      <c r="D79" s="36"/>
      <c r="E79" s="35"/>
      <c r="F79" s="35"/>
      <c r="G79" s="35"/>
      <c r="H79" s="35"/>
      <c r="I79" s="35"/>
      <c r="J79" s="35"/>
      <c r="K79" s="35"/>
    </row>
    <row r="80" spans="1:11" s="2" customFormat="1">
      <c r="B80" s="5" t="s">
        <v>352</v>
      </c>
      <c r="C80" s="112" t="s">
        <v>297</v>
      </c>
      <c r="D80" s="508">
        <f>D48-D78</f>
        <v>133.25183064911502</v>
      </c>
      <c r="E80" s="509">
        <f t="shared" ref="E80:K80" si="7">E48-E78</f>
        <v>135.3118370064243</v>
      </c>
      <c r="F80" s="509">
        <f t="shared" si="7"/>
        <v>139.3418995542155</v>
      </c>
      <c r="G80" s="509">
        <f t="shared" si="7"/>
        <v>162.49107562619201</v>
      </c>
      <c r="H80" s="509">
        <f t="shared" si="7"/>
        <v>180.76532240797675</v>
      </c>
      <c r="I80" s="509">
        <f t="shared" si="7"/>
        <v>219.25202251469923</v>
      </c>
      <c r="J80" s="509">
        <f t="shared" si="7"/>
        <v>217.54212802758263</v>
      </c>
      <c r="K80" s="911">
        <f t="shared" si="7"/>
        <v>0</v>
      </c>
    </row>
    <row r="81" spans="2:11" s="2" customFormat="1">
      <c r="B81" s="5" t="s">
        <v>353</v>
      </c>
      <c r="C81" s="112" t="s">
        <v>297</v>
      </c>
      <c r="D81" s="532">
        <f>'R4 - Totex'!D90+'R4 - Totex'!D118</f>
        <v>133.25183064911502</v>
      </c>
      <c r="E81" s="533">
        <f>'R4 - Totex'!E90+'R4 - Totex'!E118</f>
        <v>135.3118370064243</v>
      </c>
      <c r="F81" s="533">
        <f>'R4 - Totex'!F90+'R4 - Totex'!F118</f>
        <v>139.3418995542155</v>
      </c>
      <c r="G81" s="533">
        <f>'R4 - Totex'!G90+'R4 - Totex'!G118</f>
        <v>162.49107562619201</v>
      </c>
      <c r="H81" s="533">
        <f>'R4 - Totex'!H90+'R4 - Totex'!H118</f>
        <v>180.76532240797675</v>
      </c>
      <c r="I81" s="533">
        <f>'R4 - Totex'!I90+'R4 - Totex'!I118</f>
        <v>219.25202251469923</v>
      </c>
      <c r="J81" s="533">
        <f>'R4 - Totex'!J90+'R4 - Totex'!J118</f>
        <v>217.54212802758261</v>
      </c>
      <c r="K81" s="533">
        <f>'R4 - Totex'!K90+'R4 - Totex'!K118</f>
        <v>222.70970808389541</v>
      </c>
    </row>
    <row r="82" spans="2:11" s="2" customFormat="1">
      <c r="C82" s="98" t="s">
        <v>348</v>
      </c>
      <c r="D82" s="470" t="str">
        <f>IF(D$5="Actuals",IF(ABS(D80-('R4 - Totex'!D90+'R4 - Totex'!D118))&lt;'RFPR cover'!$F$14,"OK","Error"),"N/A")</f>
        <v>OK</v>
      </c>
      <c r="E82" s="470" t="str">
        <f>IF(E$5="Actuals",IF(ABS(E80-('R4 - Totex'!E90+'R4 - Totex'!E118))&lt;'RFPR cover'!$F$14,"OK","Error"),"N/A")</f>
        <v>OK</v>
      </c>
      <c r="F82" s="470" t="str">
        <f>IF(F$5="Actuals",IF(ABS(F80-('R4 - Totex'!F90+'R4 - Totex'!F118))&lt;'RFPR cover'!$F$14,"OK","Error"),"N/A")</f>
        <v>OK</v>
      </c>
      <c r="G82" s="470" t="str">
        <f>IF(G$5="Actuals",IF(ABS(G80-('R4 - Totex'!G90+'R4 - Totex'!G118))&lt;'RFPR cover'!$F$14,"OK","Error"),"N/A")</f>
        <v>OK</v>
      </c>
      <c r="H82" s="470" t="str">
        <f>IF(H$5="Actuals",IF(ABS(H80-('R4 - Totex'!H90+'R4 - Totex'!H118))&lt;'RFPR cover'!$F$14,"OK","Error"),"N/A")</f>
        <v>OK</v>
      </c>
      <c r="I82" s="470" t="str">
        <f>IF(I$5="Actuals",IF(ABS(I80-('R4 - Totex'!I90+'R4 - Totex'!I118))&lt;'RFPR cover'!$F$14,"OK","Error"),"N/A")</f>
        <v>OK</v>
      </c>
      <c r="J82" s="470" t="str">
        <f>IF(J$5="Actuals",IF(ABS(J80-('R4 - Totex'!J90+'R4 - Totex'!J118))&lt;'RFPR cover'!$F$14,"OK","Error"),"N/A")</f>
        <v>OK</v>
      </c>
      <c r="K82" s="470" t="str">
        <f>IF(K$5="Actuals",IF(ABS(K80-('R4 - Totex'!K90+'R4 - Totex'!K118))&lt;'RFPR cover'!$F$14,"OK","Error"),"N/A")</f>
        <v>N/A</v>
      </c>
    </row>
    <row r="83" spans="2:11" s="2" customFormat="1">
      <c r="C83" s="98"/>
      <c r="D83" s="950"/>
      <c r="E83" s="950"/>
      <c r="F83" s="950"/>
      <c r="G83" s="950"/>
      <c r="H83" s="950"/>
      <c r="I83" s="950"/>
      <c r="J83" s="950"/>
    </row>
    <row r="84" spans="2:11">
      <c r="D84" s="173"/>
      <c r="E84" s="173"/>
      <c r="F84" s="173"/>
      <c r="G84" s="173"/>
      <c r="H84" s="173"/>
      <c r="I84" s="173"/>
      <c r="J84" s="173"/>
      <c r="K84" s="173"/>
    </row>
    <row r="85" spans="2:11">
      <c r="D85" s="173"/>
      <c r="E85" s="173"/>
      <c r="F85" s="173"/>
      <c r="G85" s="173"/>
      <c r="H85" s="173"/>
      <c r="I85" s="173"/>
      <c r="J85" s="173"/>
      <c r="K85" s="173"/>
    </row>
    <row r="86" spans="2:11">
      <c r="D86" s="173"/>
      <c r="E86" s="173"/>
      <c r="F86" s="173"/>
      <c r="G86" s="173"/>
      <c r="H86" s="173"/>
      <c r="I86" s="173"/>
      <c r="J86" s="173"/>
      <c r="K86" s="173"/>
    </row>
  </sheetData>
  <sheetProtection algorithmName="SHA-512" hashValue="CK/AL5QL/n/fz0Y/xObXfh/Mg1BAoU21Zq+b5neKImpFzwtHBzhRNmEnuLKqzZvf/8RyggWh0PMJY9rdwiu2BQ==" saltValue="lSV41Mohl17r0+1YTtHZxw==" spinCount="100000" sheet="1" formatCells="0" formatColumns="0" formatRows="0" insertColumns="0" insertRows="0" insertHyperlinks="0" deleteColumns="0" deleteRows="0" sort="0" autoFilter="0" pivotTables="0"/>
  <conditionalFormatting sqref="D6:J6">
    <cfRule type="expression" dxfId="68" priority="17">
      <formula>AND(D$5="Actuals",E$5="N/A")</formula>
    </cfRule>
  </conditionalFormatting>
  <conditionalFormatting sqref="D5:K5">
    <cfRule type="expression" dxfId="67" priority="8">
      <formula>AND(D$5="Actuals",E$5="N/A")</formula>
    </cfRule>
  </conditionalFormatting>
  <conditionalFormatting sqref="D80:K80 D82:K82 D23:K23 D9:K9 K10:K14 D10:J17 D18:K19 D26:K46 D48:K50 D53:K78">
    <cfRule type="expression" dxfId="66" priority="3">
      <formula>D$5="N/A"</formula>
    </cfRule>
  </conditionalFormatting>
  <conditionalFormatting sqref="K15:K17">
    <cfRule type="expression" dxfId="65" priority="2">
      <formula>K$5="N/A"</formula>
    </cfRule>
  </conditionalFormatting>
  <conditionalFormatting sqref="D20:K22">
    <cfRule type="expression" dxfId="64" priority="1">
      <formula>D$5="N/A"</formula>
    </cfRule>
  </conditionalFormatting>
  <pageMargins left="0.70866141732283472" right="0.70866141732283472" top="0.74803149606299213" bottom="0.74803149606299213" header="0.31496062992125984" footer="0.31496062992125984"/>
  <pageSetup paperSize="8" scale="65" orientation="landscape" r:id="rId1"/>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CC"/>
    <pageSetUpPr fitToPage="1"/>
  </sheetPr>
  <dimension ref="A1:T154"/>
  <sheetViews>
    <sheetView showGridLines="0" topLeftCell="E1" zoomScale="80" zoomScaleNormal="80" workbookViewId="0">
      <pane ySplit="6" topLeftCell="A7" activePane="bottomLeft" state="frozen"/>
      <selection activeCell="B75" sqref="A1:XFD1048576"/>
      <selection pane="bottomLeft" activeCell="N12" sqref="N12:N13"/>
    </sheetView>
  </sheetViews>
  <sheetFormatPr defaultColWidth="9.125" defaultRowHeight="12.75"/>
  <cols>
    <col min="1" max="1" width="8.375" style="2" customWidth="1"/>
    <col min="2" max="2" width="75.5" style="94" customWidth="1"/>
    <col min="3" max="3" width="13.375" style="98" customWidth="1"/>
    <col min="4" max="11" width="11.125" style="2" customWidth="1"/>
    <col min="12" max="13" width="12.875" style="2" customWidth="1"/>
    <col min="14" max="14" width="25.5" style="2" customWidth="1"/>
    <col min="15" max="16384" width="9.125" style="2"/>
  </cols>
  <sheetData>
    <row r="1" spans="1:20" s="18" customFormat="1" ht="20.25">
      <c r="A1" s="856" t="s">
        <v>201</v>
      </c>
      <c r="B1" s="739"/>
      <c r="C1" s="231"/>
      <c r="D1" s="211"/>
      <c r="E1" s="211"/>
      <c r="F1" s="211"/>
      <c r="G1" s="211"/>
      <c r="H1" s="211"/>
      <c r="I1" s="212"/>
      <c r="J1" s="212"/>
      <c r="K1" s="213"/>
      <c r="L1" s="213"/>
      <c r="M1" s="213"/>
      <c r="N1" s="213"/>
      <c r="O1" s="876"/>
    </row>
    <row r="2" spans="1:20" s="18" customFormat="1" ht="20.25">
      <c r="A2" s="725" t="str">
        <f>'RFPR cover'!C5</f>
        <v>NGET (SO)</v>
      </c>
      <c r="B2" s="737"/>
      <c r="C2" s="97"/>
      <c r="D2" s="16"/>
      <c r="E2" s="16"/>
      <c r="F2" s="16"/>
      <c r="G2" s="16"/>
      <c r="H2" s="16"/>
      <c r="I2" s="15"/>
      <c r="J2" s="15"/>
      <c r="K2" s="15"/>
      <c r="L2" s="15"/>
      <c r="M2" s="15"/>
      <c r="N2" s="15"/>
      <c r="O2" s="93"/>
    </row>
    <row r="3" spans="1:20" s="18" customFormat="1" ht="20.25">
      <c r="A3" s="728">
        <f>'RFPR cover'!C7</f>
        <v>2020</v>
      </c>
      <c r="B3" s="738"/>
      <c r="C3" s="230"/>
      <c r="D3" s="214"/>
      <c r="E3" s="214"/>
      <c r="F3" s="214"/>
      <c r="G3" s="214"/>
      <c r="H3" s="214"/>
      <c r="I3" s="210"/>
      <c r="J3" s="210"/>
      <c r="K3" s="210"/>
      <c r="L3" s="210"/>
      <c r="M3" s="210"/>
      <c r="N3" s="210"/>
      <c r="O3" s="215"/>
    </row>
    <row r="4" spans="1:20" ht="12.75" customHeight="1"/>
    <row r="5" spans="1:20" ht="12.75" customHeight="1">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row>
    <row r="6" spans="1:20" ht="27.75" customHeight="1">
      <c r="B6" s="620"/>
      <c r="D6" s="90">
        <f>'RFPR cover'!$C$13</f>
        <v>2014</v>
      </c>
      <c r="E6" s="91">
        <f>D6+1</f>
        <v>2015</v>
      </c>
      <c r="F6" s="91">
        <f t="shared" ref="F6:K6" si="0">E6+1</f>
        <v>2016</v>
      </c>
      <c r="G6" s="91">
        <f t="shared" si="0"/>
        <v>2017</v>
      </c>
      <c r="H6" s="91">
        <f t="shared" si="0"/>
        <v>2018</v>
      </c>
      <c r="I6" s="91">
        <f t="shared" si="0"/>
        <v>2019</v>
      </c>
      <c r="J6" s="91">
        <f t="shared" si="0"/>
        <v>2020</v>
      </c>
      <c r="K6" s="91">
        <f t="shared" si="0"/>
        <v>2021</v>
      </c>
      <c r="L6" s="74" t="str">
        <f>"Cumulative to "&amp;'RFPR cover'!$C$7</f>
        <v>Cumulative to 2020</v>
      </c>
      <c r="M6" s="92" t="s">
        <v>247</v>
      </c>
      <c r="N6" s="92" t="s">
        <v>268</v>
      </c>
    </row>
    <row r="7" spans="1:20" s="21" customFormat="1">
      <c r="B7" s="621"/>
      <c r="C7" s="117"/>
      <c r="D7" s="41"/>
      <c r="E7" s="41"/>
      <c r="F7" s="41"/>
      <c r="G7" s="41"/>
      <c r="H7" s="41"/>
      <c r="I7" s="41"/>
      <c r="J7" s="41"/>
      <c r="K7" s="41"/>
      <c r="L7" s="41"/>
      <c r="M7" s="41"/>
      <c r="N7" s="41"/>
    </row>
    <row r="8" spans="1:20" s="21" customFormat="1">
      <c r="B8" s="622" t="s">
        <v>269</v>
      </c>
      <c r="C8" s="243"/>
      <c r="D8" s="269"/>
      <c r="E8" s="269"/>
      <c r="F8" s="269"/>
      <c r="G8" s="269"/>
      <c r="H8" s="269"/>
      <c r="I8" s="269"/>
      <c r="J8" s="269"/>
      <c r="K8" s="269"/>
      <c r="L8" s="269"/>
      <c r="M8" s="269"/>
      <c r="N8" s="269"/>
    </row>
    <row r="9" spans="1:20" s="21" customFormat="1">
      <c r="B9" s="621"/>
      <c r="C9" s="117"/>
      <c r="D9" s="41"/>
      <c r="E9" s="41"/>
      <c r="F9" s="41"/>
      <c r="G9" s="41"/>
      <c r="H9" s="41"/>
      <c r="I9" s="41"/>
      <c r="J9" s="41"/>
      <c r="K9" s="41"/>
      <c r="L9" s="41"/>
      <c r="M9" s="41"/>
      <c r="N9" s="41"/>
    </row>
    <row r="10" spans="1:20">
      <c r="A10" s="21"/>
      <c r="B10" s="623" t="str">
        <f>Data!B48</f>
        <v>Totex</v>
      </c>
      <c r="C10" s="110"/>
      <c r="D10" s="61"/>
      <c r="E10" s="61"/>
      <c r="F10" s="61"/>
      <c r="G10" s="61"/>
      <c r="H10" s="61"/>
      <c r="I10" s="61"/>
      <c r="J10" s="61"/>
      <c r="K10" s="61"/>
      <c r="L10" s="61"/>
      <c r="M10" s="61"/>
      <c r="N10" s="61"/>
    </row>
    <row r="11" spans="1:20" s="21" customFormat="1">
      <c r="B11" s="624"/>
      <c r="C11" s="100"/>
      <c r="D11" s="268"/>
      <c r="E11" s="268"/>
      <c r="F11" s="268"/>
      <c r="G11" s="268"/>
      <c r="H11" s="268"/>
      <c r="I11" s="268"/>
      <c r="J11" s="268"/>
      <c r="K11" s="268"/>
      <c r="L11" s="268"/>
      <c r="M11" s="268"/>
      <c r="N11" s="268"/>
    </row>
    <row r="12" spans="1:20">
      <c r="A12" s="21"/>
      <c r="B12" s="256" t="s">
        <v>270</v>
      </c>
      <c r="C12" s="114" t="str">
        <f>'RFPR cover'!$C$14</f>
        <v>£m 09/10</v>
      </c>
      <c r="D12" s="391">
        <v>114.21366187058352</v>
      </c>
      <c r="E12" s="391">
        <v>113.7498359172202</v>
      </c>
      <c r="F12" s="391">
        <v>115.88881769518302</v>
      </c>
      <c r="G12" s="391">
        <v>132.30668063427035</v>
      </c>
      <c r="H12" s="391">
        <v>141.87725100761679</v>
      </c>
      <c r="I12" s="391">
        <v>166.98205183732586</v>
      </c>
      <c r="J12" s="391">
        <v>161.4990687448043</v>
      </c>
      <c r="K12" s="391">
        <v>162.57166198766774</v>
      </c>
      <c r="L12" s="80">
        <f>SUM(D12:INDEX(D12:K12,0,MATCH('RFPR cover'!$C$7,$D$6:$K$6,0)))</f>
        <v>946.51736770700393</v>
      </c>
      <c r="M12" s="81">
        <f>SUM(D12:K12)</f>
        <v>1109.0890296946716</v>
      </c>
      <c r="N12" s="46"/>
      <c r="O12" s="46"/>
    </row>
    <row r="13" spans="1:20" ht="25.5">
      <c r="A13" s="21"/>
      <c r="B13" s="625" t="s">
        <v>271</v>
      </c>
      <c r="C13" s="114" t="str">
        <f>'RFPR cover'!$C$14</f>
        <v>£m 09/10</v>
      </c>
      <c r="D13" s="391">
        <v>126.12371301265952</v>
      </c>
      <c r="E13" s="391">
        <v>114.52533526444685</v>
      </c>
      <c r="F13" s="391">
        <v>120.0850026717011</v>
      </c>
      <c r="G13" s="391">
        <v>126.23892707810136</v>
      </c>
      <c r="H13" s="391">
        <v>137.38332852692693</v>
      </c>
      <c r="I13" s="391">
        <v>161.84438325052898</v>
      </c>
      <c r="J13" s="391">
        <v>138.15589457984353</v>
      </c>
      <c r="K13" s="391">
        <v>136.41754534442893</v>
      </c>
      <c r="L13" s="78">
        <f>SUM(D13:INDEX(D13:K13,0,MATCH('RFPR cover'!$C$7,$D$6:$K$6,0)))</f>
        <v>924.3565843842083</v>
      </c>
      <c r="M13" s="79">
        <f>SUM(D13:K13)</f>
        <v>1060.7741297286373</v>
      </c>
      <c r="N13" s="46"/>
      <c r="O13" s="46"/>
    </row>
    <row r="14" spans="1:20">
      <c r="A14" s="21"/>
      <c r="B14" s="626" t="s">
        <v>272</v>
      </c>
      <c r="C14" s="114" t="str">
        <f>'RFPR cover'!$C$14</f>
        <v>£m 09/10</v>
      </c>
      <c r="D14" s="75">
        <f>D13-D12</f>
        <v>11.910051142076</v>
      </c>
      <c r="E14" s="76">
        <f t="shared" ref="E14:M14" si="1">E13-E12</f>
        <v>0.77549934722665625</v>
      </c>
      <c r="F14" s="76">
        <f t="shared" si="1"/>
        <v>4.196184976518083</v>
      </c>
      <c r="G14" s="76">
        <f t="shared" si="1"/>
        <v>-6.067753556168995</v>
      </c>
      <c r="H14" s="76">
        <f t="shared" si="1"/>
        <v>-4.4939224806898608</v>
      </c>
      <c r="I14" s="76">
        <f t="shared" si="1"/>
        <v>-5.1376685867968774</v>
      </c>
      <c r="J14" s="76">
        <f t="shared" si="1"/>
        <v>-23.343174164960772</v>
      </c>
      <c r="K14" s="76">
        <f t="shared" si="1"/>
        <v>-26.154116643238808</v>
      </c>
      <c r="L14" s="75">
        <f t="shared" si="1"/>
        <v>-22.160783322795623</v>
      </c>
      <c r="M14" s="77">
        <f t="shared" si="1"/>
        <v>-48.314899966034318</v>
      </c>
      <c r="N14" s="46"/>
      <c r="O14" s="1003"/>
      <c r="P14" s="1003"/>
      <c r="Q14" s="1003"/>
      <c r="R14"/>
      <c r="S14"/>
      <c r="T14"/>
    </row>
    <row r="15" spans="1:20">
      <c r="A15" s="21"/>
      <c r="B15" s="626"/>
      <c r="C15" s="114"/>
      <c r="D15" s="42"/>
      <c r="E15" s="42"/>
      <c r="F15" s="42"/>
      <c r="G15" s="42"/>
      <c r="H15" s="42"/>
      <c r="I15" s="42"/>
      <c r="J15" s="42"/>
      <c r="K15" s="42"/>
      <c r="L15" s="42"/>
      <c r="M15" s="42"/>
      <c r="O15" s="47"/>
      <c r="P15" s="47"/>
      <c r="Q15" s="47"/>
      <c r="R15"/>
      <c r="S15"/>
      <c r="T15"/>
    </row>
    <row r="16" spans="1:20">
      <c r="A16" s="21"/>
      <c r="B16" s="620" t="s">
        <v>273</v>
      </c>
      <c r="C16" s="98" t="s">
        <v>250</v>
      </c>
      <c r="D16" s="82">
        <f>1-INDEX(Data!$D$73:$D$100,MATCH('RFPR cover'!$C$5,Data!$B$73:$B$100,0),0)</f>
        <v>0.53110000000000002</v>
      </c>
      <c r="E16" s="83">
        <f>1-INDEX(Data!$D$73:$D$100,MATCH('RFPR cover'!$C$5,Data!$B$73:$B$100,0),0)</f>
        <v>0.53110000000000002</v>
      </c>
      <c r="F16" s="83">
        <f>1-INDEX(Data!$D$73:$D$100,MATCH('RFPR cover'!$C$5,Data!$B$73:$B$100,0),0)</f>
        <v>0.53110000000000002</v>
      </c>
      <c r="G16" s="83">
        <f>1-INDEX(Data!$D$73:$D$100,MATCH('RFPR cover'!$C$5,Data!$B$73:$B$100,0),0)</f>
        <v>0.53110000000000002</v>
      </c>
      <c r="H16" s="83">
        <f>1-INDEX(Data!$D$73:$D$100,MATCH('RFPR cover'!$C$5,Data!$B$73:$B$100,0),0)</f>
        <v>0.53110000000000002</v>
      </c>
      <c r="I16" s="83">
        <f>1-INDEX(Data!$D$73:$D$100,MATCH('RFPR cover'!$C$5,Data!$B$73:$B$100,0),0)</f>
        <v>0.53110000000000002</v>
      </c>
      <c r="J16" s="83">
        <f>1-INDEX(Data!$D$73:$D$100,MATCH('RFPR cover'!$C$5,Data!$B$73:$B$100,0),0)</f>
        <v>0.53110000000000002</v>
      </c>
      <c r="K16" s="84">
        <f>1-INDEX(Data!$D$73:$D$100,MATCH('RFPR cover'!$C$5,Data!$B$73:$B$100,0),0)</f>
        <v>0.53110000000000002</v>
      </c>
      <c r="L16" s="45"/>
      <c r="M16" s="45"/>
      <c r="O16"/>
      <c r="P16"/>
      <c r="Q16"/>
      <c r="R16"/>
      <c r="S16"/>
      <c r="T16"/>
    </row>
    <row r="17" spans="1:20">
      <c r="A17" s="21"/>
      <c r="B17" s="620"/>
      <c r="O17"/>
      <c r="P17"/>
      <c r="Q17"/>
      <c r="R17"/>
      <c r="S17"/>
      <c r="T17"/>
    </row>
    <row r="18" spans="1:20">
      <c r="A18" s="21"/>
      <c r="B18" s="627" t="s">
        <v>274</v>
      </c>
      <c r="C18" s="118" t="str">
        <f>'RFPR cover'!$C$14</f>
        <v>£m 09/10</v>
      </c>
      <c r="D18" s="68">
        <f>D14*D16</f>
        <v>6.3254281615565642</v>
      </c>
      <c r="E18" s="69">
        <f t="shared" ref="E18:K18" si="2">E14*E16</f>
        <v>0.41186770331207717</v>
      </c>
      <c r="F18" s="69">
        <f t="shared" si="2"/>
        <v>2.2285938410287538</v>
      </c>
      <c r="G18" s="69">
        <f t="shared" si="2"/>
        <v>-3.2225839136813534</v>
      </c>
      <c r="H18" s="69">
        <f t="shared" si="2"/>
        <v>-2.3867222294943851</v>
      </c>
      <c r="I18" s="69">
        <f t="shared" si="2"/>
        <v>-2.7286157864478215</v>
      </c>
      <c r="J18" s="69">
        <f t="shared" si="2"/>
        <v>-12.397559799010667</v>
      </c>
      <c r="K18" s="69">
        <f t="shared" si="2"/>
        <v>-13.890451349224131</v>
      </c>
      <c r="L18" s="68">
        <f>SUM(D18:INDEX(D18:K18,0,MATCH('RFPR cover'!$C$7,$D$6:$K$6,0)))</f>
        <v>-11.769592022736832</v>
      </c>
      <c r="M18" s="70">
        <f>SUM(D18:K18)</f>
        <v>-25.660043371960963</v>
      </c>
      <c r="O18"/>
      <c r="P18"/>
      <c r="Q18"/>
      <c r="R18"/>
      <c r="S18"/>
      <c r="T18"/>
    </row>
    <row r="19" spans="1:20">
      <c r="A19" s="21"/>
      <c r="B19" s="627" t="s">
        <v>275</v>
      </c>
      <c r="C19" s="118" t="str">
        <f>'RFPR cover'!$C$14</f>
        <v>£m 09/10</v>
      </c>
      <c r="D19" s="65">
        <f>D14*(1-D16)</f>
        <v>5.5846229805194358</v>
      </c>
      <c r="E19" s="66">
        <f t="shared" ref="E19:K19" si="3">E14*(1-E16)</f>
        <v>0.36363164391457908</v>
      </c>
      <c r="F19" s="66">
        <f t="shared" si="3"/>
        <v>1.967591135489329</v>
      </c>
      <c r="G19" s="66">
        <f t="shared" si="3"/>
        <v>-2.8451696424876416</v>
      </c>
      <c r="H19" s="66">
        <f t="shared" si="3"/>
        <v>-2.1072002511954757</v>
      </c>
      <c r="I19" s="66">
        <f t="shared" si="3"/>
        <v>-2.4090528003490559</v>
      </c>
      <c r="J19" s="66">
        <f t="shared" si="3"/>
        <v>-10.945614365950105</v>
      </c>
      <c r="K19" s="66">
        <f t="shared" si="3"/>
        <v>-12.263665294014677</v>
      </c>
      <c r="L19" s="65">
        <f>SUM(D19:INDEX(D19:K19,0,MATCH('RFPR cover'!$C$7,$D$6:$K$6,0)))</f>
        <v>-10.391191300058933</v>
      </c>
      <c r="M19" s="67">
        <f>SUM(D19:K19)</f>
        <v>-22.65485659407361</v>
      </c>
      <c r="O19"/>
      <c r="P19"/>
      <c r="Q19"/>
      <c r="R19"/>
      <c r="S19"/>
      <c r="T19"/>
    </row>
    <row r="20" spans="1:20">
      <c r="A20" s="21"/>
      <c r="B20" s="620"/>
      <c r="O20"/>
      <c r="P20"/>
      <c r="Q20"/>
      <c r="R20"/>
      <c r="S20"/>
      <c r="T20"/>
    </row>
    <row r="21" spans="1:20">
      <c r="A21" s="21"/>
      <c r="B21" s="628" t="s">
        <v>276</v>
      </c>
      <c r="N21" s="46"/>
      <c r="O21"/>
      <c r="P21"/>
      <c r="Q21"/>
      <c r="R21"/>
      <c r="S21"/>
      <c r="T21"/>
    </row>
    <row r="22" spans="1:20">
      <c r="A22" s="223" t="s">
        <v>277</v>
      </c>
      <c r="B22" s="761" t="s">
        <v>596</v>
      </c>
      <c r="C22" s="114" t="str">
        <f>'RFPR cover'!$C$14</f>
        <v>£m 09/10</v>
      </c>
      <c r="D22" s="762">
        <v>0</v>
      </c>
      <c r="E22" s="762">
        <v>0</v>
      </c>
      <c r="F22" s="762">
        <v>0</v>
      </c>
      <c r="G22" s="492">
        <v>-2.0595146267083919E-3</v>
      </c>
      <c r="H22" s="391">
        <v>7.0657840433341335E-4</v>
      </c>
      <c r="I22" s="492">
        <v>-1.2947827035731052E-2</v>
      </c>
      <c r="J22" s="492">
        <v>-3.0234527687582613E-3</v>
      </c>
      <c r="K22" s="391">
        <v>2.3191400253245718</v>
      </c>
      <c r="L22" s="482">
        <f>SUM(D22:INDEX(D22:K22,0,MATCH('RFPR cover'!$C$7,$D$6:$K$6,0)))</f>
        <v>-1.7324216026864292E-2</v>
      </c>
      <c r="M22" s="483">
        <f t="shared" ref="M22:M27" si="4">SUM(D22:K22)</f>
        <v>2.3018158092977075</v>
      </c>
      <c r="N22" s="471"/>
      <c r="O22"/>
      <c r="P22"/>
      <c r="Q22"/>
      <c r="R22"/>
      <c r="S22"/>
      <c r="T22"/>
    </row>
    <row r="23" spans="1:20">
      <c r="A23" s="223" t="s">
        <v>278</v>
      </c>
      <c r="B23" s="618" t="s">
        <v>597</v>
      </c>
      <c r="C23" s="114" t="str">
        <f>'RFPR cover'!$C$14</f>
        <v>£m 09/10</v>
      </c>
      <c r="D23" s="492">
        <v>-11.210051142076001</v>
      </c>
      <c r="E23" s="492">
        <v>-5.8754993472266559</v>
      </c>
      <c r="F23" s="492">
        <v>-4.4961849765180828</v>
      </c>
      <c r="G23" s="492">
        <v>8.1698130707957031</v>
      </c>
      <c r="H23" s="492">
        <v>2.0932159022855275</v>
      </c>
      <c r="I23" s="492">
        <v>-1.7493835861673919</v>
      </c>
      <c r="J23" s="492">
        <v>6.53</v>
      </c>
      <c r="K23" s="492">
        <v>6.5380900789069001</v>
      </c>
      <c r="L23" s="915">
        <f>SUM(D23:INDEX(D23:K23,0,MATCH('RFPR cover'!$C$7,$D$6:$K$6,0)))</f>
        <v>-6.5380900789069001</v>
      </c>
      <c r="M23" s="916">
        <f t="shared" si="4"/>
        <v>0</v>
      </c>
      <c r="N23" s="472"/>
      <c r="O23"/>
      <c r="P23"/>
      <c r="Q23"/>
      <c r="R23"/>
      <c r="S23"/>
      <c r="T23"/>
    </row>
    <row r="24" spans="1:20">
      <c r="A24" s="223" t="s">
        <v>279</v>
      </c>
      <c r="B24" s="618" t="s">
        <v>280</v>
      </c>
      <c r="C24" s="114" t="str">
        <f>'RFPR cover'!$C$14</f>
        <v>£m 09/10</v>
      </c>
      <c r="D24" s="391"/>
      <c r="E24" s="391"/>
      <c r="F24" s="391"/>
      <c r="G24" s="391"/>
      <c r="H24" s="391"/>
      <c r="I24" s="391"/>
      <c r="J24" s="391"/>
      <c r="K24" s="391"/>
      <c r="L24" s="915">
        <f>SUM(D24:INDEX(D24:K24,0,MATCH('RFPR cover'!$C$7,$D$6:$K$6,0)))</f>
        <v>0</v>
      </c>
      <c r="M24" s="916">
        <f t="shared" si="4"/>
        <v>0</v>
      </c>
      <c r="N24" s="472"/>
      <c r="O24"/>
      <c r="P24"/>
      <c r="Q24"/>
      <c r="R24"/>
      <c r="S24" s="48"/>
      <c r="T24"/>
    </row>
    <row r="25" spans="1:20">
      <c r="A25" s="223" t="s">
        <v>281</v>
      </c>
      <c r="B25" s="618" t="s">
        <v>280</v>
      </c>
      <c r="C25" s="114" t="str">
        <f>'RFPR cover'!$C$14</f>
        <v>£m 09/10</v>
      </c>
      <c r="D25" s="391"/>
      <c r="E25" s="391"/>
      <c r="F25" s="391"/>
      <c r="G25" s="391"/>
      <c r="H25" s="391"/>
      <c r="I25" s="391"/>
      <c r="J25" s="391"/>
      <c r="K25" s="391"/>
      <c r="L25" s="915">
        <f>SUM(D25:INDEX(D25:K25,0,MATCH('RFPR cover'!$C$7,$D$6:$K$6,0)))</f>
        <v>0</v>
      </c>
      <c r="M25" s="916">
        <f t="shared" si="4"/>
        <v>0</v>
      </c>
      <c r="N25" s="472"/>
      <c r="O25"/>
      <c r="P25"/>
      <c r="Q25"/>
      <c r="R25"/>
      <c r="S25"/>
      <c r="T25"/>
    </row>
    <row r="26" spans="1:20">
      <c r="A26" s="223" t="s">
        <v>282</v>
      </c>
      <c r="B26" s="618" t="s">
        <v>280</v>
      </c>
      <c r="C26" s="114" t="str">
        <f>'RFPR cover'!$C$14</f>
        <v>£m 09/10</v>
      </c>
      <c r="D26" s="391"/>
      <c r="E26" s="391"/>
      <c r="F26" s="391"/>
      <c r="G26" s="391"/>
      <c r="H26" s="391"/>
      <c r="I26" s="391"/>
      <c r="J26" s="391"/>
      <c r="K26" s="391"/>
      <c r="L26" s="915">
        <f>SUM(D26:INDEX(D26:K26,0,MATCH('RFPR cover'!$C$7,$D$6:$K$6,0)))</f>
        <v>0</v>
      </c>
      <c r="M26" s="916">
        <f t="shared" si="4"/>
        <v>0</v>
      </c>
      <c r="N26" s="472"/>
      <c r="O26"/>
      <c r="P26"/>
      <c r="Q26"/>
      <c r="R26"/>
      <c r="S26"/>
      <c r="T26"/>
    </row>
    <row r="27" spans="1:20">
      <c r="A27" s="223" t="s">
        <v>283</v>
      </c>
      <c r="B27" s="618" t="s">
        <v>280</v>
      </c>
      <c r="C27" s="114" t="str">
        <f>'RFPR cover'!$C$14</f>
        <v>£m 09/10</v>
      </c>
      <c r="D27" s="391"/>
      <c r="E27" s="391"/>
      <c r="F27" s="391"/>
      <c r="G27" s="391"/>
      <c r="H27" s="391"/>
      <c r="I27" s="391"/>
      <c r="J27" s="391"/>
      <c r="K27" s="391"/>
      <c r="L27" s="917">
        <f>SUM(D27:INDEX(D27:K27,0,MATCH('RFPR cover'!$C$7,$D$6:$K$6,0)))</f>
        <v>0</v>
      </c>
      <c r="M27" s="918">
        <f t="shared" si="4"/>
        <v>0</v>
      </c>
      <c r="N27" s="473"/>
      <c r="O27"/>
      <c r="P27"/>
      <c r="Q27"/>
      <c r="R27"/>
      <c r="S27"/>
      <c r="T27"/>
    </row>
    <row r="28" spans="1:20">
      <c r="A28" s="21"/>
      <c r="B28" s="628" t="s">
        <v>284</v>
      </c>
      <c r="C28" s="114" t="str">
        <f>'RFPR cover'!$C$14</f>
        <v>£m 09/10</v>
      </c>
      <c r="D28" s="919">
        <f>SUM(D22:D27)</f>
        <v>-11.210051142076001</v>
      </c>
      <c r="E28" s="920">
        <f t="shared" ref="E28:K28" si="5">SUM(E22:E27)</f>
        <v>-5.8754993472266559</v>
      </c>
      <c r="F28" s="920">
        <f t="shared" si="5"/>
        <v>-4.4961849765180828</v>
      </c>
      <c r="G28" s="76">
        <f t="shared" si="5"/>
        <v>8.1677535561689947</v>
      </c>
      <c r="H28" s="76">
        <f t="shared" si="5"/>
        <v>2.0939224806898609</v>
      </c>
      <c r="I28" s="76">
        <f t="shared" si="5"/>
        <v>-1.7623314132031229</v>
      </c>
      <c r="J28" s="76">
        <f t="shared" si="5"/>
        <v>6.526976547231242</v>
      </c>
      <c r="K28" s="76">
        <f t="shared" si="5"/>
        <v>8.8572301042314727</v>
      </c>
      <c r="L28" s="75">
        <f>SUM(D28:INDEX(D28:K28,0,MATCH('RFPR cover'!$C$7,$D$6:$K$6,0)))</f>
        <v>-6.5554142949337644</v>
      </c>
      <c r="M28" s="77">
        <f>SUM(D28:K28)</f>
        <v>2.3018158092977083</v>
      </c>
      <c r="N28" s="46"/>
    </row>
    <row r="29" spans="1:20">
      <c r="A29" s="21"/>
      <c r="B29" s="620"/>
    </row>
    <row r="30" spans="1:20">
      <c r="A30" s="21"/>
      <c r="B30" s="627" t="s">
        <v>285</v>
      </c>
      <c r="C30" s="118" t="str">
        <f>'RFPR cover'!$C$14</f>
        <v>£m 09/10</v>
      </c>
      <c r="D30" s="815">
        <f t="shared" ref="D30:K30" si="6">D28*D16</f>
        <v>-5.9536581615565645</v>
      </c>
      <c r="E30" s="816">
        <f t="shared" si="6"/>
        <v>-3.1204777033120772</v>
      </c>
      <c r="F30" s="816">
        <f t="shared" si="6"/>
        <v>-2.387923841028754</v>
      </c>
      <c r="G30" s="69">
        <f t="shared" si="6"/>
        <v>4.337893913681353</v>
      </c>
      <c r="H30" s="69">
        <f t="shared" si="6"/>
        <v>1.1120822294943851</v>
      </c>
      <c r="I30" s="69">
        <f t="shared" si="6"/>
        <v>-0.93597421355217858</v>
      </c>
      <c r="J30" s="69">
        <f t="shared" si="6"/>
        <v>3.4664772442345129</v>
      </c>
      <c r="K30" s="69">
        <f t="shared" si="6"/>
        <v>4.7040749083573354</v>
      </c>
      <c r="L30" s="68">
        <f>SUM(D30:INDEX(D30:K30,0,MATCH('RFPR cover'!$C$7,$D$6:$K$6,0)))</f>
        <v>-3.4815805320393229</v>
      </c>
      <c r="M30" s="70">
        <f>SUM(D30:K30)</f>
        <v>1.2224943763180125</v>
      </c>
    </row>
    <row r="31" spans="1:20">
      <c r="A31" s="21"/>
      <c r="B31" s="627" t="s">
        <v>286</v>
      </c>
      <c r="C31" s="118" t="str">
        <f>'RFPR cover'!$C$14</f>
        <v>£m 09/10</v>
      </c>
      <c r="D31" s="921">
        <f t="shared" ref="D31:K31" si="7">D28*(1-D16)</f>
        <v>-5.2563929805194363</v>
      </c>
      <c r="E31" s="922">
        <f t="shared" si="7"/>
        <v>-2.7550216439145787</v>
      </c>
      <c r="F31" s="922">
        <f t="shared" si="7"/>
        <v>-2.1082611354893288</v>
      </c>
      <c r="G31" s="66">
        <f t="shared" si="7"/>
        <v>3.8298596424876417</v>
      </c>
      <c r="H31" s="66">
        <f t="shared" si="7"/>
        <v>0.98184025119547569</v>
      </c>
      <c r="I31" s="66">
        <f t="shared" si="7"/>
        <v>-0.82635719965094434</v>
      </c>
      <c r="J31" s="66">
        <f t="shared" si="7"/>
        <v>3.0604993029967291</v>
      </c>
      <c r="K31" s="66">
        <f t="shared" si="7"/>
        <v>4.1531551958741373</v>
      </c>
      <c r="L31" s="65">
        <f>SUM(D31:INDEX(D31:K31,0,MATCH('RFPR cover'!$C$7,$D$6:$K$6,0)))</f>
        <v>-3.0738337628944405</v>
      </c>
      <c r="M31" s="67">
        <f>SUM(D31:K31)</f>
        <v>1.0793214329796967</v>
      </c>
    </row>
    <row r="32" spans="1:20">
      <c r="A32" s="21"/>
      <c r="B32" s="620"/>
    </row>
    <row r="33" spans="1:20">
      <c r="A33" s="21"/>
      <c r="B33" s="628" t="s">
        <v>287</v>
      </c>
    </row>
    <row r="34" spans="1:20">
      <c r="A34" s="21"/>
      <c r="B34" s="620" t="s">
        <v>288</v>
      </c>
      <c r="C34" s="114" t="str">
        <f>'RFPR cover'!$C$14</f>
        <v>£m 09/10</v>
      </c>
      <c r="D34" s="68">
        <f>D18+D30</f>
        <v>0.37176999999999971</v>
      </c>
      <c r="E34" s="69">
        <f t="shared" ref="E34:K34" si="8">E18+E30</f>
        <v>-2.7086100000000002</v>
      </c>
      <c r="F34" s="69">
        <f t="shared" si="8"/>
        <v>-0.15933000000000019</v>
      </c>
      <c r="G34" s="69">
        <f t="shared" si="8"/>
        <v>1.1153099999999996</v>
      </c>
      <c r="H34" s="69">
        <f t="shared" si="8"/>
        <v>-1.27464</v>
      </c>
      <c r="I34" s="69">
        <f t="shared" si="8"/>
        <v>-3.66459</v>
      </c>
      <c r="J34" s="69">
        <f t="shared" si="8"/>
        <v>-8.9310825547761539</v>
      </c>
      <c r="K34" s="69">
        <f t="shared" si="8"/>
        <v>-9.1863764408667947</v>
      </c>
      <c r="L34" s="68">
        <f>SUM(D34:INDEX(D34:K34,0,MATCH('RFPR cover'!$C$7,$D$6:$K$6,0)))</f>
        <v>-15.251172554776154</v>
      </c>
      <c r="M34" s="70">
        <f>SUM(D34:K34)</f>
        <v>-24.437548995642949</v>
      </c>
    </row>
    <row r="35" spans="1:20">
      <c r="A35" s="21"/>
      <c r="B35" s="620" t="s">
        <v>275</v>
      </c>
      <c r="C35" s="114" t="str">
        <f>'RFPR cover'!$C$14</f>
        <v>£m 09/10</v>
      </c>
      <c r="D35" s="71">
        <f>D19+D31</f>
        <v>0.32822999999999958</v>
      </c>
      <c r="E35" s="72">
        <f t="shared" ref="E35:K35" si="9">E19+E31</f>
        <v>-2.3913899999999995</v>
      </c>
      <c r="F35" s="72">
        <f t="shared" si="9"/>
        <v>-0.14066999999999985</v>
      </c>
      <c r="G35" s="72">
        <f t="shared" si="9"/>
        <v>0.98469000000000007</v>
      </c>
      <c r="H35" s="72">
        <f t="shared" si="9"/>
        <v>-1.1253600000000001</v>
      </c>
      <c r="I35" s="72">
        <f t="shared" si="9"/>
        <v>-3.2354100000000003</v>
      </c>
      <c r="J35" s="72">
        <f t="shared" si="9"/>
        <v>-7.8851150629533757</v>
      </c>
      <c r="K35" s="72">
        <f t="shared" si="9"/>
        <v>-8.1105100981405407</v>
      </c>
      <c r="L35" s="71">
        <f>SUM(D35:INDEX(D35:K35,0,MATCH('RFPR cover'!$C$7,$D$6:$K$6,0)))</f>
        <v>-13.465025062953377</v>
      </c>
      <c r="M35" s="73">
        <f>SUM(D35:K35)</f>
        <v>-21.575535161093917</v>
      </c>
    </row>
    <row r="36" spans="1:20">
      <c r="A36" s="21"/>
      <c r="B36" s="628" t="s">
        <v>289</v>
      </c>
      <c r="C36" s="115" t="str">
        <f>'RFPR cover'!$C$14</f>
        <v>£m 09/10</v>
      </c>
      <c r="D36" s="101">
        <f>SUM(D34:D35)</f>
        <v>0.69999999999999929</v>
      </c>
      <c r="E36" s="102">
        <f t="shared" ref="E36:K36" si="10">SUM(E34:E35)</f>
        <v>-5.0999999999999996</v>
      </c>
      <c r="F36" s="102">
        <f t="shared" si="10"/>
        <v>-0.30000000000000004</v>
      </c>
      <c r="G36" s="102">
        <f t="shared" si="10"/>
        <v>2.0999999999999996</v>
      </c>
      <c r="H36" s="102">
        <f t="shared" si="10"/>
        <v>-2.4000000000000004</v>
      </c>
      <c r="I36" s="102">
        <f t="shared" si="10"/>
        <v>-6.9</v>
      </c>
      <c r="J36" s="102">
        <f t="shared" si="10"/>
        <v>-16.816197617729529</v>
      </c>
      <c r="K36" s="102">
        <f t="shared" si="10"/>
        <v>-17.296886539007335</v>
      </c>
      <c r="L36" s="101">
        <f>SUM(D36:INDEX(D36:K36,0,MATCH('RFPR cover'!$C$7,$D$6:$K$6,0)))</f>
        <v>-28.716197617729531</v>
      </c>
      <c r="M36" s="103">
        <f>SUM(D36:K36)</f>
        <v>-46.013084156736866</v>
      </c>
    </row>
    <row r="37" spans="1:20">
      <c r="A37" s="21"/>
      <c r="B37" s="620"/>
      <c r="D37" s="35"/>
      <c r="E37" s="35"/>
      <c r="F37" s="35"/>
      <c r="G37" s="35"/>
      <c r="H37" s="35"/>
      <c r="I37" s="35"/>
      <c r="J37" s="35"/>
    </row>
    <row r="38" spans="1:20">
      <c r="A38" s="21"/>
      <c r="B38" s="623" t="str">
        <f>Data!B51</f>
        <v>n/a</v>
      </c>
      <c r="C38" s="110"/>
      <c r="D38" s="61"/>
      <c r="E38" s="61"/>
      <c r="F38" s="61"/>
      <c r="G38" s="61"/>
      <c r="H38" s="61"/>
      <c r="I38" s="61"/>
      <c r="J38" s="61"/>
      <c r="K38" s="61"/>
      <c r="L38" s="61"/>
      <c r="M38" s="61"/>
      <c r="N38" s="61"/>
    </row>
    <row r="39" spans="1:20" s="21" customFormat="1">
      <c r="B39" s="621"/>
      <c r="C39" s="100"/>
      <c r="D39" s="268"/>
      <c r="E39" s="268"/>
      <c r="F39" s="268"/>
      <c r="G39" s="268"/>
      <c r="H39" s="268"/>
      <c r="I39" s="268"/>
      <c r="J39" s="268"/>
      <c r="K39" s="268"/>
      <c r="L39" s="268"/>
      <c r="M39" s="268"/>
      <c r="N39" s="268"/>
    </row>
    <row r="40" spans="1:20">
      <c r="A40" s="21"/>
      <c r="B40" s="256" t="s">
        <v>270</v>
      </c>
      <c r="C40" s="114" t="str">
        <f>'RFPR cover'!$C$14</f>
        <v>£m 09/10</v>
      </c>
      <c r="D40" s="537"/>
      <c r="E40" s="538"/>
      <c r="F40" s="538"/>
      <c r="G40" s="538"/>
      <c r="H40" s="538"/>
      <c r="I40" s="538"/>
      <c r="J40" s="538"/>
      <c r="K40" s="538"/>
      <c r="L40" s="539">
        <f>SUM(D40:INDEX(D40:K40,0,MATCH('RFPR cover'!$C$7,$D$6:$K$6,0)))</f>
        <v>0</v>
      </c>
      <c r="M40" s="540">
        <f>SUM(D40:K40)</f>
        <v>0</v>
      </c>
      <c r="N40" s="289"/>
      <c r="O40" s="46"/>
    </row>
    <row r="41" spans="1:20" ht="25.5">
      <c r="A41" s="21"/>
      <c r="B41" s="625" t="s">
        <v>271</v>
      </c>
      <c r="C41" s="114" t="str">
        <f>'RFPR cover'!$C$14</f>
        <v>£m 09/10</v>
      </c>
      <c r="D41" s="541"/>
      <c r="E41" s="542"/>
      <c r="F41" s="542"/>
      <c r="G41" s="542"/>
      <c r="H41" s="542"/>
      <c r="I41" s="542"/>
      <c r="J41" s="542"/>
      <c r="K41" s="542"/>
      <c r="L41" s="543">
        <f>SUM(D41:INDEX(D41:K41,0,MATCH('RFPR cover'!$C$7,$D$6:$K$6,0)))</f>
        <v>0</v>
      </c>
      <c r="M41" s="544">
        <f>SUM(D41:K41)</f>
        <v>0</v>
      </c>
      <c r="N41" s="289"/>
      <c r="O41" s="46"/>
    </row>
    <row r="42" spans="1:20">
      <c r="A42" s="21"/>
      <c r="B42" s="626" t="s">
        <v>272</v>
      </c>
      <c r="C42" s="114" t="str">
        <f>'RFPR cover'!$C$14</f>
        <v>£m 09/10</v>
      </c>
      <c r="D42" s="75">
        <f>D41-D40</f>
        <v>0</v>
      </c>
      <c r="E42" s="76">
        <f t="shared" ref="E42:M42" si="11">E41-E40</f>
        <v>0</v>
      </c>
      <c r="F42" s="76">
        <f t="shared" si="11"/>
        <v>0</v>
      </c>
      <c r="G42" s="76">
        <f t="shared" si="11"/>
        <v>0</v>
      </c>
      <c r="H42" s="76">
        <f t="shared" si="11"/>
        <v>0</v>
      </c>
      <c r="I42" s="76">
        <f t="shared" si="11"/>
        <v>0</v>
      </c>
      <c r="J42" s="76">
        <f t="shared" si="11"/>
        <v>0</v>
      </c>
      <c r="K42" s="76">
        <f t="shared" si="11"/>
        <v>0</v>
      </c>
      <c r="L42" s="877">
        <f t="shared" si="11"/>
        <v>0</v>
      </c>
      <c r="M42" s="901">
        <f t="shared" si="11"/>
        <v>0</v>
      </c>
      <c r="N42" s="290"/>
      <c r="O42" s="1003"/>
      <c r="P42" s="1003"/>
      <c r="Q42" s="1003"/>
      <c r="R42"/>
      <c r="S42"/>
      <c r="T42"/>
    </row>
    <row r="43" spans="1:20">
      <c r="A43" s="21"/>
      <c r="B43" s="626"/>
      <c r="C43" s="114"/>
      <c r="D43" s="42"/>
      <c r="E43" s="42"/>
      <c r="F43" s="42"/>
      <c r="G43" s="42"/>
      <c r="H43" s="42"/>
      <c r="I43" s="42"/>
      <c r="J43" s="42"/>
      <c r="K43" s="42"/>
      <c r="L43" s="42"/>
      <c r="M43" s="42"/>
      <c r="N43" s="286"/>
      <c r="O43" s="47"/>
      <c r="P43" s="47"/>
      <c r="Q43" s="47"/>
      <c r="R43"/>
      <c r="S43"/>
      <c r="T43"/>
    </row>
    <row r="44" spans="1:20">
      <c r="A44" s="21"/>
      <c r="B44" s="620" t="s">
        <v>273</v>
      </c>
      <c r="C44" s="98" t="s">
        <v>250</v>
      </c>
      <c r="D44" s="82">
        <f>1-INDEX(Data!$D$73:$D$100,MATCH('RFPR cover'!$C$5,Data!$B$73:$B$100,0),0)</f>
        <v>0.53110000000000002</v>
      </c>
      <c r="E44" s="83">
        <f>1-INDEX(Data!$D$73:$D$100,MATCH('RFPR cover'!$C$5,Data!$B$73:$B$100,0),0)</f>
        <v>0.53110000000000002</v>
      </c>
      <c r="F44" s="83">
        <f>1-INDEX(Data!$D$73:$D$100,MATCH('RFPR cover'!$C$5,Data!$B$73:$B$100,0),0)</f>
        <v>0.53110000000000002</v>
      </c>
      <c r="G44" s="83">
        <f>1-INDEX(Data!$D$73:$D$100,MATCH('RFPR cover'!$C$5,Data!$B$73:$B$100,0),0)</f>
        <v>0.53110000000000002</v>
      </c>
      <c r="H44" s="83">
        <f>1-INDEX(Data!$D$73:$D$100,MATCH('RFPR cover'!$C$5,Data!$B$73:$B$100,0),0)</f>
        <v>0.53110000000000002</v>
      </c>
      <c r="I44" s="83">
        <f>1-INDEX(Data!$D$73:$D$100,MATCH('RFPR cover'!$C$5,Data!$B$73:$B$100,0),0)</f>
        <v>0.53110000000000002</v>
      </c>
      <c r="J44" s="83">
        <f>1-INDEX(Data!$D$73:$D$100,MATCH('RFPR cover'!$C$5,Data!$B$73:$B$100,0),0)</f>
        <v>0.53110000000000002</v>
      </c>
      <c r="K44" s="84">
        <f>1-INDEX(Data!$D$73:$D$100,MATCH('RFPR cover'!$C$5,Data!$B$73:$B$100,0),0)</f>
        <v>0.53110000000000002</v>
      </c>
      <c r="L44" s="45"/>
      <c r="M44" s="45"/>
      <c r="N44" s="287"/>
      <c r="O44"/>
      <c r="P44"/>
      <c r="Q44"/>
      <c r="R44"/>
      <c r="S44"/>
      <c r="T44"/>
    </row>
    <row r="45" spans="1:20">
      <c r="A45" s="21"/>
      <c r="B45" s="620"/>
      <c r="N45" s="288"/>
      <c r="O45"/>
      <c r="P45"/>
      <c r="Q45"/>
      <c r="R45"/>
      <c r="S45"/>
      <c r="T45"/>
    </row>
    <row r="46" spans="1:20">
      <c r="A46" s="21"/>
      <c r="B46" s="627" t="s">
        <v>274</v>
      </c>
      <c r="C46" s="118" t="str">
        <f>'RFPR cover'!$C$14</f>
        <v>£m 09/10</v>
      </c>
      <c r="D46" s="68">
        <f>D42*D44</f>
        <v>0</v>
      </c>
      <c r="E46" s="69">
        <f t="shared" ref="E46:K46" si="12">E42*E44</f>
        <v>0</v>
      </c>
      <c r="F46" s="69">
        <f t="shared" si="12"/>
        <v>0</v>
      </c>
      <c r="G46" s="69">
        <f t="shared" si="12"/>
        <v>0</v>
      </c>
      <c r="H46" s="69">
        <f t="shared" si="12"/>
        <v>0</v>
      </c>
      <c r="I46" s="69">
        <f t="shared" si="12"/>
        <v>0</v>
      </c>
      <c r="J46" s="69">
        <f t="shared" si="12"/>
        <v>0</v>
      </c>
      <c r="K46" s="69">
        <f t="shared" si="12"/>
        <v>0</v>
      </c>
      <c r="L46" s="292">
        <f>SUM(D46:INDEX(D46:K46,0,MATCH('RFPR cover'!$C$7,$D$6:$K$6,0)))</f>
        <v>0</v>
      </c>
      <c r="M46" s="474">
        <f>SUM(D46:K46)</f>
        <v>0</v>
      </c>
      <c r="N46" s="290"/>
      <c r="O46"/>
      <c r="P46"/>
      <c r="Q46"/>
      <c r="R46"/>
      <c r="S46"/>
      <c r="T46"/>
    </row>
    <row r="47" spans="1:20">
      <c r="A47" s="21"/>
      <c r="B47" s="627" t="s">
        <v>275</v>
      </c>
      <c r="C47" s="118" t="str">
        <f>'RFPR cover'!$C$14</f>
        <v>£m 09/10</v>
      </c>
      <c r="D47" s="476">
        <f>D42*(1-D44)</f>
        <v>0</v>
      </c>
      <c r="E47" s="477">
        <f t="shared" ref="E47:K47" si="13">E42*(1-E44)</f>
        <v>0</v>
      </c>
      <c r="F47" s="477">
        <f t="shared" si="13"/>
        <v>0</v>
      </c>
      <c r="G47" s="477">
        <f t="shared" si="13"/>
        <v>0</v>
      </c>
      <c r="H47" s="477">
        <f t="shared" si="13"/>
        <v>0</v>
      </c>
      <c r="I47" s="477">
        <f t="shared" si="13"/>
        <v>0</v>
      </c>
      <c r="J47" s="477">
        <f t="shared" si="13"/>
        <v>0</v>
      </c>
      <c r="K47" s="477">
        <f t="shared" si="13"/>
        <v>0</v>
      </c>
      <c r="L47" s="478">
        <f>SUM(D47:INDEX(D47:K47,0,MATCH('RFPR cover'!$C$7,$D$6:$K$6,0)))</f>
        <v>0</v>
      </c>
      <c r="M47" s="479">
        <f>SUM(D47:K47)</f>
        <v>0</v>
      </c>
      <c r="N47" s="290"/>
      <c r="O47"/>
      <c r="P47"/>
      <c r="Q47"/>
      <c r="R47"/>
      <c r="S47"/>
      <c r="T47"/>
    </row>
    <row r="48" spans="1:20">
      <c r="A48" s="21"/>
      <c r="B48" s="620"/>
      <c r="N48" s="288"/>
      <c r="O48"/>
      <c r="P48"/>
      <c r="Q48"/>
      <c r="R48"/>
      <c r="S48"/>
      <c r="T48"/>
    </row>
    <row r="49" spans="1:20">
      <c r="A49" s="21"/>
      <c r="B49" s="628" t="s">
        <v>276</v>
      </c>
      <c r="N49" s="288"/>
      <c r="O49"/>
      <c r="P49"/>
      <c r="Q49"/>
      <c r="R49"/>
      <c r="S49"/>
      <c r="T49"/>
    </row>
    <row r="50" spans="1:20">
      <c r="A50" s="223" t="s">
        <v>277</v>
      </c>
      <c r="B50" s="618" t="s">
        <v>280</v>
      </c>
      <c r="C50" s="114" t="str">
        <f>'RFPR cover'!$C$14</f>
        <v>£m 09/10</v>
      </c>
      <c r="D50" s="480"/>
      <c r="E50" s="481"/>
      <c r="F50" s="481"/>
      <c r="G50" s="481"/>
      <c r="H50" s="481"/>
      <c r="I50" s="481"/>
      <c r="J50" s="481"/>
      <c r="K50" s="481"/>
      <c r="L50" s="545">
        <f>SUM(D50:INDEX(D50:K50,0,MATCH('RFPR cover'!$C$7,$D$6:$K$6,0)))</f>
        <v>0</v>
      </c>
      <c r="M50" s="546">
        <f t="shared" ref="M50:M56" si="14">SUM(D50:K50)</f>
        <v>0</v>
      </c>
      <c r="N50" s="471"/>
      <c r="O50"/>
      <c r="P50"/>
      <c r="Q50"/>
      <c r="R50"/>
      <c r="S50"/>
      <c r="T50"/>
    </row>
    <row r="51" spans="1:20">
      <c r="A51" s="223" t="s">
        <v>278</v>
      </c>
      <c r="B51" s="618" t="s">
        <v>280</v>
      </c>
      <c r="C51" s="114" t="str">
        <f>'RFPR cover'!$C$14</f>
        <v>£m 09/10</v>
      </c>
      <c r="D51" s="484"/>
      <c r="E51" s="485"/>
      <c r="F51" s="485"/>
      <c r="G51" s="485"/>
      <c r="H51" s="485"/>
      <c r="I51" s="485"/>
      <c r="J51" s="485"/>
      <c r="K51" s="485"/>
      <c r="L51" s="547">
        <f>SUM(D51:INDEX(D51:K51,0,MATCH('RFPR cover'!$C$7,$D$6:$K$6,0)))</f>
        <v>0</v>
      </c>
      <c r="M51" s="548">
        <f t="shared" si="14"/>
        <v>0</v>
      </c>
      <c r="N51" s="472"/>
      <c r="O51"/>
      <c r="P51"/>
      <c r="Q51"/>
      <c r="R51"/>
      <c r="S51"/>
      <c r="T51"/>
    </row>
    <row r="52" spans="1:20">
      <c r="A52" s="223" t="s">
        <v>279</v>
      </c>
      <c r="B52" s="618" t="s">
        <v>280</v>
      </c>
      <c r="C52" s="114" t="str">
        <f>'RFPR cover'!$C$14</f>
        <v>£m 09/10</v>
      </c>
      <c r="D52" s="484"/>
      <c r="E52" s="485"/>
      <c r="F52" s="485"/>
      <c r="G52" s="485"/>
      <c r="H52" s="485"/>
      <c r="I52" s="485"/>
      <c r="J52" s="485"/>
      <c r="K52" s="485"/>
      <c r="L52" s="547">
        <f>SUM(D52:INDEX(D52:K52,0,MATCH('RFPR cover'!$C$7,$D$6:$K$6,0)))</f>
        <v>0</v>
      </c>
      <c r="M52" s="548">
        <f t="shared" si="14"/>
        <v>0</v>
      </c>
      <c r="N52" s="472"/>
      <c r="O52"/>
      <c r="P52"/>
      <c r="Q52"/>
      <c r="R52"/>
      <c r="S52" s="48"/>
      <c r="T52"/>
    </row>
    <row r="53" spans="1:20">
      <c r="A53" s="223" t="s">
        <v>281</v>
      </c>
      <c r="B53" s="618" t="s">
        <v>280</v>
      </c>
      <c r="C53" s="114" t="str">
        <f>'RFPR cover'!$C$14</f>
        <v>£m 09/10</v>
      </c>
      <c r="D53" s="484"/>
      <c r="E53" s="485"/>
      <c r="F53" s="485"/>
      <c r="G53" s="485"/>
      <c r="H53" s="485"/>
      <c r="I53" s="485"/>
      <c r="J53" s="485"/>
      <c r="K53" s="485"/>
      <c r="L53" s="547">
        <f>SUM(D53:INDEX(D53:K53,0,MATCH('RFPR cover'!$C$7,$D$6:$K$6,0)))</f>
        <v>0</v>
      </c>
      <c r="M53" s="548">
        <f t="shared" si="14"/>
        <v>0</v>
      </c>
      <c r="N53" s="472"/>
      <c r="O53"/>
      <c r="P53"/>
      <c r="Q53"/>
      <c r="R53"/>
      <c r="S53"/>
      <c r="T53"/>
    </row>
    <row r="54" spans="1:20">
      <c r="A54" s="223" t="s">
        <v>282</v>
      </c>
      <c r="B54" s="618" t="s">
        <v>280</v>
      </c>
      <c r="C54" s="114" t="str">
        <f>'RFPR cover'!$C$14</f>
        <v>£m 09/10</v>
      </c>
      <c r="D54" s="484"/>
      <c r="E54" s="485"/>
      <c r="F54" s="485"/>
      <c r="G54" s="485"/>
      <c r="H54" s="485"/>
      <c r="I54" s="485"/>
      <c r="J54" s="485"/>
      <c r="K54" s="485"/>
      <c r="L54" s="547">
        <f>SUM(D54:INDEX(D54:K54,0,MATCH('RFPR cover'!$C$7,$D$6:$K$6,0)))</f>
        <v>0</v>
      </c>
      <c r="M54" s="548">
        <f t="shared" si="14"/>
        <v>0</v>
      </c>
      <c r="N54" s="472"/>
      <c r="O54"/>
      <c r="P54"/>
      <c r="Q54"/>
      <c r="R54"/>
      <c r="S54"/>
      <c r="T54"/>
    </row>
    <row r="55" spans="1:20">
      <c r="A55" s="223" t="s">
        <v>283</v>
      </c>
      <c r="B55" s="618" t="s">
        <v>280</v>
      </c>
      <c r="C55" s="114" t="str">
        <f>'RFPR cover'!$C$14</f>
        <v>£m 09/10</v>
      </c>
      <c r="D55" s="488"/>
      <c r="E55" s="489"/>
      <c r="F55" s="489"/>
      <c r="G55" s="489"/>
      <c r="H55" s="489"/>
      <c r="I55" s="489"/>
      <c r="J55" s="489"/>
      <c r="K55" s="489"/>
      <c r="L55" s="549">
        <f>SUM(D55:INDEX(D55:K55,0,MATCH('RFPR cover'!$C$7,$D$6:$K$6,0)))</f>
        <v>0</v>
      </c>
      <c r="M55" s="550">
        <f t="shared" si="14"/>
        <v>0</v>
      </c>
      <c r="N55" s="473"/>
      <c r="O55"/>
      <c r="P55"/>
      <c r="Q55"/>
      <c r="R55"/>
      <c r="S55"/>
      <c r="T55"/>
    </row>
    <row r="56" spans="1:20">
      <c r="A56" s="21"/>
      <c r="B56" s="628" t="s">
        <v>284</v>
      </c>
      <c r="C56" s="114" t="str">
        <f>'RFPR cover'!$C$14</f>
        <v>£m 09/10</v>
      </c>
      <c r="D56" s="75">
        <f>SUM(D50:D55)</f>
        <v>0</v>
      </c>
      <c r="E56" s="76">
        <f t="shared" ref="E56:K56" si="15">SUM(E50:E55)</f>
        <v>0</v>
      </c>
      <c r="F56" s="76">
        <f t="shared" si="15"/>
        <v>0</v>
      </c>
      <c r="G56" s="76">
        <f t="shared" si="15"/>
        <v>0</v>
      </c>
      <c r="H56" s="76">
        <f t="shared" si="15"/>
        <v>0</v>
      </c>
      <c r="I56" s="76">
        <f t="shared" si="15"/>
        <v>0</v>
      </c>
      <c r="J56" s="76">
        <f t="shared" si="15"/>
        <v>0</v>
      </c>
      <c r="K56" s="76">
        <f t="shared" si="15"/>
        <v>0</v>
      </c>
      <c r="L56" s="877">
        <f>SUM(D56:INDEX(D56:K56,0,MATCH('RFPR cover'!$C$7,$D$6:$K$6,0)))</f>
        <v>0</v>
      </c>
      <c r="M56" s="901">
        <f t="shared" si="14"/>
        <v>0</v>
      </c>
      <c r="N56" s="290"/>
    </row>
    <row r="57" spans="1:20">
      <c r="A57" s="21"/>
      <c r="B57" s="620"/>
      <c r="N57" s="288"/>
    </row>
    <row r="58" spans="1:20">
      <c r="A58" s="21"/>
      <c r="B58" s="627" t="s">
        <v>285</v>
      </c>
      <c r="C58" s="118" t="str">
        <f>'RFPR cover'!$C$14</f>
        <v>£m 09/10</v>
      </c>
      <c r="D58" s="68">
        <f t="shared" ref="D58:K58" si="16">D56*D44</f>
        <v>0</v>
      </c>
      <c r="E58" s="69">
        <f t="shared" si="16"/>
        <v>0</v>
      </c>
      <c r="F58" s="69">
        <f t="shared" si="16"/>
        <v>0</v>
      </c>
      <c r="G58" s="69">
        <f t="shared" si="16"/>
        <v>0</v>
      </c>
      <c r="H58" s="69">
        <f t="shared" si="16"/>
        <v>0</v>
      </c>
      <c r="I58" s="69">
        <f t="shared" si="16"/>
        <v>0</v>
      </c>
      <c r="J58" s="69">
        <f t="shared" si="16"/>
        <v>0</v>
      </c>
      <c r="K58" s="69">
        <f t="shared" si="16"/>
        <v>0</v>
      </c>
      <c r="L58" s="292">
        <f>SUM(D58:INDEX(D58:K58,0,MATCH('RFPR cover'!$C$7,$D$6:$K$6,0)))</f>
        <v>0</v>
      </c>
      <c r="M58" s="474">
        <f>SUM(D58:K58)</f>
        <v>0</v>
      </c>
      <c r="N58" s="290"/>
    </row>
    <row r="59" spans="1:20">
      <c r="A59" s="21"/>
      <c r="B59" s="627" t="s">
        <v>286</v>
      </c>
      <c r="C59" s="118" t="str">
        <f>'RFPR cover'!$C$14</f>
        <v>£m 09/10</v>
      </c>
      <c r="D59" s="65">
        <f t="shared" ref="D59:K59" si="17">D56*(1-D44)</f>
        <v>0</v>
      </c>
      <c r="E59" s="66">
        <f t="shared" si="17"/>
        <v>0</v>
      </c>
      <c r="F59" s="66">
        <f t="shared" si="17"/>
        <v>0</v>
      </c>
      <c r="G59" s="66">
        <f t="shared" si="17"/>
        <v>0</v>
      </c>
      <c r="H59" s="66">
        <f t="shared" si="17"/>
        <v>0</v>
      </c>
      <c r="I59" s="66">
        <f t="shared" si="17"/>
        <v>0</v>
      </c>
      <c r="J59" s="66">
        <f t="shared" si="17"/>
        <v>0</v>
      </c>
      <c r="K59" s="66">
        <f t="shared" si="17"/>
        <v>0</v>
      </c>
      <c r="L59" s="293">
        <f>SUM(D59:INDEX(D59:K59,0,MATCH('RFPR cover'!$C$7,$D$6:$K$6,0)))</f>
        <v>0</v>
      </c>
      <c r="M59" s="475">
        <f>SUM(D59:K59)</f>
        <v>0</v>
      </c>
      <c r="N59" s="290"/>
    </row>
    <row r="60" spans="1:20">
      <c r="A60" s="21"/>
      <c r="B60" s="620"/>
      <c r="N60" s="288"/>
    </row>
    <row r="61" spans="1:20">
      <c r="A61" s="21"/>
      <c r="B61" s="628" t="s">
        <v>287</v>
      </c>
      <c r="N61" s="288"/>
    </row>
    <row r="62" spans="1:20">
      <c r="A62" s="21"/>
      <c r="B62" s="620" t="s">
        <v>288</v>
      </c>
      <c r="C62" s="114" t="str">
        <f>'RFPR cover'!$C$14</f>
        <v>£m 09/10</v>
      </c>
      <c r="D62" s="68">
        <f>D46+D58</f>
        <v>0</v>
      </c>
      <c r="E62" s="69">
        <f t="shared" ref="E62:K62" si="18">E46+E58</f>
        <v>0</v>
      </c>
      <c r="F62" s="69">
        <f t="shared" si="18"/>
        <v>0</v>
      </c>
      <c r="G62" s="69">
        <f t="shared" si="18"/>
        <v>0</v>
      </c>
      <c r="H62" s="69">
        <f t="shared" si="18"/>
        <v>0</v>
      </c>
      <c r="I62" s="69">
        <f t="shared" si="18"/>
        <v>0</v>
      </c>
      <c r="J62" s="69">
        <f t="shared" si="18"/>
        <v>0</v>
      </c>
      <c r="K62" s="69">
        <f t="shared" si="18"/>
        <v>0</v>
      </c>
      <c r="L62" s="292">
        <f>SUM(D62:INDEX(D62:K62,0,MATCH('RFPR cover'!$C$7,$D$6:$K$6,0)))</f>
        <v>0</v>
      </c>
      <c r="M62" s="474">
        <f>SUM(D62:K62)</f>
        <v>0</v>
      </c>
      <c r="N62" s="290"/>
    </row>
    <row r="63" spans="1:20">
      <c r="A63" s="21"/>
      <c r="B63" s="620" t="s">
        <v>275</v>
      </c>
      <c r="C63" s="114" t="str">
        <f>'RFPR cover'!$C$14</f>
        <v>£m 09/10</v>
      </c>
      <c r="D63" s="71">
        <f>D47+D59</f>
        <v>0</v>
      </c>
      <c r="E63" s="72">
        <f t="shared" ref="E63:K63" si="19">E47+E59</f>
        <v>0</v>
      </c>
      <c r="F63" s="72">
        <f t="shared" si="19"/>
        <v>0</v>
      </c>
      <c r="G63" s="72">
        <f t="shared" si="19"/>
        <v>0</v>
      </c>
      <c r="H63" s="72">
        <f t="shared" si="19"/>
        <v>0</v>
      </c>
      <c r="I63" s="72">
        <f t="shared" si="19"/>
        <v>0</v>
      </c>
      <c r="J63" s="72">
        <f t="shared" si="19"/>
        <v>0</v>
      </c>
      <c r="K63" s="72">
        <f t="shared" si="19"/>
        <v>0</v>
      </c>
      <c r="L63" s="294">
        <f>SUM(D63:INDEX(D63:K63,0,MATCH('RFPR cover'!$C$7,$D$6:$K$6,0)))</f>
        <v>0</v>
      </c>
      <c r="M63" s="475">
        <f>SUM(D63:K63)</f>
        <v>0</v>
      </c>
      <c r="N63" s="290"/>
    </row>
    <row r="64" spans="1:20">
      <c r="A64" s="21"/>
      <c r="B64" s="628" t="s">
        <v>289</v>
      </c>
      <c r="C64" s="115" t="str">
        <f>'RFPR cover'!$C$14</f>
        <v>£m 09/10</v>
      </c>
      <c r="D64" s="101">
        <f>SUM(D62:D63)</f>
        <v>0</v>
      </c>
      <c r="E64" s="102">
        <f t="shared" ref="E64:K64" si="20">SUM(E62:E63)</f>
        <v>0</v>
      </c>
      <c r="F64" s="102">
        <f t="shared" si="20"/>
        <v>0</v>
      </c>
      <c r="G64" s="102">
        <f t="shared" si="20"/>
        <v>0</v>
      </c>
      <c r="H64" s="102">
        <f t="shared" si="20"/>
        <v>0</v>
      </c>
      <c r="I64" s="102">
        <f t="shared" si="20"/>
        <v>0</v>
      </c>
      <c r="J64" s="102">
        <f t="shared" si="20"/>
        <v>0</v>
      </c>
      <c r="K64" s="102">
        <f t="shared" si="20"/>
        <v>0</v>
      </c>
      <c r="L64" s="295">
        <f>SUM(D64:INDEX(D64:K64,0,MATCH('RFPR cover'!$C$7,$D$6:$K$6,0)))</f>
        <v>0</v>
      </c>
      <c r="M64" s="937">
        <f>SUM(D64:K64)</f>
        <v>0</v>
      </c>
      <c r="N64" s="291"/>
    </row>
    <row r="65" spans="1:20">
      <c r="A65" s="21"/>
      <c r="B65" s="628"/>
      <c r="C65" s="115"/>
      <c r="D65" s="115"/>
      <c r="E65" s="115"/>
      <c r="F65" s="115"/>
      <c r="G65" s="115"/>
      <c r="H65" s="115"/>
      <c r="I65" s="115"/>
      <c r="J65" s="115"/>
      <c r="K65" s="115"/>
      <c r="L65" s="115"/>
      <c r="M65" s="115"/>
    </row>
    <row r="66" spans="1:20">
      <c r="A66" s="21"/>
      <c r="B66" s="623" t="s">
        <v>290</v>
      </c>
      <c r="C66" s="110"/>
      <c r="D66" s="61"/>
      <c r="E66" s="61"/>
      <c r="F66" s="61"/>
      <c r="G66" s="61"/>
      <c r="H66" s="61"/>
      <c r="I66" s="61"/>
      <c r="J66" s="61"/>
      <c r="K66" s="61"/>
      <c r="L66" s="61"/>
      <c r="M66" s="61"/>
      <c r="N66" s="61"/>
    </row>
    <row r="67" spans="1:20">
      <c r="A67" s="21"/>
      <c r="B67" s="620"/>
      <c r="O67"/>
      <c r="P67"/>
      <c r="Q67"/>
      <c r="R67"/>
      <c r="S67"/>
      <c r="T67"/>
    </row>
    <row r="68" spans="1:20">
      <c r="A68" s="21"/>
      <c r="B68" s="628" t="s">
        <v>287</v>
      </c>
    </row>
    <row r="69" spans="1:20">
      <c r="A69" s="21"/>
      <c r="B69" s="620" t="s">
        <v>288</v>
      </c>
      <c r="C69" s="114" t="str">
        <f>'RFPR cover'!$C$14</f>
        <v>£m 09/10</v>
      </c>
      <c r="D69" s="68">
        <f>D34+D62</f>
        <v>0.37176999999999971</v>
      </c>
      <c r="E69" s="69">
        <f t="shared" ref="E69:K69" si="21">E34+E62</f>
        <v>-2.7086100000000002</v>
      </c>
      <c r="F69" s="69">
        <f t="shared" si="21"/>
        <v>-0.15933000000000019</v>
      </c>
      <c r="G69" s="69">
        <f t="shared" si="21"/>
        <v>1.1153099999999996</v>
      </c>
      <c r="H69" s="69">
        <f t="shared" si="21"/>
        <v>-1.27464</v>
      </c>
      <c r="I69" s="69">
        <f t="shared" si="21"/>
        <v>-3.66459</v>
      </c>
      <c r="J69" s="69">
        <f t="shared" si="21"/>
        <v>-8.9310825547761539</v>
      </c>
      <c r="K69" s="69">
        <f t="shared" si="21"/>
        <v>-9.1863764408667947</v>
      </c>
      <c r="L69" s="68">
        <f>SUM(D69:INDEX(D69:K69,0,MATCH('RFPR cover'!$C$7,$D$6:$K$6,0)))</f>
        <v>-15.251172554776154</v>
      </c>
      <c r="M69" s="70">
        <f>SUM(D69:K69)</f>
        <v>-24.437548995642949</v>
      </c>
    </row>
    <row r="70" spans="1:20">
      <c r="A70" s="21"/>
      <c r="B70" s="620" t="s">
        <v>275</v>
      </c>
      <c r="C70" s="114" t="str">
        <f>'RFPR cover'!$C$14</f>
        <v>£m 09/10</v>
      </c>
      <c r="D70" s="423">
        <f t="shared" ref="D70:K70" si="22">D35+D63</f>
        <v>0.32822999999999958</v>
      </c>
      <c r="E70" s="424">
        <f t="shared" si="22"/>
        <v>-2.3913899999999995</v>
      </c>
      <c r="F70" s="424">
        <f t="shared" si="22"/>
        <v>-0.14066999999999985</v>
      </c>
      <c r="G70" s="424">
        <f t="shared" si="22"/>
        <v>0.98469000000000007</v>
      </c>
      <c r="H70" s="424">
        <f t="shared" si="22"/>
        <v>-1.1253600000000001</v>
      </c>
      <c r="I70" s="424">
        <f t="shared" si="22"/>
        <v>-3.2354100000000003</v>
      </c>
      <c r="J70" s="424">
        <f t="shared" si="22"/>
        <v>-7.8851150629533757</v>
      </c>
      <c r="K70" s="424">
        <f t="shared" si="22"/>
        <v>-8.1105100981405407</v>
      </c>
      <c r="L70" s="423">
        <f>SUM(D70:INDEX(D70:K70,0,MATCH('RFPR cover'!$C$7,$D$6:$K$6,0)))</f>
        <v>-13.465025062953377</v>
      </c>
      <c r="M70" s="425">
        <f>SUM(D70:K70)</f>
        <v>-21.575535161093917</v>
      </c>
    </row>
    <row r="71" spans="1:20">
      <c r="A71" s="21"/>
      <c r="B71" s="628" t="s">
        <v>289</v>
      </c>
      <c r="C71" s="115" t="str">
        <f>'RFPR cover'!$C$14</f>
        <v>£m 09/10</v>
      </c>
      <c r="D71" s="107">
        <f>SUM(D69:D70)</f>
        <v>0.69999999999999929</v>
      </c>
      <c r="E71" s="108">
        <f t="shared" ref="E71:K71" si="23">SUM(E69:E70)</f>
        <v>-5.0999999999999996</v>
      </c>
      <c r="F71" s="108">
        <f t="shared" si="23"/>
        <v>-0.30000000000000004</v>
      </c>
      <c r="G71" s="108">
        <f t="shared" si="23"/>
        <v>2.0999999999999996</v>
      </c>
      <c r="H71" s="108">
        <f t="shared" si="23"/>
        <v>-2.4000000000000004</v>
      </c>
      <c r="I71" s="108">
        <f t="shared" si="23"/>
        <v>-6.9</v>
      </c>
      <c r="J71" s="108">
        <f t="shared" si="23"/>
        <v>-16.816197617729529</v>
      </c>
      <c r="K71" s="108">
        <f t="shared" si="23"/>
        <v>-17.296886539007335</v>
      </c>
      <c r="L71" s="107">
        <f>SUM(D71:INDEX(D71:K71,0,MATCH('RFPR cover'!$C$7,$D$6:$K$6,0)))</f>
        <v>-28.716197617729531</v>
      </c>
      <c r="M71" s="109">
        <f>SUM(D71:K71)</f>
        <v>-46.013084156736866</v>
      </c>
    </row>
    <row r="72" spans="1:20">
      <c r="A72" s="21"/>
      <c r="B72" s="628"/>
      <c r="C72" s="115"/>
      <c r="D72" s="115"/>
      <c r="E72" s="115"/>
      <c r="F72" s="115"/>
      <c r="G72" s="115"/>
      <c r="H72" s="115"/>
      <c r="I72" s="115"/>
      <c r="J72" s="115"/>
      <c r="K72" s="115"/>
      <c r="L72" s="115"/>
      <c r="M72" s="115"/>
    </row>
    <row r="73" spans="1:20">
      <c r="A73" s="21"/>
      <c r="B73" s="620"/>
    </row>
    <row r="74" spans="1:20">
      <c r="A74" s="21"/>
      <c r="B74" s="623" t="s">
        <v>116</v>
      </c>
      <c r="C74" s="110"/>
      <c r="D74" s="60"/>
      <c r="E74" s="60"/>
      <c r="F74" s="60"/>
      <c r="G74" s="60"/>
      <c r="H74" s="60"/>
      <c r="I74" s="60"/>
      <c r="J74" s="60"/>
      <c r="K74" s="60"/>
      <c r="L74" s="60"/>
      <c r="M74" s="60"/>
      <c r="N74" s="60"/>
    </row>
    <row r="75" spans="1:20">
      <c r="A75" s="21"/>
      <c r="B75" s="300" t="s">
        <v>291</v>
      </c>
      <c r="C75" s="299"/>
      <c r="D75" s="299"/>
      <c r="E75" s="299"/>
      <c r="F75" s="299"/>
      <c r="G75" s="299"/>
      <c r="H75" s="299"/>
      <c r="I75" s="299"/>
      <c r="J75" s="299"/>
      <c r="K75" s="299"/>
      <c r="L75" s="299"/>
      <c r="M75" s="299"/>
      <c r="N75" s="299"/>
    </row>
    <row r="76" spans="1:20" s="21" customFormat="1">
      <c r="B76" s="346"/>
      <c r="C76" s="304"/>
      <c r="D76" s="304"/>
      <c r="E76" s="304"/>
      <c r="F76" s="304"/>
      <c r="G76" s="304"/>
      <c r="H76" s="304"/>
      <c r="I76" s="304"/>
      <c r="J76" s="304"/>
      <c r="K76" s="304"/>
      <c r="L76" s="304"/>
      <c r="M76" s="304"/>
      <c r="N76" s="304"/>
    </row>
    <row r="77" spans="1:20">
      <c r="A77" s="21"/>
      <c r="B77" s="627" t="s">
        <v>292</v>
      </c>
      <c r="C77" s="114" t="str">
        <f>'RFPR cover'!$C$14</f>
        <v>£m 09/10</v>
      </c>
      <c r="D77" s="551">
        <f>INDEX(Data!$C$119:$L$146,MATCH('RFPR cover'!$C$5,Data!$B$119:$B$146,0),MATCH('R4 - Totex'!D$6,Data!$C$118:$L$118,0))</f>
        <v>0.93219394583370063</v>
      </c>
      <c r="E77" s="552">
        <f>INDEX(Data!$C$119:$L$146,MATCH('RFPR cover'!$C$5,Data!$B$119:$B$146,0),MATCH('R4 - Totex'!E$6,Data!$C$118:$L$118,0))</f>
        <v>0.89969793099769957</v>
      </c>
      <c r="F77" s="552">
        <f>INDEX(Data!$C$119:$L$146,MATCH('RFPR cover'!$C$5,Data!$B$119:$B$146,0),MATCH('R4 - Totex'!F$6,Data!$C$118:$L$118,0))</f>
        <v>0.87783267686821997</v>
      </c>
      <c r="G77" s="552">
        <f>INDEX(Data!$C$119:$L$146,MATCH('RFPR cover'!$C$5,Data!$B$119:$B$146,0),MATCH('R4 - Totex'!G$6,Data!$C$118:$L$118,0))</f>
        <v>0.87232109317784756</v>
      </c>
      <c r="H77" s="552">
        <f>INDEX(Data!$C$119:$L$146,MATCH('RFPR cover'!$C$5,Data!$B$119:$B$146,0),MATCH('R4 - Totex'!H$6,Data!$C$118:$L$118,0))</f>
        <v>0.89875958568159287</v>
      </c>
      <c r="I77" s="552">
        <f>INDEX(Data!$C$119:$L$146,MATCH('RFPR cover'!$C$5,Data!$B$119:$B$146,0),MATCH('R4 - Totex'!I$6,Data!$C$118:$L$118,0))</f>
        <v>0.82801710222961222</v>
      </c>
      <c r="J77" s="552">
        <f>INDEX(Data!$C$119:$L$146,MATCH('RFPR cover'!$C$5,Data!$B$119:$B$146,0),MATCH('R4 - Totex'!J$6,Data!$C$118:$L$118,0))</f>
        <v>0.88417658562860901</v>
      </c>
      <c r="K77" s="553">
        <f>INDEX(Data!$C$119:$L$146,MATCH('RFPR cover'!$C$5,Data!$B$119:$B$146,0),MATCH('R4 - Totex'!K$6,Data!$C$118:$L$118,0))</f>
        <v>0.89982415652833247</v>
      </c>
      <c r="L77" s="71">
        <f>SUM(D77:INDEX(D77:K77,0,MATCH('RFPR cover'!$C$7,$D$6:$K$6,0)))</f>
        <v>6.1929989204172813</v>
      </c>
      <c r="M77" s="73">
        <f>SUM(D77:K77)</f>
        <v>7.0928230769456135</v>
      </c>
    </row>
    <row r="78" spans="1:20">
      <c r="A78" s="21"/>
      <c r="B78" s="183" t="s">
        <v>293</v>
      </c>
      <c r="C78" s="114" t="s">
        <v>250</v>
      </c>
      <c r="D78" s="705">
        <f>IF(INDEX(Data!$J$73:$J$100,MATCH('RFPR cover'!$C$5,Data!$B$73:$B$100,0),0)="Pre",INDEX(Data!$G$18:$G$27,MATCH('R4 - Totex'!D$6,Data!$C$18:$C$27,0),0),"n/a")</f>
        <v>0.23</v>
      </c>
      <c r="E78" s="705">
        <f>IF(INDEX(Data!$J$73:$J$100,MATCH('RFPR cover'!$C$5,Data!$B$73:$B$100,0),0)="Pre",INDEX(Data!$G$18:$G$27,MATCH('R4 - Totex'!E$6,Data!$C$18:$C$27,0),0),"n/a")</f>
        <v>0.21</v>
      </c>
      <c r="F78" s="705">
        <f>IF(INDEX(Data!$J$73:$J$100,MATCH('RFPR cover'!$C$5,Data!$B$73:$B$100,0),0)="Pre",INDEX(Data!$G$18:$G$27,MATCH('R4 - Totex'!F$6,Data!$C$18:$C$27,0),0),"n/a")</f>
        <v>0.2</v>
      </c>
      <c r="G78" s="705">
        <f>IF(INDEX(Data!$J$73:$J$100,MATCH('RFPR cover'!$C$5,Data!$B$73:$B$100,0),0)="Pre",INDEX(Data!$G$18:$G$27,MATCH('R4 - Totex'!G$6,Data!$C$18:$C$27,0),0),"n/a")</f>
        <v>0.2</v>
      </c>
      <c r="H78" s="705">
        <f>IF(INDEX(Data!$J$73:$J$100,MATCH('RFPR cover'!$C$5,Data!$B$73:$B$100,0),0)="Pre",INDEX(Data!$G$18:$G$27,MATCH('R4 - Totex'!H$6,Data!$C$18:$C$27,0),0),"n/a")</f>
        <v>0.19</v>
      </c>
      <c r="I78" s="705">
        <f>IF(INDEX(Data!$J$73:$J$100,MATCH('RFPR cover'!$C$5,Data!$B$73:$B$100,0),0)="Pre",INDEX(Data!$G$18:$G$27,MATCH('R4 - Totex'!I$6,Data!$C$18:$C$27,0),0),"n/a")</f>
        <v>0.19</v>
      </c>
      <c r="J78" s="705">
        <f>IF(INDEX(Data!$J$73:$J$100,MATCH('RFPR cover'!$C$5,Data!$B$73:$B$100,0),0)="Pre",INDEX(Data!$G$18:$G$27,MATCH('R4 - Totex'!J$6,Data!$C$18:$C$27,0),0),"n/a")</f>
        <v>0.19</v>
      </c>
      <c r="K78" s="705">
        <f>IF(INDEX(Data!$J$73:$J$100,MATCH('RFPR cover'!$C$5,Data!$B$73:$B$100,0),0)="Pre",INDEX(Data!$G$18:$G$27,MATCH('R4 - Totex'!K$6,Data!$C$18:$C$27,0),0),"n/a")</f>
        <v>0.19</v>
      </c>
      <c r="L78" s="703"/>
      <c r="M78" s="704"/>
    </row>
    <row r="79" spans="1:20">
      <c r="A79" s="21"/>
      <c r="B79" s="183" t="s">
        <v>294</v>
      </c>
      <c r="C79" s="114" t="str">
        <f>'RFPR cover'!$C$14</f>
        <v>£m 09/10</v>
      </c>
      <c r="D79" s="508">
        <f>IF(ISNUMBER(D78),D77*(1-D78),D77)</f>
        <v>0.71778933829194946</v>
      </c>
      <c r="E79" s="509">
        <f t="shared" ref="E79:K79" si="24">IF(ISNUMBER(E78),E77*(1-E78),E77)</f>
        <v>0.71076136548818269</v>
      </c>
      <c r="F79" s="509">
        <f t="shared" si="24"/>
        <v>0.702266141494576</v>
      </c>
      <c r="G79" s="509">
        <f t="shared" si="24"/>
        <v>0.69785687454227807</v>
      </c>
      <c r="H79" s="509">
        <f t="shared" si="24"/>
        <v>0.72799526440209028</v>
      </c>
      <c r="I79" s="509">
        <f t="shared" si="24"/>
        <v>0.67069385280598592</v>
      </c>
      <c r="J79" s="509">
        <f t="shared" si="24"/>
        <v>0.7161830343591733</v>
      </c>
      <c r="K79" s="510">
        <f t="shared" si="24"/>
        <v>0.72885756678794933</v>
      </c>
      <c r="L79" s="554">
        <f>SUM(D79:INDEX(D79:K79,0,MATCH('RFPR cover'!$C$7,$D$6:$K$6,0)))</f>
        <v>4.9435458713842362</v>
      </c>
      <c r="M79" s="555">
        <f>SUM(D79:K79)</f>
        <v>5.6724034381721857</v>
      </c>
    </row>
    <row r="80" spans="1:20">
      <c r="A80" s="21"/>
      <c r="B80" s="183"/>
      <c r="C80" s="49"/>
      <c r="D80" s="235"/>
      <c r="E80" s="235"/>
      <c r="F80" s="235"/>
      <c r="G80" s="235"/>
      <c r="H80" s="235"/>
      <c r="I80" s="235"/>
      <c r="J80" s="235"/>
      <c r="K80" s="235"/>
      <c r="L80" s="236"/>
      <c r="M80" s="236"/>
    </row>
    <row r="81" spans="1:20">
      <c r="A81" s="21"/>
      <c r="B81" s="183"/>
      <c r="C81" s="49"/>
      <c r="D81" s="235"/>
      <c r="E81" s="235"/>
      <c r="F81" s="235"/>
      <c r="G81" s="235"/>
      <c r="H81" s="235"/>
      <c r="I81" s="235"/>
      <c r="J81" s="235"/>
      <c r="K81" s="235"/>
      <c r="L81" s="236"/>
      <c r="M81" s="236"/>
    </row>
    <row r="82" spans="1:20">
      <c r="A82" s="21"/>
      <c r="B82" s="183"/>
      <c r="C82" s="49"/>
      <c r="D82" s="235"/>
      <c r="E82" s="235"/>
      <c r="F82" s="235"/>
      <c r="G82" s="235"/>
      <c r="H82" s="235"/>
      <c r="I82" s="235"/>
      <c r="J82" s="235"/>
      <c r="K82" s="235"/>
      <c r="L82" s="236"/>
      <c r="M82" s="236"/>
    </row>
    <row r="83" spans="1:20">
      <c r="A83" s="21"/>
      <c r="B83" s="620"/>
    </row>
    <row r="84" spans="1:20">
      <c r="A84" s="21"/>
      <c r="B84" s="622" t="s">
        <v>295</v>
      </c>
      <c r="C84" s="243"/>
      <c r="D84" s="245"/>
      <c r="E84" s="245"/>
      <c r="F84" s="245"/>
      <c r="G84" s="245"/>
      <c r="H84" s="245"/>
      <c r="I84" s="245"/>
      <c r="J84" s="245"/>
      <c r="K84" s="245"/>
      <c r="L84" s="245"/>
      <c r="M84" s="245"/>
      <c r="N84" s="245"/>
    </row>
    <row r="85" spans="1:20">
      <c r="A85" s="21"/>
      <c r="B85" s="628"/>
    </row>
    <row r="86" spans="1:20">
      <c r="A86" s="21"/>
      <c r="B86" s="627" t="str">
        <f>Data!B34</f>
        <v>Financial Year Average RPI (RPIt)</v>
      </c>
      <c r="C86" s="98" t="s">
        <v>296</v>
      </c>
      <c r="D86" s="85">
        <f>Data!C$34</f>
        <v>1.1666890673736021</v>
      </c>
      <c r="E86" s="86">
        <f>Data!D$34</f>
        <v>1.1895563269638081</v>
      </c>
      <c r="F86" s="86">
        <f>Data!E$34</f>
        <v>1.2023757108362261</v>
      </c>
      <c r="G86" s="86">
        <f>Data!F$34</f>
        <v>1.2281396135646323</v>
      </c>
      <c r="H86" s="86">
        <f>Data!G$34</f>
        <v>1.2740965949380583</v>
      </c>
      <c r="I86" s="86">
        <f>Data!H$34</f>
        <v>1.3130274787154661</v>
      </c>
      <c r="J86" s="86">
        <f>Data!I$34</f>
        <v>1.3470178479563604</v>
      </c>
      <c r="K86" s="87">
        <f>Data!J$34</f>
        <v>1.3699171513716184</v>
      </c>
    </row>
    <row r="87" spans="1:20">
      <c r="A87" s="21"/>
      <c r="B87" s="627"/>
      <c r="D87" s="98"/>
      <c r="E87" s="98"/>
      <c r="F87" s="98"/>
      <c r="G87" s="98"/>
      <c r="H87" s="98"/>
      <c r="I87" s="98"/>
      <c r="J87" s="98"/>
      <c r="K87" s="98"/>
    </row>
    <row r="88" spans="1:20">
      <c r="A88" s="21"/>
      <c r="B88" s="623" t="str">
        <f>B10</f>
        <v>Totex</v>
      </c>
      <c r="C88" s="110"/>
      <c r="D88" s="61"/>
      <c r="E88" s="61"/>
      <c r="F88" s="61"/>
      <c r="G88" s="61"/>
      <c r="H88" s="61"/>
      <c r="I88" s="61"/>
      <c r="J88" s="61"/>
      <c r="K88" s="61"/>
      <c r="L88" s="61"/>
      <c r="M88" s="61"/>
      <c r="N88" s="61"/>
    </row>
    <row r="89" spans="1:20" s="21" customFormat="1">
      <c r="B89" s="624"/>
      <c r="C89" s="100"/>
      <c r="D89" s="268"/>
      <c r="E89" s="268"/>
      <c r="F89" s="268"/>
      <c r="G89" s="268"/>
      <c r="H89" s="268"/>
      <c r="I89" s="268"/>
      <c r="J89" s="268"/>
      <c r="K89" s="268"/>
      <c r="L89" s="268"/>
      <c r="M89" s="268"/>
      <c r="N89" s="268"/>
    </row>
    <row r="90" spans="1:20">
      <c r="A90" s="21"/>
      <c r="B90" s="256" t="s">
        <v>270</v>
      </c>
      <c r="C90" s="114" t="s">
        <v>297</v>
      </c>
      <c r="D90" s="557">
        <f t="shared" ref="D90:K91" si="25">D12*D$86</f>
        <v>133.25183064911502</v>
      </c>
      <c r="E90" s="557">
        <f t="shared" si="25"/>
        <v>135.3118370064243</v>
      </c>
      <c r="F90" s="557">
        <f t="shared" si="25"/>
        <v>139.3418995542155</v>
      </c>
      <c r="G90" s="557">
        <f t="shared" si="25"/>
        <v>162.49107562619201</v>
      </c>
      <c r="H90" s="557">
        <f t="shared" si="25"/>
        <v>180.76532240797675</v>
      </c>
      <c r="I90" s="557">
        <f t="shared" si="25"/>
        <v>219.25202251469923</v>
      </c>
      <c r="J90" s="557">
        <f t="shared" si="25"/>
        <v>217.54212802758261</v>
      </c>
      <c r="K90" s="557">
        <f t="shared" si="25"/>
        <v>222.70970808389541</v>
      </c>
      <c r="L90" s="556">
        <f>SUM(D90:INDEX(D90:K90,0,MATCH('RFPR cover'!$C$7,$D$6:$K$6,0)))</f>
        <v>1187.9561157862054</v>
      </c>
      <c r="M90" s="557">
        <f>SUM(D90:K90)</f>
        <v>1410.6658238701007</v>
      </c>
      <c r="N90" s="46"/>
      <c r="O90" s="46"/>
    </row>
    <row r="91" spans="1:20" ht="25.5">
      <c r="A91" s="21"/>
      <c r="B91" s="625" t="s">
        <v>298</v>
      </c>
      <c r="C91" s="114" t="s">
        <v>297</v>
      </c>
      <c r="D91" s="557">
        <f t="shared" si="25"/>
        <v>147.14715710843558</v>
      </c>
      <c r="E91" s="557">
        <f t="shared" si="25"/>
        <v>136.23433716147409</v>
      </c>
      <c r="F91" s="557">
        <f t="shared" si="25"/>
        <v>144.38729044815673</v>
      </c>
      <c r="G91" s="557">
        <f t="shared" si="25"/>
        <v>155.03902711851319</v>
      </c>
      <c r="H91" s="557">
        <f t="shared" si="25"/>
        <v>175.03963107741421</v>
      </c>
      <c r="I91" s="557">
        <f t="shared" si="25"/>
        <v>212.50612248370169</v>
      </c>
      <c r="J91" s="557">
        <f t="shared" si="25"/>
        <v>186.09845579942663</v>
      </c>
      <c r="K91" s="557">
        <f t="shared" si="25"/>
        <v>186.88073511534867</v>
      </c>
      <c r="L91" s="558">
        <f>SUM(D91:INDEX(D91:K91,0,MATCH('RFPR cover'!$C$7,$D$6:$K$6,0)))</f>
        <v>1156.4520211971221</v>
      </c>
      <c r="M91" s="559">
        <f>SUM(D91:K91)</f>
        <v>1343.3327563124708</v>
      </c>
      <c r="N91" s="46"/>
      <c r="O91" s="46"/>
    </row>
    <row r="92" spans="1:20">
      <c r="A92" s="21"/>
      <c r="B92" s="626" t="s">
        <v>272</v>
      </c>
      <c r="C92" s="114" t="s">
        <v>297</v>
      </c>
      <c r="D92" s="75">
        <f>D91-D90</f>
        <v>13.895326459320557</v>
      </c>
      <c r="E92" s="76">
        <f t="shared" ref="E92:M92" si="26">E91-E90</f>
        <v>0.92250015504978933</v>
      </c>
      <c r="F92" s="76">
        <f t="shared" si="26"/>
        <v>5.0453908939412315</v>
      </c>
      <c r="G92" s="76">
        <f t="shared" si="26"/>
        <v>-7.4520485076788248</v>
      </c>
      <c r="H92" s="76">
        <f t="shared" si="26"/>
        <v>-5.7256913305625403</v>
      </c>
      <c r="I92" s="76">
        <f t="shared" si="26"/>
        <v>-6.7459000309975465</v>
      </c>
      <c r="J92" s="76">
        <f t="shared" si="26"/>
        <v>-31.443672228155975</v>
      </c>
      <c r="K92" s="77">
        <f t="shared" si="26"/>
        <v>-35.828972968546736</v>
      </c>
      <c r="L92" s="75">
        <f t="shared" si="26"/>
        <v>-31.504094589083252</v>
      </c>
      <c r="M92" s="77">
        <f t="shared" si="26"/>
        <v>-67.333067557629874</v>
      </c>
      <c r="N92" s="46"/>
      <c r="O92" s="1003"/>
      <c r="P92" s="1003"/>
      <c r="Q92" s="1003"/>
      <c r="R92"/>
      <c r="S92"/>
      <c r="T92"/>
    </row>
    <row r="93" spans="1:20">
      <c r="A93" s="21"/>
      <c r="B93" s="626"/>
      <c r="C93" s="114"/>
      <c r="D93" s="42"/>
      <c r="E93" s="42"/>
      <c r="F93" s="42"/>
      <c r="G93" s="42"/>
      <c r="H93" s="42"/>
      <c r="I93" s="42"/>
      <c r="J93" s="42"/>
      <c r="K93" s="42"/>
      <c r="L93" s="42"/>
      <c r="M93" s="42"/>
      <c r="O93" s="47"/>
      <c r="P93" s="47"/>
      <c r="Q93" s="47"/>
      <c r="R93"/>
      <c r="S93"/>
      <c r="T93"/>
    </row>
    <row r="94" spans="1:20">
      <c r="A94" s="21"/>
      <c r="B94" s="620" t="s">
        <v>273</v>
      </c>
      <c r="C94" s="98" t="s">
        <v>250</v>
      </c>
      <c r="D94" s="82">
        <f>1-INDEX(Data!$D$73:$D$100,MATCH('RFPR cover'!$C$5,Data!$B$73:$B$100,0),0)</f>
        <v>0.53110000000000002</v>
      </c>
      <c r="E94" s="83">
        <f>1-INDEX(Data!$D$73:$D$100,MATCH('RFPR cover'!$C$5,Data!$B$73:$B$100,0),0)</f>
        <v>0.53110000000000002</v>
      </c>
      <c r="F94" s="83">
        <f>1-INDEX(Data!$D$73:$D$100,MATCH('RFPR cover'!$C$5,Data!$B$73:$B$100,0),0)</f>
        <v>0.53110000000000002</v>
      </c>
      <c r="G94" s="83">
        <f>1-INDEX(Data!$D$73:$D$100,MATCH('RFPR cover'!$C$5,Data!$B$73:$B$100,0),0)</f>
        <v>0.53110000000000002</v>
      </c>
      <c r="H94" s="83">
        <f>1-INDEX(Data!$D$73:$D$100,MATCH('RFPR cover'!$C$5,Data!$B$73:$B$100,0),0)</f>
        <v>0.53110000000000002</v>
      </c>
      <c r="I94" s="83">
        <f>1-INDEX(Data!$D$73:$D$100,MATCH('RFPR cover'!$C$5,Data!$B$73:$B$100,0),0)</f>
        <v>0.53110000000000002</v>
      </c>
      <c r="J94" s="83">
        <f>1-INDEX(Data!$D$73:$D$100,MATCH('RFPR cover'!$C$5,Data!$B$73:$B$100,0),0)</f>
        <v>0.53110000000000002</v>
      </c>
      <c r="K94" s="84">
        <f>1-INDEX(Data!$D$73:$D$100,MATCH('RFPR cover'!$C$5,Data!$B$73:$B$100,0),0)</f>
        <v>0.53110000000000002</v>
      </c>
      <c r="L94" s="45"/>
      <c r="M94" s="45"/>
      <c r="O94"/>
      <c r="P94"/>
      <c r="Q94"/>
      <c r="R94"/>
      <c r="S94"/>
      <c r="T94"/>
    </row>
    <row r="95" spans="1:20">
      <c r="A95" s="21"/>
      <c r="B95" s="620"/>
      <c r="O95"/>
      <c r="P95"/>
      <c r="Q95"/>
      <c r="R95"/>
      <c r="S95"/>
      <c r="T95"/>
    </row>
    <row r="96" spans="1:20">
      <c r="A96" s="21"/>
      <c r="B96" s="627" t="s">
        <v>274</v>
      </c>
      <c r="C96" s="114" t="s">
        <v>297</v>
      </c>
      <c r="D96" s="68">
        <f>D92*D94</f>
        <v>7.3798078825451485</v>
      </c>
      <c r="E96" s="69">
        <f t="shared" ref="E96:K96" si="27">E92*E94</f>
        <v>0.4899398323469431</v>
      </c>
      <c r="F96" s="69">
        <f t="shared" si="27"/>
        <v>2.679607103772188</v>
      </c>
      <c r="G96" s="69">
        <f t="shared" si="27"/>
        <v>-3.9577829624282241</v>
      </c>
      <c r="H96" s="69">
        <f t="shared" si="27"/>
        <v>-3.0409146656617652</v>
      </c>
      <c r="I96" s="69">
        <f t="shared" si="27"/>
        <v>-3.5827475064627969</v>
      </c>
      <c r="J96" s="69">
        <f t="shared" si="27"/>
        <v>-16.69973432037364</v>
      </c>
      <c r="K96" s="69">
        <f t="shared" si="27"/>
        <v>-19.028767543595173</v>
      </c>
      <c r="L96" s="68">
        <f>SUM(D96:INDEX(D96:K96,0,MATCH('RFPR cover'!$C$7,$D$6:$K$6,0)))</f>
        <v>-16.731824636262147</v>
      </c>
      <c r="M96" s="70">
        <f>SUM(D96:K96)</f>
        <v>-35.760592179857319</v>
      </c>
      <c r="O96"/>
      <c r="P96"/>
      <c r="Q96"/>
      <c r="R96"/>
      <c r="S96"/>
      <c r="T96"/>
    </row>
    <row r="97" spans="1:20">
      <c r="A97" s="21"/>
      <c r="B97" s="627" t="s">
        <v>275</v>
      </c>
      <c r="C97" s="114" t="s">
        <v>297</v>
      </c>
      <c r="D97" s="65">
        <f>D92*(1-D94)</f>
        <v>6.5155185767754089</v>
      </c>
      <c r="E97" s="66">
        <f t="shared" ref="E97:K97" si="28">E92*(1-E94)</f>
        <v>0.43256032270284622</v>
      </c>
      <c r="F97" s="66">
        <f t="shared" si="28"/>
        <v>2.3657837901690435</v>
      </c>
      <c r="G97" s="66">
        <f t="shared" si="28"/>
        <v>-3.4942655452506006</v>
      </c>
      <c r="H97" s="66">
        <f t="shared" si="28"/>
        <v>-2.6847766649007752</v>
      </c>
      <c r="I97" s="66">
        <f t="shared" si="28"/>
        <v>-3.1631525245347496</v>
      </c>
      <c r="J97" s="66">
        <f t="shared" si="28"/>
        <v>-14.743937907782337</v>
      </c>
      <c r="K97" s="66">
        <f t="shared" si="28"/>
        <v>-16.800205424951564</v>
      </c>
      <c r="L97" s="65">
        <f>SUM(D97:INDEX(D97:K97,0,MATCH('RFPR cover'!$C$7,$D$6:$K$6,0)))</f>
        <v>-14.772269952821166</v>
      </c>
      <c r="M97" s="67">
        <f>SUM(D97:K97)</f>
        <v>-31.572475377772729</v>
      </c>
      <c r="O97"/>
      <c r="P97"/>
      <c r="Q97"/>
      <c r="R97"/>
      <c r="S97"/>
      <c r="T97"/>
    </row>
    <row r="98" spans="1:20">
      <c r="A98" s="21"/>
      <c r="B98" s="620"/>
      <c r="O98"/>
      <c r="P98"/>
      <c r="Q98"/>
      <c r="R98"/>
      <c r="S98"/>
      <c r="T98"/>
    </row>
    <row r="99" spans="1:20">
      <c r="A99" s="21"/>
      <c r="B99" s="628" t="s">
        <v>276</v>
      </c>
      <c r="N99" s="46"/>
      <c r="O99"/>
      <c r="P99"/>
      <c r="Q99"/>
      <c r="R99"/>
      <c r="S99"/>
      <c r="T99"/>
    </row>
    <row r="100" spans="1:20">
      <c r="A100" s="223" t="s">
        <v>277</v>
      </c>
      <c r="B100" s="183" t="str">
        <f t="shared" ref="B100:B105" si="29">B22</f>
        <v>Allowances in RRP</v>
      </c>
      <c r="C100" s="114" t="s">
        <v>297</v>
      </c>
      <c r="D100" s="490">
        <f t="shared" ref="D100:K105" si="30">D22*D$86</f>
        <v>0</v>
      </c>
      <c r="E100" s="490">
        <f t="shared" si="30"/>
        <v>0</v>
      </c>
      <c r="F100" s="490">
        <f t="shared" si="30"/>
        <v>0</v>
      </c>
      <c r="G100" s="490">
        <f t="shared" si="30"/>
        <v>-2.5293714977763526E-3</v>
      </c>
      <c r="H100" s="490">
        <f t="shared" si="30"/>
        <v>9.0024913901796846E-4</v>
      </c>
      <c r="I100" s="490">
        <f t="shared" si="30"/>
        <v>-1.700085268756989E-2</v>
      </c>
      <c r="J100" s="490">
        <f t="shared" si="30"/>
        <v>-4.0726448419704528E-3</v>
      </c>
      <c r="K100" s="490">
        <f t="shared" si="30"/>
        <v>3.1770296971245404</v>
      </c>
      <c r="L100" s="482">
        <f>SUM(D100:INDEX(D100:K100,0,MATCH('RFPR cover'!$C$7,$D$6:$K$6,0)))</f>
        <v>-2.2702619888298727E-2</v>
      </c>
      <c r="M100" s="483">
        <f t="shared" ref="M100:M106" si="31">SUM(D100:K100)</f>
        <v>3.1543270772362417</v>
      </c>
      <c r="N100" s="46"/>
      <c r="O100"/>
      <c r="P100"/>
      <c r="Q100"/>
      <c r="R100"/>
      <c r="S100"/>
      <c r="T100"/>
    </row>
    <row r="101" spans="1:20">
      <c r="A101" s="223" t="s">
        <v>278</v>
      </c>
      <c r="B101" s="183" t="str">
        <f t="shared" si="29"/>
        <v>Allowance Rephasing Adjustment</v>
      </c>
      <c r="C101" s="114" t="s">
        <v>297</v>
      </c>
      <c r="D101" s="490">
        <f t="shared" si="30"/>
        <v>-13.078644112159033</v>
      </c>
      <c r="E101" s="490">
        <f t="shared" si="30"/>
        <v>-6.9892374225651928</v>
      </c>
      <c r="F101" s="490">
        <f t="shared" si="30"/>
        <v>-5.4061036071920903</v>
      </c>
      <c r="G101" s="490">
        <f t="shared" si="30"/>
        <v>10.033671067662317</v>
      </c>
      <c r="H101" s="490">
        <f t="shared" si="30"/>
        <v>2.6669592535721858</v>
      </c>
      <c r="I101" s="490">
        <f t="shared" si="30"/>
        <v>-2.296988719451591</v>
      </c>
      <c r="J101" s="490">
        <f t="shared" si="30"/>
        <v>8.7960265471550336</v>
      </c>
      <c r="K101" s="490">
        <f t="shared" si="30"/>
        <v>8.95664173630718</v>
      </c>
      <c r="L101" s="486">
        <f>SUM(D101:INDEX(D101:K101,0,MATCH('RFPR cover'!$C$7,$D$6:$K$6,0)))</f>
        <v>-6.2743169929783704</v>
      </c>
      <c r="M101" s="487">
        <f t="shared" si="31"/>
        <v>2.6823247433288095</v>
      </c>
      <c r="N101" s="46"/>
      <c r="O101"/>
      <c r="P101"/>
      <c r="Q101"/>
      <c r="R101"/>
      <c r="S101"/>
      <c r="T101"/>
    </row>
    <row r="102" spans="1:20">
      <c r="A102" s="223" t="s">
        <v>279</v>
      </c>
      <c r="B102" s="183" t="str">
        <f t="shared" si="29"/>
        <v>[Enduring Value adjustment]</v>
      </c>
      <c r="C102" s="114" t="s">
        <v>297</v>
      </c>
      <c r="D102" s="490">
        <f t="shared" si="30"/>
        <v>0</v>
      </c>
      <c r="E102" s="490">
        <f t="shared" si="30"/>
        <v>0</v>
      </c>
      <c r="F102" s="490">
        <f t="shared" si="30"/>
        <v>0</v>
      </c>
      <c r="G102" s="490">
        <f t="shared" si="30"/>
        <v>0</v>
      </c>
      <c r="H102" s="490">
        <f t="shared" si="30"/>
        <v>0</v>
      </c>
      <c r="I102" s="490">
        <f t="shared" si="30"/>
        <v>0</v>
      </c>
      <c r="J102" s="490">
        <f t="shared" si="30"/>
        <v>0</v>
      </c>
      <c r="K102" s="490">
        <f t="shared" si="30"/>
        <v>0</v>
      </c>
      <c r="L102" s="486">
        <f>SUM(D102:INDEX(D102:K102,0,MATCH('RFPR cover'!$C$7,$D$6:$K$6,0)))</f>
        <v>0</v>
      </c>
      <c r="M102" s="487">
        <f t="shared" si="31"/>
        <v>0</v>
      </c>
      <c r="N102" s="46"/>
      <c r="O102"/>
      <c r="P102"/>
      <c r="Q102"/>
      <c r="R102"/>
      <c r="S102" s="48"/>
      <c r="T102"/>
    </row>
    <row r="103" spans="1:20">
      <c r="A103" s="223" t="s">
        <v>281</v>
      </c>
      <c r="B103" s="183" t="str">
        <f t="shared" si="29"/>
        <v>[Enduring Value adjustment]</v>
      </c>
      <c r="C103" s="114" t="s">
        <v>297</v>
      </c>
      <c r="D103" s="490">
        <f t="shared" si="30"/>
        <v>0</v>
      </c>
      <c r="E103" s="490">
        <f t="shared" si="30"/>
        <v>0</v>
      </c>
      <c r="F103" s="490">
        <f t="shared" si="30"/>
        <v>0</v>
      </c>
      <c r="G103" s="490">
        <f t="shared" si="30"/>
        <v>0</v>
      </c>
      <c r="H103" s="490">
        <f t="shared" si="30"/>
        <v>0</v>
      </c>
      <c r="I103" s="490">
        <f t="shared" si="30"/>
        <v>0</v>
      </c>
      <c r="J103" s="490">
        <f t="shared" si="30"/>
        <v>0</v>
      </c>
      <c r="K103" s="490">
        <f t="shared" si="30"/>
        <v>0</v>
      </c>
      <c r="L103" s="486">
        <f>SUM(D103:INDEX(D103:K103,0,MATCH('RFPR cover'!$C$7,$D$6:$K$6,0)))</f>
        <v>0</v>
      </c>
      <c r="M103" s="487">
        <f t="shared" si="31"/>
        <v>0</v>
      </c>
      <c r="N103" s="46"/>
      <c r="O103"/>
      <c r="P103"/>
      <c r="Q103"/>
      <c r="R103"/>
      <c r="S103"/>
      <c r="T103"/>
    </row>
    <row r="104" spans="1:20">
      <c r="A104" s="223" t="s">
        <v>282</v>
      </c>
      <c r="B104" s="183" t="str">
        <f t="shared" si="29"/>
        <v>[Enduring Value adjustment]</v>
      </c>
      <c r="C104" s="114" t="s">
        <v>297</v>
      </c>
      <c r="D104" s="490">
        <f t="shared" si="30"/>
        <v>0</v>
      </c>
      <c r="E104" s="490">
        <f t="shared" si="30"/>
        <v>0</v>
      </c>
      <c r="F104" s="490">
        <f t="shared" si="30"/>
        <v>0</v>
      </c>
      <c r="G104" s="490">
        <f t="shared" si="30"/>
        <v>0</v>
      </c>
      <c r="H104" s="490">
        <f t="shared" si="30"/>
        <v>0</v>
      </c>
      <c r="I104" s="490">
        <f t="shared" si="30"/>
        <v>0</v>
      </c>
      <c r="J104" s="490">
        <f t="shared" si="30"/>
        <v>0</v>
      </c>
      <c r="K104" s="490">
        <f t="shared" si="30"/>
        <v>0</v>
      </c>
      <c r="L104" s="486">
        <f>SUM(D104:INDEX(D104:K104,0,MATCH('RFPR cover'!$C$7,$D$6:$K$6,0)))</f>
        <v>0</v>
      </c>
      <c r="M104" s="487">
        <f t="shared" si="31"/>
        <v>0</v>
      </c>
      <c r="N104" s="46"/>
      <c r="O104"/>
      <c r="P104"/>
      <c r="Q104"/>
      <c r="R104"/>
      <c r="S104"/>
      <c r="T104"/>
    </row>
    <row r="105" spans="1:20">
      <c r="A105" s="223" t="s">
        <v>283</v>
      </c>
      <c r="B105" s="183" t="str">
        <f t="shared" si="29"/>
        <v>[Enduring Value adjustment]</v>
      </c>
      <c r="C105" s="114" t="s">
        <v>297</v>
      </c>
      <c r="D105" s="490">
        <f t="shared" si="30"/>
        <v>0</v>
      </c>
      <c r="E105" s="490">
        <f t="shared" si="30"/>
        <v>0</v>
      </c>
      <c r="F105" s="490">
        <f t="shared" si="30"/>
        <v>0</v>
      </c>
      <c r="G105" s="490">
        <f t="shared" si="30"/>
        <v>0</v>
      </c>
      <c r="H105" s="490">
        <f t="shared" si="30"/>
        <v>0</v>
      </c>
      <c r="I105" s="490">
        <f t="shared" si="30"/>
        <v>0</v>
      </c>
      <c r="J105" s="490">
        <f t="shared" si="30"/>
        <v>0</v>
      </c>
      <c r="K105" s="490">
        <f t="shared" si="30"/>
        <v>0</v>
      </c>
      <c r="L105" s="490">
        <f>SUM(D105:INDEX(D105:K105,0,MATCH('RFPR cover'!$C$7,$D$6:$K$6,0)))</f>
        <v>0</v>
      </c>
      <c r="M105" s="491">
        <f t="shared" si="31"/>
        <v>0</v>
      </c>
      <c r="N105" s="46"/>
      <c r="O105"/>
      <c r="P105"/>
      <c r="Q105"/>
      <c r="R105"/>
      <c r="S105"/>
      <c r="T105"/>
    </row>
    <row r="106" spans="1:20">
      <c r="A106" s="21"/>
      <c r="B106" s="628" t="s">
        <v>284</v>
      </c>
      <c r="C106" s="114" t="s">
        <v>297</v>
      </c>
      <c r="D106" s="75">
        <f>SUM(D100:D105)</f>
        <v>-13.078644112159033</v>
      </c>
      <c r="E106" s="76">
        <f t="shared" ref="E106:K106" si="32">SUM(E100:E105)</f>
        <v>-6.9892374225651928</v>
      </c>
      <c r="F106" s="76">
        <f t="shared" si="32"/>
        <v>-5.4061036071920903</v>
      </c>
      <c r="G106" s="76">
        <f t="shared" si="32"/>
        <v>10.031141696164541</v>
      </c>
      <c r="H106" s="76">
        <f t="shared" si="32"/>
        <v>2.6678595027112038</v>
      </c>
      <c r="I106" s="76">
        <f t="shared" si="32"/>
        <v>-2.3139895721391608</v>
      </c>
      <c r="J106" s="76">
        <f t="shared" si="32"/>
        <v>8.7919539023130628</v>
      </c>
      <c r="K106" s="77">
        <f t="shared" si="32"/>
        <v>12.13367143343172</v>
      </c>
      <c r="L106" s="75">
        <f>SUM(D106:INDEX(D106:K106,0,MATCH('RFPR cover'!$C$7,$D$6:$K$6,0)))</f>
        <v>-6.2970196128666682</v>
      </c>
      <c r="M106" s="77">
        <f t="shared" si="31"/>
        <v>5.8366518205650522</v>
      </c>
      <c r="N106" s="46"/>
    </row>
    <row r="107" spans="1:20">
      <c r="A107" s="21"/>
      <c r="B107" s="620"/>
    </row>
    <row r="108" spans="1:20">
      <c r="A108" s="21"/>
      <c r="B108" s="627" t="s">
        <v>285</v>
      </c>
      <c r="C108" s="114" t="s">
        <v>297</v>
      </c>
      <c r="D108" s="68">
        <f t="shared" ref="D108:K108" si="33">D106*D94</f>
        <v>-6.9460678879676623</v>
      </c>
      <c r="E108" s="69">
        <f t="shared" si="33"/>
        <v>-3.711983995124374</v>
      </c>
      <c r="F108" s="69">
        <f t="shared" si="33"/>
        <v>-2.8711816257797191</v>
      </c>
      <c r="G108" s="69">
        <f t="shared" si="33"/>
        <v>5.3275393548329877</v>
      </c>
      <c r="H108" s="69">
        <f t="shared" si="33"/>
        <v>1.4169001818899203</v>
      </c>
      <c r="I108" s="69">
        <f t="shared" si="33"/>
        <v>-1.2289598617631083</v>
      </c>
      <c r="J108" s="69">
        <f t="shared" si="33"/>
        <v>4.6694067175184681</v>
      </c>
      <c r="K108" s="69">
        <f t="shared" si="33"/>
        <v>6.4441928982955865</v>
      </c>
      <c r="L108" s="68">
        <f>SUM(D108:INDEX(D108:K108,0,MATCH('RFPR cover'!$C$7,$D$6:$K$6,0)))</f>
        <v>-3.3443471163934877</v>
      </c>
      <c r="M108" s="70">
        <f>SUM(D108:K108)</f>
        <v>3.0998457819020988</v>
      </c>
    </row>
    <row r="109" spans="1:20">
      <c r="A109" s="21"/>
      <c r="B109" s="627" t="s">
        <v>286</v>
      </c>
      <c r="C109" s="114" t="s">
        <v>297</v>
      </c>
      <c r="D109" s="65">
        <f t="shared" ref="D109:K109" si="34">D106*(1-D94)</f>
        <v>-6.1325762241913706</v>
      </c>
      <c r="E109" s="66">
        <f t="shared" si="34"/>
        <v>-3.2772534274408187</v>
      </c>
      <c r="F109" s="66">
        <f t="shared" si="34"/>
        <v>-2.5349219814123711</v>
      </c>
      <c r="G109" s="66">
        <f t="shared" si="34"/>
        <v>4.7036023413315533</v>
      </c>
      <c r="H109" s="66">
        <f t="shared" si="34"/>
        <v>1.2509593208212835</v>
      </c>
      <c r="I109" s="66">
        <f t="shared" si="34"/>
        <v>-1.0850297103760524</v>
      </c>
      <c r="J109" s="66">
        <f t="shared" si="34"/>
        <v>4.1225471847945947</v>
      </c>
      <c r="K109" s="66">
        <f t="shared" si="34"/>
        <v>5.6894785351361339</v>
      </c>
      <c r="L109" s="65">
        <f>SUM(D109:INDEX(D109:K109,0,MATCH('RFPR cover'!$C$7,$D$6:$K$6,0)))</f>
        <v>-2.9526724964731823</v>
      </c>
      <c r="M109" s="67">
        <f>SUM(D109:K109)</f>
        <v>2.7368060386629516</v>
      </c>
    </row>
    <row r="110" spans="1:20">
      <c r="A110" s="21"/>
      <c r="B110" s="620"/>
    </row>
    <row r="111" spans="1:20">
      <c r="A111" s="21"/>
      <c r="B111" s="628" t="s">
        <v>287</v>
      </c>
    </row>
    <row r="112" spans="1:20">
      <c r="A112" s="21"/>
      <c r="B112" s="620" t="s">
        <v>288</v>
      </c>
      <c r="C112" s="114" t="s">
        <v>297</v>
      </c>
      <c r="D112" s="68">
        <f>D96+D108</f>
        <v>0.43373999457748624</v>
      </c>
      <c r="E112" s="69">
        <f t="shared" ref="E112:K112" si="35">E96+E108</f>
        <v>-3.222044162777431</v>
      </c>
      <c r="F112" s="69">
        <f t="shared" si="35"/>
        <v>-0.19157452200753111</v>
      </c>
      <c r="G112" s="69">
        <f t="shared" si="35"/>
        <v>1.3697563924047635</v>
      </c>
      <c r="H112" s="69">
        <f t="shared" si="35"/>
        <v>-1.6240144837718449</v>
      </c>
      <c r="I112" s="69">
        <f t="shared" si="35"/>
        <v>-4.8117073682259051</v>
      </c>
      <c r="J112" s="69">
        <f t="shared" si="35"/>
        <v>-12.030327602855172</v>
      </c>
      <c r="K112" s="69">
        <f t="shared" si="35"/>
        <v>-12.584574645299586</v>
      </c>
      <c r="L112" s="68">
        <f>SUM(D112:INDEX(D112:K112,0,MATCH('RFPR cover'!$C$7,$D$6:$K$6,0)))</f>
        <v>-20.076171752655632</v>
      </c>
      <c r="M112" s="70">
        <f>SUM(D112:K112)</f>
        <v>-32.660746397955222</v>
      </c>
    </row>
    <row r="113" spans="1:20">
      <c r="A113" s="21"/>
      <c r="B113" s="620" t="s">
        <v>275</v>
      </c>
      <c r="C113" s="114" t="s">
        <v>297</v>
      </c>
      <c r="D113" s="423">
        <f>D97+D109</f>
        <v>0.3829423525840383</v>
      </c>
      <c r="E113" s="424">
        <f t="shared" ref="E113:K113" si="36">E97+E109</f>
        <v>-2.8446931047379724</v>
      </c>
      <c r="F113" s="424">
        <f t="shared" si="36"/>
        <v>-0.16913819124332763</v>
      </c>
      <c r="G113" s="424">
        <f t="shared" si="36"/>
        <v>1.2093367960809527</v>
      </c>
      <c r="H113" s="424">
        <f t="shared" si="36"/>
        <v>-1.4338173440794917</v>
      </c>
      <c r="I113" s="424">
        <f t="shared" si="36"/>
        <v>-4.2481822349108018</v>
      </c>
      <c r="J113" s="424">
        <f t="shared" si="36"/>
        <v>-10.621390722987742</v>
      </c>
      <c r="K113" s="424">
        <f t="shared" si="36"/>
        <v>-11.11072688981543</v>
      </c>
      <c r="L113" s="423">
        <f>SUM(D113:INDEX(D113:K113,0,MATCH('RFPR cover'!$C$7,$D$6:$K$6,0)))</f>
        <v>-17.724942449294346</v>
      </c>
      <c r="M113" s="425">
        <f>SUM(D113:K113)</f>
        <v>-28.835669339109778</v>
      </c>
    </row>
    <row r="114" spans="1:20">
      <c r="A114" s="21"/>
      <c r="B114" s="628" t="s">
        <v>289</v>
      </c>
      <c r="C114" s="115" t="s">
        <v>297</v>
      </c>
      <c r="D114" s="107">
        <f>SUM(D112:D113)</f>
        <v>0.81668234716152455</v>
      </c>
      <c r="E114" s="108">
        <f t="shared" ref="E114:K114" si="37">SUM(E112:E113)</f>
        <v>-6.0667372675154034</v>
      </c>
      <c r="F114" s="108">
        <f t="shared" si="37"/>
        <v>-0.36071271325085874</v>
      </c>
      <c r="G114" s="108">
        <f t="shared" si="37"/>
        <v>2.5790931884857162</v>
      </c>
      <c r="H114" s="108">
        <f t="shared" si="37"/>
        <v>-3.0578318278513366</v>
      </c>
      <c r="I114" s="108">
        <f t="shared" si="37"/>
        <v>-9.0598896031367069</v>
      </c>
      <c r="J114" s="108">
        <f t="shared" si="37"/>
        <v>-22.651718325842914</v>
      </c>
      <c r="K114" s="108">
        <f t="shared" si="37"/>
        <v>-23.695301535115014</v>
      </c>
      <c r="L114" s="107">
        <f>SUM(D114:INDEX(D114:K114,0,MATCH('RFPR cover'!$C$7,$D$6:$K$6,0)))</f>
        <v>-37.801114201949979</v>
      </c>
      <c r="M114" s="109">
        <f>SUM(D114:K114)</f>
        <v>-61.496415737064993</v>
      </c>
    </row>
    <row r="115" spans="1:20">
      <c r="A115" s="21"/>
      <c r="B115" s="620"/>
    </row>
    <row r="116" spans="1:20">
      <c r="A116" s="21"/>
      <c r="B116" s="623" t="str">
        <f>B38</f>
        <v>n/a</v>
      </c>
      <c r="C116" s="110"/>
      <c r="D116" s="61"/>
      <c r="E116" s="61"/>
      <c r="F116" s="61"/>
      <c r="G116" s="61"/>
      <c r="H116" s="61"/>
      <c r="I116" s="61"/>
      <c r="J116" s="61"/>
      <c r="K116" s="61"/>
      <c r="L116" s="61"/>
      <c r="M116" s="61"/>
      <c r="N116" s="61"/>
    </row>
    <row r="117" spans="1:20" s="21" customFormat="1">
      <c r="B117" s="621"/>
      <c r="C117" s="100"/>
      <c r="D117" s="268"/>
      <c r="E117" s="268"/>
      <c r="F117" s="268"/>
      <c r="G117" s="268"/>
      <c r="H117" s="268"/>
      <c r="I117" s="268"/>
      <c r="J117" s="268"/>
      <c r="K117" s="268"/>
      <c r="L117" s="268"/>
      <c r="M117" s="268"/>
      <c r="N117" s="268"/>
    </row>
    <row r="118" spans="1:20">
      <c r="A118" s="21"/>
      <c r="B118" s="256" t="s">
        <v>270</v>
      </c>
      <c r="C118" s="114" t="s">
        <v>297</v>
      </c>
      <c r="D118" s="556">
        <f t="shared" ref="D118:K119" si="38">D40*D$86</f>
        <v>0</v>
      </c>
      <c r="E118" s="556">
        <f t="shared" si="38"/>
        <v>0</v>
      </c>
      <c r="F118" s="556">
        <f t="shared" si="38"/>
        <v>0</v>
      </c>
      <c r="G118" s="556">
        <f t="shared" si="38"/>
        <v>0</v>
      </c>
      <c r="H118" s="556">
        <f t="shared" si="38"/>
        <v>0</v>
      </c>
      <c r="I118" s="556">
        <f t="shared" si="38"/>
        <v>0</v>
      </c>
      <c r="J118" s="556">
        <f t="shared" si="38"/>
        <v>0</v>
      </c>
      <c r="K118" s="556">
        <f t="shared" si="38"/>
        <v>0</v>
      </c>
      <c r="L118" s="556">
        <f>SUM(D118:INDEX(D118:K118,0,MATCH('RFPR cover'!$C$7,$D$6:$K$6,0)))</f>
        <v>0</v>
      </c>
      <c r="M118" s="557">
        <f>SUM(D118:K118)</f>
        <v>0</v>
      </c>
      <c r="N118" s="46"/>
      <c r="O118" s="46"/>
    </row>
    <row r="119" spans="1:20" ht="25.5">
      <c r="A119" s="21"/>
      <c r="B119" s="625" t="s">
        <v>298</v>
      </c>
      <c r="C119" s="114" t="s">
        <v>297</v>
      </c>
      <c r="D119" s="556">
        <f t="shared" si="38"/>
        <v>0</v>
      </c>
      <c r="E119" s="556">
        <f t="shared" si="38"/>
        <v>0</v>
      </c>
      <c r="F119" s="556">
        <f t="shared" si="38"/>
        <v>0</v>
      </c>
      <c r="G119" s="556">
        <f t="shared" si="38"/>
        <v>0</v>
      </c>
      <c r="H119" s="556">
        <f t="shared" si="38"/>
        <v>0</v>
      </c>
      <c r="I119" s="556">
        <f t="shared" si="38"/>
        <v>0</v>
      </c>
      <c r="J119" s="556">
        <f t="shared" si="38"/>
        <v>0</v>
      </c>
      <c r="K119" s="556">
        <f t="shared" si="38"/>
        <v>0</v>
      </c>
      <c r="L119" s="558">
        <f>SUM(D119:INDEX(D119:K119,0,MATCH('RFPR cover'!$C$7,$D$6:$K$6,0)))</f>
        <v>0</v>
      </c>
      <c r="M119" s="559">
        <f>SUM(D119:K119)</f>
        <v>0</v>
      </c>
      <c r="N119" s="46"/>
      <c r="O119" s="46"/>
    </row>
    <row r="120" spans="1:20">
      <c r="A120" s="21"/>
      <c r="B120" s="626" t="s">
        <v>272</v>
      </c>
      <c r="C120" s="114" t="s">
        <v>297</v>
      </c>
      <c r="D120" s="75">
        <f>D119-D118</f>
        <v>0</v>
      </c>
      <c r="E120" s="76">
        <f t="shared" ref="E120:M120" si="39">E119-E118</f>
        <v>0</v>
      </c>
      <c r="F120" s="76">
        <f t="shared" si="39"/>
        <v>0</v>
      </c>
      <c r="G120" s="76">
        <f t="shared" si="39"/>
        <v>0</v>
      </c>
      <c r="H120" s="76">
        <f t="shared" si="39"/>
        <v>0</v>
      </c>
      <c r="I120" s="76">
        <f t="shared" si="39"/>
        <v>0</v>
      </c>
      <c r="J120" s="76">
        <f t="shared" si="39"/>
        <v>0</v>
      </c>
      <c r="K120" s="76">
        <f t="shared" si="39"/>
        <v>0</v>
      </c>
      <c r="L120" s="75">
        <f t="shared" si="39"/>
        <v>0</v>
      </c>
      <c r="M120" s="77">
        <f t="shared" si="39"/>
        <v>0</v>
      </c>
      <c r="N120" s="46"/>
      <c r="O120" s="1003"/>
      <c r="P120" s="1003"/>
      <c r="Q120" s="1003"/>
      <c r="R120"/>
      <c r="S120"/>
      <c r="T120"/>
    </row>
    <row r="121" spans="1:20">
      <c r="A121" s="21"/>
      <c r="B121" s="626"/>
      <c r="C121" s="114"/>
      <c r="D121" s="42"/>
      <c r="E121" s="42"/>
      <c r="F121" s="42"/>
      <c r="G121" s="42"/>
      <c r="H121" s="42"/>
      <c r="I121" s="42"/>
      <c r="J121" s="42"/>
      <c r="K121" s="42"/>
      <c r="L121" s="42"/>
      <c r="M121" s="42"/>
      <c r="O121" s="47"/>
      <c r="P121" s="47"/>
      <c r="Q121" s="47"/>
      <c r="R121"/>
      <c r="S121"/>
      <c r="T121"/>
    </row>
    <row r="122" spans="1:20">
      <c r="A122" s="21"/>
      <c r="B122" s="620" t="s">
        <v>273</v>
      </c>
      <c r="C122" s="98" t="s">
        <v>250</v>
      </c>
      <c r="D122" s="82">
        <f>1-INDEX(Data!$D$73:$D$100,MATCH('RFPR cover'!$C$5,Data!$B$73:$B$100,0),0)</f>
        <v>0.53110000000000002</v>
      </c>
      <c r="E122" s="83">
        <f>1-INDEX(Data!$D$73:$D$100,MATCH('RFPR cover'!$C$5,Data!$B$73:$B$100,0),0)</f>
        <v>0.53110000000000002</v>
      </c>
      <c r="F122" s="83">
        <f>1-INDEX(Data!$D$73:$D$100,MATCH('RFPR cover'!$C$5,Data!$B$73:$B$100,0),0)</f>
        <v>0.53110000000000002</v>
      </c>
      <c r="G122" s="83">
        <f>1-INDEX(Data!$D$73:$D$100,MATCH('RFPR cover'!$C$5,Data!$B$73:$B$100,0),0)</f>
        <v>0.53110000000000002</v>
      </c>
      <c r="H122" s="83">
        <f>1-INDEX(Data!$D$73:$D$100,MATCH('RFPR cover'!$C$5,Data!$B$73:$B$100,0),0)</f>
        <v>0.53110000000000002</v>
      </c>
      <c r="I122" s="83">
        <f>1-INDEX(Data!$D$73:$D$100,MATCH('RFPR cover'!$C$5,Data!$B$73:$B$100,0),0)</f>
        <v>0.53110000000000002</v>
      </c>
      <c r="J122" s="83">
        <f>1-INDEX(Data!$D$73:$D$100,MATCH('RFPR cover'!$C$5,Data!$B$73:$B$100,0),0)</f>
        <v>0.53110000000000002</v>
      </c>
      <c r="K122" s="84">
        <f>1-INDEX(Data!$D$73:$D$100,MATCH('RFPR cover'!$C$5,Data!$B$73:$B$100,0),0)</f>
        <v>0.53110000000000002</v>
      </c>
      <c r="L122" s="45"/>
      <c r="M122" s="45"/>
      <c r="O122"/>
      <c r="P122"/>
      <c r="Q122"/>
      <c r="R122"/>
      <c r="S122"/>
      <c r="T122"/>
    </row>
    <row r="123" spans="1:20">
      <c r="A123" s="21"/>
      <c r="B123" s="620"/>
      <c r="O123"/>
      <c r="P123"/>
      <c r="Q123"/>
      <c r="R123"/>
      <c r="S123"/>
      <c r="T123"/>
    </row>
    <row r="124" spans="1:20">
      <c r="A124" s="21"/>
      <c r="B124" s="627" t="s">
        <v>274</v>
      </c>
      <c r="C124" s="118" t="s">
        <v>297</v>
      </c>
      <c r="D124" s="68">
        <f>D120*D122</f>
        <v>0</v>
      </c>
      <c r="E124" s="69">
        <f t="shared" ref="E124:K124" si="40">E120*E122</f>
        <v>0</v>
      </c>
      <c r="F124" s="69">
        <f t="shared" si="40"/>
        <v>0</v>
      </c>
      <c r="G124" s="69">
        <f t="shared" si="40"/>
        <v>0</v>
      </c>
      <c r="H124" s="69">
        <f t="shared" si="40"/>
        <v>0</v>
      </c>
      <c r="I124" s="69">
        <f t="shared" si="40"/>
        <v>0</v>
      </c>
      <c r="J124" s="69">
        <f t="shared" si="40"/>
        <v>0</v>
      </c>
      <c r="K124" s="69">
        <f t="shared" si="40"/>
        <v>0</v>
      </c>
      <c r="L124" s="68">
        <f>SUM(D124:INDEX(D124:K124,0,MATCH('RFPR cover'!$C$7,$D$6:$K$6,0)))</f>
        <v>0</v>
      </c>
      <c r="M124" s="70">
        <f>SUM(D124:K124)</f>
        <v>0</v>
      </c>
      <c r="O124"/>
      <c r="P124"/>
      <c r="Q124"/>
      <c r="R124"/>
      <c r="S124"/>
      <c r="T124"/>
    </row>
    <row r="125" spans="1:20">
      <c r="A125" s="21"/>
      <c r="B125" s="627" t="s">
        <v>299</v>
      </c>
      <c r="C125" s="118" t="s">
        <v>297</v>
      </c>
      <c r="D125" s="65">
        <f>D120*(1-D122)</f>
        <v>0</v>
      </c>
      <c r="E125" s="66">
        <f t="shared" ref="E125:K125" si="41">E120*(1-E122)</f>
        <v>0</v>
      </c>
      <c r="F125" s="66">
        <f t="shared" si="41"/>
        <v>0</v>
      </c>
      <c r="G125" s="66">
        <f t="shared" si="41"/>
        <v>0</v>
      </c>
      <c r="H125" s="66">
        <f t="shared" si="41"/>
        <v>0</v>
      </c>
      <c r="I125" s="66">
        <f t="shared" si="41"/>
        <v>0</v>
      </c>
      <c r="J125" s="66">
        <f t="shared" si="41"/>
        <v>0</v>
      </c>
      <c r="K125" s="66">
        <f t="shared" si="41"/>
        <v>0</v>
      </c>
      <c r="L125" s="65">
        <f>SUM(D125:INDEX(D125:K125,0,MATCH('RFPR cover'!$C$7,$D$6:$K$6,0)))</f>
        <v>0</v>
      </c>
      <c r="M125" s="67">
        <f>SUM(D125:K125)</f>
        <v>0</v>
      </c>
      <c r="O125"/>
      <c r="P125"/>
      <c r="Q125"/>
      <c r="R125"/>
      <c r="S125"/>
      <c r="T125"/>
    </row>
    <row r="126" spans="1:20">
      <c r="A126" s="21"/>
      <c r="B126" s="620"/>
      <c r="O126"/>
      <c r="P126"/>
      <c r="Q126"/>
      <c r="R126"/>
      <c r="S126"/>
      <c r="T126"/>
    </row>
    <row r="127" spans="1:20">
      <c r="A127" s="21"/>
      <c r="B127" s="628" t="s">
        <v>276</v>
      </c>
      <c r="N127" s="46"/>
      <c r="O127"/>
      <c r="P127"/>
      <c r="Q127"/>
      <c r="R127"/>
      <c r="S127"/>
      <c r="T127"/>
    </row>
    <row r="128" spans="1:20">
      <c r="A128" s="223" t="s">
        <v>277</v>
      </c>
      <c r="B128" s="183" t="str">
        <f t="shared" ref="B128:B133" si="42">B50</f>
        <v>[Enduring Value adjustment]</v>
      </c>
      <c r="C128" s="114" t="s">
        <v>297</v>
      </c>
      <c r="D128" s="482">
        <f t="shared" ref="D128:K133" si="43">D50*D$86</f>
        <v>0</v>
      </c>
      <c r="E128" s="482">
        <f t="shared" si="43"/>
        <v>0</v>
      </c>
      <c r="F128" s="482">
        <f t="shared" si="43"/>
        <v>0</v>
      </c>
      <c r="G128" s="482">
        <f t="shared" si="43"/>
        <v>0</v>
      </c>
      <c r="H128" s="482">
        <f t="shared" si="43"/>
        <v>0</v>
      </c>
      <c r="I128" s="482">
        <f t="shared" si="43"/>
        <v>0</v>
      </c>
      <c r="J128" s="482">
        <f t="shared" si="43"/>
        <v>0</v>
      </c>
      <c r="K128" s="482">
        <f t="shared" si="43"/>
        <v>0</v>
      </c>
      <c r="L128" s="482">
        <f>SUM(D128:INDEX(D128:K128,0,MATCH('RFPR cover'!$C$7,$D$6:$K$6,0)))</f>
        <v>0</v>
      </c>
      <c r="M128" s="483">
        <f t="shared" ref="M128:M134" si="44">SUM(D128:K128)</f>
        <v>0</v>
      </c>
      <c r="N128" s="46"/>
      <c r="O128"/>
      <c r="P128"/>
      <c r="Q128"/>
      <c r="R128"/>
      <c r="S128"/>
      <c r="T128"/>
    </row>
    <row r="129" spans="1:20">
      <c r="A129" s="223" t="s">
        <v>278</v>
      </c>
      <c r="B129" s="183" t="str">
        <f t="shared" si="42"/>
        <v>[Enduring Value adjustment]</v>
      </c>
      <c r="C129" s="114" t="s">
        <v>297</v>
      </c>
      <c r="D129" s="482">
        <f t="shared" si="43"/>
        <v>0</v>
      </c>
      <c r="E129" s="482">
        <f t="shared" si="43"/>
        <v>0</v>
      </c>
      <c r="F129" s="482">
        <f t="shared" si="43"/>
        <v>0</v>
      </c>
      <c r="G129" s="482">
        <f t="shared" si="43"/>
        <v>0</v>
      </c>
      <c r="H129" s="482">
        <f t="shared" si="43"/>
        <v>0</v>
      </c>
      <c r="I129" s="482">
        <f t="shared" si="43"/>
        <v>0</v>
      </c>
      <c r="J129" s="482">
        <f t="shared" si="43"/>
        <v>0</v>
      </c>
      <c r="K129" s="482">
        <f t="shared" si="43"/>
        <v>0</v>
      </c>
      <c r="L129" s="486">
        <f>SUM(D129:INDEX(D129:K129,0,MATCH('RFPR cover'!$C$7,$D$6:$K$6,0)))</f>
        <v>0</v>
      </c>
      <c r="M129" s="487">
        <f t="shared" si="44"/>
        <v>0</v>
      </c>
      <c r="N129" s="46"/>
      <c r="O129"/>
      <c r="P129"/>
      <c r="Q129"/>
      <c r="R129"/>
      <c r="S129"/>
      <c r="T129"/>
    </row>
    <row r="130" spans="1:20">
      <c r="A130" s="223" t="s">
        <v>279</v>
      </c>
      <c r="B130" s="183" t="str">
        <f t="shared" si="42"/>
        <v>[Enduring Value adjustment]</v>
      </c>
      <c r="C130" s="114" t="s">
        <v>297</v>
      </c>
      <c r="D130" s="482">
        <f t="shared" si="43"/>
        <v>0</v>
      </c>
      <c r="E130" s="482">
        <f t="shared" si="43"/>
        <v>0</v>
      </c>
      <c r="F130" s="482">
        <f t="shared" si="43"/>
        <v>0</v>
      </c>
      <c r="G130" s="482">
        <f t="shared" si="43"/>
        <v>0</v>
      </c>
      <c r="H130" s="482">
        <f t="shared" si="43"/>
        <v>0</v>
      </c>
      <c r="I130" s="482">
        <f t="shared" si="43"/>
        <v>0</v>
      </c>
      <c r="J130" s="482">
        <f t="shared" si="43"/>
        <v>0</v>
      </c>
      <c r="K130" s="482">
        <f t="shared" si="43"/>
        <v>0</v>
      </c>
      <c r="L130" s="486">
        <f>SUM(D130:INDEX(D130:K130,0,MATCH('RFPR cover'!$C$7,$D$6:$K$6,0)))</f>
        <v>0</v>
      </c>
      <c r="M130" s="487">
        <f t="shared" si="44"/>
        <v>0</v>
      </c>
      <c r="N130" s="46"/>
      <c r="O130"/>
      <c r="P130"/>
      <c r="Q130"/>
      <c r="R130"/>
      <c r="S130" s="48"/>
      <c r="T130"/>
    </row>
    <row r="131" spans="1:20">
      <c r="A131" s="223" t="s">
        <v>281</v>
      </c>
      <c r="B131" s="183" t="str">
        <f t="shared" si="42"/>
        <v>[Enduring Value adjustment]</v>
      </c>
      <c r="C131" s="114" t="s">
        <v>297</v>
      </c>
      <c r="D131" s="482">
        <f t="shared" si="43"/>
        <v>0</v>
      </c>
      <c r="E131" s="482">
        <f t="shared" si="43"/>
        <v>0</v>
      </c>
      <c r="F131" s="482">
        <f t="shared" si="43"/>
        <v>0</v>
      </c>
      <c r="G131" s="482">
        <f t="shared" si="43"/>
        <v>0</v>
      </c>
      <c r="H131" s="482">
        <f t="shared" si="43"/>
        <v>0</v>
      </c>
      <c r="I131" s="482">
        <f t="shared" si="43"/>
        <v>0</v>
      </c>
      <c r="J131" s="482">
        <f t="shared" si="43"/>
        <v>0</v>
      </c>
      <c r="K131" s="482">
        <f t="shared" si="43"/>
        <v>0</v>
      </c>
      <c r="L131" s="486">
        <f>SUM(D131:INDEX(D131:K131,0,MATCH('RFPR cover'!$C$7,$D$6:$K$6,0)))</f>
        <v>0</v>
      </c>
      <c r="M131" s="487">
        <f t="shared" si="44"/>
        <v>0</v>
      </c>
      <c r="N131" s="46"/>
      <c r="O131"/>
      <c r="P131"/>
      <c r="Q131"/>
      <c r="R131"/>
      <c r="S131"/>
      <c r="T131"/>
    </row>
    <row r="132" spans="1:20">
      <c r="A132" s="223" t="s">
        <v>282</v>
      </c>
      <c r="B132" s="183" t="str">
        <f t="shared" si="42"/>
        <v>[Enduring Value adjustment]</v>
      </c>
      <c r="C132" s="114" t="s">
        <v>297</v>
      </c>
      <c r="D132" s="482">
        <f t="shared" si="43"/>
        <v>0</v>
      </c>
      <c r="E132" s="482">
        <f t="shared" si="43"/>
        <v>0</v>
      </c>
      <c r="F132" s="482">
        <f t="shared" si="43"/>
        <v>0</v>
      </c>
      <c r="G132" s="482">
        <f t="shared" si="43"/>
        <v>0</v>
      </c>
      <c r="H132" s="482">
        <f t="shared" si="43"/>
        <v>0</v>
      </c>
      <c r="I132" s="482">
        <f t="shared" si="43"/>
        <v>0</v>
      </c>
      <c r="J132" s="482">
        <f t="shared" si="43"/>
        <v>0</v>
      </c>
      <c r="K132" s="482">
        <f t="shared" si="43"/>
        <v>0</v>
      </c>
      <c r="L132" s="486">
        <f>SUM(D132:INDEX(D132:K132,0,MATCH('RFPR cover'!$C$7,$D$6:$K$6,0)))</f>
        <v>0</v>
      </c>
      <c r="M132" s="487">
        <f t="shared" si="44"/>
        <v>0</v>
      </c>
      <c r="N132" s="46"/>
      <c r="O132"/>
      <c r="P132"/>
      <c r="Q132"/>
      <c r="R132"/>
      <c r="S132"/>
      <c r="T132"/>
    </row>
    <row r="133" spans="1:20">
      <c r="A133" s="223" t="s">
        <v>283</v>
      </c>
      <c r="B133" s="183" t="str">
        <f t="shared" si="42"/>
        <v>[Enduring Value adjustment]</v>
      </c>
      <c r="C133" s="114" t="s">
        <v>297</v>
      </c>
      <c r="D133" s="482">
        <f t="shared" si="43"/>
        <v>0</v>
      </c>
      <c r="E133" s="482">
        <f t="shared" si="43"/>
        <v>0</v>
      </c>
      <c r="F133" s="482">
        <f t="shared" si="43"/>
        <v>0</v>
      </c>
      <c r="G133" s="482">
        <f t="shared" si="43"/>
        <v>0</v>
      </c>
      <c r="H133" s="482">
        <f t="shared" si="43"/>
        <v>0</v>
      </c>
      <c r="I133" s="482">
        <f t="shared" si="43"/>
        <v>0</v>
      </c>
      <c r="J133" s="482">
        <f t="shared" si="43"/>
        <v>0</v>
      </c>
      <c r="K133" s="482">
        <f t="shared" si="43"/>
        <v>0</v>
      </c>
      <c r="L133" s="490">
        <f>SUM(D133:INDEX(D133:K133,0,MATCH('RFPR cover'!$C$7,$D$6:$K$6,0)))</f>
        <v>0</v>
      </c>
      <c r="M133" s="491">
        <f t="shared" si="44"/>
        <v>0</v>
      </c>
      <c r="N133" s="46"/>
      <c r="O133"/>
      <c r="P133"/>
      <c r="Q133"/>
      <c r="R133"/>
      <c r="S133"/>
      <c r="T133"/>
    </row>
    <row r="134" spans="1:20">
      <c r="A134" s="21"/>
      <c r="B134" s="628" t="s">
        <v>284</v>
      </c>
      <c r="C134" s="114" t="s">
        <v>297</v>
      </c>
      <c r="D134" s="75">
        <f>SUM(D128:D133)</f>
        <v>0</v>
      </c>
      <c r="E134" s="76">
        <f t="shared" ref="E134:K134" si="45">SUM(E128:E133)</f>
        <v>0</v>
      </c>
      <c r="F134" s="76">
        <f t="shared" si="45"/>
        <v>0</v>
      </c>
      <c r="G134" s="76">
        <f t="shared" si="45"/>
        <v>0</v>
      </c>
      <c r="H134" s="76">
        <f t="shared" si="45"/>
        <v>0</v>
      </c>
      <c r="I134" s="76">
        <f t="shared" si="45"/>
        <v>0</v>
      </c>
      <c r="J134" s="76">
        <f t="shared" si="45"/>
        <v>0</v>
      </c>
      <c r="K134" s="76">
        <f t="shared" si="45"/>
        <v>0</v>
      </c>
      <c r="L134" s="75">
        <f>SUM(D134:INDEX(D134:K134,0,MATCH('RFPR cover'!$C$7,$D$6:$K$6,0)))</f>
        <v>0</v>
      </c>
      <c r="M134" s="77">
        <f t="shared" si="44"/>
        <v>0</v>
      </c>
      <c r="N134" s="46"/>
    </row>
    <row r="135" spans="1:20">
      <c r="A135" s="21"/>
      <c r="B135" s="620"/>
    </row>
    <row r="136" spans="1:20">
      <c r="A136" s="21"/>
      <c r="B136" s="627" t="s">
        <v>285</v>
      </c>
      <c r="C136" s="118" t="s">
        <v>297</v>
      </c>
      <c r="D136" s="68">
        <f t="shared" ref="D136:K136" si="46">D134*D122</f>
        <v>0</v>
      </c>
      <c r="E136" s="69">
        <f t="shared" si="46"/>
        <v>0</v>
      </c>
      <c r="F136" s="69">
        <f t="shared" si="46"/>
        <v>0</v>
      </c>
      <c r="G136" s="69">
        <f t="shared" si="46"/>
        <v>0</v>
      </c>
      <c r="H136" s="69">
        <f t="shared" si="46"/>
        <v>0</v>
      </c>
      <c r="I136" s="69">
        <f t="shared" si="46"/>
        <v>0</v>
      </c>
      <c r="J136" s="69">
        <f t="shared" si="46"/>
        <v>0</v>
      </c>
      <c r="K136" s="69">
        <f t="shared" si="46"/>
        <v>0</v>
      </c>
      <c r="L136" s="68">
        <f>SUM(D136:INDEX(D136:K136,0,MATCH('RFPR cover'!$C$7,$D$6:$K$6,0)))</f>
        <v>0</v>
      </c>
      <c r="M136" s="70">
        <f>SUM(D136:K136)</f>
        <v>0</v>
      </c>
    </row>
    <row r="137" spans="1:20">
      <c r="A137" s="21"/>
      <c r="B137" s="627" t="s">
        <v>286</v>
      </c>
      <c r="C137" s="118" t="s">
        <v>297</v>
      </c>
      <c r="D137" s="65">
        <f t="shared" ref="D137:K137" si="47">D134*(1-D122)</f>
        <v>0</v>
      </c>
      <c r="E137" s="66">
        <f t="shared" si="47"/>
        <v>0</v>
      </c>
      <c r="F137" s="66">
        <f t="shared" si="47"/>
        <v>0</v>
      </c>
      <c r="G137" s="66">
        <f t="shared" si="47"/>
        <v>0</v>
      </c>
      <c r="H137" s="66">
        <f t="shared" si="47"/>
        <v>0</v>
      </c>
      <c r="I137" s="66">
        <f t="shared" si="47"/>
        <v>0</v>
      </c>
      <c r="J137" s="66">
        <f t="shared" si="47"/>
        <v>0</v>
      </c>
      <c r="K137" s="66">
        <f t="shared" si="47"/>
        <v>0</v>
      </c>
      <c r="L137" s="65">
        <f>SUM(D137:INDEX(D137:K137,0,MATCH('RFPR cover'!$C$7,$D$6:$K$6,0)))</f>
        <v>0</v>
      </c>
      <c r="M137" s="67">
        <f>SUM(D137:K137)</f>
        <v>0</v>
      </c>
    </row>
    <row r="138" spans="1:20">
      <c r="A138" s="21"/>
      <c r="B138" s="620"/>
    </row>
    <row r="139" spans="1:20">
      <c r="A139" s="21"/>
      <c r="B139" s="628" t="s">
        <v>287</v>
      </c>
    </row>
    <row r="140" spans="1:20">
      <c r="A140" s="21"/>
      <c r="B140" s="620" t="s">
        <v>288</v>
      </c>
      <c r="C140" s="114" t="s">
        <v>297</v>
      </c>
      <c r="D140" s="68">
        <f>D124+D136</f>
        <v>0</v>
      </c>
      <c r="E140" s="69">
        <f t="shared" ref="E140:K140" si="48">E124+E136</f>
        <v>0</v>
      </c>
      <c r="F140" s="69">
        <f t="shared" si="48"/>
        <v>0</v>
      </c>
      <c r="G140" s="69">
        <f t="shared" si="48"/>
        <v>0</v>
      </c>
      <c r="H140" s="69">
        <f t="shared" si="48"/>
        <v>0</v>
      </c>
      <c r="I140" s="69">
        <f t="shared" si="48"/>
        <v>0</v>
      </c>
      <c r="J140" s="69">
        <f t="shared" si="48"/>
        <v>0</v>
      </c>
      <c r="K140" s="69">
        <f t="shared" si="48"/>
        <v>0</v>
      </c>
      <c r="L140" s="68">
        <f>SUM(D140:INDEX(D140:K140,0,MATCH('RFPR cover'!$C$7,$D$6:$K$6,0)))</f>
        <v>0</v>
      </c>
      <c r="M140" s="70">
        <f>SUM(D140:K140)</f>
        <v>0</v>
      </c>
    </row>
    <row r="141" spans="1:20">
      <c r="A141" s="21"/>
      <c r="B141" s="620" t="s">
        <v>275</v>
      </c>
      <c r="C141" s="114" t="s">
        <v>297</v>
      </c>
      <c r="D141" s="71">
        <f>D125+D137</f>
        <v>0</v>
      </c>
      <c r="E141" s="72">
        <f t="shared" ref="E141:K141" si="49">E125+E137</f>
        <v>0</v>
      </c>
      <c r="F141" s="72">
        <f t="shared" si="49"/>
        <v>0</v>
      </c>
      <c r="G141" s="72">
        <f t="shared" si="49"/>
        <v>0</v>
      </c>
      <c r="H141" s="72">
        <f t="shared" si="49"/>
        <v>0</v>
      </c>
      <c r="I141" s="72">
        <f t="shared" si="49"/>
        <v>0</v>
      </c>
      <c r="J141" s="72">
        <f t="shared" si="49"/>
        <v>0</v>
      </c>
      <c r="K141" s="72">
        <f t="shared" si="49"/>
        <v>0</v>
      </c>
      <c r="L141" s="71">
        <f>SUM(D141:INDEX(D141:K141,0,MATCH('RFPR cover'!$C$7,$D$6:$K$6,0)))</f>
        <v>0</v>
      </c>
      <c r="M141" s="73">
        <f>SUM(D141:K141)</f>
        <v>0</v>
      </c>
    </row>
    <row r="142" spans="1:20">
      <c r="A142" s="21"/>
      <c r="B142" s="628" t="s">
        <v>289</v>
      </c>
      <c r="C142" s="115" t="s">
        <v>297</v>
      </c>
      <c r="D142" s="101">
        <f>SUM(D140:D141)</f>
        <v>0</v>
      </c>
      <c r="E142" s="102">
        <f t="shared" ref="E142:K142" si="50">SUM(E140:E141)</f>
        <v>0</v>
      </c>
      <c r="F142" s="102">
        <f t="shared" si="50"/>
        <v>0</v>
      </c>
      <c r="G142" s="102">
        <f t="shared" si="50"/>
        <v>0</v>
      </c>
      <c r="H142" s="102">
        <f t="shared" si="50"/>
        <v>0</v>
      </c>
      <c r="I142" s="102">
        <f t="shared" si="50"/>
        <v>0</v>
      </c>
      <c r="J142" s="102">
        <f t="shared" si="50"/>
        <v>0</v>
      </c>
      <c r="K142" s="102">
        <f t="shared" si="50"/>
        <v>0</v>
      </c>
      <c r="L142" s="101">
        <f>SUM(D142:INDEX(D142:K142,0,MATCH('RFPR cover'!$C$7,$D$6:$K$6,0)))</f>
        <v>0</v>
      </c>
      <c r="M142" s="103">
        <f>SUM(D142:K142)</f>
        <v>0</v>
      </c>
    </row>
    <row r="143" spans="1:20">
      <c r="A143" s="21"/>
      <c r="B143" s="628"/>
      <c r="C143" s="115"/>
      <c r="D143" s="115"/>
      <c r="E143" s="115"/>
      <c r="F143" s="115"/>
      <c r="G143" s="115"/>
      <c r="H143" s="115"/>
      <c r="I143" s="115"/>
      <c r="J143" s="115"/>
      <c r="K143" s="115"/>
      <c r="L143" s="115"/>
      <c r="M143" s="115"/>
    </row>
    <row r="144" spans="1:20">
      <c r="A144" s="21"/>
      <c r="B144" s="623" t="s">
        <v>290</v>
      </c>
      <c r="C144" s="110"/>
      <c r="D144" s="61"/>
      <c r="E144" s="61"/>
      <c r="F144" s="61"/>
      <c r="G144" s="61"/>
      <c r="H144" s="61"/>
      <c r="I144" s="61"/>
      <c r="J144" s="61"/>
      <c r="K144" s="61"/>
      <c r="L144" s="61"/>
      <c r="M144" s="61"/>
      <c r="N144" s="61"/>
    </row>
    <row r="145" spans="1:20">
      <c r="A145" s="21"/>
      <c r="B145" s="620"/>
      <c r="O145"/>
      <c r="P145"/>
      <c r="Q145"/>
      <c r="R145"/>
      <c r="S145"/>
      <c r="T145"/>
    </row>
    <row r="146" spans="1:20">
      <c r="A146" s="21"/>
      <c r="B146" s="628" t="s">
        <v>287</v>
      </c>
    </row>
    <row r="147" spans="1:20">
      <c r="A147" s="21"/>
      <c r="B147" s="620" t="s">
        <v>288</v>
      </c>
      <c r="C147" s="114" t="s">
        <v>297</v>
      </c>
      <c r="D147" s="68">
        <f>D112+D140</f>
        <v>0.43373999457748624</v>
      </c>
      <c r="E147" s="69">
        <f t="shared" ref="E147:K147" si="51">E112+E140</f>
        <v>-3.222044162777431</v>
      </c>
      <c r="F147" s="69">
        <f t="shared" si="51"/>
        <v>-0.19157452200753111</v>
      </c>
      <c r="G147" s="69">
        <f t="shared" si="51"/>
        <v>1.3697563924047635</v>
      </c>
      <c r="H147" s="69">
        <f t="shared" si="51"/>
        <v>-1.6240144837718449</v>
      </c>
      <c r="I147" s="69">
        <f t="shared" si="51"/>
        <v>-4.8117073682259051</v>
      </c>
      <c r="J147" s="69">
        <f t="shared" si="51"/>
        <v>-12.030327602855172</v>
      </c>
      <c r="K147" s="69">
        <f t="shared" si="51"/>
        <v>-12.584574645299586</v>
      </c>
      <c r="L147" s="68">
        <f>SUM(D147:INDEX(D147:K147,0,MATCH('RFPR cover'!$C$7,$D$6:$K$6,0)))</f>
        <v>-20.076171752655632</v>
      </c>
      <c r="M147" s="70">
        <f>SUM(D147:K147)</f>
        <v>-32.660746397955222</v>
      </c>
    </row>
    <row r="148" spans="1:20">
      <c r="A148" s="21"/>
      <c r="B148" s="620" t="s">
        <v>275</v>
      </c>
      <c r="C148" s="114" t="s">
        <v>297</v>
      </c>
      <c r="D148" s="71">
        <f t="shared" ref="D148:K148" si="52">D113+D141</f>
        <v>0.3829423525840383</v>
      </c>
      <c r="E148" s="72">
        <f t="shared" si="52"/>
        <v>-2.8446931047379724</v>
      </c>
      <c r="F148" s="72">
        <f t="shared" si="52"/>
        <v>-0.16913819124332763</v>
      </c>
      <c r="G148" s="72">
        <f t="shared" si="52"/>
        <v>1.2093367960809527</v>
      </c>
      <c r="H148" s="72">
        <f t="shared" si="52"/>
        <v>-1.4338173440794917</v>
      </c>
      <c r="I148" s="72">
        <f t="shared" si="52"/>
        <v>-4.2481822349108018</v>
      </c>
      <c r="J148" s="72">
        <f t="shared" si="52"/>
        <v>-10.621390722987742</v>
      </c>
      <c r="K148" s="72">
        <f t="shared" si="52"/>
        <v>-11.11072688981543</v>
      </c>
      <c r="L148" s="71">
        <f>SUM(D148:INDEX(D148:K148,0,MATCH('RFPR cover'!$C$7,$D$6:$K$6,0)))</f>
        <v>-17.724942449294346</v>
      </c>
      <c r="M148" s="73">
        <f>SUM(D148:K148)</f>
        <v>-28.835669339109778</v>
      </c>
    </row>
    <row r="149" spans="1:20">
      <c r="A149" s="21"/>
      <c r="B149" s="628" t="s">
        <v>289</v>
      </c>
      <c r="C149" s="115" t="s">
        <v>297</v>
      </c>
      <c r="D149" s="101">
        <f>SUM(D147:D148)</f>
        <v>0.81668234716152455</v>
      </c>
      <c r="E149" s="102">
        <f t="shared" ref="E149:K149" si="53">SUM(E147:E148)</f>
        <v>-6.0667372675154034</v>
      </c>
      <c r="F149" s="102">
        <f t="shared" si="53"/>
        <v>-0.36071271325085874</v>
      </c>
      <c r="G149" s="102">
        <f t="shared" si="53"/>
        <v>2.5790931884857162</v>
      </c>
      <c r="H149" s="102">
        <f t="shared" si="53"/>
        <v>-3.0578318278513366</v>
      </c>
      <c r="I149" s="102">
        <f t="shared" si="53"/>
        <v>-9.0598896031367069</v>
      </c>
      <c r="J149" s="102">
        <f t="shared" si="53"/>
        <v>-22.651718325842914</v>
      </c>
      <c r="K149" s="102">
        <f t="shared" si="53"/>
        <v>-23.695301535115014</v>
      </c>
      <c r="L149" s="101">
        <f>SUM(D149:INDEX(D149:K149,0,MATCH('RFPR cover'!$C$7,$D$6:$K$6,0)))</f>
        <v>-37.801114201949979</v>
      </c>
      <c r="M149" s="103">
        <f>SUM(D149:K149)</f>
        <v>-61.496415737064993</v>
      </c>
    </row>
    <row r="150" spans="1:20">
      <c r="A150" s="21"/>
      <c r="B150" s="627"/>
      <c r="D150" s="98"/>
      <c r="E150" s="98"/>
      <c r="F150" s="98"/>
      <c r="G150" s="98"/>
      <c r="H150" s="98"/>
      <c r="I150" s="98"/>
      <c r="J150" s="98"/>
      <c r="K150" s="98"/>
    </row>
    <row r="151" spans="1:20">
      <c r="A151" s="21"/>
      <c r="B151" s="620"/>
    </row>
    <row r="152" spans="1:20">
      <c r="A152" s="61"/>
      <c r="B152" s="619"/>
      <c r="C152" s="110"/>
      <c r="D152" s="61"/>
      <c r="E152" s="61"/>
      <c r="F152" s="61"/>
      <c r="G152" s="61"/>
      <c r="H152" s="61"/>
      <c r="I152" s="61"/>
      <c r="J152" s="61"/>
      <c r="K152" s="61"/>
      <c r="L152" s="61"/>
      <c r="M152" s="61"/>
      <c r="N152" s="61"/>
    </row>
    <row r="153" spans="1:20">
      <c r="B153" s="620"/>
    </row>
    <row r="154" spans="1:20">
      <c r="B154" s="620"/>
    </row>
  </sheetData>
  <sheetProtection algorithmName="SHA-512" hashValue="lRKzoDiviVl4zLYQKQaolbVNlUeRueyFvDfknl3jr74coQ3dtcTuoqyXr7+33f8b+kccm4maFsUbQ48pOrvgtg==" saltValue="jlrfUaqxTdkX9Fip2ds1PQ==" spinCount="100000" sheet="1" formatCells="0" formatColumns="0" formatRows="0" insertColumns="0" insertRows="0" insertHyperlinks="0" deleteColumns="0" deleteRows="0" sort="0" autoFilter="0" pivotTables="0"/>
  <mergeCells count="4">
    <mergeCell ref="O14:Q14"/>
    <mergeCell ref="O42:Q42"/>
    <mergeCell ref="O92:Q92"/>
    <mergeCell ref="O120:Q120"/>
  </mergeCells>
  <conditionalFormatting sqref="D6:K6">
    <cfRule type="expression" dxfId="63" priority="11">
      <formula>AND(D$5="Actuals",E$5="Forecast")</formula>
    </cfRule>
  </conditionalFormatting>
  <conditionalFormatting sqref="B118:M142">
    <cfRule type="expression" dxfId="62" priority="7">
      <formula>$B$38="n/a"</formula>
    </cfRule>
  </conditionalFormatting>
  <conditionalFormatting sqref="D5:K5">
    <cfRule type="expression" dxfId="61" priority="6">
      <formula>AND(D$5="Actuals",E$5="Forecast")</formula>
    </cfRule>
  </conditionalFormatting>
  <conditionalFormatting sqref="B38:N64">
    <cfRule type="expression" dxfId="60" priority="5">
      <formula>$B$38="n/a"</formula>
    </cfRule>
  </conditionalFormatting>
  <conditionalFormatting sqref="G22">
    <cfRule type="expression" dxfId="59" priority="4">
      <formula>G$5="N/A"</formula>
    </cfRule>
  </conditionalFormatting>
  <conditionalFormatting sqref="I22">
    <cfRule type="expression" dxfId="58" priority="3">
      <formula>I$5="N/A"</formula>
    </cfRule>
  </conditionalFormatting>
  <conditionalFormatting sqref="J22">
    <cfRule type="expression" dxfId="57" priority="2">
      <formula>J$5="N/A"</formula>
    </cfRule>
  </conditionalFormatting>
  <conditionalFormatting sqref="D23:K23">
    <cfRule type="expression" dxfId="56" priority="1">
      <formula>D$5="N/A"</formula>
    </cfRule>
  </conditionalFormatting>
  <pageMargins left="0.70866141732283472" right="0.70866141732283472" top="0.74803149606299213" bottom="0.74803149606299213" header="0.31496062992125984" footer="0.31496062992125984"/>
  <pageSetup paperSize="8" scale="32" orientation="landscape"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FFCC"/>
    <pageSetUpPr fitToPage="1"/>
  </sheetPr>
  <dimension ref="A1:P114"/>
  <sheetViews>
    <sheetView showGridLines="0" topLeftCell="C1" zoomScale="80" zoomScaleNormal="80" workbookViewId="0">
      <pane ySplit="6" topLeftCell="A7" activePane="bottomLeft" state="frozen"/>
      <selection activeCell="B75" sqref="A1:XFD1048576"/>
      <selection pane="bottomLeft" activeCell="G93" sqref="G93"/>
    </sheetView>
  </sheetViews>
  <sheetFormatPr defaultRowHeight="12.75"/>
  <cols>
    <col min="1" max="1" width="8.375" customWidth="1"/>
    <col min="2" max="2" width="71.375" bestFit="1" customWidth="1"/>
    <col min="3" max="3" width="13.375" style="98" customWidth="1"/>
    <col min="4" max="11" width="11.125" customWidth="1"/>
    <col min="12" max="12" width="12.875" customWidth="1"/>
    <col min="13" max="13" width="12.75" customWidth="1"/>
    <col min="14" max="14" width="5" customWidth="1"/>
  </cols>
  <sheetData>
    <row r="1" spans="1:14" s="23" customFormat="1" ht="20.25">
      <c r="A1" s="878" t="s">
        <v>202</v>
      </c>
      <c r="B1" s="879"/>
      <c r="C1" s="880"/>
      <c r="D1" s="881"/>
      <c r="E1" s="881"/>
      <c r="F1" s="881"/>
      <c r="G1" s="881"/>
      <c r="H1" s="881"/>
      <c r="I1" s="213"/>
      <c r="J1" s="213"/>
      <c r="K1" s="213"/>
      <c r="L1" s="213"/>
      <c r="M1" s="213"/>
      <c r="N1" s="876"/>
    </row>
    <row r="2" spans="1:14" s="23" customFormat="1" ht="20.25">
      <c r="A2" s="740" t="str">
        <f>'RFPR cover'!C5</f>
        <v>NGET (SO)</v>
      </c>
      <c r="B2" s="741"/>
      <c r="C2" s="113"/>
      <c r="D2" s="22"/>
      <c r="E2" s="22"/>
      <c r="F2" s="22"/>
      <c r="G2" s="22"/>
      <c r="H2" s="22"/>
      <c r="I2" s="15"/>
      <c r="J2" s="15"/>
      <c r="K2" s="15"/>
      <c r="L2" s="15"/>
      <c r="M2" s="15"/>
      <c r="N2" s="93"/>
    </row>
    <row r="3" spans="1:14" s="23" customFormat="1" ht="20.25">
      <c r="A3" s="882">
        <f>'RFPR cover'!C7</f>
        <v>2020</v>
      </c>
      <c r="B3" s="883"/>
      <c r="C3" s="233"/>
      <c r="D3" s="232"/>
      <c r="E3" s="232"/>
      <c r="F3" s="232"/>
      <c r="G3" s="232"/>
      <c r="H3" s="232"/>
      <c r="I3" s="210"/>
      <c r="J3" s="210"/>
      <c r="K3" s="210"/>
      <c r="L3" s="210"/>
      <c r="M3" s="210"/>
      <c r="N3" s="215"/>
    </row>
    <row r="4" spans="1:14" s="2" customFormat="1" ht="12.75" customHeight="1">
      <c r="B4" s="3"/>
      <c r="C4" s="98"/>
    </row>
    <row r="5" spans="1:14" s="2" customFormat="1" ht="12.75" customHeight="1">
      <c r="B5" s="3"/>
      <c r="C5" s="98"/>
      <c r="D5" s="313" t="str">
        <f>IF(D6&lt;='RFPR cover'!$C$7,"Actuals","Forecast")</f>
        <v>Actuals</v>
      </c>
      <c r="E5" s="314" t="str">
        <f>IF(E6&lt;='RFPR cover'!$C$7,"Actuals","Forecast")</f>
        <v>Actuals</v>
      </c>
      <c r="F5" s="314" t="str">
        <f>IF(F6&lt;='RFPR cover'!$C$7,"Actuals","Forecast")</f>
        <v>Actuals</v>
      </c>
      <c r="G5" s="314" t="str">
        <f>IF(G6&lt;='RFPR cover'!$C$7,"Actuals","Forecast")</f>
        <v>Actuals</v>
      </c>
      <c r="H5" s="314" t="str">
        <f>IF(H6&lt;='RFPR cover'!$C$7,"Actuals","Forecast")</f>
        <v>Actuals</v>
      </c>
      <c r="I5" s="314" t="str">
        <f>IF(I6&lt;='RFPR cover'!$C$7,"Actuals","Forecast")</f>
        <v>Actuals</v>
      </c>
      <c r="J5" s="314" t="str">
        <f>IF(J6&lt;='RFPR cover'!$C$7,"Actuals","Forecast")</f>
        <v>Actuals</v>
      </c>
      <c r="K5" s="315" t="str">
        <f>IF(K6&lt;='RFPR cover'!$C$7,"Actuals","Forecast")</f>
        <v>Forecast</v>
      </c>
    </row>
    <row r="6" spans="1:14" s="2" customFormat="1" ht="29.25" customHeight="1">
      <c r="C6" s="98"/>
      <c r="D6" s="90">
        <f>'RFPR cover'!$C$13</f>
        <v>2014</v>
      </c>
      <c r="E6" s="91">
        <f>D6+1</f>
        <v>2015</v>
      </c>
      <c r="F6" s="91">
        <f t="shared" ref="F6:K6" si="0">E6+1</f>
        <v>2016</v>
      </c>
      <c r="G6" s="91">
        <f t="shared" si="0"/>
        <v>2017</v>
      </c>
      <c r="H6" s="91">
        <f t="shared" si="0"/>
        <v>2018</v>
      </c>
      <c r="I6" s="91">
        <f t="shared" si="0"/>
        <v>2019</v>
      </c>
      <c r="J6" s="91">
        <f t="shared" si="0"/>
        <v>2020</v>
      </c>
      <c r="K6" s="91">
        <f t="shared" si="0"/>
        <v>2021</v>
      </c>
      <c r="L6" s="74" t="str">
        <f>"Cumulative to "&amp;'RFPR cover'!$C$7</f>
        <v>Cumulative to 2020</v>
      </c>
      <c r="M6" s="92" t="s">
        <v>247</v>
      </c>
    </row>
    <row r="7" spans="1:14" s="2" customFormat="1">
      <c r="A7" s="21"/>
      <c r="C7" s="98"/>
    </row>
    <row r="8" spans="1:14" s="2" customFormat="1">
      <c r="A8" s="21"/>
      <c r="B8" s="89" t="s">
        <v>354</v>
      </c>
      <c r="C8" s="110"/>
      <c r="D8" s="60"/>
      <c r="E8" s="60"/>
      <c r="F8" s="60"/>
      <c r="G8" s="60"/>
      <c r="H8" s="60"/>
      <c r="I8" s="60"/>
      <c r="J8" s="60"/>
      <c r="K8" s="60"/>
      <c r="L8" s="60"/>
      <c r="M8" s="60"/>
      <c r="N8" s="60"/>
    </row>
    <row r="9" spans="1:14" s="2" customFormat="1">
      <c r="A9" s="21"/>
      <c r="B9" s="299" t="s">
        <v>355</v>
      </c>
      <c r="C9" s="299"/>
      <c r="D9" s="299"/>
      <c r="E9" s="299"/>
      <c r="F9" s="299"/>
      <c r="G9" s="299"/>
      <c r="H9" s="299"/>
      <c r="I9" s="299"/>
      <c r="J9" s="299"/>
      <c r="K9" s="299"/>
      <c r="L9" s="299"/>
      <c r="M9" s="299"/>
      <c r="N9" s="299"/>
    </row>
    <row r="10" spans="1:14" s="2" customFormat="1">
      <c r="A10" s="21"/>
      <c r="B10" s="5"/>
      <c r="C10" s="98"/>
    </row>
    <row r="11" spans="1:14" s="2" customFormat="1">
      <c r="A11" s="182" t="s">
        <v>277</v>
      </c>
      <c r="B11" s="21" t="str">
        <f>Data!B153</f>
        <v>Electricity Market Reform incentive revenue</v>
      </c>
      <c r="C11" s="114" t="str">
        <f>'RFPR cover'!$C$14</f>
        <v>£m 09/10</v>
      </c>
      <c r="D11" s="760">
        <v>0</v>
      </c>
      <c r="E11" s="492">
        <v>0.125</v>
      </c>
      <c r="F11" s="492">
        <v>7.4999999999999997E-2</v>
      </c>
      <c r="G11" s="492">
        <v>-5.4545454545454612E-2</v>
      </c>
      <c r="H11" s="492">
        <v>1.1475414465294225</v>
      </c>
      <c r="I11" s="492">
        <v>-0.94110092781172194</v>
      </c>
      <c r="J11" s="492">
        <v>1.0986852248289403</v>
      </c>
      <c r="K11" s="492">
        <v>0.24176338150019769</v>
      </c>
      <c r="L11" s="556">
        <f>SUM(D11:INDEX(D11:K11,0,MATCH('RFPR cover'!$C$7,$D$6:$K$6,0)))</f>
        <v>1.4505802890011861</v>
      </c>
      <c r="M11" s="557">
        <f t="shared" ref="M11:M17" si="1">SUM(D11:K11)</f>
        <v>1.6923436705013837</v>
      </c>
    </row>
    <row r="12" spans="1:14" s="2" customFormat="1">
      <c r="A12" s="182" t="s">
        <v>278</v>
      </c>
      <c r="B12" s="21" t="str">
        <f>Data!B154</f>
        <v>Balancing Services Incentive Scheme</v>
      </c>
      <c r="C12" s="114" t="str">
        <f>'RFPR cover'!$C$14</f>
        <v>£m 09/10</v>
      </c>
      <c r="D12" s="492">
        <v>18.902931062553563</v>
      </c>
      <c r="E12" s="492">
        <v>21.008403361344538</v>
      </c>
      <c r="F12" s="492">
        <v>24.958402662229616</v>
      </c>
      <c r="G12" s="492">
        <v>3.3986535830618965</v>
      </c>
      <c r="H12" s="492">
        <v>7.8492935635792778</v>
      </c>
      <c r="I12" s="760">
        <v>0</v>
      </c>
      <c r="J12" s="760">
        <v>0</v>
      </c>
      <c r="K12" s="760">
        <v>0</v>
      </c>
      <c r="L12" s="560">
        <f>SUM(D12:INDEX(D12:K12,0,MATCH('RFPR cover'!$C$7,$D$6:$K$6,0)))</f>
        <v>76.117684232768895</v>
      </c>
      <c r="M12" s="561">
        <f t="shared" si="1"/>
        <v>76.117684232768895</v>
      </c>
    </row>
    <row r="13" spans="1:14" s="2" customFormat="1">
      <c r="A13" s="182" t="s">
        <v>279</v>
      </c>
      <c r="B13" s="21" t="str">
        <f>Data!B155</f>
        <v>Renewable wind forecasting incentive</v>
      </c>
      <c r="C13" s="114" t="str">
        <f>'RFPR cover'!$C$14</f>
        <v>£m 09/10</v>
      </c>
      <c r="D13" s="492">
        <v>0.42673521850899743</v>
      </c>
      <c r="E13" s="492">
        <v>0.60920239747899163</v>
      </c>
      <c r="F13" s="492">
        <v>-0.22027620632279535</v>
      </c>
      <c r="G13" s="492">
        <v>-5.4234527687296426E-2</v>
      </c>
      <c r="H13" s="492">
        <v>-0.20730800684451747</v>
      </c>
      <c r="I13" s="760">
        <v>0</v>
      </c>
      <c r="J13" s="760">
        <v>0</v>
      </c>
      <c r="K13" s="760">
        <v>0</v>
      </c>
      <c r="L13" s="560">
        <f>SUM(D13:INDEX(D13:K13,0,MATCH('RFPR cover'!$C$7,$D$6:$K$6,0)))</f>
        <v>0.55411887513337998</v>
      </c>
      <c r="M13" s="561">
        <f t="shared" si="1"/>
        <v>0.55411887513337998</v>
      </c>
    </row>
    <row r="14" spans="1:14" s="2" customFormat="1">
      <c r="A14" s="182" t="s">
        <v>281</v>
      </c>
      <c r="B14" s="21" t="s">
        <v>602</v>
      </c>
      <c r="C14" s="114" t="str">
        <f>'RFPR cover'!$C$14</f>
        <v>£m 09/10</v>
      </c>
      <c r="D14" s="760">
        <v>0</v>
      </c>
      <c r="E14" s="760">
        <v>0</v>
      </c>
      <c r="F14" s="760">
        <v>0</v>
      </c>
      <c r="G14" s="760">
        <v>0</v>
      </c>
      <c r="H14" s="760">
        <v>0</v>
      </c>
      <c r="I14" s="492">
        <v>0.65498857578065506</v>
      </c>
      <c r="J14" s="492">
        <v>0.74294205052005935</v>
      </c>
      <c r="K14" s="492"/>
      <c r="L14" s="560">
        <f>SUM(D14:INDEX(D14:K14,0,MATCH('RFPR cover'!$C$7,$D$6:$K$6,0)))</f>
        <v>1.3979306263007145</v>
      </c>
      <c r="M14" s="561">
        <f t="shared" si="1"/>
        <v>1.3979306263007145</v>
      </c>
    </row>
    <row r="15" spans="1:14" s="2" customFormat="1">
      <c r="A15" s="182" t="s">
        <v>282</v>
      </c>
      <c r="B15" s="21" t="str">
        <f>Data!B157</f>
        <v/>
      </c>
      <c r="C15" s="114" t="str">
        <f>'RFPR cover'!$C$14</f>
        <v>£m 09/10</v>
      </c>
      <c r="D15" s="494"/>
      <c r="E15" s="495"/>
      <c r="F15" s="495"/>
      <c r="G15" s="495"/>
      <c r="H15" s="495"/>
      <c r="I15" s="495"/>
      <c r="J15" s="495"/>
      <c r="K15" s="495"/>
      <c r="L15" s="560">
        <f>SUM(D15:INDEX(D15:K15,0,MATCH('RFPR cover'!$C$7,$D$6:$K$6,0)))</f>
        <v>0</v>
      </c>
      <c r="M15" s="561">
        <f t="shared" si="1"/>
        <v>0</v>
      </c>
    </row>
    <row r="16" spans="1:14" s="2" customFormat="1">
      <c r="A16" s="182" t="s">
        <v>283</v>
      </c>
      <c r="B16" s="21" t="str">
        <f>Data!B158</f>
        <v/>
      </c>
      <c r="C16" s="114" t="str">
        <f>'RFPR cover'!$C$14</f>
        <v>£m 09/10</v>
      </c>
      <c r="D16" s="494"/>
      <c r="E16" s="495"/>
      <c r="F16" s="495"/>
      <c r="G16" s="495"/>
      <c r="H16" s="495"/>
      <c r="I16" s="495"/>
      <c r="J16" s="495"/>
      <c r="K16" s="495"/>
      <c r="L16" s="560">
        <f>SUM(D16:INDEX(D16:K16,0,MATCH('RFPR cover'!$C$7,$D$6:$K$6,0)))</f>
        <v>0</v>
      </c>
      <c r="M16" s="561">
        <f t="shared" si="1"/>
        <v>0</v>
      </c>
    </row>
    <row r="17" spans="1:16" s="2" customFormat="1">
      <c r="A17" s="182" t="s">
        <v>356</v>
      </c>
      <c r="B17" s="21" t="str">
        <f>Data!B159</f>
        <v/>
      </c>
      <c r="C17" s="114" t="str">
        <f>'RFPR cover'!$C$14</f>
        <v>£m 09/10</v>
      </c>
      <c r="D17" s="681"/>
      <c r="E17" s="682"/>
      <c r="F17" s="682"/>
      <c r="G17" s="682"/>
      <c r="H17" s="682"/>
      <c r="I17" s="682"/>
      <c r="J17" s="682"/>
      <c r="K17" s="683"/>
      <c r="L17" s="560">
        <f>SUM(D17:INDEX(D17:K17,0,MATCH('RFPR cover'!$C$7,$D$6:$K$6,0)))</f>
        <v>0</v>
      </c>
      <c r="M17" s="561">
        <f t="shared" si="1"/>
        <v>0</v>
      </c>
    </row>
    <row r="18" spans="1:16" s="2" customFormat="1">
      <c r="A18" s="21"/>
      <c r="B18" s="5" t="s">
        <v>357</v>
      </c>
      <c r="C18" s="115" t="str">
        <f>'RFPR cover'!$C$14</f>
        <v>£m 09/10</v>
      </c>
      <c r="D18" s="508">
        <f>SUM(D11:D17)</f>
        <v>19.329666281062561</v>
      </c>
      <c r="E18" s="508">
        <f t="shared" ref="E18:K18" si="2">SUM(E11:E17)</f>
        <v>21.74260575882353</v>
      </c>
      <c r="F18" s="508">
        <f t="shared" si="2"/>
        <v>24.813126455906822</v>
      </c>
      <c r="G18" s="508">
        <f t="shared" si="2"/>
        <v>3.2898736008291452</v>
      </c>
      <c r="H18" s="508">
        <f t="shared" si="2"/>
        <v>8.7895270032641832</v>
      </c>
      <c r="I18" s="508">
        <f t="shared" si="2"/>
        <v>-0.28611235203106689</v>
      </c>
      <c r="J18" s="508">
        <f t="shared" si="2"/>
        <v>1.8416272753489995</v>
      </c>
      <c r="K18" s="508">
        <f t="shared" si="2"/>
        <v>0.24176338150019769</v>
      </c>
      <c r="L18" s="508">
        <f>SUM(L11:L17)</f>
        <v>79.520314023204179</v>
      </c>
      <c r="M18" s="508">
        <f>SUM(M11:M17)</f>
        <v>79.762077404704385</v>
      </c>
    </row>
    <row r="19" spans="1:16" s="2" customFormat="1">
      <c r="A19" s="21"/>
      <c r="B19" s="5"/>
      <c r="C19" s="115"/>
      <c r="D19" s="115"/>
      <c r="E19" s="115"/>
      <c r="F19" s="115"/>
      <c r="G19" s="115"/>
      <c r="H19" s="115"/>
      <c r="I19" s="115"/>
      <c r="J19" s="115"/>
      <c r="K19" s="115"/>
      <c r="L19" s="115"/>
      <c r="M19" s="115"/>
    </row>
    <row r="20" spans="1:16" s="2" customFormat="1">
      <c r="A20" s="21"/>
      <c r="B20" s="5" t="s">
        <v>358</v>
      </c>
      <c r="C20" s="115"/>
      <c r="D20" s="115"/>
      <c r="E20" s="115"/>
      <c r="F20" s="115"/>
      <c r="G20" s="115"/>
      <c r="H20" s="115"/>
      <c r="I20" s="115"/>
      <c r="J20" s="115"/>
      <c r="K20" s="115"/>
      <c r="L20" s="115"/>
      <c r="M20" s="115"/>
    </row>
    <row r="21" spans="1:16" s="2" customFormat="1">
      <c r="A21" s="223" t="str">
        <f>A11</f>
        <v>a</v>
      </c>
      <c r="B21" s="1004" t="s">
        <v>603</v>
      </c>
      <c r="C21" s="1004"/>
      <c r="D21" s="1004"/>
      <c r="E21" s="1004"/>
      <c r="F21" s="1004"/>
      <c r="G21" s="1004"/>
      <c r="H21" s="1004"/>
      <c r="I21" s="1004"/>
      <c r="J21" s="1004"/>
      <c r="K21" s="1004"/>
      <c r="L21" s="1004"/>
      <c r="M21" s="1004"/>
    </row>
    <row r="22" spans="1:16" s="2" customFormat="1">
      <c r="A22" s="223" t="str">
        <f>A12</f>
        <v>b</v>
      </c>
      <c r="B22" s="1004" t="s">
        <v>604</v>
      </c>
      <c r="C22" s="1004"/>
      <c r="D22" s="1004"/>
      <c r="E22" s="1004"/>
      <c r="F22" s="1004"/>
      <c r="G22" s="1004"/>
      <c r="H22" s="1004"/>
      <c r="I22" s="1004"/>
      <c r="J22" s="1004"/>
      <c r="K22" s="1004"/>
      <c r="L22" s="1004"/>
      <c r="M22" s="1004"/>
    </row>
    <row r="23" spans="1:16" s="2" customFormat="1">
      <c r="A23" s="223" t="str">
        <f>A13</f>
        <v>c</v>
      </c>
      <c r="B23" s="1004" t="s">
        <v>605</v>
      </c>
      <c r="C23" s="1004"/>
      <c r="D23" s="1004"/>
      <c r="E23" s="1004"/>
      <c r="F23" s="1004"/>
      <c r="G23" s="1004"/>
      <c r="H23" s="1004"/>
      <c r="I23" s="1004"/>
      <c r="J23" s="1004"/>
      <c r="K23" s="1004"/>
      <c r="L23" s="1004"/>
      <c r="M23" s="1004"/>
    </row>
    <row r="24" spans="1:16" s="2" customFormat="1">
      <c r="A24" s="223" t="str">
        <f>A14</f>
        <v>d</v>
      </c>
      <c r="B24" s="1004" t="s">
        <v>606</v>
      </c>
      <c r="C24" s="1004"/>
      <c r="D24" s="1004"/>
      <c r="E24" s="1004"/>
      <c r="F24" s="1004"/>
      <c r="G24" s="1004"/>
      <c r="H24" s="1004"/>
      <c r="I24" s="1004"/>
      <c r="J24" s="1004"/>
      <c r="K24" s="1004"/>
      <c r="L24" s="1004"/>
      <c r="M24" s="1004"/>
    </row>
    <row r="25" spans="1:16" s="2" customFormat="1">
      <c r="A25" s="223" t="str">
        <f>A15</f>
        <v>e</v>
      </c>
      <c r="B25" s="1004"/>
      <c r="C25" s="1004"/>
      <c r="D25" s="1004"/>
      <c r="E25" s="1004"/>
      <c r="F25" s="1004"/>
      <c r="G25" s="1004"/>
      <c r="H25" s="1004"/>
      <c r="I25" s="1004"/>
      <c r="J25" s="1004"/>
      <c r="K25" s="1004"/>
      <c r="L25" s="1004"/>
      <c r="M25" s="1004"/>
    </row>
    <row r="26" spans="1:16" s="2" customFormat="1">
      <c r="A26" s="223" t="s">
        <v>283</v>
      </c>
      <c r="B26" s="954"/>
      <c r="C26" s="954"/>
      <c r="D26" s="954"/>
      <c r="E26" s="954"/>
      <c r="F26" s="954"/>
      <c r="G26" s="954"/>
      <c r="H26" s="954"/>
      <c r="I26" s="954"/>
      <c r="J26" s="954"/>
      <c r="K26" s="954"/>
      <c r="L26" s="954"/>
      <c r="M26" s="954"/>
    </row>
    <row r="27" spans="1:16" s="2" customFormat="1">
      <c r="A27" s="223" t="s">
        <v>356</v>
      </c>
      <c r="B27" s="954"/>
      <c r="C27" s="954"/>
      <c r="D27" s="954"/>
      <c r="E27" s="954"/>
      <c r="F27" s="954"/>
      <c r="G27" s="954"/>
      <c r="H27" s="954"/>
      <c r="I27" s="954"/>
      <c r="J27" s="954"/>
      <c r="K27" s="954"/>
      <c r="L27" s="954"/>
      <c r="M27" s="954"/>
    </row>
    <row r="28" spans="1:16" s="435" customFormat="1">
      <c r="A28" s="24"/>
      <c r="B28" s="439"/>
      <c r="C28" s="439"/>
      <c r="D28" s="439"/>
      <c r="E28" s="439"/>
      <c r="F28" s="439"/>
      <c r="G28" s="439"/>
      <c r="H28" s="439"/>
      <c r="I28" s="439"/>
      <c r="J28" s="439"/>
      <c r="K28" s="439"/>
      <c r="L28" s="439"/>
      <c r="M28" s="439"/>
    </row>
    <row r="29" spans="1:16" s="2" customFormat="1">
      <c r="B29" s="5"/>
      <c r="C29" s="98"/>
      <c r="D29" s="35"/>
      <c r="E29" s="35"/>
      <c r="F29" s="35"/>
      <c r="G29" s="35"/>
      <c r="H29" s="35"/>
      <c r="I29" s="35"/>
      <c r="J29" s="35"/>
      <c r="K29" s="35"/>
    </row>
    <row r="30" spans="1:16" s="2" customFormat="1">
      <c r="A30" s="21"/>
      <c r="B30" s="89" t="s">
        <v>359</v>
      </c>
      <c r="C30" s="110"/>
      <c r="D30" s="60"/>
      <c r="E30" s="60"/>
      <c r="F30" s="60"/>
      <c r="G30" s="60"/>
      <c r="H30" s="60"/>
      <c r="I30" s="60"/>
      <c r="J30" s="60"/>
      <c r="K30" s="60"/>
      <c r="L30" s="60"/>
      <c r="M30" s="60"/>
      <c r="N30" s="60"/>
    </row>
    <row r="31" spans="1:16" s="2" customFormat="1">
      <c r="A31" s="21"/>
      <c r="B31" s="21"/>
      <c r="C31" s="21"/>
      <c r="D31" s="21"/>
      <c r="E31" s="21"/>
      <c r="F31" s="21"/>
      <c r="G31" s="21"/>
      <c r="H31" s="21"/>
      <c r="I31" s="21"/>
      <c r="J31" s="21"/>
      <c r="K31" s="21"/>
      <c r="L31" s="21"/>
      <c r="M31" s="21"/>
      <c r="N31" s="21"/>
      <c r="O31" s="21"/>
      <c r="P31" s="21"/>
    </row>
    <row r="32" spans="1:16" s="2" customFormat="1">
      <c r="A32" s="21"/>
      <c r="B32" s="299" t="s">
        <v>360</v>
      </c>
      <c r="C32" s="243"/>
      <c r="D32" s="245"/>
      <c r="E32" s="245"/>
      <c r="F32" s="245"/>
      <c r="G32" s="245"/>
      <c r="H32" s="245"/>
      <c r="I32" s="245"/>
      <c r="J32" s="245"/>
      <c r="K32" s="245"/>
      <c r="L32" s="245"/>
      <c r="M32" s="245"/>
      <c r="N32" s="245"/>
    </row>
    <row r="33" spans="1:14" s="2" customFormat="1">
      <c r="A33" s="21"/>
      <c r="B33" s="300" t="s">
        <v>361</v>
      </c>
      <c r="C33" s="243"/>
      <c r="D33" s="245"/>
      <c r="E33" s="245"/>
      <c r="F33" s="245"/>
      <c r="G33" s="245"/>
      <c r="H33" s="245"/>
      <c r="I33" s="245"/>
      <c r="J33" s="245"/>
      <c r="K33" s="245"/>
      <c r="L33" s="245"/>
      <c r="M33" s="245"/>
      <c r="N33" s="245"/>
    </row>
    <row r="34" spans="1:14" s="2" customFormat="1">
      <c r="A34" s="21"/>
      <c r="B34" s="300" t="s">
        <v>362</v>
      </c>
      <c r="C34" s="243"/>
      <c r="D34" s="245"/>
      <c r="E34" s="245"/>
      <c r="F34" s="245"/>
      <c r="G34" s="245"/>
      <c r="H34" s="245"/>
      <c r="I34" s="245"/>
      <c r="J34" s="245"/>
      <c r="K34" s="245"/>
      <c r="L34" s="245"/>
      <c r="M34" s="245"/>
      <c r="N34" s="245"/>
    </row>
    <row r="35" spans="1:14" s="2" customFormat="1">
      <c r="A35" s="21"/>
      <c r="B35" s="300" t="s">
        <v>150</v>
      </c>
      <c r="C35" s="243"/>
      <c r="D35" s="245"/>
      <c r="E35" s="245"/>
      <c r="F35" s="245"/>
      <c r="G35" s="245"/>
      <c r="H35" s="245"/>
      <c r="I35" s="245"/>
      <c r="J35" s="245"/>
      <c r="K35" s="245"/>
      <c r="L35" s="245"/>
      <c r="M35" s="245"/>
      <c r="N35" s="245"/>
    </row>
    <row r="36" spans="1:14" s="2" customFormat="1">
      <c r="A36" s="21"/>
      <c r="B36" s="300" t="s">
        <v>363</v>
      </c>
      <c r="C36" s="243"/>
      <c r="D36" s="245"/>
      <c r="E36" s="245"/>
      <c r="F36" s="245"/>
      <c r="G36" s="245"/>
      <c r="H36" s="245"/>
      <c r="I36" s="245"/>
      <c r="J36" s="245"/>
      <c r="K36" s="245"/>
      <c r="L36" s="245"/>
      <c r="M36" s="245"/>
      <c r="N36" s="245"/>
    </row>
    <row r="37" spans="1:14" s="2" customFormat="1">
      <c r="A37" s="21"/>
      <c r="B37" s="300" t="s">
        <v>148</v>
      </c>
      <c r="C37" s="243"/>
      <c r="D37" s="245"/>
      <c r="E37" s="245"/>
      <c r="F37" s="245"/>
      <c r="G37" s="245"/>
      <c r="H37" s="245"/>
      <c r="I37" s="245"/>
      <c r="J37" s="245"/>
      <c r="K37" s="245"/>
      <c r="L37" s="245"/>
      <c r="M37" s="245"/>
      <c r="N37" s="245"/>
    </row>
    <row r="38" spans="1:14" s="2" customFormat="1">
      <c r="B38" s="5"/>
      <c r="C38" s="98"/>
    </row>
    <row r="39" spans="1:14" s="2" customFormat="1">
      <c r="A39" s="119" t="str">
        <f t="shared" ref="A39:A45" si="3">A11</f>
        <v>a</v>
      </c>
      <c r="B39" s="21" t="str">
        <f>$B$11&amp;""</f>
        <v>Electricity Market Reform incentive revenue</v>
      </c>
      <c r="C39" s="114" t="str">
        <f>'RFPR cover'!$C$14</f>
        <v>£m 09/10</v>
      </c>
      <c r="D39" s="556">
        <f>D51</f>
        <v>0</v>
      </c>
      <c r="E39" s="556">
        <f t="shared" ref="E39:K39" si="4">E51</f>
        <v>0.1</v>
      </c>
      <c r="F39" s="556">
        <f t="shared" si="4"/>
        <v>6.0749999999999998E-2</v>
      </c>
      <c r="G39" s="556">
        <f t="shared" si="4"/>
        <v>-4.4181818181818239E-2</v>
      </c>
      <c r="H39" s="556">
        <f t="shared" si="4"/>
        <v>0.92950857168883227</v>
      </c>
      <c r="I39" s="556">
        <f t="shared" si="4"/>
        <v>-0.76229175152749484</v>
      </c>
      <c r="J39" s="556">
        <f t="shared" si="4"/>
        <v>0.88993503211144165</v>
      </c>
      <c r="K39" s="556">
        <f t="shared" si="4"/>
        <v>0.19582833901516014</v>
      </c>
      <c r="L39" s="556">
        <f>SUM(D39:INDEX(D39:K39,0,MATCH('RFPR cover'!$C$7,$D$6:$K$6,0)))</f>
        <v>1.173720034090961</v>
      </c>
      <c r="M39" s="557">
        <f t="shared" ref="M39:M45" si="5">SUM(D39:K39)</f>
        <v>1.3695483731061211</v>
      </c>
    </row>
    <row r="40" spans="1:14" s="2" customFormat="1">
      <c r="A40" s="119" t="str">
        <f t="shared" si="3"/>
        <v>b</v>
      </c>
      <c r="B40" s="21" t="str">
        <f>$B$12&amp;""</f>
        <v>Balancing Services Incentive Scheme</v>
      </c>
      <c r="C40" s="114" t="str">
        <f>'RFPR cover'!$C$14</f>
        <v>£m 09/10</v>
      </c>
      <c r="D40" s="556">
        <f>D55</f>
        <v>14.555256918166243</v>
      </c>
      <c r="E40" s="556">
        <f t="shared" ref="E40:K40" si="6">E55</f>
        <v>16.596638655462186</v>
      </c>
      <c r="F40" s="556">
        <f t="shared" si="6"/>
        <v>19.966722129783694</v>
      </c>
      <c r="G40" s="556">
        <f t="shared" si="6"/>
        <v>2.7189228664495175</v>
      </c>
      <c r="H40" s="556">
        <f t="shared" si="6"/>
        <v>6.3579277864992152</v>
      </c>
      <c r="I40" s="556">
        <f t="shared" si="6"/>
        <v>0</v>
      </c>
      <c r="J40" s="556">
        <f t="shared" si="6"/>
        <v>0</v>
      </c>
      <c r="K40" s="556">
        <f t="shared" si="6"/>
        <v>0</v>
      </c>
      <c r="L40" s="560">
        <f>SUM(D40:INDEX(D40:K40,0,MATCH('RFPR cover'!$C$7,$D$6:$K$6,0)))</f>
        <v>60.195468356360863</v>
      </c>
      <c r="M40" s="561">
        <f t="shared" si="5"/>
        <v>60.195468356360863</v>
      </c>
    </row>
    <row r="41" spans="1:14" s="2" customFormat="1">
      <c r="A41" s="119" t="str">
        <f t="shared" si="3"/>
        <v>c</v>
      </c>
      <c r="B41" s="21" t="str">
        <f>$B$13&amp;""</f>
        <v>Renewable wind forecasting incentive</v>
      </c>
      <c r="C41" s="114" t="str">
        <f>'RFPR cover'!$C$14</f>
        <v>£m 09/10</v>
      </c>
      <c r="D41" s="556">
        <f>D59</f>
        <v>0.32858611825192802</v>
      </c>
      <c r="E41" s="556">
        <f t="shared" ref="E41:K41" si="7">E59</f>
        <v>0.48126989400840342</v>
      </c>
      <c r="F41" s="556">
        <f t="shared" si="7"/>
        <v>-0.17622096505823628</v>
      </c>
      <c r="G41" s="556">
        <f t="shared" si="7"/>
        <v>-4.3387622149837143E-2</v>
      </c>
      <c r="H41" s="556">
        <f t="shared" si="7"/>
        <v>-0.16791948554405917</v>
      </c>
      <c r="I41" s="556">
        <f t="shared" si="7"/>
        <v>0</v>
      </c>
      <c r="J41" s="556">
        <f t="shared" si="7"/>
        <v>0</v>
      </c>
      <c r="K41" s="556">
        <f t="shared" si="7"/>
        <v>0</v>
      </c>
      <c r="L41" s="560">
        <f>SUM(D41:INDEX(D41:K41,0,MATCH('RFPR cover'!$C$7,$D$6:$K$6,0)))</f>
        <v>0.42232793950819886</v>
      </c>
      <c r="M41" s="561">
        <f t="shared" si="5"/>
        <v>0.42232793950819886</v>
      </c>
    </row>
    <row r="42" spans="1:14" s="2" customFormat="1">
      <c r="A42" s="119" t="str">
        <f t="shared" si="3"/>
        <v>d</v>
      </c>
      <c r="B42" s="21" t="str">
        <f>$B$14&amp;""</f>
        <v>New ESO Incentive (FY19 onwards)</v>
      </c>
      <c r="C42" s="114" t="str">
        <f>'RFPR cover'!$C$14</f>
        <v>£m 09/10</v>
      </c>
      <c r="D42" s="556">
        <f>D63</f>
        <v>0</v>
      </c>
      <c r="E42" s="556">
        <f t="shared" ref="E42:K42" si="8">E63</f>
        <v>0</v>
      </c>
      <c r="F42" s="556">
        <f t="shared" si="8"/>
        <v>0</v>
      </c>
      <c r="G42" s="556">
        <f t="shared" si="8"/>
        <v>0</v>
      </c>
      <c r="H42" s="556">
        <f t="shared" si="8"/>
        <v>0</v>
      </c>
      <c r="I42" s="556">
        <f t="shared" si="8"/>
        <v>0.53054074638233062</v>
      </c>
      <c r="J42" s="556">
        <f t="shared" si="8"/>
        <v>0.60178306092124811</v>
      </c>
      <c r="K42" s="556">
        <f t="shared" si="8"/>
        <v>0</v>
      </c>
      <c r="L42" s="560">
        <f>SUM(D42:INDEX(D42:K42,0,MATCH('RFPR cover'!$C$7,$D$6:$K$6,0)))</f>
        <v>1.1323238073035786</v>
      </c>
      <c r="M42" s="561">
        <f t="shared" si="5"/>
        <v>1.1323238073035786</v>
      </c>
    </row>
    <row r="43" spans="1:14" s="2" customFormat="1">
      <c r="A43" s="119" t="str">
        <f t="shared" si="3"/>
        <v>e</v>
      </c>
      <c r="B43" s="21" t="str">
        <f>$B$15&amp;""</f>
        <v/>
      </c>
      <c r="C43" s="114" t="str">
        <f>'RFPR cover'!$C$14</f>
        <v>£m 09/10</v>
      </c>
      <c r="D43" s="556">
        <f>D67</f>
        <v>0</v>
      </c>
      <c r="E43" s="556">
        <f t="shared" ref="E43:K43" si="9">E67</f>
        <v>0</v>
      </c>
      <c r="F43" s="556">
        <f t="shared" si="9"/>
        <v>0</v>
      </c>
      <c r="G43" s="556">
        <f t="shared" si="9"/>
        <v>0</v>
      </c>
      <c r="H43" s="556">
        <f t="shared" si="9"/>
        <v>0</v>
      </c>
      <c r="I43" s="556">
        <f t="shared" si="9"/>
        <v>0</v>
      </c>
      <c r="J43" s="556">
        <f t="shared" si="9"/>
        <v>0</v>
      </c>
      <c r="K43" s="556">
        <f t="shared" si="9"/>
        <v>0</v>
      </c>
      <c r="L43" s="560">
        <f>SUM(D43:INDEX(D43:K43,0,MATCH('RFPR cover'!$C$7,$D$6:$K$6,0)))</f>
        <v>0</v>
      </c>
      <c r="M43" s="561">
        <f t="shared" si="5"/>
        <v>0</v>
      </c>
    </row>
    <row r="44" spans="1:14" s="2" customFormat="1">
      <c r="A44" s="119" t="str">
        <f t="shared" si="3"/>
        <v>f</v>
      </c>
      <c r="B44" s="21" t="str">
        <f>$B$16&amp;""</f>
        <v/>
      </c>
      <c r="C44" s="114" t="str">
        <f>'RFPR cover'!$C$14</f>
        <v>£m 09/10</v>
      </c>
      <c r="D44" s="556">
        <f>D71</f>
        <v>0</v>
      </c>
      <c r="E44" s="556">
        <f t="shared" ref="E44:K44" si="10">E71</f>
        <v>0</v>
      </c>
      <c r="F44" s="556">
        <f t="shared" si="10"/>
        <v>0</v>
      </c>
      <c r="G44" s="556">
        <f t="shared" si="10"/>
        <v>0</v>
      </c>
      <c r="H44" s="556">
        <f t="shared" si="10"/>
        <v>0</v>
      </c>
      <c r="I44" s="556">
        <f t="shared" si="10"/>
        <v>0</v>
      </c>
      <c r="J44" s="556">
        <f t="shared" si="10"/>
        <v>0</v>
      </c>
      <c r="K44" s="556">
        <f t="shared" si="10"/>
        <v>0</v>
      </c>
      <c r="L44" s="560">
        <f>SUM(D44:INDEX(D44:K44,0,MATCH('RFPR cover'!$C$7,$D$6:$K$6,0)))</f>
        <v>0</v>
      </c>
      <c r="M44" s="561">
        <f t="shared" si="5"/>
        <v>0</v>
      </c>
    </row>
    <row r="45" spans="1:14" s="2" customFormat="1">
      <c r="A45" s="119" t="str">
        <f t="shared" si="3"/>
        <v>g</v>
      </c>
      <c r="B45" s="21" t="str">
        <f>$B$17&amp;""</f>
        <v/>
      </c>
      <c r="C45" s="114" t="str">
        <f>'RFPR cover'!$C$14</f>
        <v>£m 09/10</v>
      </c>
      <c r="D45" s="556">
        <f>D75</f>
        <v>0</v>
      </c>
      <c r="E45" s="556">
        <f t="shared" ref="E45:K45" si="11">E75</f>
        <v>0</v>
      </c>
      <c r="F45" s="556">
        <f t="shared" si="11"/>
        <v>0</v>
      </c>
      <c r="G45" s="556">
        <f t="shared" si="11"/>
        <v>0</v>
      </c>
      <c r="H45" s="556">
        <f t="shared" si="11"/>
        <v>0</v>
      </c>
      <c r="I45" s="556">
        <f t="shared" si="11"/>
        <v>0</v>
      </c>
      <c r="J45" s="556">
        <f t="shared" si="11"/>
        <v>0</v>
      </c>
      <c r="K45" s="556">
        <f t="shared" si="11"/>
        <v>0</v>
      </c>
      <c r="L45" s="560">
        <f>SUM(D45:INDEX(D45:K45,0,MATCH('RFPR cover'!$C$7,$D$6:$K$6,0)))</f>
        <v>0</v>
      </c>
      <c r="M45" s="561">
        <f t="shared" si="5"/>
        <v>0</v>
      </c>
    </row>
    <row r="46" spans="1:14" s="2" customFormat="1">
      <c r="B46" s="5" t="s">
        <v>364</v>
      </c>
      <c r="C46" s="115" t="str">
        <f>'RFPR cover'!$C$14</f>
        <v>£m 09/10</v>
      </c>
      <c r="D46" s="508">
        <f>SUM(D39:D45)</f>
        <v>14.883843036418172</v>
      </c>
      <c r="E46" s="508">
        <f t="shared" ref="E46:M46" si="12">SUM(E39:E45)</f>
        <v>17.17790854947059</v>
      </c>
      <c r="F46" s="508">
        <f t="shared" si="12"/>
        <v>19.851251164725458</v>
      </c>
      <c r="G46" s="508">
        <f t="shared" si="12"/>
        <v>2.6313534261178622</v>
      </c>
      <c r="H46" s="509">
        <f t="shared" si="12"/>
        <v>7.1195168726439881</v>
      </c>
      <c r="I46" s="509">
        <f t="shared" si="12"/>
        <v>-0.23175100514516422</v>
      </c>
      <c r="J46" s="509">
        <f t="shared" si="12"/>
        <v>1.4917180930326897</v>
      </c>
      <c r="K46" s="509">
        <f t="shared" si="12"/>
        <v>0.19582833901516014</v>
      </c>
      <c r="L46" s="508">
        <f t="shared" si="12"/>
        <v>62.923840137263603</v>
      </c>
      <c r="M46" s="508">
        <f t="shared" si="12"/>
        <v>63.119668476278761</v>
      </c>
    </row>
    <row r="47" spans="1:14" s="2" customFormat="1">
      <c r="B47" s="5"/>
      <c r="C47" s="115"/>
      <c r="D47" s="115"/>
      <c r="E47" s="115"/>
      <c r="F47" s="115"/>
      <c r="G47" s="115"/>
      <c r="H47" s="115"/>
      <c r="I47" s="115"/>
      <c r="J47" s="115"/>
      <c r="K47" s="115"/>
      <c r="L47" s="115"/>
      <c r="M47" s="115"/>
    </row>
    <row r="48" spans="1:14" s="2" customFormat="1">
      <c r="B48" s="5"/>
      <c r="C48" s="115"/>
      <c r="D48" s="120"/>
      <c r="E48" s="115"/>
      <c r="F48" s="115"/>
      <c r="G48" s="115"/>
      <c r="H48" s="115"/>
      <c r="I48" s="115"/>
      <c r="J48" s="115"/>
      <c r="K48" s="115"/>
      <c r="L48" s="115"/>
      <c r="M48" s="115"/>
    </row>
    <row r="49" spans="1:13" s="2" customFormat="1">
      <c r="A49" s="119" t="str">
        <f>$A$11</f>
        <v>a</v>
      </c>
      <c r="B49" s="130" t="str">
        <f>INDEX($B$11:$B$15,MATCH($A49,$A$11:$A$15,0),0)&amp;""</f>
        <v>Electricity Market Reform incentive revenue</v>
      </c>
      <c r="C49" s="114" t="str">
        <f>'RFPR cover'!$C$14</f>
        <v>£m 09/10</v>
      </c>
      <c r="D49" s="884">
        <f>INDEX($D$11:$K$17,MATCH($A49,$A$11:$A$17,0),0)</f>
        <v>0</v>
      </c>
      <c r="E49" s="884">
        <f t="shared" ref="E49:K49" si="13">INDEX($D$11:$K$17,MATCH($A49,$A$11:$A$17,0),0)</f>
        <v>0.125</v>
      </c>
      <c r="F49" s="884">
        <f t="shared" si="13"/>
        <v>7.4999999999999997E-2</v>
      </c>
      <c r="G49" s="884">
        <f t="shared" si="13"/>
        <v>-5.4545454545454612E-2</v>
      </c>
      <c r="H49" s="884">
        <f t="shared" si="13"/>
        <v>1.1475414465294225</v>
      </c>
      <c r="I49" s="884">
        <f t="shared" si="13"/>
        <v>-0.94110092781172194</v>
      </c>
      <c r="J49" s="884">
        <f t="shared" si="13"/>
        <v>1.0986852248289403</v>
      </c>
      <c r="K49" s="884">
        <f t="shared" si="13"/>
        <v>0.24176338150019769</v>
      </c>
      <c r="L49" s="884">
        <f>SUM(D49:INDEX(D49:K49,0,MATCH('RFPR cover'!$C$7,$D$6:$K$6,0)))</f>
        <v>1.4505802890011861</v>
      </c>
      <c r="M49" s="885">
        <f>SUM(D49:K49)</f>
        <v>1.6923436705013837</v>
      </c>
    </row>
    <row r="50" spans="1:13" s="2" customFormat="1">
      <c r="A50" s="119"/>
      <c r="B50" s="21" t="s">
        <v>293</v>
      </c>
      <c r="C50" s="938" t="s">
        <v>363</v>
      </c>
      <c r="D50" s="706">
        <f>IF($C50=$B$33,$B$33,INDEX(Data!$G$14:$G$30,MATCH('R5 - Output Incentives'!D$6+RIGHT('R5 - Output Incentives'!$C50,2),Data!$C$14:$C$30,0),0))</f>
        <v>0.2</v>
      </c>
      <c r="E50" s="707">
        <f>IF($C50=$B$33,$B$33,INDEX(Data!$G$14:$G$30,MATCH('R5 - Output Incentives'!E$6+RIGHT('R5 - Output Incentives'!$C50,2),Data!$C$14:$C$30,0),0))</f>
        <v>0.2</v>
      </c>
      <c r="F50" s="707">
        <f>IF($C50=$B$33,$B$33,INDEX(Data!$G$14:$G$30,MATCH('R5 - Output Incentives'!F$6+RIGHT('R5 - Output Incentives'!$C50,2),Data!$C$14:$C$30,0),0))</f>
        <v>0.19</v>
      </c>
      <c r="G50" s="707">
        <f>IF($C50=$B$33,$B$33,INDEX(Data!$G$14:$G$30,MATCH('R5 - Output Incentives'!G$6+RIGHT('R5 - Output Incentives'!$C50,2),Data!$C$14:$C$30,0),0))</f>
        <v>0.19</v>
      </c>
      <c r="H50" s="707">
        <f>IF($C50=$B$33,$B$33,INDEX(Data!$G$14:$G$30,MATCH('R5 - Output Incentives'!H$6+RIGHT('R5 - Output Incentives'!$C50,2),Data!$C$14:$C$30,0),0))</f>
        <v>0.19</v>
      </c>
      <c r="I50" s="707">
        <f>IF($C50=$B$33,$B$33,INDEX(Data!$G$14:$G$30,MATCH('R5 - Output Incentives'!I$6+RIGHT('R5 - Output Incentives'!$C50,2),Data!$C$14:$C$30,0),0))</f>
        <v>0.19</v>
      </c>
      <c r="J50" s="707">
        <f>IF($C50=$B$33,$B$33,INDEX(Data!$G$14:$G$30,MATCH('R5 - Output Incentives'!J$6+RIGHT('R5 - Output Incentives'!$C50,2),Data!$C$14:$C$30,0),0))</f>
        <v>0.19</v>
      </c>
      <c r="K50" s="708">
        <f>IF($C50=$B$33,$B$33,INDEX(Data!$G$14:$G$30,MATCH('R5 - Output Incentives'!K$6+RIGHT('R5 - Output Incentives'!$C50,2),Data!$C$14:$C$30,0),0))</f>
        <v>0.19</v>
      </c>
      <c r="L50" s="886"/>
      <c r="M50" s="887"/>
    </row>
    <row r="51" spans="1:13" s="2" customFormat="1">
      <c r="A51" s="119"/>
      <c r="B51" s="21" t="s">
        <v>294</v>
      </c>
      <c r="C51" s="114"/>
      <c r="D51" s="508">
        <f>IFERROR(D49*(1-D50),0)</f>
        <v>0</v>
      </c>
      <c r="E51" s="509">
        <f t="shared" ref="E51:K51" si="14">IFERROR(E49*(1-E50),0)</f>
        <v>0.1</v>
      </c>
      <c r="F51" s="509">
        <f t="shared" si="14"/>
        <v>6.0749999999999998E-2</v>
      </c>
      <c r="G51" s="509">
        <f t="shared" si="14"/>
        <v>-4.4181818181818239E-2</v>
      </c>
      <c r="H51" s="509">
        <f t="shared" si="14"/>
        <v>0.92950857168883227</v>
      </c>
      <c r="I51" s="509">
        <f t="shared" si="14"/>
        <v>-0.76229175152749484</v>
      </c>
      <c r="J51" s="509">
        <f t="shared" si="14"/>
        <v>0.88993503211144165</v>
      </c>
      <c r="K51" s="509">
        <f t="shared" si="14"/>
        <v>0.19582833901516014</v>
      </c>
      <c r="L51" s="554">
        <f>SUM(D51:INDEX(D51:K51,0,MATCH('RFPR cover'!$C$7,$D$6:$K$6,0)))</f>
        <v>1.173720034090961</v>
      </c>
      <c r="M51" s="555">
        <f>SUM(D51:K51)</f>
        <v>1.3695483731061211</v>
      </c>
    </row>
    <row r="52" spans="1:13" s="2" customFormat="1">
      <c r="A52" s="119"/>
      <c r="B52" s="34"/>
      <c r="C52" s="115"/>
      <c r="D52" s="115"/>
      <c r="E52" s="115"/>
      <c r="F52" s="115"/>
      <c r="G52" s="115"/>
      <c r="H52" s="115"/>
      <c r="I52" s="115"/>
      <c r="J52" s="115"/>
      <c r="K52" s="115"/>
      <c r="L52" s="115"/>
      <c r="M52" s="115"/>
    </row>
    <row r="53" spans="1:13" s="2" customFormat="1">
      <c r="A53" s="119" t="str">
        <f>$A$12</f>
        <v>b</v>
      </c>
      <c r="B53" s="130" t="str">
        <f>INDEX($B$11:$B$15,MATCH($A53,$A$11:$A$15,0),0)&amp;""</f>
        <v>Balancing Services Incentive Scheme</v>
      </c>
      <c r="C53" s="114" t="str">
        <f>'RFPR cover'!$C$14</f>
        <v>£m 09/10</v>
      </c>
      <c r="D53" s="884">
        <f>INDEX($D$11:$K$17,MATCH($A53,$A$11:$A$17,0),0)</f>
        <v>18.902931062553563</v>
      </c>
      <c r="E53" s="884">
        <f t="shared" ref="E53:K53" si="15">INDEX($D$11:$K$17,MATCH($A53,$A$11:$A$17,0),0)</f>
        <v>21.008403361344538</v>
      </c>
      <c r="F53" s="884">
        <f t="shared" si="15"/>
        <v>24.958402662229616</v>
      </c>
      <c r="G53" s="884">
        <f t="shared" si="15"/>
        <v>3.3986535830618965</v>
      </c>
      <c r="H53" s="884">
        <f t="shared" si="15"/>
        <v>7.8492935635792778</v>
      </c>
      <c r="I53" s="884">
        <f t="shared" si="15"/>
        <v>0</v>
      </c>
      <c r="J53" s="884">
        <f t="shared" si="15"/>
        <v>0</v>
      </c>
      <c r="K53" s="884">
        <f t="shared" si="15"/>
        <v>0</v>
      </c>
      <c r="L53" s="556">
        <f>SUM(D53:INDEX(D53:K53,0,MATCH('RFPR cover'!$C$7,$D$6:$K$6,0)))</f>
        <v>76.117684232768895</v>
      </c>
      <c r="M53" s="557">
        <f>SUM(D53:K53)</f>
        <v>76.117684232768895</v>
      </c>
    </row>
    <row r="54" spans="1:13" s="2" customFormat="1">
      <c r="A54" s="119"/>
      <c r="B54" s="21" t="s">
        <v>293</v>
      </c>
      <c r="C54" s="938" t="s">
        <v>362</v>
      </c>
      <c r="D54" s="706">
        <f>IF($C54=$B$33,$B$33,INDEX(Data!$G$14:$G$30,MATCH('R5 - Output Incentives'!D$6+RIGHT('R5 - Output Incentives'!$C54,2),Data!$C$14:$C$30,0),0))</f>
        <v>0.23</v>
      </c>
      <c r="E54" s="707">
        <f>IF($C54=$B$33,$B$33,INDEX(Data!$G$14:$G$30,MATCH('R5 - Output Incentives'!E$6+RIGHT('R5 - Output Incentives'!$C54,2),Data!$C$14:$C$30,0),0))</f>
        <v>0.21</v>
      </c>
      <c r="F54" s="707">
        <f>IF($C54=$B$33,$B$33,INDEX(Data!$G$14:$G$30,MATCH('R5 - Output Incentives'!F$6+RIGHT('R5 - Output Incentives'!$C54,2),Data!$C$14:$C$30,0),0))</f>
        <v>0.2</v>
      </c>
      <c r="G54" s="707">
        <f>IF($C54=$B$33,$B$33,INDEX(Data!$G$14:$G$30,MATCH('R5 - Output Incentives'!G$6+RIGHT('R5 - Output Incentives'!$C54,2),Data!$C$14:$C$30,0),0))</f>
        <v>0.2</v>
      </c>
      <c r="H54" s="707">
        <f>IF($C54=$B$33,$B$33,INDEX(Data!$G$14:$G$30,MATCH('R5 - Output Incentives'!H$6+RIGHT('R5 - Output Incentives'!$C54,2),Data!$C$14:$C$30,0),0))</f>
        <v>0.19</v>
      </c>
      <c r="I54" s="707">
        <f>IF($C54=$B$33,$B$33,INDEX(Data!$G$14:$G$30,MATCH('R5 - Output Incentives'!I$6+RIGHT('R5 - Output Incentives'!$C54,2),Data!$C$14:$C$30,0),0))</f>
        <v>0.19</v>
      </c>
      <c r="J54" s="707">
        <f>IF($C54=$B$33,$B$33,INDEX(Data!$G$14:$G$30,MATCH('R5 - Output Incentives'!J$6+RIGHT('R5 - Output Incentives'!$C54,2),Data!$C$14:$C$30,0),0))</f>
        <v>0.19</v>
      </c>
      <c r="K54" s="708">
        <f>IF($C54=$B$33,$B$33,INDEX(Data!$G$14:$G$30,MATCH('R5 - Output Incentives'!K$6+RIGHT('R5 - Output Incentives'!$C54,2),Data!$C$14:$C$30,0),0))</f>
        <v>0.19</v>
      </c>
      <c r="L54" s="886"/>
      <c r="M54" s="887"/>
    </row>
    <row r="55" spans="1:13" s="2" customFormat="1">
      <c r="A55" s="119"/>
      <c r="B55" s="21" t="s">
        <v>294</v>
      </c>
      <c r="C55" s="114"/>
      <c r="D55" s="508">
        <f>IFERROR(D53*(1-D54),0)</f>
        <v>14.555256918166243</v>
      </c>
      <c r="E55" s="509">
        <f t="shared" ref="E55:K55" si="16">IFERROR(E53*(1-E54),0)</f>
        <v>16.596638655462186</v>
      </c>
      <c r="F55" s="509">
        <f t="shared" si="16"/>
        <v>19.966722129783694</v>
      </c>
      <c r="G55" s="509">
        <f t="shared" si="16"/>
        <v>2.7189228664495175</v>
      </c>
      <c r="H55" s="509">
        <f t="shared" si="16"/>
        <v>6.3579277864992152</v>
      </c>
      <c r="I55" s="509">
        <f t="shared" si="16"/>
        <v>0</v>
      </c>
      <c r="J55" s="509">
        <f t="shared" si="16"/>
        <v>0</v>
      </c>
      <c r="K55" s="509">
        <f t="shared" si="16"/>
        <v>0</v>
      </c>
      <c r="L55" s="554">
        <f>SUM(D55:INDEX(D55:K55,0,MATCH('RFPR cover'!$C$7,$D$6:$K$6,0)))</f>
        <v>60.195468356360863</v>
      </c>
      <c r="M55" s="555">
        <f>SUM(D55:K55)</f>
        <v>60.195468356360863</v>
      </c>
    </row>
    <row r="56" spans="1:13" s="2" customFormat="1">
      <c r="A56" s="119"/>
      <c r="B56" s="34"/>
      <c r="C56" s="115"/>
      <c r="D56" s="115"/>
      <c r="E56" s="115"/>
      <c r="F56" s="115"/>
      <c r="G56" s="115"/>
      <c r="H56" s="115"/>
      <c r="I56" s="115"/>
      <c r="J56" s="115"/>
      <c r="K56" s="115"/>
      <c r="L56" s="115"/>
      <c r="M56" s="115"/>
    </row>
    <row r="57" spans="1:13" s="2" customFormat="1">
      <c r="A57" s="119" t="str">
        <f>$A$13</f>
        <v>c</v>
      </c>
      <c r="B57" s="130" t="str">
        <f>INDEX($B$11:$B$15,MATCH($A57,$A$11:$A$15,0),0)&amp;""</f>
        <v>Renewable wind forecasting incentive</v>
      </c>
      <c r="C57" s="114" t="str">
        <f>'RFPR cover'!$C$14</f>
        <v>£m 09/10</v>
      </c>
      <c r="D57" s="884">
        <f>INDEX($D$11:$K$17,MATCH($A57,$A$11:$A$17,0),0)</f>
        <v>0.42673521850899743</v>
      </c>
      <c r="E57" s="884">
        <f t="shared" ref="E57:K57" si="17">INDEX($D$11:$K$17,MATCH($A57,$A$11:$A$17,0),0)</f>
        <v>0.60920239747899163</v>
      </c>
      <c r="F57" s="884">
        <f t="shared" si="17"/>
        <v>-0.22027620632279535</v>
      </c>
      <c r="G57" s="884">
        <f t="shared" si="17"/>
        <v>-5.4234527687296426E-2</v>
      </c>
      <c r="H57" s="884">
        <f t="shared" si="17"/>
        <v>-0.20730800684451747</v>
      </c>
      <c r="I57" s="884">
        <f t="shared" si="17"/>
        <v>0</v>
      </c>
      <c r="J57" s="884">
        <f t="shared" si="17"/>
        <v>0</v>
      </c>
      <c r="K57" s="884">
        <f t="shared" si="17"/>
        <v>0</v>
      </c>
      <c r="L57" s="556">
        <f>SUM(D57:INDEX(D57:K57,0,MATCH('RFPR cover'!$C$7,$D$6:$K$6,0)))</f>
        <v>0.55411887513337998</v>
      </c>
      <c r="M57" s="557">
        <f>SUM(D57:K57)</f>
        <v>0.55411887513337998</v>
      </c>
    </row>
    <row r="58" spans="1:13" s="2" customFormat="1">
      <c r="A58" s="119"/>
      <c r="B58" s="21" t="s">
        <v>293</v>
      </c>
      <c r="C58" s="938" t="s">
        <v>362</v>
      </c>
      <c r="D58" s="706">
        <f>IF($C58=$B$33,$B$33,INDEX(Data!$G$14:$G$30,MATCH('R5 - Output Incentives'!D$6+RIGHT('R5 - Output Incentives'!$C58,2),Data!$C$14:$C$30,0),0))</f>
        <v>0.23</v>
      </c>
      <c r="E58" s="707">
        <f>IF($C58=$B$33,$B$33,INDEX(Data!$G$14:$G$30,MATCH('R5 - Output Incentives'!E$6+RIGHT('R5 - Output Incentives'!$C58,2),Data!$C$14:$C$30,0),0))</f>
        <v>0.21</v>
      </c>
      <c r="F58" s="707">
        <f>IF($C58=$B$33,$B$33,INDEX(Data!$G$14:$G$30,MATCH('R5 - Output Incentives'!F$6+RIGHT('R5 - Output Incentives'!$C58,2),Data!$C$14:$C$30,0),0))</f>
        <v>0.2</v>
      </c>
      <c r="G58" s="707">
        <f>IF($C58=$B$33,$B$33,INDEX(Data!$G$14:$G$30,MATCH('R5 - Output Incentives'!G$6+RIGHT('R5 - Output Incentives'!$C58,2),Data!$C$14:$C$30,0),0))</f>
        <v>0.2</v>
      </c>
      <c r="H58" s="707">
        <f>IF($C58=$B$33,$B$33,INDEX(Data!$G$14:$G$30,MATCH('R5 - Output Incentives'!H$6+RIGHT('R5 - Output Incentives'!$C58,2),Data!$C$14:$C$30,0),0))</f>
        <v>0.19</v>
      </c>
      <c r="I58" s="707">
        <f>IF($C58=$B$33,$B$33,INDEX(Data!$G$14:$G$30,MATCH('R5 - Output Incentives'!I$6+RIGHT('R5 - Output Incentives'!$C58,2),Data!$C$14:$C$30,0),0))</f>
        <v>0.19</v>
      </c>
      <c r="J58" s="707">
        <f>IF($C58=$B$33,$B$33,INDEX(Data!$G$14:$G$30,MATCH('R5 - Output Incentives'!J$6+RIGHT('R5 - Output Incentives'!$C58,2),Data!$C$14:$C$30,0),0))</f>
        <v>0.19</v>
      </c>
      <c r="K58" s="708">
        <f>IF($C58=$B$33,$B$33,INDEX(Data!$G$14:$G$30,MATCH('R5 - Output Incentives'!K$6+RIGHT('R5 - Output Incentives'!$C58,2),Data!$C$14:$C$30,0),0))</f>
        <v>0.19</v>
      </c>
      <c r="L58" s="886"/>
      <c r="M58" s="887"/>
    </row>
    <row r="59" spans="1:13" s="2" customFormat="1">
      <c r="A59" s="119"/>
      <c r="B59" s="21" t="s">
        <v>294</v>
      </c>
      <c r="C59" s="114"/>
      <c r="D59" s="508">
        <f>IFERROR(D57*(1-D58),0)</f>
        <v>0.32858611825192802</v>
      </c>
      <c r="E59" s="509">
        <f t="shared" ref="E59:K59" si="18">IFERROR(E57*(1-E58),0)</f>
        <v>0.48126989400840342</v>
      </c>
      <c r="F59" s="509">
        <f t="shared" si="18"/>
        <v>-0.17622096505823628</v>
      </c>
      <c r="G59" s="509">
        <f t="shared" si="18"/>
        <v>-4.3387622149837143E-2</v>
      </c>
      <c r="H59" s="509">
        <f t="shared" si="18"/>
        <v>-0.16791948554405917</v>
      </c>
      <c r="I59" s="509">
        <f t="shared" si="18"/>
        <v>0</v>
      </c>
      <c r="J59" s="509">
        <f t="shared" si="18"/>
        <v>0</v>
      </c>
      <c r="K59" s="509">
        <f t="shared" si="18"/>
        <v>0</v>
      </c>
      <c r="L59" s="554">
        <f>SUM(D59:INDEX(D59:K59,0,MATCH('RFPR cover'!$C$7,$D$6:$K$6,0)))</f>
        <v>0.42232793950819886</v>
      </c>
      <c r="M59" s="555">
        <f>SUM(D59:K59)</f>
        <v>0.42232793950819886</v>
      </c>
    </row>
    <row r="60" spans="1:13" s="2" customFormat="1">
      <c r="A60" s="119"/>
      <c r="B60" s="34"/>
      <c r="C60" s="115"/>
      <c r="D60" s="115"/>
      <c r="E60" s="115"/>
      <c r="F60" s="115"/>
      <c r="G60" s="115"/>
      <c r="H60" s="115"/>
      <c r="I60" s="115"/>
      <c r="J60" s="115"/>
      <c r="K60" s="115"/>
      <c r="L60" s="115"/>
      <c r="M60" s="115"/>
    </row>
    <row r="61" spans="1:13" s="2" customFormat="1">
      <c r="A61" s="119" t="str">
        <f>$A$14</f>
        <v>d</v>
      </c>
      <c r="B61" s="130" t="str">
        <f>INDEX($B$11:$B$15,MATCH($A61,$A$11:$A$15,0),0)&amp;""</f>
        <v>New ESO Incentive (FY19 onwards)</v>
      </c>
      <c r="C61" s="114" t="str">
        <f>'RFPR cover'!$C$14</f>
        <v>£m 09/10</v>
      </c>
      <c r="D61" s="884">
        <f>INDEX($D$11:$K$17,MATCH($A61,$A$11:$A$17,0),0)</f>
        <v>0</v>
      </c>
      <c r="E61" s="884">
        <f t="shared" ref="E61:K61" si="19">INDEX($D$11:$K$17,MATCH($A61,$A$11:$A$17,0),0)</f>
        <v>0</v>
      </c>
      <c r="F61" s="884">
        <f t="shared" si="19"/>
        <v>0</v>
      </c>
      <c r="G61" s="884">
        <f t="shared" si="19"/>
        <v>0</v>
      </c>
      <c r="H61" s="884">
        <f t="shared" si="19"/>
        <v>0</v>
      </c>
      <c r="I61" s="884">
        <f t="shared" si="19"/>
        <v>0.65498857578065506</v>
      </c>
      <c r="J61" s="884">
        <f t="shared" si="19"/>
        <v>0.74294205052005935</v>
      </c>
      <c r="K61" s="884">
        <f t="shared" si="19"/>
        <v>0</v>
      </c>
      <c r="L61" s="556">
        <f>SUM(D61:INDEX(D61:K61,0,MATCH('RFPR cover'!$C$7,$D$6:$K$6,0)))</f>
        <v>1.3979306263007145</v>
      </c>
      <c r="M61" s="557">
        <f>SUM(D61:K61)</f>
        <v>1.3979306263007145</v>
      </c>
    </row>
    <row r="62" spans="1:13" s="2" customFormat="1">
      <c r="A62" s="119"/>
      <c r="B62" s="21" t="s">
        <v>293</v>
      </c>
      <c r="C62" s="938" t="s">
        <v>362</v>
      </c>
      <c r="D62" s="706">
        <f>IF($C62=$B$33,$B$33,INDEX(Data!$G$14:$G$30,MATCH('R5 - Output Incentives'!D$6+RIGHT('R5 - Output Incentives'!$C62,2),Data!$C$14:$C$30,0),0))</f>
        <v>0.23</v>
      </c>
      <c r="E62" s="707">
        <f>IF($C62=$B$33,$B$33,INDEX(Data!$G$14:$G$30,MATCH('R5 - Output Incentives'!E$6+RIGHT('R5 - Output Incentives'!$C62,2),Data!$C$14:$C$30,0),0))</f>
        <v>0.21</v>
      </c>
      <c r="F62" s="707">
        <f>IF($C62=$B$33,$B$33,INDEX(Data!$G$14:$G$30,MATCH('R5 - Output Incentives'!F$6+RIGHT('R5 - Output Incentives'!$C62,2),Data!$C$14:$C$30,0),0))</f>
        <v>0.2</v>
      </c>
      <c r="G62" s="707">
        <f>IF($C62=$B$33,$B$33,INDEX(Data!$G$14:$G$30,MATCH('R5 - Output Incentives'!G$6+RIGHT('R5 - Output Incentives'!$C62,2),Data!$C$14:$C$30,0),0))</f>
        <v>0.2</v>
      </c>
      <c r="H62" s="707">
        <f>IF($C62=$B$33,$B$33,INDEX(Data!$G$14:$G$30,MATCH('R5 - Output Incentives'!H$6+RIGHT('R5 - Output Incentives'!$C62,2),Data!$C$14:$C$30,0),0))</f>
        <v>0.19</v>
      </c>
      <c r="I62" s="707">
        <f>IF($C62=$B$33,$B$33,INDEX(Data!$G$14:$G$30,MATCH('R5 - Output Incentives'!I$6+RIGHT('R5 - Output Incentives'!$C62,2),Data!$C$14:$C$30,0),0))</f>
        <v>0.19</v>
      </c>
      <c r="J62" s="707">
        <f>IF($C62=$B$33,$B$33,INDEX(Data!$G$14:$G$30,MATCH('R5 - Output Incentives'!J$6+RIGHT('R5 - Output Incentives'!$C62,2),Data!$C$14:$C$30,0),0))</f>
        <v>0.19</v>
      </c>
      <c r="K62" s="708">
        <f>IF($C62=$B$33,$B$33,INDEX(Data!$G$14:$G$30,MATCH('R5 - Output Incentives'!K$6+RIGHT('R5 - Output Incentives'!$C62,2),Data!$C$14:$C$30,0),0))</f>
        <v>0.19</v>
      </c>
      <c r="L62" s="886"/>
      <c r="M62" s="887"/>
    </row>
    <row r="63" spans="1:13" s="2" customFormat="1">
      <c r="A63" s="119"/>
      <c r="B63" s="21" t="s">
        <v>294</v>
      </c>
      <c r="C63" s="114"/>
      <c r="D63" s="508">
        <f>IFERROR(D61*(1-D62),0)</f>
        <v>0</v>
      </c>
      <c r="E63" s="509">
        <f t="shared" ref="E63:K63" si="20">IFERROR(E61*(1-E62),0)</f>
        <v>0</v>
      </c>
      <c r="F63" s="509">
        <f t="shared" si="20"/>
        <v>0</v>
      </c>
      <c r="G63" s="509">
        <f t="shared" si="20"/>
        <v>0</v>
      </c>
      <c r="H63" s="509">
        <f t="shared" si="20"/>
        <v>0</v>
      </c>
      <c r="I63" s="509">
        <f t="shared" si="20"/>
        <v>0.53054074638233062</v>
      </c>
      <c r="J63" s="509">
        <f t="shared" si="20"/>
        <v>0.60178306092124811</v>
      </c>
      <c r="K63" s="509">
        <f t="shared" si="20"/>
        <v>0</v>
      </c>
      <c r="L63" s="554">
        <f>SUM(D63:INDEX(D63:K63,0,MATCH('RFPR cover'!$C$7,$D$6:$K$6,0)))</f>
        <v>1.1323238073035786</v>
      </c>
      <c r="M63" s="555">
        <f>SUM(D63:K63)</f>
        <v>1.1323238073035786</v>
      </c>
    </row>
    <row r="64" spans="1:13" s="2" customFormat="1">
      <c r="A64" s="119"/>
      <c r="B64" s="34"/>
      <c r="C64" s="115"/>
      <c r="D64" s="115"/>
      <c r="E64" s="115"/>
      <c r="F64" s="115"/>
      <c r="G64" s="115"/>
      <c r="H64" s="115"/>
      <c r="I64" s="115"/>
      <c r="J64" s="115"/>
      <c r="K64" s="115"/>
      <c r="L64" s="115"/>
      <c r="M64" s="115"/>
    </row>
    <row r="65" spans="1:14" s="2" customFormat="1">
      <c r="A65" s="119" t="str">
        <f>$A$15</f>
        <v>e</v>
      </c>
      <c r="B65" s="130" t="str">
        <f>INDEX($B$11:$B$15,MATCH($A65,$A$11:$A$15,0),0)&amp;""</f>
        <v/>
      </c>
      <c r="C65" s="114" t="str">
        <f>'RFPR cover'!$C$14</f>
        <v>£m 09/10</v>
      </c>
      <c r="D65" s="884">
        <f>INDEX($D$11:$K$17,MATCH($A65,$A$11:$A$17,0),0)</f>
        <v>0</v>
      </c>
      <c r="E65" s="884">
        <f t="shared" ref="E65:K65" si="21">INDEX($D$11:$K$17,MATCH($A65,$A$11:$A$17,0),0)</f>
        <v>0</v>
      </c>
      <c r="F65" s="884">
        <f t="shared" si="21"/>
        <v>0</v>
      </c>
      <c r="G65" s="884">
        <f t="shared" si="21"/>
        <v>0</v>
      </c>
      <c r="H65" s="884">
        <f t="shared" si="21"/>
        <v>0</v>
      </c>
      <c r="I65" s="884">
        <f t="shared" si="21"/>
        <v>0</v>
      </c>
      <c r="J65" s="884">
        <f t="shared" si="21"/>
        <v>0</v>
      </c>
      <c r="K65" s="884">
        <f t="shared" si="21"/>
        <v>0</v>
      </c>
      <c r="L65" s="556">
        <f>SUM(D65:INDEX(D65:K65,0,MATCH('RFPR cover'!$C$7,$D$6:$K$6,0)))</f>
        <v>0</v>
      </c>
      <c r="M65" s="557">
        <f>SUM(D65:K65)</f>
        <v>0</v>
      </c>
    </row>
    <row r="66" spans="1:14" s="2" customFormat="1">
      <c r="A66" s="119"/>
      <c r="B66" s="21" t="s">
        <v>293</v>
      </c>
      <c r="C66" s="938" t="s">
        <v>361</v>
      </c>
      <c r="D66" s="706" t="str">
        <f>IF($C66=$B$33,$B$33,INDEX(Data!$G$14:$G$30,MATCH('R5 - Output Incentives'!D$6+RIGHT('R5 - Output Incentives'!$C66,2),Data!$C$14:$C$30,0),0))</f>
        <v>-</v>
      </c>
      <c r="E66" s="707" t="str">
        <f>IF($C66=$B$33,$B$33,INDEX(Data!$G$14:$G$30,MATCH('R5 - Output Incentives'!E$6+RIGHT('R5 - Output Incentives'!$C66,2),Data!$C$14:$C$30,0),0))</f>
        <v>-</v>
      </c>
      <c r="F66" s="707" t="str">
        <f>IF($C66=$B$33,$B$33,INDEX(Data!$G$14:$G$30,MATCH('R5 - Output Incentives'!F$6+RIGHT('R5 - Output Incentives'!$C66,2),Data!$C$14:$C$30,0),0))</f>
        <v>-</v>
      </c>
      <c r="G66" s="707" t="str">
        <f>IF($C66=$B$33,$B$33,INDEX(Data!$G$14:$G$30,MATCH('R5 - Output Incentives'!G$6+RIGHT('R5 - Output Incentives'!$C66,2),Data!$C$14:$C$30,0),0))</f>
        <v>-</v>
      </c>
      <c r="H66" s="707" t="str">
        <f>IF($C66=$B$33,$B$33,INDEX(Data!$G$14:$G$30,MATCH('R5 - Output Incentives'!H$6+RIGHT('R5 - Output Incentives'!$C66,2),Data!$C$14:$C$30,0),0))</f>
        <v>-</v>
      </c>
      <c r="I66" s="707" t="str">
        <f>IF($C66=$B$33,$B$33,INDEX(Data!$G$14:$G$30,MATCH('R5 - Output Incentives'!I$6+RIGHT('R5 - Output Incentives'!$C66,2),Data!$C$14:$C$30,0),0))</f>
        <v>-</v>
      </c>
      <c r="J66" s="707" t="str">
        <f>IF($C66=$B$33,$B$33,INDEX(Data!$G$14:$G$30,MATCH('R5 - Output Incentives'!J$6+RIGHT('R5 - Output Incentives'!$C66,2),Data!$C$14:$C$30,0),0))</f>
        <v>-</v>
      </c>
      <c r="K66" s="708" t="str">
        <f>IF($C66=$B$33,$B$33,INDEX(Data!$G$14:$G$30,MATCH('R5 - Output Incentives'!K$6+RIGHT('R5 - Output Incentives'!$C66,2),Data!$C$14:$C$30,0),0))</f>
        <v>-</v>
      </c>
      <c r="L66" s="886"/>
      <c r="M66" s="887"/>
    </row>
    <row r="67" spans="1:14" s="2" customFormat="1">
      <c r="A67" s="119"/>
      <c r="B67" s="21" t="s">
        <v>294</v>
      </c>
      <c r="C67" s="114"/>
      <c r="D67" s="508">
        <f>IFERROR(D65*(1-D66),0)</f>
        <v>0</v>
      </c>
      <c r="E67" s="509">
        <f t="shared" ref="E67:K67" si="22">IFERROR(E65*(1-E66),0)</f>
        <v>0</v>
      </c>
      <c r="F67" s="509">
        <f t="shared" si="22"/>
        <v>0</v>
      </c>
      <c r="G67" s="509">
        <f t="shared" si="22"/>
        <v>0</v>
      </c>
      <c r="H67" s="509">
        <f t="shared" si="22"/>
        <v>0</v>
      </c>
      <c r="I67" s="509">
        <f t="shared" si="22"/>
        <v>0</v>
      </c>
      <c r="J67" s="509">
        <f t="shared" si="22"/>
        <v>0</v>
      </c>
      <c r="K67" s="509">
        <f t="shared" si="22"/>
        <v>0</v>
      </c>
      <c r="L67" s="554">
        <f>SUM(D67:INDEX(D67:K67,0,MATCH('RFPR cover'!$C$7,$D$6:$K$6,0)))</f>
        <v>0</v>
      </c>
      <c r="M67" s="555">
        <f>SUM(D67:K67)</f>
        <v>0</v>
      </c>
    </row>
    <row r="68" spans="1:14" s="2" customFormat="1">
      <c r="A68" s="119"/>
      <c r="B68" s="34"/>
      <c r="C68" s="115"/>
      <c r="D68" s="115"/>
      <c r="E68" s="115"/>
      <c r="F68" s="115"/>
      <c r="G68" s="115"/>
      <c r="H68" s="115"/>
      <c r="I68" s="115"/>
      <c r="J68" s="115"/>
      <c r="K68" s="115"/>
      <c r="L68" s="115"/>
      <c r="M68" s="115"/>
    </row>
    <row r="69" spans="1:14" s="2" customFormat="1">
      <c r="A69" s="119" t="str">
        <f>$A$16</f>
        <v>f</v>
      </c>
      <c r="B69" s="130" t="str">
        <f>INDEX($B$11:$B$17,MATCH($A69,$A$11:$A$17,0),0)&amp;""</f>
        <v/>
      </c>
      <c r="C69" s="114" t="str">
        <f>'RFPR cover'!$C$14</f>
        <v>£m 09/10</v>
      </c>
      <c r="D69" s="884">
        <f>INDEX($D$11:$K$17,MATCH($A69,$A$11:$A$17,0),0)</f>
        <v>0</v>
      </c>
      <c r="E69" s="884">
        <f t="shared" ref="E69:K69" si="23">INDEX($D$11:$K$17,MATCH($A69,$A$11:$A$17,0),0)</f>
        <v>0</v>
      </c>
      <c r="F69" s="884">
        <f t="shared" si="23"/>
        <v>0</v>
      </c>
      <c r="G69" s="884">
        <f t="shared" si="23"/>
        <v>0</v>
      </c>
      <c r="H69" s="884">
        <f t="shared" si="23"/>
        <v>0</v>
      </c>
      <c r="I69" s="884">
        <f t="shared" si="23"/>
        <v>0</v>
      </c>
      <c r="J69" s="884">
        <f t="shared" si="23"/>
        <v>0</v>
      </c>
      <c r="K69" s="884">
        <f t="shared" si="23"/>
        <v>0</v>
      </c>
      <c r="L69" s="556">
        <f>SUM(D69:INDEX(D69:K69,0,MATCH('RFPR cover'!$C$7,$D$6:$K$6,0)))</f>
        <v>0</v>
      </c>
      <c r="M69" s="557">
        <f>SUM(D69:K69)</f>
        <v>0</v>
      </c>
    </row>
    <row r="70" spans="1:14" s="2" customFormat="1">
      <c r="A70" s="119"/>
      <c r="B70" s="21" t="s">
        <v>293</v>
      </c>
      <c r="C70" s="938" t="s">
        <v>361</v>
      </c>
      <c r="D70" s="706" t="str">
        <f>IF($C70=$B$33,$B$33,INDEX(Data!$G$14:$G$30,MATCH('R5 - Output Incentives'!D$6+RIGHT('R5 - Output Incentives'!$C70,2),Data!$C$14:$C$30,0),0))</f>
        <v>-</v>
      </c>
      <c r="E70" s="707" t="str">
        <f>IF($C70=$B$33,$B$33,INDEX(Data!$G$14:$G$30,MATCH('R5 - Output Incentives'!E$6+RIGHT('R5 - Output Incentives'!$C70,2),Data!$C$14:$C$30,0),0))</f>
        <v>-</v>
      </c>
      <c r="F70" s="707" t="str">
        <f>IF($C70=$B$33,$B$33,INDEX(Data!$G$14:$G$30,MATCH('R5 - Output Incentives'!F$6+RIGHT('R5 - Output Incentives'!$C70,2),Data!$C$14:$C$30,0),0))</f>
        <v>-</v>
      </c>
      <c r="G70" s="707" t="str">
        <f>IF($C70=$B$33,$B$33,INDEX(Data!$G$14:$G$30,MATCH('R5 - Output Incentives'!G$6+RIGHT('R5 - Output Incentives'!$C70,2),Data!$C$14:$C$30,0),0))</f>
        <v>-</v>
      </c>
      <c r="H70" s="707" t="str">
        <f>IF($C70=$B$33,$B$33,INDEX(Data!$G$14:$G$30,MATCH('R5 - Output Incentives'!H$6+RIGHT('R5 - Output Incentives'!$C70,2),Data!$C$14:$C$30,0),0))</f>
        <v>-</v>
      </c>
      <c r="I70" s="707" t="str">
        <f>IF($C70=$B$33,$B$33,INDEX(Data!$G$14:$G$30,MATCH('R5 - Output Incentives'!I$6+RIGHT('R5 - Output Incentives'!$C70,2),Data!$C$14:$C$30,0),0))</f>
        <v>-</v>
      </c>
      <c r="J70" s="707" t="str">
        <f>IF($C70=$B$33,$B$33,INDEX(Data!$G$14:$G$30,MATCH('R5 - Output Incentives'!J$6+RIGHT('R5 - Output Incentives'!$C70,2),Data!$C$14:$C$30,0),0))</f>
        <v>-</v>
      </c>
      <c r="K70" s="708" t="str">
        <f>IF($C70=$B$33,$B$33,INDEX(Data!$G$14:$G$30,MATCH('R5 - Output Incentives'!K$6+RIGHT('R5 - Output Incentives'!$C70,2),Data!$C$14:$C$30,0),0))</f>
        <v>-</v>
      </c>
      <c r="L70" s="886"/>
      <c r="M70" s="887"/>
    </row>
    <row r="71" spans="1:14" s="2" customFormat="1">
      <c r="A71" s="119"/>
      <c r="B71" s="21" t="s">
        <v>294</v>
      </c>
      <c r="C71" s="114"/>
      <c r="D71" s="508">
        <f>IFERROR(D69*(1-D70),0)</f>
        <v>0</v>
      </c>
      <c r="E71" s="509">
        <f t="shared" ref="E71:K71" si="24">IFERROR(E69*(1-E70),0)</f>
        <v>0</v>
      </c>
      <c r="F71" s="509">
        <f t="shared" si="24"/>
        <v>0</v>
      </c>
      <c r="G71" s="509">
        <f t="shared" si="24"/>
        <v>0</v>
      </c>
      <c r="H71" s="509">
        <f t="shared" si="24"/>
        <v>0</v>
      </c>
      <c r="I71" s="509">
        <f t="shared" si="24"/>
        <v>0</v>
      </c>
      <c r="J71" s="509">
        <f t="shared" si="24"/>
        <v>0</v>
      </c>
      <c r="K71" s="509">
        <f t="shared" si="24"/>
        <v>0</v>
      </c>
      <c r="L71" s="554">
        <f>SUM(D71:INDEX(D71:K71,0,MATCH('RFPR cover'!$C$7,$D$6:$K$6,0)))</f>
        <v>0</v>
      </c>
      <c r="M71" s="555">
        <f>SUM(D71:K71)</f>
        <v>0</v>
      </c>
    </row>
    <row r="72" spans="1:14" s="2" customFormat="1">
      <c r="A72" s="119"/>
      <c r="B72" s="34"/>
      <c r="C72" s="115"/>
      <c r="D72" s="115"/>
      <c r="E72" s="115"/>
      <c r="F72" s="115"/>
      <c r="G72" s="115"/>
      <c r="H72" s="115"/>
      <c r="I72" s="115"/>
      <c r="J72" s="115"/>
      <c r="K72" s="115"/>
      <c r="L72" s="115"/>
      <c r="M72" s="115"/>
    </row>
    <row r="73" spans="1:14" s="2" customFormat="1">
      <c r="A73" s="119" t="s">
        <v>356</v>
      </c>
      <c r="B73" s="130" t="str">
        <f>INDEX($B$11:$B$17,MATCH($A73,$A$11:$A$17,0),0)&amp;""</f>
        <v/>
      </c>
      <c r="C73" s="114" t="str">
        <f>'RFPR cover'!$C$14</f>
        <v>£m 09/10</v>
      </c>
      <c r="D73" s="884">
        <f>INDEX($D$11:$K$17,MATCH($A73,$A$11:$A$17,0),0)</f>
        <v>0</v>
      </c>
      <c r="E73" s="884">
        <f t="shared" ref="E73:K73" si="25">INDEX($D$11:$K$17,MATCH($A73,$A$11:$A$17,0),0)</f>
        <v>0</v>
      </c>
      <c r="F73" s="884">
        <f t="shared" si="25"/>
        <v>0</v>
      </c>
      <c r="G73" s="884">
        <f t="shared" si="25"/>
        <v>0</v>
      </c>
      <c r="H73" s="884">
        <f t="shared" si="25"/>
        <v>0</v>
      </c>
      <c r="I73" s="884">
        <f t="shared" si="25"/>
        <v>0</v>
      </c>
      <c r="J73" s="884">
        <f t="shared" si="25"/>
        <v>0</v>
      </c>
      <c r="K73" s="884">
        <f t="shared" si="25"/>
        <v>0</v>
      </c>
      <c r="L73" s="556">
        <f>SUM(D73:INDEX(D73:K73,0,MATCH('RFPR cover'!$C$7,$D$6:$K$6,0)))</f>
        <v>0</v>
      </c>
      <c r="M73" s="557">
        <f>SUM(D73:K73)</f>
        <v>0</v>
      </c>
    </row>
    <row r="74" spans="1:14" s="2" customFormat="1">
      <c r="A74" s="119"/>
      <c r="B74" s="21" t="s">
        <v>293</v>
      </c>
      <c r="C74" s="938" t="s">
        <v>361</v>
      </c>
      <c r="D74" s="706" t="str">
        <f>IF($C74=$B$33,$B$33,INDEX(Data!$G$14:$G$30,MATCH('R5 - Output Incentives'!D$6+RIGHT('R5 - Output Incentives'!$C74,2),Data!$C$14:$C$30,0),0))</f>
        <v>-</v>
      </c>
      <c r="E74" s="707" t="str">
        <f>IF($C74=$B$33,$B$33,INDEX(Data!$G$14:$G$30,MATCH('R5 - Output Incentives'!E$6+RIGHT('R5 - Output Incentives'!$C74,2),Data!$C$14:$C$30,0),0))</f>
        <v>-</v>
      </c>
      <c r="F74" s="707" t="str">
        <f>IF($C74=$B$33,$B$33,INDEX(Data!$G$14:$G$30,MATCH('R5 - Output Incentives'!F$6+RIGHT('R5 - Output Incentives'!$C74,2),Data!$C$14:$C$30,0),0))</f>
        <v>-</v>
      </c>
      <c r="G74" s="707" t="str">
        <f>IF($C74=$B$33,$B$33,INDEX(Data!$G$14:$G$30,MATCH('R5 - Output Incentives'!G$6+RIGHT('R5 - Output Incentives'!$C74,2),Data!$C$14:$C$30,0),0))</f>
        <v>-</v>
      </c>
      <c r="H74" s="707" t="str">
        <f>IF($C74=$B$33,$B$33,INDEX(Data!$G$14:$G$30,MATCH('R5 - Output Incentives'!H$6+RIGHT('R5 - Output Incentives'!$C74,2),Data!$C$14:$C$30,0),0))</f>
        <v>-</v>
      </c>
      <c r="I74" s="707" t="str">
        <f>IF($C74=$B$33,$B$33,INDEX(Data!$G$14:$G$30,MATCH('R5 - Output Incentives'!I$6+RIGHT('R5 - Output Incentives'!$C74,2),Data!$C$14:$C$30,0),0))</f>
        <v>-</v>
      </c>
      <c r="J74" s="707" t="str">
        <f>IF($C74=$B$33,$B$33,INDEX(Data!$G$14:$G$30,MATCH('R5 - Output Incentives'!J$6+RIGHT('R5 - Output Incentives'!$C74,2),Data!$C$14:$C$30,0),0))</f>
        <v>-</v>
      </c>
      <c r="K74" s="708" t="str">
        <f>IF($C74=$B$33,$B$33,INDEX(Data!$G$14:$G$30,MATCH('R5 - Output Incentives'!K$6+RIGHT('R5 - Output Incentives'!$C74,2),Data!$C$14:$C$30,0),0))</f>
        <v>-</v>
      </c>
      <c r="L74" s="886"/>
      <c r="M74" s="887"/>
    </row>
    <row r="75" spans="1:14" s="2" customFormat="1">
      <c r="A75" s="119"/>
      <c r="B75" s="21" t="s">
        <v>294</v>
      </c>
      <c r="C75" s="114"/>
      <c r="D75" s="508">
        <f>IFERROR(D73*(1-D74),0)</f>
        <v>0</v>
      </c>
      <c r="E75" s="509">
        <f t="shared" ref="E75:K75" si="26">IFERROR(E73*(1-E74),0)</f>
        <v>0</v>
      </c>
      <c r="F75" s="509">
        <f t="shared" si="26"/>
        <v>0</v>
      </c>
      <c r="G75" s="509">
        <f t="shared" si="26"/>
        <v>0</v>
      </c>
      <c r="H75" s="509">
        <f t="shared" si="26"/>
        <v>0</v>
      </c>
      <c r="I75" s="509">
        <f t="shared" si="26"/>
        <v>0</v>
      </c>
      <c r="J75" s="509">
        <f t="shared" si="26"/>
        <v>0</v>
      </c>
      <c r="K75" s="509">
        <f t="shared" si="26"/>
        <v>0</v>
      </c>
      <c r="L75" s="554">
        <f>SUM(D75:INDEX(D75:K75,0,MATCH('RFPR cover'!$C$7,$D$6:$K$6,0)))</f>
        <v>0</v>
      </c>
      <c r="M75" s="555">
        <f>SUM(D75:K75)</f>
        <v>0</v>
      </c>
    </row>
    <row r="76" spans="1:14" s="435" customFormat="1" ht="14.25" customHeight="1">
      <c r="A76" s="434"/>
      <c r="C76" s="436"/>
      <c r="D76" s="437"/>
      <c r="E76" s="437"/>
      <c r="F76" s="437"/>
      <c r="G76" s="437"/>
      <c r="H76" s="437"/>
      <c r="I76" s="437"/>
      <c r="J76" s="437"/>
      <c r="K76" s="437"/>
      <c r="L76" s="438"/>
      <c r="M76" s="438"/>
    </row>
    <row r="77" spans="1:14" s="2" customFormat="1">
      <c r="B77" s="89" t="s">
        <v>365</v>
      </c>
      <c r="C77" s="110"/>
      <c r="D77" s="96"/>
      <c r="E77" s="96"/>
      <c r="F77" s="96"/>
      <c r="G77" s="96"/>
      <c r="H77" s="96"/>
      <c r="I77" s="96"/>
      <c r="J77" s="96"/>
      <c r="K77" s="96"/>
      <c r="L77" s="60"/>
      <c r="M77" s="60"/>
      <c r="N77" s="60"/>
    </row>
    <row r="78" spans="1:14" s="2" customFormat="1">
      <c r="B78" s="299" t="s">
        <v>366</v>
      </c>
      <c r="C78" s="243"/>
      <c r="D78" s="244"/>
      <c r="E78" s="244"/>
      <c r="F78" s="244"/>
      <c r="G78" s="244"/>
      <c r="H78" s="244"/>
      <c r="I78" s="244"/>
      <c r="J78" s="244"/>
      <c r="K78" s="244"/>
      <c r="L78" s="245"/>
      <c r="M78" s="245"/>
      <c r="N78" s="245"/>
    </row>
    <row r="79" spans="1:14" s="2" customFormat="1">
      <c r="B79" s="299" t="s">
        <v>367</v>
      </c>
      <c r="C79" s="243"/>
      <c r="D79" s="244"/>
      <c r="E79" s="244"/>
      <c r="F79" s="244"/>
      <c r="G79" s="244"/>
      <c r="H79" s="244"/>
      <c r="I79" s="244"/>
      <c r="J79" s="244"/>
      <c r="K79" s="244"/>
      <c r="L79" s="245"/>
      <c r="M79" s="245"/>
      <c r="N79" s="245"/>
    </row>
    <row r="80" spans="1:14" s="435" customFormat="1">
      <c r="B80" s="440"/>
      <c r="C80" s="441"/>
      <c r="D80" s="442"/>
      <c r="E80" s="442"/>
      <c r="F80" s="442"/>
      <c r="G80" s="442"/>
      <c r="H80" s="442"/>
      <c r="I80" s="442"/>
      <c r="J80" s="442"/>
      <c r="K80" s="442"/>
    </row>
    <row r="81" spans="1:12" s="2" customFormat="1">
      <c r="B81" s="5"/>
      <c r="C81" s="443" t="s">
        <v>368</v>
      </c>
      <c r="D81" s="444" t="str">
        <f t="shared" ref="D81:K81" si="27">IF($C50=$B$33,D$6,IF(D$6-RIGHT($C50,1)&lt;$D$6,"Pre-RIIO",D$6-RIGHT($C50,1)))</f>
        <v>Pre-RIIO</v>
      </c>
      <c r="E81" s="445" t="str">
        <f t="shared" si="27"/>
        <v>Pre-RIIO</v>
      </c>
      <c r="F81" s="445">
        <f t="shared" si="27"/>
        <v>2014</v>
      </c>
      <c r="G81" s="445">
        <f t="shared" si="27"/>
        <v>2015</v>
      </c>
      <c r="H81" s="445">
        <f t="shared" si="27"/>
        <v>2016</v>
      </c>
      <c r="I81" s="445">
        <f t="shared" si="27"/>
        <v>2017</v>
      </c>
      <c r="J81" s="445">
        <f t="shared" si="27"/>
        <v>2018</v>
      </c>
      <c r="K81" s="446">
        <f t="shared" si="27"/>
        <v>2019</v>
      </c>
    </row>
    <row r="82" spans="1:12" s="2" customFormat="1">
      <c r="A82" s="3" t="str">
        <f>A11</f>
        <v>a</v>
      </c>
      <c r="B82" s="94" t="str">
        <f>B11&amp;""</f>
        <v>Electricity Market Reform incentive revenue</v>
      </c>
      <c r="C82" s="98" t="s">
        <v>297</v>
      </c>
      <c r="D82" s="526">
        <v>0</v>
      </c>
      <c r="E82" s="526">
        <v>0</v>
      </c>
      <c r="F82" s="526">
        <v>0</v>
      </c>
      <c r="G82" s="526">
        <v>0.125</v>
      </c>
      <c r="H82" s="526">
        <v>7.4999999999999997E-2</v>
      </c>
      <c r="I82" s="526">
        <v>-5.4545454545454612E-2</v>
      </c>
      <c r="J82" s="526">
        <v>1.1475414465294225</v>
      </c>
      <c r="K82" s="526">
        <v>-0.94110092781172194</v>
      </c>
    </row>
    <row r="83" spans="1:12" s="2" customFormat="1">
      <c r="A83" s="3"/>
      <c r="B83" s="94"/>
      <c r="C83" s="98"/>
      <c r="D83" s="98"/>
      <c r="E83" s="98"/>
      <c r="F83" s="98"/>
      <c r="G83" s="98"/>
      <c r="H83" s="98"/>
      <c r="I83" s="98"/>
      <c r="J83" s="98"/>
      <c r="K83" s="98"/>
      <c r="L83" s="98"/>
    </row>
    <row r="84" spans="1:12" s="2" customFormat="1">
      <c r="A84" s="3"/>
      <c r="B84" s="94"/>
      <c r="C84" s="443" t="s">
        <v>368</v>
      </c>
      <c r="D84" s="444">
        <f t="shared" ref="D84:K84" si="28">IF($C54=$B$33,D$6,IF(D$6-RIGHT($C54,1)&lt;$D$6,"Pre-RIIO",D$6-RIGHT($C54,1)))</f>
        <v>2014</v>
      </c>
      <c r="E84" s="445">
        <f t="shared" si="28"/>
        <v>2015</v>
      </c>
      <c r="F84" s="445">
        <f t="shared" si="28"/>
        <v>2016</v>
      </c>
      <c r="G84" s="445">
        <f t="shared" si="28"/>
        <v>2017</v>
      </c>
      <c r="H84" s="445">
        <f t="shared" si="28"/>
        <v>2018</v>
      </c>
      <c r="I84" s="445">
        <f t="shared" si="28"/>
        <v>2019</v>
      </c>
      <c r="J84" s="445">
        <f t="shared" si="28"/>
        <v>2020</v>
      </c>
      <c r="K84" s="446">
        <f t="shared" si="28"/>
        <v>2021</v>
      </c>
    </row>
    <row r="85" spans="1:12" s="2" customFormat="1">
      <c r="A85" s="3" t="str">
        <f>A12</f>
        <v>b</v>
      </c>
      <c r="B85" s="94" t="str">
        <f>B12&amp;""</f>
        <v>Balancing Services Incentive Scheme</v>
      </c>
      <c r="C85" s="98" t="s">
        <v>297</v>
      </c>
      <c r="D85" s="526">
        <v>22.059720550000009</v>
      </c>
      <c r="E85" s="526">
        <v>25</v>
      </c>
      <c r="F85" s="526">
        <v>30</v>
      </c>
      <c r="G85" s="526">
        <v>4.1735466000000088</v>
      </c>
      <c r="H85" s="526">
        <v>10</v>
      </c>
      <c r="I85" s="526">
        <v>0</v>
      </c>
      <c r="J85" s="526">
        <v>0</v>
      </c>
      <c r="K85" s="526">
        <v>0</v>
      </c>
    </row>
    <row r="86" spans="1:12" s="2" customFormat="1">
      <c r="A86" s="3"/>
      <c r="B86" s="94"/>
      <c r="C86" s="98"/>
      <c r="D86" s="98"/>
      <c r="E86" s="98"/>
      <c r="F86" s="98"/>
      <c r="G86" s="98"/>
      <c r="H86" s="98"/>
      <c r="I86" s="98"/>
      <c r="J86" s="98"/>
      <c r="K86" s="98"/>
      <c r="L86" s="98"/>
    </row>
    <row r="87" spans="1:12" s="2" customFormat="1">
      <c r="A87" s="3"/>
      <c r="B87" s="94"/>
      <c r="C87" s="443" t="s">
        <v>368</v>
      </c>
      <c r="D87" s="444">
        <f t="shared" ref="D87:K87" si="29">IF($C58=$B$33,D$6,IF(D$6-RIGHT($C58,1)&lt;$D$6,"Pre-RIIO",D$6-RIGHT($C58,1)))</f>
        <v>2014</v>
      </c>
      <c r="E87" s="445">
        <f t="shared" si="29"/>
        <v>2015</v>
      </c>
      <c r="F87" s="445">
        <f t="shared" si="29"/>
        <v>2016</v>
      </c>
      <c r="G87" s="445">
        <f t="shared" si="29"/>
        <v>2017</v>
      </c>
      <c r="H87" s="445">
        <f t="shared" si="29"/>
        <v>2018</v>
      </c>
      <c r="I87" s="445">
        <f t="shared" si="29"/>
        <v>2019</v>
      </c>
      <c r="J87" s="445">
        <f t="shared" si="29"/>
        <v>2020</v>
      </c>
      <c r="K87" s="446">
        <f t="shared" si="29"/>
        <v>2021</v>
      </c>
    </row>
    <row r="88" spans="1:12" s="2" customFormat="1">
      <c r="A88" s="3" t="str">
        <f>A13</f>
        <v>c</v>
      </c>
      <c r="B88" s="94" t="str">
        <f>B13&amp;""</f>
        <v>Renewable wind forecasting incentive</v>
      </c>
      <c r="C88" s="98" t="s">
        <v>297</v>
      </c>
      <c r="D88" s="526">
        <v>0.498</v>
      </c>
      <c r="E88" s="526">
        <v>0.72495085299999995</v>
      </c>
      <c r="F88" s="526">
        <v>-0.26477200000000001</v>
      </c>
      <c r="G88" s="526">
        <v>-6.6600000000000006E-2</v>
      </c>
      <c r="H88" s="526">
        <v>-0.26411040071991526</v>
      </c>
      <c r="I88" s="526">
        <v>0</v>
      </c>
      <c r="J88" s="526">
        <v>0</v>
      </c>
      <c r="K88" s="526">
        <v>0</v>
      </c>
    </row>
    <row r="89" spans="1:12" s="2" customFormat="1">
      <c r="A89" s="3"/>
      <c r="B89" s="94"/>
      <c r="C89" s="98"/>
      <c r="D89" s="98"/>
      <c r="E89" s="98"/>
      <c r="F89" s="98"/>
      <c r="G89" s="98"/>
      <c r="H89" s="98"/>
      <c r="I89" s="98"/>
      <c r="J89" s="98"/>
      <c r="K89" s="98"/>
      <c r="L89" s="98"/>
    </row>
    <row r="90" spans="1:12" s="2" customFormat="1">
      <c r="A90" s="3"/>
      <c r="B90" s="94"/>
      <c r="C90" s="443" t="s">
        <v>368</v>
      </c>
      <c r="D90" s="444">
        <f t="shared" ref="D90:K90" si="30">IF($C62=$B$33,D$6,IF(D$6-RIGHT($C62,1)&lt;$D$6,"Pre-RIIO",D$6-RIGHT($C62,1)))</f>
        <v>2014</v>
      </c>
      <c r="E90" s="445">
        <f t="shared" si="30"/>
        <v>2015</v>
      </c>
      <c r="F90" s="445">
        <f t="shared" si="30"/>
        <v>2016</v>
      </c>
      <c r="G90" s="445">
        <f t="shared" si="30"/>
        <v>2017</v>
      </c>
      <c r="H90" s="445">
        <f t="shared" si="30"/>
        <v>2018</v>
      </c>
      <c r="I90" s="445">
        <f t="shared" si="30"/>
        <v>2019</v>
      </c>
      <c r="J90" s="445">
        <f t="shared" si="30"/>
        <v>2020</v>
      </c>
      <c r="K90" s="446">
        <f t="shared" si="30"/>
        <v>2021</v>
      </c>
    </row>
    <row r="91" spans="1:12" s="2" customFormat="1">
      <c r="A91" s="3" t="str">
        <f>A14</f>
        <v>d</v>
      </c>
      <c r="B91" s="94" t="str">
        <f>B14&amp;""</f>
        <v>New ESO Incentive (FY19 onwards)</v>
      </c>
      <c r="C91" s="98" t="s">
        <v>297</v>
      </c>
      <c r="D91" s="526">
        <v>0</v>
      </c>
      <c r="E91" s="526">
        <v>0</v>
      </c>
      <c r="F91" s="526">
        <v>0</v>
      </c>
      <c r="G91" s="526">
        <v>0</v>
      </c>
      <c r="H91" s="526">
        <v>0</v>
      </c>
      <c r="I91" s="526">
        <v>0.86</v>
      </c>
      <c r="J91" s="526">
        <v>1</v>
      </c>
      <c r="K91" s="526">
        <v>0</v>
      </c>
    </row>
    <row r="92" spans="1:12" s="2" customFormat="1">
      <c r="A92" s="3"/>
      <c r="B92" s="94"/>
      <c r="C92" s="98"/>
      <c r="D92" s="98"/>
      <c r="E92" s="98"/>
      <c r="F92" s="98"/>
      <c r="G92" s="98"/>
      <c r="H92" s="98"/>
      <c r="I92" s="98"/>
      <c r="J92" s="98"/>
      <c r="K92" s="98"/>
      <c r="L92" s="98"/>
    </row>
    <row r="93" spans="1:12" s="2" customFormat="1">
      <c r="A93" s="3"/>
      <c r="B93" s="94"/>
      <c r="C93" s="443" t="s">
        <v>368</v>
      </c>
      <c r="D93" s="444">
        <f>IF($C66=$B$33,D$6,IF(D$6-RIGHT($C66,1)&lt;$D$6,"Pre-RIIO",D$6-RIGHT($C66,1)))</f>
        <v>2014</v>
      </c>
      <c r="E93" s="445">
        <f t="shared" ref="E93:K93" si="31">IF($C66=$B$33,E$6,IF(E$6-RIGHT($C66,1)&lt;$D$6,"Pre-RIIO",E$6-RIGHT($C66,1)))</f>
        <v>2015</v>
      </c>
      <c r="F93" s="445">
        <f t="shared" si="31"/>
        <v>2016</v>
      </c>
      <c r="G93" s="445">
        <f t="shared" si="31"/>
        <v>2017</v>
      </c>
      <c r="H93" s="445">
        <f t="shared" si="31"/>
        <v>2018</v>
      </c>
      <c r="I93" s="445">
        <f t="shared" si="31"/>
        <v>2019</v>
      </c>
      <c r="J93" s="445">
        <f t="shared" si="31"/>
        <v>2020</v>
      </c>
      <c r="K93" s="446">
        <f t="shared" si="31"/>
        <v>2021</v>
      </c>
    </row>
    <row r="94" spans="1:12" s="2" customFormat="1">
      <c r="A94" s="3" t="str">
        <f>A15</f>
        <v>e</v>
      </c>
      <c r="B94" s="94" t="str">
        <f>B15&amp;""</f>
        <v/>
      </c>
      <c r="C94" s="98" t="s">
        <v>297</v>
      </c>
      <c r="D94" s="526"/>
      <c r="E94" s="527"/>
      <c r="F94" s="527"/>
      <c r="G94" s="527"/>
      <c r="H94" s="513"/>
      <c r="I94" s="513"/>
      <c r="J94" s="513"/>
      <c r="K94" s="513"/>
    </row>
    <row r="95" spans="1:12" s="2" customFormat="1">
      <c r="A95" s="3"/>
      <c r="B95" s="94"/>
      <c r="C95" s="98"/>
      <c r="D95" s="98"/>
      <c r="E95" s="98"/>
      <c r="F95" s="98"/>
      <c r="G95" s="98"/>
      <c r="H95" s="98"/>
      <c r="I95" s="98"/>
      <c r="J95" s="98"/>
      <c r="K95" s="98"/>
      <c r="L95" s="98"/>
    </row>
    <row r="96" spans="1:12" s="2" customFormat="1">
      <c r="A96" s="3"/>
      <c r="B96" s="94"/>
      <c r="C96" s="443" t="s">
        <v>368</v>
      </c>
      <c r="D96" s="444">
        <f>IF($C70=$B$33,D$6,IF(D$6-RIGHT($C70,1)&lt;$D$6,"Pre-RIIO",D$6-RIGHT($C70,1)))</f>
        <v>2014</v>
      </c>
      <c r="E96" s="444">
        <f t="shared" ref="E96:K96" si="32">IF($C70=$B$33,E$6,IF(E$6-RIGHT($C70,1)&lt;$D$6,"Pre-RIIO",E$6-RIGHT($C70,1)))</f>
        <v>2015</v>
      </c>
      <c r="F96" s="444">
        <f t="shared" si="32"/>
        <v>2016</v>
      </c>
      <c r="G96" s="444">
        <f t="shared" si="32"/>
        <v>2017</v>
      </c>
      <c r="H96" s="444">
        <f t="shared" si="32"/>
        <v>2018</v>
      </c>
      <c r="I96" s="444">
        <f t="shared" si="32"/>
        <v>2019</v>
      </c>
      <c r="J96" s="444">
        <f t="shared" si="32"/>
        <v>2020</v>
      </c>
      <c r="K96" s="444">
        <f t="shared" si="32"/>
        <v>2021</v>
      </c>
    </row>
    <row r="97" spans="1:13" s="2" customFormat="1">
      <c r="A97" s="3" t="str">
        <f>A16</f>
        <v>f</v>
      </c>
      <c r="B97" s="94" t="str">
        <f>B16&amp;""</f>
        <v/>
      </c>
      <c r="C97" s="98" t="s">
        <v>297</v>
      </c>
      <c r="D97" s="526"/>
      <c r="E97" s="527"/>
      <c r="F97" s="527"/>
      <c r="G97" s="527"/>
      <c r="H97" s="513"/>
      <c r="I97" s="513"/>
      <c r="J97" s="513"/>
      <c r="K97" s="513"/>
    </row>
    <row r="98" spans="1:13" s="2" customFormat="1">
      <c r="A98" s="3"/>
      <c r="B98" s="94"/>
      <c r="C98" s="98"/>
      <c r="D98" s="98"/>
      <c r="E98" s="98"/>
      <c r="F98" s="98"/>
      <c r="G98" s="98"/>
      <c r="H98" s="98"/>
      <c r="I98" s="98"/>
      <c r="J98" s="98"/>
      <c r="K98" s="98"/>
      <c r="L98" s="98"/>
    </row>
    <row r="99" spans="1:13" s="2" customFormat="1">
      <c r="A99" s="3"/>
      <c r="B99" s="94"/>
      <c r="C99" s="443" t="s">
        <v>368</v>
      </c>
      <c r="D99" s="444">
        <f>IF($C74=$B$33,D$6,IF(D$6-RIGHT($C74,1)&lt;$D$6,"Pre-RIIO",D$6-RIGHT($C74,1)))</f>
        <v>2014</v>
      </c>
      <c r="E99" s="444">
        <f t="shared" ref="E99:K99" si="33">IF($C74=$B$33,E$6,IF(E$6-RIGHT($C74,1)&lt;$D$6,"Pre-RIIO",E$6-RIGHT($C74,1)))</f>
        <v>2015</v>
      </c>
      <c r="F99" s="444">
        <f t="shared" si="33"/>
        <v>2016</v>
      </c>
      <c r="G99" s="444">
        <f t="shared" si="33"/>
        <v>2017</v>
      </c>
      <c r="H99" s="444">
        <f t="shared" si="33"/>
        <v>2018</v>
      </c>
      <c r="I99" s="444">
        <f t="shared" si="33"/>
        <v>2019</v>
      </c>
      <c r="J99" s="444">
        <f t="shared" si="33"/>
        <v>2020</v>
      </c>
      <c r="K99" s="444">
        <f t="shared" si="33"/>
        <v>2021</v>
      </c>
    </row>
    <row r="100" spans="1:13" s="2" customFormat="1">
      <c r="A100" s="3" t="str">
        <f>A17</f>
        <v>g</v>
      </c>
      <c r="B100" s="94" t="str">
        <f>B17&amp;""</f>
        <v/>
      </c>
      <c r="C100" s="98" t="s">
        <v>297</v>
      </c>
      <c r="D100" s="526"/>
      <c r="E100" s="527"/>
      <c r="F100" s="527"/>
      <c r="G100" s="527"/>
      <c r="H100" s="513"/>
      <c r="I100" s="513"/>
      <c r="J100" s="513"/>
      <c r="K100" s="513"/>
    </row>
    <row r="101" spans="1:13" s="2" customFormat="1" ht="13.5" customHeight="1">
      <c r="A101" s="3"/>
      <c r="B101" s="94"/>
      <c r="C101" s="98"/>
      <c r="D101" s="98"/>
      <c r="E101" s="98"/>
      <c r="F101" s="98"/>
      <c r="G101" s="98"/>
      <c r="H101" s="98"/>
      <c r="I101" s="98"/>
      <c r="J101" s="98"/>
      <c r="K101" s="98"/>
      <c r="L101" s="98"/>
      <c r="M101" s="98"/>
    </row>
    <row r="102" spans="1:13" s="2" customFormat="1">
      <c r="B102" s="5" t="s">
        <v>369</v>
      </c>
      <c r="C102" s="116" t="s">
        <v>297</v>
      </c>
      <c r="D102" s="508">
        <f>SUM(D82,D85,D88,D91,D94,D97,D100)</f>
        <v>22.55772055000001</v>
      </c>
      <c r="E102" s="508">
        <f t="shared" ref="E102:K102" si="34">SUM(E82,E85,E88,E91,E94,E97,E100)</f>
        <v>25.724950852999999</v>
      </c>
      <c r="F102" s="508">
        <f t="shared" si="34"/>
        <v>29.735227999999999</v>
      </c>
      <c r="G102" s="508">
        <f t="shared" si="34"/>
        <v>4.2319466000000086</v>
      </c>
      <c r="H102" s="509">
        <f>SUM(H82,H85,H88,H91,H94,H97,H100)</f>
        <v>9.8108895992800846</v>
      </c>
      <c r="I102" s="509">
        <f t="shared" si="34"/>
        <v>0.80545454545454542</v>
      </c>
      <c r="J102" s="509">
        <f>SUM(J82,J85,J88,J91,J94,J97,J100)</f>
        <v>2.1475414465294227</v>
      </c>
      <c r="K102" s="509">
        <f t="shared" si="34"/>
        <v>-0.94110092781172194</v>
      </c>
    </row>
    <row r="103" spans="1:13" s="2" customFormat="1">
      <c r="C103" s="98"/>
    </row>
    <row r="104" spans="1:13" s="2" customFormat="1">
      <c r="A104" s="21"/>
      <c r="B104" s="5" t="s">
        <v>358</v>
      </c>
      <c r="C104" s="115"/>
      <c r="D104" s="115"/>
      <c r="E104" s="115"/>
      <c r="F104" s="115"/>
      <c r="G104" s="115"/>
      <c r="H104" s="115"/>
      <c r="I104" s="115"/>
      <c r="J104" s="115"/>
      <c r="K104" s="115"/>
      <c r="L104" s="115"/>
      <c r="M104" s="115"/>
    </row>
    <row r="105" spans="1:13" s="2" customFormat="1">
      <c r="A105" s="223" t="str">
        <f>A82</f>
        <v>a</v>
      </c>
      <c r="B105" s="1004"/>
      <c r="C105" s="1004"/>
      <c r="D105" s="1004"/>
      <c r="E105" s="1004"/>
      <c r="F105" s="1004"/>
      <c r="G105" s="1004"/>
      <c r="H105" s="1004"/>
      <c r="I105" s="1004"/>
      <c r="J105" s="1004"/>
      <c r="K105" s="1004"/>
      <c r="L105" s="1004"/>
      <c r="M105" s="1004"/>
    </row>
    <row r="106" spans="1:13" s="2" customFormat="1">
      <c r="A106" s="223" t="str">
        <f>A85</f>
        <v>b</v>
      </c>
      <c r="B106" s="1004"/>
      <c r="C106" s="1004"/>
      <c r="D106" s="1004"/>
      <c r="E106" s="1004"/>
      <c r="F106" s="1004"/>
      <c r="G106" s="1004"/>
      <c r="H106" s="1004"/>
      <c r="I106" s="1004"/>
      <c r="J106" s="1004"/>
      <c r="K106" s="1004"/>
      <c r="L106" s="1004"/>
      <c r="M106" s="1004"/>
    </row>
    <row r="107" spans="1:13" s="2" customFormat="1">
      <c r="A107" s="223" t="str">
        <f>A88</f>
        <v>c</v>
      </c>
      <c r="B107" s="1004"/>
      <c r="C107" s="1004"/>
      <c r="D107" s="1004"/>
      <c r="E107" s="1004"/>
      <c r="F107" s="1004"/>
      <c r="G107" s="1004"/>
      <c r="H107" s="1004"/>
      <c r="I107" s="1004"/>
      <c r="J107" s="1004"/>
      <c r="K107" s="1004"/>
      <c r="L107" s="1004"/>
      <c r="M107" s="1004"/>
    </row>
    <row r="108" spans="1:13" s="2" customFormat="1">
      <c r="A108" s="223" t="str">
        <f>A91</f>
        <v>d</v>
      </c>
      <c r="B108" s="1004"/>
      <c r="C108" s="1004"/>
      <c r="D108" s="1004"/>
      <c r="E108" s="1004"/>
      <c r="F108" s="1004"/>
      <c r="G108" s="1004"/>
      <c r="H108" s="1004"/>
      <c r="I108" s="1004"/>
      <c r="J108" s="1004"/>
      <c r="K108" s="1004"/>
      <c r="L108" s="1004"/>
      <c r="M108" s="1004"/>
    </row>
    <row r="109" spans="1:13" s="2" customFormat="1">
      <c r="A109" s="223" t="str">
        <f>A94</f>
        <v>e</v>
      </c>
      <c r="B109" s="1004"/>
      <c r="C109" s="1004"/>
      <c r="D109" s="1004"/>
      <c r="E109" s="1004"/>
      <c r="F109" s="1004"/>
      <c r="G109" s="1004"/>
      <c r="H109" s="1004"/>
      <c r="I109" s="1004"/>
      <c r="J109" s="1004"/>
      <c r="K109" s="1004"/>
      <c r="L109" s="1004"/>
      <c r="M109" s="1004"/>
    </row>
    <row r="110" spans="1:13" s="2" customFormat="1">
      <c r="A110" s="223" t="str">
        <f>A97</f>
        <v>f</v>
      </c>
      <c r="B110" s="1004"/>
      <c r="C110" s="1004"/>
      <c r="D110" s="1004"/>
      <c r="E110" s="1004"/>
      <c r="F110" s="1004"/>
      <c r="G110" s="1004"/>
      <c r="H110" s="1004"/>
      <c r="I110" s="1004"/>
      <c r="J110" s="1004"/>
      <c r="K110" s="1004"/>
      <c r="L110" s="1004"/>
      <c r="M110" s="1004"/>
    </row>
    <row r="111" spans="1:13" s="2" customFormat="1">
      <c r="A111" s="223" t="str">
        <f>A100</f>
        <v>g</v>
      </c>
      <c r="B111" s="1004"/>
      <c r="C111" s="1004"/>
      <c r="D111" s="1004"/>
      <c r="E111" s="1004"/>
      <c r="F111" s="1004"/>
      <c r="G111" s="1004"/>
      <c r="H111" s="1004"/>
      <c r="I111" s="1004"/>
      <c r="J111" s="1004"/>
      <c r="K111" s="1004"/>
      <c r="L111" s="1004"/>
      <c r="M111" s="1004"/>
    </row>
    <row r="112" spans="1:13" s="435" customFormat="1">
      <c r="A112" s="434"/>
      <c r="C112" s="436"/>
      <c r="D112" s="437"/>
      <c r="E112" s="437"/>
      <c r="F112" s="437"/>
      <c r="G112" s="437"/>
      <c r="H112" s="437"/>
      <c r="I112" s="437"/>
      <c r="J112" s="437"/>
      <c r="K112" s="437"/>
      <c r="L112" s="438"/>
      <c r="M112" s="438"/>
    </row>
    <row r="113" spans="1:14" s="435" customFormat="1">
      <c r="A113" s="434"/>
      <c r="C113" s="436"/>
      <c r="D113" s="436"/>
      <c r="E113" s="436"/>
      <c r="F113" s="436"/>
      <c r="G113" s="436"/>
      <c r="H113" s="436"/>
      <c r="I113" s="436"/>
      <c r="J113" s="436"/>
      <c r="K113" s="436"/>
      <c r="L113" s="436"/>
      <c r="M113" s="436"/>
    </row>
    <row r="114" spans="1:14" s="2" customFormat="1">
      <c r="A114" s="60"/>
      <c r="B114" s="60"/>
      <c r="C114" s="110"/>
      <c r="D114" s="60"/>
      <c r="E114" s="60"/>
      <c r="F114" s="60"/>
      <c r="G114" s="60"/>
      <c r="H114" s="60"/>
      <c r="I114" s="60"/>
      <c r="J114" s="60"/>
      <c r="K114" s="60"/>
      <c r="L114" s="60"/>
      <c r="M114" s="60"/>
      <c r="N114" s="60"/>
    </row>
  </sheetData>
  <sheetProtection algorithmName="SHA-512" hashValue="z8Y5GtjDh1A33/Ruvz9NN/7DLkauVbKgXHxjh9ENMkxnbj7FjXMGXttUFdGtynq+S9UHk6JQ91hlqnpRfPp9Bg==" saltValue="SVVMBrjnbdIP1cPanrosOw==" spinCount="100000" sheet="1" formatCells="0" formatColumns="0" formatRows="0" insertColumns="0" insertRows="0" insertHyperlinks="0" deleteColumns="0" deleteRows="0" sort="0" autoFilter="0" pivotTables="0"/>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55" priority="31">
      <formula>AND(D$5="Actuals",E$5="Forecast")</formula>
    </cfRule>
  </conditionalFormatting>
  <conditionalFormatting sqref="D5:K5">
    <cfRule type="expression" dxfId="54"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xr:uid="{00000000-0002-0000-0800-000000000000}">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ED71B9563EDE46AB3DF843FD4141ED" ma:contentTypeVersion="6" ma:contentTypeDescription="Create a new document." ma:contentTypeScope="" ma:versionID="9b157001893222972b066fb428a29b01">
  <xsd:schema xmlns:xsd="http://www.w3.org/2001/XMLSchema" xmlns:xs="http://www.w3.org/2001/XMLSchema" xmlns:p="http://schemas.microsoft.com/office/2006/metadata/properties" xmlns:ns2="a618e47c-7853-4507-a12e-9186dea01ba6" xmlns:ns3="4d969953-9b4f-4cad-a221-af528e081792" targetNamespace="http://schemas.microsoft.com/office/2006/metadata/properties" ma:root="true" ma:fieldsID="171ee5f088b610b55f22a239ff191db0" ns2:_="" ns3:_="">
    <xsd:import namespace="a618e47c-7853-4507-a12e-9186dea01ba6"/>
    <xsd:import namespace="4d969953-9b4f-4cad-a221-af528e08179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8e47c-7853-4507-a12e-9186dea01ba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969953-9b4f-4cad-a221-af528e08179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ACBDCE8C-94CA-4503-8644-C0DF27B49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8e47c-7853-4507-a12e-9186dea01ba6"/>
    <ds:schemaRef ds:uri="4d969953-9b4f-4cad-a221-af528e081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CC285FE4-1466-4BF7-8FA9-67F63A3D57B8}">
  <ds:schemaRefs>
    <ds:schemaRef ds:uri="http://purl.org/dc/dcmitype/"/>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4d969953-9b4f-4cad-a221-af528e081792"/>
    <ds:schemaRef ds:uri="a618e47c-7853-4507-a12e-9186dea01ba6"/>
    <ds:schemaRef ds:uri="http://purl.org/dc/elements/1.1/"/>
  </ds:schemaRefs>
</ds:datastoreItem>
</file>

<file path=customXml/itemProps4.xml><?xml version="1.0" encoding="utf-8"?>
<ds:datastoreItem xmlns:ds="http://schemas.openxmlformats.org/officeDocument/2006/customXml" ds:itemID="{23302359-0A5A-443C-AC8D-7BDD5B842A3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Watson</dc:creator>
  <cp:keywords/>
  <dc:description/>
  <cp:lastModifiedBy>Hoffman,Jo</cp:lastModifiedBy>
  <cp:revision/>
  <dcterms:created xsi:type="dcterms:W3CDTF">2018-06-13T08:32:09Z</dcterms:created>
  <dcterms:modified xsi:type="dcterms:W3CDTF">2020-08-27T07:22:30Z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10" name="ContentTypeId">
    <vt:lpwstr>0x0101009CED71B9563EDE46AB3DF843FD4141ED</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ies>
</file>